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mc:AlternateContent xmlns:mc="http://schemas.openxmlformats.org/markup-compatibility/2006">
    <mc:Choice Requires="x15">
      <x15ac:absPath xmlns:x15ac="http://schemas.microsoft.com/office/spreadsheetml/2010/11/ac" url="C:\Users\dylev\Box\Customers\ISDH\Probari Outreach Team\LTC Staff Testing Project\"/>
    </mc:Choice>
  </mc:AlternateContent>
  <xr:revisionPtr revIDLastSave="0" documentId="13_ncr:1_{78537D95-0086-473E-9216-794C42E0DFAB}" xr6:coauthVersionLast="45" xr6:coauthVersionMax="45" xr10:uidLastSave="{00000000-0000-0000-0000-000000000000}"/>
  <bookViews>
    <workbookView xWindow="-120" yWindow="-120" windowWidth="29040" windowHeight="15840" firstSheet="4" activeTab="4" xr2:uid="{00000000-000D-0000-FFFF-FFFF00000000}"/>
  </bookViews>
  <sheets>
    <sheet name="Form Responses 1" sheetId="1" state="hidden" r:id="rId1"/>
    <sheet name="Data Set" sheetId="2" state="hidden" r:id="rId2"/>
    <sheet name="Dashboard" sheetId="3" state="hidden" r:id="rId3"/>
    <sheet name="Staffing Chart" sheetId="28" state="hidden" r:id="rId4"/>
    <sheet name="District 1" sheetId="4" r:id="rId5"/>
    <sheet name="District 2" sheetId="5" r:id="rId6"/>
    <sheet name="District 3" sheetId="6" r:id="rId7"/>
    <sheet name="District 4" sheetId="7" r:id="rId8"/>
    <sheet name="District 5" sheetId="8" r:id="rId9"/>
    <sheet name="District 6" sheetId="9" r:id="rId10"/>
    <sheet name="District 7" sheetId="10" r:id="rId11"/>
    <sheet name="District 8" sheetId="11" r:id="rId12"/>
    <sheet name="District 9" sheetId="12" r:id="rId13"/>
    <sheet name="District 10" sheetId="13" r:id="rId14"/>
    <sheet name="ASC" sheetId="14" state="hidden" r:id="rId15"/>
    <sheet name="Trilogy" sheetId="15" state="hidden" r:id="rId16"/>
    <sheet name="Millers" sheetId="16" state="hidden" r:id="rId17"/>
    <sheet name="CarDon" sheetId="17" state="hidden" r:id="rId18"/>
    <sheet name="Golden Living" sheetId="18" state="hidden" r:id="rId19"/>
    <sheet name="Hickory Creek" sheetId="19" state="hidden" r:id="rId20"/>
    <sheet name="CommuniCare" sheetId="20" state="hidden" r:id="rId21"/>
    <sheet name="Majestic" sheetId="21" state="hidden" r:id="rId22"/>
    <sheet name="Waters" sheetId="22" state="hidden" r:id="rId23"/>
    <sheet name="GREEN" sheetId="23" state="hidden" r:id="rId24"/>
    <sheet name="KITS" sheetId="24" state="hidden" r:id="rId25"/>
    <sheet name="ONSITE" sheetId="25" state="hidden" r:id="rId26"/>
    <sheet name="list" sheetId="26" state="hidden" r:id="rId27"/>
    <sheet name="SNF Contact" sheetId="27" state="hidden" r:id="rId28"/>
    <sheet name="Supply Armories" sheetId="29" state="hidden" r:id="rId29"/>
    <sheet name="OIC Contacts" sheetId="30" state="hidden" r:id="rId30"/>
    <sheet name="C2 Contacts" sheetId="31" state="hidden" r:id="rId31"/>
  </sheets>
  <definedNames>
    <definedName name="_xlnm._FilterDatabase" localSheetId="1" hidden="1">'Data Set'!$A$1:$AD$534</definedName>
    <definedName name="_xlnm._FilterDatabase" localSheetId="4" hidden="1">'District 1'!$A$1:$AA$1001</definedName>
    <definedName name="_xlnm._FilterDatabase" localSheetId="13" hidden="1">'District 10'!$A$1:$AA$430</definedName>
    <definedName name="_xlnm._FilterDatabase" localSheetId="5" hidden="1">'District 2'!$A$1:$AA$497</definedName>
    <definedName name="_xlnm._FilterDatabase" localSheetId="6" hidden="1">'District 3'!$A$1:$AA$538</definedName>
    <definedName name="_xlnm._FilterDatabase" localSheetId="7" hidden="1">'District 4'!$A$1:$AA$468</definedName>
    <definedName name="_xlnm._FilterDatabase" localSheetId="8" hidden="1">'District 5'!$A$1:$AA$384</definedName>
    <definedName name="_xlnm._FilterDatabase" localSheetId="9" hidden="1">'District 6'!$A$1:$AA$392</definedName>
    <definedName name="_xlnm._FilterDatabase" localSheetId="10" hidden="1">'District 7'!$A$1:$AA$449</definedName>
    <definedName name="_xlnm._FilterDatabase" localSheetId="11" hidden="1">'District 8'!$A$1:$AA$371</definedName>
    <definedName name="_xlnm._FilterDatabase" localSheetId="12" hidden="1">'District 9'!$A$1:$AA$48</definedName>
    <definedName name="_xlnm._FilterDatabase" localSheetId="0" hidden="1">'Form Responses 1'!$A$1:$R$282</definedName>
    <definedName name="_xlnm._FilterDatabase" localSheetId="27" hidden="1">'SNF Contact'!$A$1:$G$738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4" i="5" l="1"/>
  <c r="Q45" i="5"/>
  <c r="Q46" i="5"/>
  <c r="Q47" i="5"/>
  <c r="Q48" i="5"/>
  <c r="Q49" i="5"/>
  <c r="Q50" i="5"/>
  <c r="Q51" i="5"/>
  <c r="Q59" i="6"/>
  <c r="Q60" i="6"/>
  <c r="Q61" i="6"/>
  <c r="Q62" i="6"/>
  <c r="Q63" i="6"/>
  <c r="Q64" i="6"/>
  <c r="Q65" i="6"/>
  <c r="Q66" i="6"/>
  <c r="Q67" i="6"/>
  <c r="Q68" i="6"/>
  <c r="Q58" i="6"/>
  <c r="O58" i="6"/>
  <c r="Q95" i="8"/>
  <c r="Q96" i="8"/>
  <c r="Q97" i="8"/>
  <c r="Q98" i="8"/>
  <c r="Q99" i="8"/>
  <c r="Q100" i="8"/>
  <c r="Q101" i="8"/>
  <c r="Q102" i="8"/>
  <c r="Q103" i="8"/>
  <c r="Q104" i="8"/>
  <c r="Q105" i="8"/>
  <c r="Q106" i="8"/>
  <c r="Q107" i="8"/>
  <c r="Q108" i="8"/>
  <c r="O75" i="8"/>
  <c r="Q75" i="8"/>
  <c r="Q29" i="7"/>
  <c r="Q30" i="7"/>
  <c r="Q22" i="10"/>
  <c r="Q23" i="10"/>
  <c r="Q24" i="10"/>
  <c r="Q54" i="13"/>
  <c r="Q55" i="13"/>
  <c r="Q56" i="13"/>
  <c r="Q57" i="13"/>
  <c r="Q58" i="13"/>
  <c r="Q59" i="13"/>
  <c r="Q41" i="12"/>
  <c r="Q42" i="12"/>
  <c r="Q43" i="12"/>
  <c r="Q44" i="12"/>
  <c r="Q45" i="12"/>
  <c r="Q46" i="12"/>
  <c r="Q47" i="12"/>
  <c r="Q48" i="12"/>
  <c r="Q40" i="12"/>
  <c r="Q38" i="4"/>
  <c r="Q39" i="4"/>
  <c r="Q40" i="4"/>
  <c r="Q41" i="4"/>
  <c r="Q42" i="4"/>
  <c r="O38" i="4"/>
  <c r="Q21" i="9" l="1"/>
  <c r="O21" i="9"/>
  <c r="Q28" i="6"/>
  <c r="O28" i="6"/>
  <c r="A31" i="11" l="1"/>
  <c r="B31" i="11"/>
  <c r="C31" i="11"/>
  <c r="D31" i="11"/>
  <c r="E31" i="11"/>
  <c r="F31" i="11"/>
  <c r="G31" i="11"/>
  <c r="H31" i="11"/>
  <c r="I31" i="11"/>
  <c r="J31" i="11"/>
  <c r="Q29" i="13"/>
  <c r="O29" i="13"/>
  <c r="Q45" i="9"/>
  <c r="Q74" i="8"/>
  <c r="Q16" i="5"/>
  <c r="Q28" i="7"/>
  <c r="O28" i="7"/>
  <c r="O45" i="9"/>
  <c r="O16" i="5"/>
  <c r="O74" i="8"/>
  <c r="R77" i="9" l="1"/>
  <c r="O60" i="9"/>
  <c r="Q60" i="9"/>
  <c r="T68" i="13"/>
  <c r="O28" i="13"/>
  <c r="L27" i="13"/>
  <c r="Q28" i="13" l="1"/>
  <c r="T27" i="28" l="1"/>
  <c r="S27" i="28"/>
  <c r="Q27" i="28"/>
  <c r="R27" i="28"/>
  <c r="M64" i="13" l="1"/>
  <c r="M65" i="13"/>
  <c r="M66" i="13"/>
  <c r="M71" i="13"/>
  <c r="M72" i="13"/>
  <c r="M73" i="13"/>
  <c r="J55" i="12"/>
  <c r="J56" i="12"/>
  <c r="J57" i="12"/>
  <c r="J60" i="12"/>
  <c r="L55" i="12"/>
  <c r="J64" i="12"/>
  <c r="J65" i="12"/>
  <c r="J68" i="12"/>
  <c r="J83" i="12"/>
  <c r="M35" i="11"/>
  <c r="M36" i="11"/>
  <c r="M37" i="11"/>
  <c r="M43" i="11"/>
  <c r="M44" i="11"/>
  <c r="M45" i="11"/>
  <c r="M31" i="10"/>
  <c r="M32" i="10"/>
  <c r="M33" i="10"/>
  <c r="M39" i="10"/>
  <c r="M40" i="10"/>
  <c r="M41" i="10"/>
  <c r="M73" i="9"/>
  <c r="M74" i="9"/>
  <c r="M75" i="9"/>
  <c r="M81" i="9"/>
  <c r="M82" i="9"/>
  <c r="M83" i="9"/>
  <c r="M116" i="8"/>
  <c r="M117" i="8"/>
  <c r="M118" i="8"/>
  <c r="M124" i="8"/>
  <c r="M125" i="8"/>
  <c r="M126" i="8"/>
  <c r="M35" i="7"/>
  <c r="M36" i="7"/>
  <c r="M37" i="7"/>
  <c r="S34" i="7"/>
  <c r="O77" i="6"/>
  <c r="O78" i="6"/>
  <c r="O79" i="6"/>
  <c r="M77" i="6"/>
  <c r="M78" i="6"/>
  <c r="M79" i="6"/>
  <c r="M58" i="5"/>
  <c r="M59" i="5"/>
  <c r="V56" i="5"/>
  <c r="O58" i="5"/>
  <c r="O59" i="5"/>
  <c r="L55" i="4"/>
  <c r="L56" i="4"/>
  <c r="J55" i="4"/>
  <c r="J56" i="4"/>
  <c r="S53" i="4"/>
  <c r="Q3" i="4"/>
  <c r="Q4" i="4"/>
  <c r="Q5" i="4"/>
  <c r="Q6" i="4"/>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2" i="4"/>
  <c r="Q3" i="5"/>
  <c r="Q4" i="5"/>
  <c r="Q5" i="5"/>
  <c r="Q6" i="5"/>
  <c r="Q7" i="5"/>
  <c r="Q8" i="5"/>
  <c r="Q9" i="5"/>
  <c r="Q10" i="5"/>
  <c r="Q11" i="5"/>
  <c r="Q12" i="5"/>
  <c r="Q13" i="5"/>
  <c r="Q14" i="5"/>
  <c r="Q15" i="5"/>
  <c r="Q17" i="5"/>
  <c r="Q18" i="5"/>
  <c r="Q19" i="5"/>
  <c r="Q20" i="5"/>
  <c r="Q21" i="5"/>
  <c r="Q22" i="5"/>
  <c r="Q23" i="5"/>
  <c r="Q24" i="5"/>
  <c r="Q25" i="5"/>
  <c r="Q26" i="5"/>
  <c r="Q27" i="5"/>
  <c r="Q28" i="5"/>
  <c r="Q29" i="5"/>
  <c r="Q30" i="5"/>
  <c r="Q31" i="5"/>
  <c r="Q32" i="5"/>
  <c r="Q33" i="5"/>
  <c r="Q34" i="5"/>
  <c r="Q35" i="5"/>
  <c r="Q36" i="5"/>
  <c r="Q37" i="5"/>
  <c r="Q38" i="5"/>
  <c r="Q39" i="5"/>
  <c r="Q40" i="5"/>
  <c r="Q41" i="5"/>
  <c r="Q42" i="5"/>
  <c r="Q43" i="5"/>
  <c r="Q2" i="5"/>
  <c r="Q3" i="6"/>
  <c r="Q4" i="6"/>
  <c r="Q5" i="6"/>
  <c r="Q6" i="6"/>
  <c r="Q7" i="6"/>
  <c r="Q8" i="6"/>
  <c r="Q9" i="6"/>
  <c r="Q10" i="6"/>
  <c r="Q11" i="6"/>
  <c r="Q12" i="6"/>
  <c r="Q13" i="6"/>
  <c r="Q14" i="6"/>
  <c r="Q15" i="6"/>
  <c r="Q16" i="6"/>
  <c r="Q17" i="6"/>
  <c r="Q18" i="6"/>
  <c r="Q19" i="6"/>
  <c r="Q20" i="6"/>
  <c r="Q21" i="6"/>
  <c r="Q22" i="6"/>
  <c r="Q23" i="6"/>
  <c r="Q24" i="6"/>
  <c r="Q25" i="6"/>
  <c r="Q26" i="6"/>
  <c r="Q27"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2" i="6"/>
  <c r="Q3" i="7"/>
  <c r="Q4" i="7"/>
  <c r="Q5" i="7"/>
  <c r="Q6" i="7"/>
  <c r="Q7" i="7"/>
  <c r="Q8" i="7"/>
  <c r="Q9" i="7"/>
  <c r="Q10" i="7"/>
  <c r="Q11" i="7"/>
  <c r="Q12" i="7"/>
  <c r="Q13" i="7"/>
  <c r="Q14" i="7"/>
  <c r="P39" i="7" s="1"/>
  <c r="Q15" i="7"/>
  <c r="Q16" i="7"/>
  <c r="Q17" i="7"/>
  <c r="Q18" i="7"/>
  <c r="Q19" i="7"/>
  <c r="Q20" i="7"/>
  <c r="Q21" i="7"/>
  <c r="Q22" i="7"/>
  <c r="Q23" i="7"/>
  <c r="Q24" i="7"/>
  <c r="Q25" i="7"/>
  <c r="Q26" i="7"/>
  <c r="Q27" i="7"/>
  <c r="Q2" i="7"/>
  <c r="Q3" i="8"/>
  <c r="Q4" i="8"/>
  <c r="Q5" i="8"/>
  <c r="Q6" i="8"/>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109" i="8"/>
  <c r="Q51" i="8"/>
  <c r="Q52" i="8"/>
  <c r="Q53" i="8"/>
  <c r="Q54" i="8"/>
  <c r="Q55" i="8"/>
  <c r="Q56" i="8"/>
  <c r="Q57" i="8"/>
  <c r="Q58" i="8"/>
  <c r="Q59" i="8"/>
  <c r="Q60" i="8"/>
  <c r="Q61" i="8"/>
  <c r="Q62" i="8"/>
  <c r="Q64" i="8"/>
  <c r="Q65" i="8"/>
  <c r="Q66" i="8"/>
  <c r="Q67" i="8"/>
  <c r="Q68" i="8"/>
  <c r="Q69" i="8"/>
  <c r="Q70" i="8"/>
  <c r="Q71" i="8"/>
  <c r="Q72" i="8"/>
  <c r="Q73" i="8"/>
  <c r="Q76" i="8"/>
  <c r="Q77" i="8"/>
  <c r="Q78" i="8"/>
  <c r="Q79" i="8"/>
  <c r="Q80" i="8"/>
  <c r="Q81" i="8"/>
  <c r="Q82" i="8"/>
  <c r="Q83" i="8"/>
  <c r="Q84" i="8"/>
  <c r="Q85" i="8"/>
  <c r="Q86" i="8"/>
  <c r="Q87" i="8"/>
  <c r="Q88" i="8"/>
  <c r="Q89" i="8"/>
  <c r="Q90" i="8"/>
  <c r="Q91" i="8"/>
  <c r="Q92" i="8"/>
  <c r="Q93" i="8"/>
  <c r="Q94" i="8"/>
  <c r="Q2" i="8"/>
  <c r="Q3" i="9"/>
  <c r="Q4" i="9"/>
  <c r="Q5" i="9"/>
  <c r="Q6" i="9"/>
  <c r="Q7" i="9"/>
  <c r="Q8" i="9"/>
  <c r="Q9" i="9"/>
  <c r="Q10" i="9"/>
  <c r="Q11" i="9"/>
  <c r="Q12" i="9"/>
  <c r="Q13" i="9"/>
  <c r="Q14" i="9"/>
  <c r="Q15" i="9"/>
  <c r="Q16" i="9"/>
  <c r="Q17" i="9"/>
  <c r="Q18" i="9"/>
  <c r="Q19" i="9"/>
  <c r="Q20" i="9"/>
  <c r="Q22" i="9"/>
  <c r="Q23" i="9"/>
  <c r="Q24" i="9"/>
  <c r="Q25" i="9"/>
  <c r="Q26" i="9"/>
  <c r="Q27" i="9"/>
  <c r="Q28" i="9"/>
  <c r="Q29" i="9"/>
  <c r="Q30" i="9"/>
  <c r="Q31" i="9"/>
  <c r="Q32" i="9"/>
  <c r="Q33" i="9"/>
  <c r="Q34" i="9"/>
  <c r="Q35" i="9"/>
  <c r="Q36" i="9"/>
  <c r="Q37" i="9"/>
  <c r="Q38" i="9"/>
  <c r="Q39" i="9"/>
  <c r="Q40" i="9"/>
  <c r="U77" i="9" s="1"/>
  <c r="Q41" i="9"/>
  <c r="Q42" i="9"/>
  <c r="Q43" i="9"/>
  <c r="Q44" i="9"/>
  <c r="Q46" i="9"/>
  <c r="Q70" i="9"/>
  <c r="Q48" i="9"/>
  <c r="Q49" i="9"/>
  <c r="Q50" i="9"/>
  <c r="Q51" i="9"/>
  <c r="Q52" i="9"/>
  <c r="Q53" i="9"/>
  <c r="Q54" i="9"/>
  <c r="Q55" i="9"/>
  <c r="Q56" i="9"/>
  <c r="Q57" i="9"/>
  <c r="Q58" i="9"/>
  <c r="Q59" i="9"/>
  <c r="Q2" i="9"/>
  <c r="Q3" i="10"/>
  <c r="Q4" i="10"/>
  <c r="Q5" i="10"/>
  <c r="Q6" i="10"/>
  <c r="Q7" i="10"/>
  <c r="Q8" i="10"/>
  <c r="Q9" i="10"/>
  <c r="U30" i="10" s="1"/>
  <c r="Q10" i="10"/>
  <c r="Q11" i="10"/>
  <c r="Q12" i="10"/>
  <c r="Q13" i="10"/>
  <c r="Q14" i="10"/>
  <c r="O35" i="10" s="1"/>
  <c r="Q15" i="10"/>
  <c r="Q16" i="10"/>
  <c r="Q17" i="10"/>
  <c r="Q18" i="10"/>
  <c r="Q19" i="10"/>
  <c r="Q20" i="10"/>
  <c r="Q21" i="10"/>
  <c r="Q2" i="10"/>
  <c r="M30" i="10" s="1"/>
  <c r="Q3" i="11"/>
  <c r="Q4" i="11"/>
  <c r="Q5" i="11"/>
  <c r="Q6" i="11"/>
  <c r="Q7" i="11"/>
  <c r="Q8" i="11"/>
  <c r="Q9" i="11"/>
  <c r="Q10" i="11"/>
  <c r="Q11" i="11"/>
  <c r="Q12" i="11"/>
  <c r="Q13" i="11"/>
  <c r="Q14" i="11"/>
  <c r="Q15" i="11"/>
  <c r="Q16" i="11"/>
  <c r="Q17" i="11"/>
  <c r="Q18" i="11"/>
  <c r="Q19" i="11"/>
  <c r="Q20" i="11"/>
  <c r="Q21" i="11"/>
  <c r="Q22" i="11"/>
  <c r="Q23" i="11"/>
  <c r="Q24" i="11"/>
  <c r="Q25" i="11"/>
  <c r="Q26" i="11"/>
  <c r="U39" i="11" s="1"/>
  <c r="Q2" i="11"/>
  <c r="M34" i="11" s="1"/>
  <c r="Q2" i="12"/>
  <c r="Q3" i="12"/>
  <c r="Q4" i="12"/>
  <c r="Q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50" i="12"/>
  <c r="Q3" i="13"/>
  <c r="Q4" i="13"/>
  <c r="Q5" i="13"/>
  <c r="Q6" i="13"/>
  <c r="Q7" i="13"/>
  <c r="Q8" i="13"/>
  <c r="Q9" i="13"/>
  <c r="Q10" i="13"/>
  <c r="Q11" i="13"/>
  <c r="Q12" i="13"/>
  <c r="Q13" i="13"/>
  <c r="Q14" i="13"/>
  <c r="Q15" i="13"/>
  <c r="Q16" i="13"/>
  <c r="Q17" i="13"/>
  <c r="Q18" i="13"/>
  <c r="Q19" i="13"/>
  <c r="Q20" i="13"/>
  <c r="Q21" i="13"/>
  <c r="Q22" i="13"/>
  <c r="Q23" i="13"/>
  <c r="Q24" i="13"/>
  <c r="Q25" i="13"/>
  <c r="Q26" i="13"/>
  <c r="Q27" i="13"/>
  <c r="Q30" i="13"/>
  <c r="Q31" i="13"/>
  <c r="Q32" i="13"/>
  <c r="Q33" i="13"/>
  <c r="Q34" i="13"/>
  <c r="Q35" i="13"/>
  <c r="Q36" i="13"/>
  <c r="Q37" i="13"/>
  <c r="Q38" i="13"/>
  <c r="Q39" i="13"/>
  <c r="Q40" i="13"/>
  <c r="Q41" i="13"/>
  <c r="Q42" i="13"/>
  <c r="Q43" i="13"/>
  <c r="Q44" i="13"/>
  <c r="Q45" i="13"/>
  <c r="Q46" i="13"/>
  <c r="Q47" i="13"/>
  <c r="Q48" i="13"/>
  <c r="Q49" i="13"/>
  <c r="Q50" i="13"/>
  <c r="Q51" i="13"/>
  <c r="Q52" i="13"/>
  <c r="Q53" i="13"/>
  <c r="Q2" i="13"/>
  <c r="I53" i="4"/>
  <c r="L34" i="7" l="1"/>
  <c r="U34" i="11"/>
  <c r="S34" i="11"/>
  <c r="O34" i="11"/>
  <c r="U35" i="10"/>
  <c r="S35" i="10"/>
  <c r="W30" i="10"/>
  <c r="S30" i="10"/>
  <c r="O30" i="10"/>
  <c r="U81" i="6"/>
  <c r="W76" i="6"/>
  <c r="M61" i="5"/>
  <c r="R58" i="4"/>
  <c r="Q35" i="10"/>
  <c r="Q30" i="10"/>
  <c r="M35" i="10"/>
  <c r="O39" i="11"/>
  <c r="S39" i="11"/>
  <c r="M39" i="11"/>
  <c r="W34" i="11"/>
  <c r="Q39" i="11"/>
  <c r="Q34" i="11"/>
  <c r="W115" i="8"/>
  <c r="U115" i="8"/>
  <c r="S120" i="8"/>
  <c r="Q120" i="8"/>
  <c r="O120" i="8"/>
  <c r="S115" i="8"/>
  <c r="M115" i="8"/>
  <c r="Q115" i="8"/>
  <c r="M120" i="8"/>
  <c r="U120" i="8"/>
  <c r="O115" i="8"/>
  <c r="T53" i="4"/>
  <c r="Q72" i="9"/>
  <c r="M77" i="9"/>
  <c r="O72" i="9"/>
  <c r="W72" i="9"/>
  <c r="U72" i="9"/>
  <c r="Q77" i="9"/>
  <c r="M72" i="9"/>
  <c r="O77" i="9"/>
  <c r="S77" i="9"/>
  <c r="S72" i="9"/>
  <c r="S63" i="13"/>
  <c r="S68" i="13"/>
  <c r="U68" i="13"/>
  <c r="C55" i="3" s="1"/>
  <c r="W63" i="13"/>
  <c r="Q68" i="13"/>
  <c r="Q63" i="13"/>
  <c r="O68" i="13"/>
  <c r="U63" i="13"/>
  <c r="M63" i="13"/>
  <c r="M68" i="13"/>
  <c r="O63" i="13"/>
  <c r="L59" i="12"/>
  <c r="W56" i="5"/>
  <c r="R54" i="12"/>
  <c r="P59" i="12"/>
  <c r="N59" i="12"/>
  <c r="N54" i="12"/>
  <c r="T54" i="12"/>
  <c r="L54" i="12"/>
  <c r="P54" i="12"/>
  <c r="J59" i="12"/>
  <c r="J54" i="12"/>
  <c r="L39" i="7"/>
  <c r="R34" i="7"/>
  <c r="N39" i="7"/>
  <c r="N34" i="7"/>
  <c r="P34" i="7"/>
  <c r="T34" i="7"/>
  <c r="X34" i="7"/>
  <c r="V34" i="7"/>
  <c r="U76" i="6"/>
  <c r="S81" i="6"/>
  <c r="S76" i="6"/>
  <c r="Q76" i="6"/>
  <c r="Q81" i="6"/>
  <c r="O81" i="6"/>
  <c r="O76" i="6"/>
  <c r="M76" i="6"/>
  <c r="M81" i="6"/>
  <c r="M56" i="5"/>
  <c r="U56" i="5"/>
  <c r="S56" i="5"/>
  <c r="S61" i="5"/>
  <c r="Q56" i="5"/>
  <c r="Q61" i="5"/>
  <c r="O61" i="5"/>
  <c r="O56" i="5"/>
  <c r="R53" i="4"/>
  <c r="L58" i="4"/>
  <c r="P53" i="4"/>
  <c r="P58" i="4"/>
  <c r="J53" i="4"/>
  <c r="N58" i="4"/>
  <c r="N53" i="4"/>
  <c r="L53" i="4"/>
  <c r="J58" i="4"/>
  <c r="O59" i="12"/>
  <c r="M59" i="12"/>
  <c r="K59" i="12"/>
  <c r="I59" i="12"/>
  <c r="S54" i="12"/>
  <c r="R39" i="11"/>
  <c r="L34" i="11"/>
  <c r="R68" i="13"/>
  <c r="C53" i="3" l="1"/>
  <c r="C49" i="3"/>
  <c r="C52" i="3"/>
  <c r="C50" i="3"/>
  <c r="C46" i="3"/>
  <c r="C47" i="3"/>
  <c r="C54" i="3"/>
  <c r="C48" i="3"/>
  <c r="T81" i="6"/>
  <c r="R81" i="6"/>
  <c r="P81" i="6"/>
  <c r="N81" i="6"/>
  <c r="L81" i="6"/>
  <c r="N79" i="6"/>
  <c r="L79" i="6"/>
  <c r="N78" i="6"/>
  <c r="L78" i="6"/>
  <c r="N77" i="6"/>
  <c r="L77" i="6"/>
  <c r="V76" i="6"/>
  <c r="T76" i="6"/>
  <c r="R76" i="6"/>
  <c r="P76" i="6"/>
  <c r="N76" i="6"/>
  <c r="L76" i="6"/>
  <c r="T61" i="5"/>
  <c r="R61" i="5"/>
  <c r="P61" i="5"/>
  <c r="N61" i="5"/>
  <c r="L61" i="5"/>
  <c r="N59" i="5"/>
  <c r="L59" i="5"/>
  <c r="N58" i="5"/>
  <c r="L58" i="5"/>
  <c r="T56" i="5"/>
  <c r="R56" i="5"/>
  <c r="P56" i="5"/>
  <c r="N56" i="5"/>
  <c r="L56" i="5"/>
  <c r="T39" i="11" l="1"/>
  <c r="P39" i="11"/>
  <c r="N39" i="11"/>
  <c r="L39" i="11"/>
  <c r="L45" i="11"/>
  <c r="L37" i="11"/>
  <c r="L44" i="11"/>
  <c r="L36" i="11"/>
  <c r="L43" i="11"/>
  <c r="L35" i="11"/>
  <c r="V34" i="11"/>
  <c r="T34" i="11"/>
  <c r="R34" i="11"/>
  <c r="P34" i="11"/>
  <c r="N34" i="11"/>
  <c r="I65" i="12"/>
  <c r="I57" i="12"/>
  <c r="I64" i="12"/>
  <c r="I56" i="12"/>
  <c r="K55" i="12"/>
  <c r="I55" i="12"/>
  <c r="P68" i="13"/>
  <c r="N68" i="13"/>
  <c r="L68" i="13"/>
  <c r="L73" i="13"/>
  <c r="L66" i="13"/>
  <c r="L72" i="13"/>
  <c r="L65" i="13"/>
  <c r="L71" i="13"/>
  <c r="L64" i="13"/>
  <c r="V63" i="13"/>
  <c r="T63" i="13"/>
  <c r="R63" i="13"/>
  <c r="P63" i="13"/>
  <c r="N63" i="13"/>
  <c r="L63" i="13"/>
  <c r="O39" i="7" l="1"/>
  <c r="M39" i="7"/>
  <c r="K39" i="7"/>
  <c r="W34" i="7"/>
  <c r="U34" i="7"/>
  <c r="Q34" i="7"/>
  <c r="O34" i="7"/>
  <c r="M34" i="7"/>
  <c r="K34" i="7"/>
  <c r="R30" i="10"/>
  <c r="P30" i="10"/>
  <c r="N30" i="10"/>
  <c r="L30" i="10"/>
  <c r="T30" i="10"/>
  <c r="V30" i="10"/>
  <c r="L35" i="10"/>
  <c r="P35" i="10"/>
  <c r="N35" i="10"/>
  <c r="R35" i="10"/>
  <c r="T35" i="10"/>
  <c r="T77" i="9"/>
  <c r="P77" i="9"/>
  <c r="N77" i="9"/>
  <c r="L77" i="9"/>
  <c r="V72" i="9"/>
  <c r="T72" i="9"/>
  <c r="R72" i="9"/>
  <c r="P72" i="9"/>
  <c r="N72" i="9"/>
  <c r="L72" i="9"/>
  <c r="T120" i="8"/>
  <c r="R120" i="8"/>
  <c r="P120" i="8"/>
  <c r="N120" i="8"/>
  <c r="L120" i="8"/>
  <c r="V115" i="8"/>
  <c r="T115" i="8"/>
  <c r="R115" i="8"/>
  <c r="P115" i="8"/>
  <c r="N115" i="8"/>
  <c r="L115" i="8"/>
  <c r="L41" i="10"/>
  <c r="L33" i="10"/>
  <c r="L40" i="10"/>
  <c r="L32" i="10"/>
  <c r="L39" i="10"/>
  <c r="L31" i="10"/>
  <c r="L83" i="9"/>
  <c r="L75" i="9"/>
  <c r="L82" i="9"/>
  <c r="L74" i="9"/>
  <c r="L81" i="9"/>
  <c r="L73" i="9"/>
  <c r="L126" i="8"/>
  <c r="L118" i="8"/>
  <c r="L125" i="8"/>
  <c r="L117" i="8"/>
  <c r="L124" i="8"/>
  <c r="L116" i="8"/>
  <c r="L37" i="7"/>
  <c r="K37" i="7"/>
  <c r="L36" i="7"/>
  <c r="K36" i="7"/>
  <c r="L35" i="7"/>
  <c r="K35" i="7"/>
  <c r="I58" i="4"/>
  <c r="K58" i="4"/>
  <c r="M58" i="4"/>
  <c r="O58" i="4"/>
  <c r="Q58" i="4"/>
  <c r="Q53" i="4"/>
  <c r="O53" i="4"/>
  <c r="M53" i="4"/>
  <c r="K53" i="4"/>
  <c r="O20" i="5"/>
  <c r="O3" i="5"/>
  <c r="O4" i="5"/>
  <c r="O5" i="5"/>
  <c r="O6" i="5"/>
  <c r="O7" i="5"/>
  <c r="O8" i="5"/>
  <c r="O9" i="5"/>
  <c r="O10" i="5"/>
  <c r="O11" i="5"/>
  <c r="O12" i="5"/>
  <c r="O13" i="5"/>
  <c r="O14" i="5"/>
  <c r="O15" i="5"/>
  <c r="O17" i="5"/>
  <c r="O18" i="5"/>
  <c r="O19" i="5"/>
  <c r="O2" i="5"/>
  <c r="O25" i="4"/>
  <c r="O26" i="4"/>
  <c r="O27" i="4"/>
  <c r="O28" i="4"/>
  <c r="O29" i="4"/>
  <c r="O30" i="4"/>
  <c r="O31" i="4"/>
  <c r="O32" i="4"/>
  <c r="O33" i="4"/>
  <c r="O34" i="4"/>
  <c r="O35" i="4"/>
  <c r="O36" i="4"/>
  <c r="O37" i="4"/>
  <c r="O24" i="4"/>
  <c r="O3" i="4"/>
  <c r="O4" i="4"/>
  <c r="O5" i="4"/>
  <c r="O6" i="4"/>
  <c r="O7" i="4"/>
  <c r="O8" i="4"/>
  <c r="O9" i="4"/>
  <c r="O10" i="4"/>
  <c r="O11" i="4"/>
  <c r="O12" i="4"/>
  <c r="O13" i="4"/>
  <c r="O14" i="4"/>
  <c r="O15" i="4"/>
  <c r="O16" i="4"/>
  <c r="O17" i="4"/>
  <c r="O18" i="4"/>
  <c r="O19" i="4"/>
  <c r="O20" i="4"/>
  <c r="O21" i="4"/>
  <c r="O22" i="4"/>
  <c r="O23" i="4"/>
  <c r="O2" i="4"/>
  <c r="L46" i="5"/>
  <c r="L45" i="5"/>
  <c r="B55" i="3" l="1"/>
  <c r="B53" i="3"/>
  <c r="B54" i="3"/>
  <c r="B50" i="3"/>
  <c r="B52" i="3"/>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4" i="8"/>
  <c r="O65" i="8"/>
  <c r="O66" i="8"/>
  <c r="O67" i="8"/>
  <c r="O68" i="8"/>
  <c r="O69" i="8"/>
  <c r="O70" i="8"/>
  <c r="O71" i="8"/>
  <c r="O72" i="8"/>
  <c r="O73" i="8"/>
  <c r="O76" i="8"/>
  <c r="O77" i="8"/>
  <c r="O78" i="8"/>
  <c r="O79" i="8"/>
  <c r="O80" i="8"/>
  <c r="O81" i="8"/>
  <c r="O82" i="8"/>
  <c r="O83" i="8"/>
  <c r="O84" i="8"/>
  <c r="O85" i="8"/>
  <c r="O86" i="8"/>
  <c r="O87" i="8"/>
  <c r="O88" i="8"/>
  <c r="O89" i="8"/>
  <c r="O90" i="8"/>
  <c r="O91" i="8"/>
  <c r="O92" i="8"/>
  <c r="O93" i="8"/>
  <c r="O94" i="8"/>
  <c r="O2" i="8"/>
  <c r="O3" i="7"/>
  <c r="O4" i="7"/>
  <c r="O5" i="7"/>
  <c r="O6" i="7"/>
  <c r="O7" i="7"/>
  <c r="O8" i="7"/>
  <c r="O9" i="7"/>
  <c r="O10" i="7"/>
  <c r="O11" i="7"/>
  <c r="O12" i="7"/>
  <c r="O13" i="7"/>
  <c r="O14" i="7"/>
  <c r="O15" i="7"/>
  <c r="O16" i="7"/>
  <c r="O17" i="7"/>
  <c r="O18" i="7"/>
  <c r="O19" i="7"/>
  <c r="O20" i="7"/>
  <c r="O21" i="7"/>
  <c r="O22" i="7"/>
  <c r="O23" i="7"/>
  <c r="O24" i="7"/>
  <c r="O25" i="7"/>
  <c r="O26" i="7"/>
  <c r="O27" i="7"/>
  <c r="O2" i="7"/>
  <c r="O3" i="9"/>
  <c r="O4" i="9"/>
  <c r="O5" i="9"/>
  <c r="O6" i="9"/>
  <c r="O7" i="9"/>
  <c r="O8" i="9"/>
  <c r="O9" i="9"/>
  <c r="O10" i="9"/>
  <c r="O11" i="9"/>
  <c r="O12" i="9"/>
  <c r="O13" i="9"/>
  <c r="O14" i="9"/>
  <c r="O15" i="9"/>
  <c r="O16" i="9"/>
  <c r="O17" i="9"/>
  <c r="O18" i="9"/>
  <c r="O19" i="9"/>
  <c r="O20" i="9"/>
  <c r="O22" i="9"/>
  <c r="O23" i="9"/>
  <c r="O24" i="9"/>
  <c r="O25" i="9"/>
  <c r="O26" i="9"/>
  <c r="O27" i="9"/>
  <c r="O28" i="9"/>
  <c r="O29" i="9"/>
  <c r="O30" i="9"/>
  <c r="O31" i="9"/>
  <c r="O32" i="9"/>
  <c r="O33" i="9"/>
  <c r="O34" i="9"/>
  <c r="O35" i="9"/>
  <c r="O36" i="9"/>
  <c r="O37" i="9"/>
  <c r="O38" i="9"/>
  <c r="O39" i="9"/>
  <c r="O40" i="9"/>
  <c r="O41" i="9"/>
  <c r="O42" i="9"/>
  <c r="O43" i="9"/>
  <c r="O44" i="9"/>
  <c r="O46" i="9"/>
  <c r="O70" i="9"/>
  <c r="O48" i="9"/>
  <c r="O49" i="9"/>
  <c r="O50" i="9"/>
  <c r="O51" i="9"/>
  <c r="O52" i="9"/>
  <c r="O53" i="9"/>
  <c r="O54" i="9"/>
  <c r="O55" i="9"/>
  <c r="O56" i="9"/>
  <c r="O57" i="9"/>
  <c r="O58" i="9"/>
  <c r="O59" i="9"/>
  <c r="O2" i="9"/>
  <c r="O3" i="10"/>
  <c r="O4" i="10"/>
  <c r="O5" i="10"/>
  <c r="O6" i="10"/>
  <c r="O7" i="10"/>
  <c r="O8" i="10"/>
  <c r="O9" i="10"/>
  <c r="O10" i="10"/>
  <c r="O11" i="10"/>
  <c r="O12" i="10"/>
  <c r="O13" i="10"/>
  <c r="O14" i="10"/>
  <c r="O15" i="10"/>
  <c r="O16" i="10"/>
  <c r="O17" i="10"/>
  <c r="O18" i="10"/>
  <c r="O19" i="10"/>
  <c r="O20" i="10"/>
  <c r="O21" i="10"/>
  <c r="O2" i="10"/>
  <c r="O20" i="6"/>
  <c r="O21" i="6"/>
  <c r="O22" i="6"/>
  <c r="O23" i="6"/>
  <c r="O24" i="6"/>
  <c r="O25" i="6"/>
  <c r="O26" i="6"/>
  <c r="O27"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19" i="6"/>
  <c r="O3" i="6"/>
  <c r="O4" i="6"/>
  <c r="O5" i="6"/>
  <c r="O6" i="6"/>
  <c r="O7" i="6"/>
  <c r="O8" i="6"/>
  <c r="O9" i="6"/>
  <c r="O10" i="6"/>
  <c r="O11" i="6"/>
  <c r="O12" i="6"/>
  <c r="O13" i="6"/>
  <c r="O14" i="6"/>
  <c r="O15" i="6"/>
  <c r="O16" i="6"/>
  <c r="O17" i="6"/>
  <c r="O18" i="6"/>
  <c r="O2" i="6"/>
  <c r="O21" i="5"/>
  <c r="O22" i="5"/>
  <c r="O23" i="5"/>
  <c r="O24" i="5"/>
  <c r="O25" i="5"/>
  <c r="O26" i="5"/>
  <c r="O27" i="5"/>
  <c r="O28" i="5"/>
  <c r="O29" i="5"/>
  <c r="O30" i="5"/>
  <c r="O31" i="5"/>
  <c r="O32" i="5"/>
  <c r="O33" i="5"/>
  <c r="O34" i="5"/>
  <c r="O35" i="5"/>
  <c r="O36" i="5"/>
  <c r="O37" i="5"/>
  <c r="O38" i="5"/>
  <c r="O39" i="5"/>
  <c r="O40" i="5"/>
  <c r="O41" i="5"/>
  <c r="O42" i="5"/>
  <c r="O43" i="5"/>
  <c r="O3" i="11"/>
  <c r="O4" i="11"/>
  <c r="O5" i="11"/>
  <c r="O6" i="11"/>
  <c r="O7" i="11"/>
  <c r="O8" i="11"/>
  <c r="O9" i="11"/>
  <c r="O10" i="11"/>
  <c r="O11" i="11"/>
  <c r="O12" i="11"/>
  <c r="O13" i="11"/>
  <c r="O14" i="11"/>
  <c r="O15" i="11"/>
  <c r="O16" i="11"/>
  <c r="O17" i="11"/>
  <c r="O18" i="11"/>
  <c r="O19" i="11"/>
  <c r="O20" i="11"/>
  <c r="O21" i="11"/>
  <c r="O22" i="11"/>
  <c r="O23" i="11"/>
  <c r="O24" i="11"/>
  <c r="O25" i="11"/>
  <c r="O26" i="11"/>
  <c r="O2" i="11"/>
  <c r="O30" i="13"/>
  <c r="O31" i="13"/>
  <c r="O32" i="13"/>
  <c r="O33" i="13"/>
  <c r="O34" i="13"/>
  <c r="O35" i="13"/>
  <c r="O36" i="13"/>
  <c r="O37" i="13"/>
  <c r="O38" i="13"/>
  <c r="O39" i="13"/>
  <c r="O40" i="13"/>
  <c r="O41" i="13"/>
  <c r="O42" i="13"/>
  <c r="O43" i="13"/>
  <c r="O44" i="13"/>
  <c r="O45" i="13"/>
  <c r="O46" i="13"/>
  <c r="O47" i="13"/>
  <c r="O48" i="13"/>
  <c r="O49" i="13"/>
  <c r="O50" i="13"/>
  <c r="O51" i="13"/>
  <c r="O52" i="13"/>
  <c r="O53" i="13"/>
  <c r="O3" i="13"/>
  <c r="O4" i="13"/>
  <c r="O5" i="13"/>
  <c r="O6" i="13"/>
  <c r="O7" i="13"/>
  <c r="O8" i="13"/>
  <c r="O9" i="13"/>
  <c r="O10" i="13"/>
  <c r="O11" i="13"/>
  <c r="O12" i="13"/>
  <c r="O13" i="13"/>
  <c r="O14" i="13"/>
  <c r="O15" i="13"/>
  <c r="O16" i="13"/>
  <c r="O17" i="13"/>
  <c r="O18" i="13"/>
  <c r="O19" i="13"/>
  <c r="O20" i="13"/>
  <c r="O21" i="13"/>
  <c r="O22" i="13"/>
  <c r="O23" i="13"/>
  <c r="O24" i="13"/>
  <c r="O25" i="13"/>
  <c r="O26" i="13"/>
  <c r="O27" i="13"/>
  <c r="O2" i="13"/>
  <c r="B41" i="3" l="1"/>
  <c r="E42" i="7"/>
  <c r="B69" i="13" l="1"/>
  <c r="B58" i="12"/>
  <c r="B40" i="11"/>
  <c r="B36" i="10"/>
  <c r="B78" i="9"/>
  <c r="K21" i="9" s="1"/>
  <c r="L21" i="9" s="1"/>
  <c r="B121" i="8"/>
  <c r="B40" i="7"/>
  <c r="K28" i="7" s="1"/>
  <c r="L28" i="7" s="1"/>
  <c r="B82" i="6"/>
  <c r="K58" i="6" s="1"/>
  <c r="L58" i="6" s="1"/>
  <c r="F67" i="13"/>
  <c r="F56" i="12"/>
  <c r="F38" i="11"/>
  <c r="F34" i="10"/>
  <c r="F76" i="9"/>
  <c r="F119" i="8"/>
  <c r="F38" i="7"/>
  <c r="F80" i="6"/>
  <c r="E83" i="6" s="1"/>
  <c r="F60" i="5"/>
  <c r="E62" i="5" s="1"/>
  <c r="B62" i="5"/>
  <c r="K16" i="5" s="1"/>
  <c r="L16" i="5" s="1"/>
  <c r="F52" i="4"/>
  <c r="E55" i="4" s="1"/>
  <c r="G40" i="3"/>
  <c r="F43" i="3" s="1"/>
  <c r="K75" i="8" l="1"/>
  <c r="L75" i="8" s="1"/>
  <c r="K74" i="8"/>
  <c r="L74" i="8" s="1"/>
  <c r="K60" i="9"/>
  <c r="L60" i="9" s="1"/>
  <c r="K45" i="9"/>
  <c r="L45" i="9" s="1"/>
  <c r="K28" i="13"/>
  <c r="L28" i="13" s="1"/>
  <c r="K29" i="13"/>
  <c r="L29" i="13" s="1"/>
  <c r="E63" i="5"/>
  <c r="E77" i="6"/>
  <c r="E49" i="4"/>
  <c r="E35" i="7"/>
  <c r="E40" i="7"/>
  <c r="E38" i="7"/>
  <c r="E36" i="7"/>
  <c r="E41" i="7"/>
  <c r="E39" i="7"/>
  <c r="E37" i="7"/>
  <c r="E60" i="5"/>
  <c r="E79" i="6"/>
  <c r="E51" i="4"/>
  <c r="E52" i="4"/>
  <c r="E59" i="5"/>
  <c r="E80" i="6"/>
  <c r="E78" i="6"/>
  <c r="E53" i="4"/>
  <c r="E73" i="9"/>
  <c r="K67" i="9" s="1"/>
  <c r="L67" i="9" s="1"/>
  <c r="E79" i="9"/>
  <c r="E78" i="9"/>
  <c r="E77" i="9"/>
  <c r="E76" i="9"/>
  <c r="E74" i="9"/>
  <c r="E75" i="9"/>
  <c r="E58" i="5"/>
  <c r="E81" i="6"/>
  <c r="E50" i="4"/>
  <c r="E61" i="5"/>
  <c r="E54" i="4"/>
  <c r="E32" i="10"/>
  <c r="E35" i="10"/>
  <c r="E33" i="10"/>
  <c r="E31" i="10"/>
  <c r="E37" i="10"/>
  <c r="E36" i="10"/>
  <c r="E34" i="10"/>
  <c r="E57" i="5"/>
  <c r="E82" i="6"/>
  <c r="E70" i="13"/>
  <c r="E69" i="13"/>
  <c r="E68" i="13"/>
  <c r="E67" i="13"/>
  <c r="K59" i="13" s="1"/>
  <c r="L59" i="13" s="1"/>
  <c r="E66" i="13"/>
  <c r="E65" i="13"/>
  <c r="E64" i="13"/>
  <c r="E116" i="8"/>
  <c r="E122" i="8"/>
  <c r="E121" i="8"/>
  <c r="E120" i="8"/>
  <c r="E119" i="8"/>
  <c r="K109" i="8" s="1"/>
  <c r="E118" i="8"/>
  <c r="E117" i="8"/>
  <c r="E41" i="11"/>
  <c r="E39" i="11"/>
  <c r="E37" i="11"/>
  <c r="E40" i="11"/>
  <c r="E38" i="11"/>
  <c r="E36" i="11"/>
  <c r="E35" i="11"/>
  <c r="F37" i="3"/>
  <c r="F38" i="3"/>
  <c r="F39" i="3"/>
  <c r="F40" i="3"/>
  <c r="F41" i="3"/>
  <c r="F42" i="3"/>
  <c r="B54" i="4"/>
  <c r="K38" i="4" s="1"/>
  <c r="L38" i="4" s="1"/>
  <c r="F53" i="3"/>
  <c r="G738" i="27" l="1"/>
  <c r="F738" i="27" s="1"/>
  <c r="G737" i="27"/>
  <c r="F737" i="27" s="1"/>
  <c r="G736" i="27"/>
  <c r="F736" i="27" s="1"/>
  <c r="G735" i="27"/>
  <c r="F735" i="27" s="1"/>
  <c r="G734" i="27"/>
  <c r="F734" i="27" s="1"/>
  <c r="G733" i="27"/>
  <c r="F733" i="27" s="1"/>
  <c r="G732" i="27"/>
  <c r="F732" i="27" s="1"/>
  <c r="G731" i="27"/>
  <c r="F731" i="27" s="1"/>
  <c r="G730" i="27"/>
  <c r="F730" i="27" s="1"/>
  <c r="G729" i="27"/>
  <c r="F729" i="27"/>
  <c r="G728" i="27"/>
  <c r="F728" i="27" s="1"/>
  <c r="G727" i="27"/>
  <c r="F727" i="27" s="1"/>
  <c r="G726" i="27"/>
  <c r="F726" i="27"/>
  <c r="G725" i="27"/>
  <c r="F725" i="27" s="1"/>
  <c r="G724" i="27"/>
  <c r="F724" i="27" s="1"/>
  <c r="G723" i="27"/>
  <c r="F723" i="27" s="1"/>
  <c r="G722" i="27"/>
  <c r="F722" i="27" s="1"/>
  <c r="G721" i="27"/>
  <c r="F721" i="27"/>
  <c r="G720" i="27"/>
  <c r="F720" i="27" s="1"/>
  <c r="G719" i="27"/>
  <c r="F719" i="27" s="1"/>
  <c r="G718" i="27"/>
  <c r="F718" i="27"/>
  <c r="G717" i="27"/>
  <c r="F717" i="27" s="1"/>
  <c r="G716" i="27"/>
  <c r="F716" i="27" s="1"/>
  <c r="G715" i="27"/>
  <c r="F715" i="27" s="1"/>
  <c r="G714" i="27"/>
  <c r="F714" i="27" s="1"/>
  <c r="G713" i="27"/>
  <c r="F713" i="27" s="1"/>
  <c r="G712" i="27"/>
  <c r="F712" i="27" s="1"/>
  <c r="G711" i="27"/>
  <c r="F711" i="27" s="1"/>
  <c r="G710" i="27"/>
  <c r="F710" i="27" s="1"/>
  <c r="G709" i="27"/>
  <c r="F709" i="27" s="1"/>
  <c r="G708" i="27"/>
  <c r="F708" i="27"/>
  <c r="G707" i="27"/>
  <c r="F707" i="27" s="1"/>
  <c r="G706" i="27"/>
  <c r="F706" i="27" s="1"/>
  <c r="G705" i="27"/>
  <c r="F705" i="27" s="1"/>
  <c r="G704" i="27"/>
  <c r="F704" i="27" s="1"/>
  <c r="G703" i="27"/>
  <c r="F703" i="27" s="1"/>
  <c r="G702" i="27"/>
  <c r="F702" i="27"/>
  <c r="G701" i="27"/>
  <c r="F701" i="27" s="1"/>
  <c r="G700" i="27"/>
  <c r="F700" i="27"/>
  <c r="G699" i="27"/>
  <c r="F699" i="27" s="1"/>
  <c r="G698" i="27"/>
  <c r="F698" i="27" s="1"/>
  <c r="G697" i="27"/>
  <c r="F697" i="27" s="1"/>
  <c r="G696" i="27"/>
  <c r="F696" i="27" s="1"/>
  <c r="G695" i="27"/>
  <c r="F695" i="27" s="1"/>
  <c r="G694" i="27"/>
  <c r="F694" i="27" s="1"/>
  <c r="G693" i="27"/>
  <c r="F693" i="27" s="1"/>
  <c r="G692" i="27"/>
  <c r="F692" i="27"/>
  <c r="G691" i="27"/>
  <c r="F691" i="27" s="1"/>
  <c r="G690" i="27"/>
  <c r="F690" i="27" s="1"/>
  <c r="G689" i="27"/>
  <c r="F689" i="27" s="1"/>
  <c r="G688" i="27"/>
  <c r="F688" i="27" s="1"/>
  <c r="G687" i="27"/>
  <c r="F687" i="27" s="1"/>
  <c r="G686" i="27"/>
  <c r="F686" i="27"/>
  <c r="G685" i="27"/>
  <c r="F685" i="27" s="1"/>
  <c r="G684" i="27"/>
  <c r="F684" i="27"/>
  <c r="G683" i="27"/>
  <c r="F683" i="27" s="1"/>
  <c r="G682" i="27"/>
  <c r="F682" i="27" s="1"/>
  <c r="G681" i="27"/>
  <c r="F681" i="27" s="1"/>
  <c r="G680" i="27"/>
  <c r="F680" i="27" s="1"/>
  <c r="G679" i="27"/>
  <c r="F679" i="27" s="1"/>
  <c r="G678" i="27"/>
  <c r="F678" i="27"/>
  <c r="G677" i="27"/>
  <c r="F677" i="27" s="1"/>
  <c r="G676" i="27"/>
  <c r="F676" i="27"/>
  <c r="G675" i="27"/>
  <c r="F675" i="27" s="1"/>
  <c r="G674" i="27"/>
  <c r="F674" i="27" s="1"/>
  <c r="G673" i="27"/>
  <c r="F673" i="27" s="1"/>
  <c r="G672" i="27"/>
  <c r="F672" i="27" s="1"/>
  <c r="G671" i="27"/>
  <c r="F671" i="27" s="1"/>
  <c r="G670" i="27"/>
  <c r="F670" i="27"/>
  <c r="G669" i="27"/>
  <c r="F669" i="27"/>
  <c r="G668" i="27"/>
  <c r="F668" i="27"/>
  <c r="G667" i="27"/>
  <c r="F667" i="27" s="1"/>
  <c r="G666" i="27"/>
  <c r="F666" i="27" s="1"/>
  <c r="G665" i="27"/>
  <c r="F665" i="27" s="1"/>
  <c r="G664" i="27"/>
  <c r="F664" i="27" s="1"/>
  <c r="G663" i="27"/>
  <c r="F663" i="27" s="1"/>
  <c r="G662" i="27"/>
  <c r="F662" i="27"/>
  <c r="G661" i="27"/>
  <c r="F661" i="27" s="1"/>
  <c r="G660" i="27"/>
  <c r="F660" i="27"/>
  <c r="G659" i="27"/>
  <c r="F659" i="27" s="1"/>
  <c r="G658" i="27"/>
  <c r="F658" i="27" s="1"/>
  <c r="G657" i="27"/>
  <c r="F657" i="27" s="1"/>
  <c r="G656" i="27"/>
  <c r="F656" i="27" s="1"/>
  <c r="G655" i="27"/>
  <c r="F655" i="27" s="1"/>
  <c r="G654" i="27"/>
  <c r="F654" i="27"/>
  <c r="G653" i="27"/>
  <c r="F653" i="27"/>
  <c r="G652" i="27"/>
  <c r="F652" i="27"/>
  <c r="G651" i="27"/>
  <c r="F651" i="27" s="1"/>
  <c r="G650" i="27"/>
  <c r="F650" i="27" s="1"/>
  <c r="G649" i="27"/>
  <c r="F649" i="27" s="1"/>
  <c r="G648" i="27"/>
  <c r="F648" i="27" s="1"/>
  <c r="G647" i="27"/>
  <c r="F647" i="27" s="1"/>
  <c r="G646" i="27"/>
  <c r="F646" i="27"/>
  <c r="G645" i="27"/>
  <c r="F645" i="27" s="1"/>
  <c r="G644" i="27"/>
  <c r="F644" i="27"/>
  <c r="G643" i="27"/>
  <c r="F643" i="27" s="1"/>
  <c r="G642" i="27"/>
  <c r="F642" i="27" s="1"/>
  <c r="G641" i="27"/>
  <c r="F641" i="27" s="1"/>
  <c r="G640" i="27"/>
  <c r="F640" i="27" s="1"/>
  <c r="G639" i="27"/>
  <c r="F639" i="27" s="1"/>
  <c r="G638" i="27"/>
  <c r="F638" i="27"/>
  <c r="G637" i="27"/>
  <c r="F637" i="27"/>
  <c r="G636" i="27"/>
  <c r="F636" i="27"/>
  <c r="G635" i="27"/>
  <c r="F635" i="27" s="1"/>
  <c r="G634" i="27"/>
  <c r="F634" i="27" s="1"/>
  <c r="G633" i="27"/>
  <c r="F633" i="27" s="1"/>
  <c r="G632" i="27"/>
  <c r="F632" i="27" s="1"/>
  <c r="G631" i="27"/>
  <c r="F631" i="27" s="1"/>
  <c r="G630" i="27"/>
  <c r="F630" i="27"/>
  <c r="G629" i="27"/>
  <c r="F629" i="27" s="1"/>
  <c r="G628" i="27"/>
  <c r="F628" i="27"/>
  <c r="G627" i="27"/>
  <c r="F627" i="27" s="1"/>
  <c r="G626" i="27"/>
  <c r="F626" i="27" s="1"/>
  <c r="G625" i="27"/>
  <c r="F625" i="27" s="1"/>
  <c r="G624" i="27"/>
  <c r="F624" i="27" s="1"/>
  <c r="G623" i="27"/>
  <c r="F623" i="27" s="1"/>
  <c r="G622" i="27"/>
  <c r="F622" i="27"/>
  <c r="G621" i="27"/>
  <c r="F621" i="27" s="1"/>
  <c r="G620" i="27"/>
  <c r="F620" i="27"/>
  <c r="G619" i="27"/>
  <c r="F619" i="27" s="1"/>
  <c r="G618" i="27"/>
  <c r="F618" i="27" s="1"/>
  <c r="G617" i="27"/>
  <c r="F617" i="27" s="1"/>
  <c r="G616" i="27"/>
  <c r="F616" i="27" s="1"/>
  <c r="G615" i="27"/>
  <c r="F615" i="27" s="1"/>
  <c r="G614" i="27"/>
  <c r="F614" i="27"/>
  <c r="G613" i="27"/>
  <c r="F613" i="27" s="1"/>
  <c r="G612" i="27"/>
  <c r="F612" i="27"/>
  <c r="G611" i="27"/>
  <c r="F611" i="27" s="1"/>
  <c r="G610" i="27"/>
  <c r="F610" i="27" s="1"/>
  <c r="G609" i="27"/>
  <c r="F609" i="27" s="1"/>
  <c r="G608" i="27"/>
  <c r="F608" i="27" s="1"/>
  <c r="G607" i="27"/>
  <c r="F607" i="27" s="1"/>
  <c r="G606" i="27"/>
  <c r="F606" i="27"/>
  <c r="G605" i="27"/>
  <c r="F605" i="27"/>
  <c r="G604" i="27"/>
  <c r="F604" i="27"/>
  <c r="G603" i="27"/>
  <c r="F603" i="27" s="1"/>
  <c r="G602" i="27"/>
  <c r="F602" i="27" s="1"/>
  <c r="G601" i="27"/>
  <c r="F601" i="27" s="1"/>
  <c r="G600" i="27"/>
  <c r="F600" i="27" s="1"/>
  <c r="G599" i="27"/>
  <c r="F599" i="27" s="1"/>
  <c r="G598" i="27"/>
  <c r="F598" i="27"/>
  <c r="G597" i="27"/>
  <c r="F597" i="27" s="1"/>
  <c r="G596" i="27"/>
  <c r="F596" i="27"/>
  <c r="G595" i="27"/>
  <c r="F595" i="27" s="1"/>
  <c r="G594" i="27"/>
  <c r="F594" i="27" s="1"/>
  <c r="G593" i="27"/>
  <c r="F593" i="27" s="1"/>
  <c r="G592" i="27"/>
  <c r="F592" i="27" s="1"/>
  <c r="G591" i="27"/>
  <c r="F591" i="27" s="1"/>
  <c r="G590" i="27"/>
  <c r="F590" i="27"/>
  <c r="G589" i="27"/>
  <c r="F589" i="27"/>
  <c r="G588" i="27"/>
  <c r="F588" i="27"/>
  <c r="G587" i="27"/>
  <c r="F587" i="27" s="1"/>
  <c r="G586" i="27"/>
  <c r="F586" i="27" s="1"/>
  <c r="G585" i="27"/>
  <c r="F585" i="27" s="1"/>
  <c r="G584" i="27"/>
  <c r="F584" i="27" s="1"/>
  <c r="G583" i="27"/>
  <c r="F583" i="27" s="1"/>
  <c r="G582" i="27"/>
  <c r="F582" i="27"/>
  <c r="G581" i="27"/>
  <c r="F581" i="27" s="1"/>
  <c r="G580" i="27"/>
  <c r="F580" i="27"/>
  <c r="G579" i="27"/>
  <c r="F579" i="27" s="1"/>
  <c r="G578" i="27"/>
  <c r="F578" i="27" s="1"/>
  <c r="G577" i="27"/>
  <c r="F577" i="27" s="1"/>
  <c r="G576" i="27"/>
  <c r="F576" i="27" s="1"/>
  <c r="G575" i="27"/>
  <c r="F575" i="27" s="1"/>
  <c r="G574" i="27"/>
  <c r="F574" i="27" s="1"/>
  <c r="G573" i="27"/>
  <c r="F573" i="27"/>
  <c r="G572" i="27"/>
  <c r="F572" i="27" s="1"/>
  <c r="G571" i="27"/>
  <c r="F571" i="27" s="1"/>
  <c r="G570" i="27"/>
  <c r="F570" i="27" s="1"/>
  <c r="G569" i="27"/>
  <c r="F569" i="27" s="1"/>
  <c r="G568" i="27"/>
  <c r="F568" i="27" s="1"/>
  <c r="G567" i="27"/>
  <c r="F567" i="27" s="1"/>
  <c r="G566" i="27"/>
  <c r="F566" i="27"/>
  <c r="G565" i="27"/>
  <c r="F565" i="27"/>
  <c r="G564" i="27"/>
  <c r="F564" i="27" s="1"/>
  <c r="G563" i="27"/>
  <c r="F563" i="27" s="1"/>
  <c r="G562" i="27"/>
  <c r="F562" i="27" s="1"/>
  <c r="G561" i="27"/>
  <c r="F561" i="27" s="1"/>
  <c r="G560" i="27"/>
  <c r="F560" i="27" s="1"/>
  <c r="G559" i="27"/>
  <c r="F559" i="27" s="1"/>
  <c r="G558" i="27"/>
  <c r="F558" i="27"/>
  <c r="G557" i="27"/>
  <c r="F557" i="27"/>
  <c r="G556" i="27"/>
  <c r="F556" i="27"/>
  <c r="G555" i="27"/>
  <c r="F555" i="27" s="1"/>
  <c r="G554" i="27"/>
  <c r="F554" i="27" s="1"/>
  <c r="G553" i="27"/>
  <c r="F553" i="27" s="1"/>
  <c r="G552" i="27"/>
  <c r="F552" i="27" s="1"/>
  <c r="G551" i="27"/>
  <c r="F551" i="27" s="1"/>
  <c r="G550" i="27"/>
  <c r="F550" i="27" s="1"/>
  <c r="G549" i="27"/>
  <c r="F549" i="27" s="1"/>
  <c r="G548" i="27"/>
  <c r="F548" i="27"/>
  <c r="G547" i="27"/>
  <c r="F547" i="27" s="1"/>
  <c r="G546" i="27"/>
  <c r="F546" i="27" s="1"/>
  <c r="G545" i="27"/>
  <c r="F545" i="27" s="1"/>
  <c r="G544" i="27"/>
  <c r="F544" i="27" s="1"/>
  <c r="G543" i="27"/>
  <c r="F543" i="27" s="1"/>
  <c r="G542" i="27"/>
  <c r="F542" i="27" s="1"/>
  <c r="G541" i="27"/>
  <c r="F541" i="27"/>
  <c r="G540" i="27"/>
  <c r="F540" i="27"/>
  <c r="G539" i="27"/>
  <c r="F539" i="27" s="1"/>
  <c r="G538" i="27"/>
  <c r="F538" i="27" s="1"/>
  <c r="G537" i="27"/>
  <c r="F537" i="27" s="1"/>
  <c r="G536" i="27"/>
  <c r="F536" i="27" s="1"/>
  <c r="G535" i="27"/>
  <c r="F535" i="27" s="1"/>
  <c r="G534" i="27"/>
  <c r="F534" i="27" s="1"/>
  <c r="G533" i="27"/>
  <c r="F533" i="27" s="1"/>
  <c r="G532" i="27"/>
  <c r="F532" i="27"/>
  <c r="G531" i="27"/>
  <c r="F531" i="27" s="1"/>
  <c r="G530" i="27"/>
  <c r="F530" i="27" s="1"/>
  <c r="G529" i="27"/>
  <c r="F529" i="27" s="1"/>
  <c r="G528" i="27"/>
  <c r="F528" i="27" s="1"/>
  <c r="G527" i="27"/>
  <c r="F527" i="27" s="1"/>
  <c r="G526" i="27"/>
  <c r="F526" i="27"/>
  <c r="G525" i="27"/>
  <c r="F525" i="27" s="1"/>
  <c r="G524" i="27"/>
  <c r="F524" i="27"/>
  <c r="G523" i="27"/>
  <c r="F523" i="27" s="1"/>
  <c r="G522" i="27"/>
  <c r="F522" i="27" s="1"/>
  <c r="G521" i="27"/>
  <c r="F521" i="27" s="1"/>
  <c r="G520" i="27"/>
  <c r="F520" i="27" s="1"/>
  <c r="G519" i="27"/>
  <c r="F519" i="27" s="1"/>
  <c r="G518" i="27"/>
  <c r="F518" i="27"/>
  <c r="G517" i="27"/>
  <c r="F517" i="27" s="1"/>
  <c r="G516" i="27"/>
  <c r="F516" i="27" s="1"/>
  <c r="G515" i="27"/>
  <c r="F515" i="27" s="1"/>
  <c r="G514" i="27"/>
  <c r="F514" i="27" s="1"/>
  <c r="G513" i="27"/>
  <c r="F513" i="27" s="1"/>
  <c r="G512" i="27"/>
  <c r="F512" i="27" s="1"/>
  <c r="G511" i="27"/>
  <c r="F511" i="27" s="1"/>
  <c r="G510" i="27"/>
  <c r="F510" i="27"/>
  <c r="G509" i="27"/>
  <c r="F509" i="27"/>
  <c r="G508" i="27"/>
  <c r="F508" i="27" s="1"/>
  <c r="G507" i="27"/>
  <c r="F507" i="27" s="1"/>
  <c r="G506" i="27"/>
  <c r="F506" i="27" s="1"/>
  <c r="G505" i="27"/>
  <c r="F505" i="27" s="1"/>
  <c r="G504" i="27"/>
  <c r="F504" i="27" s="1"/>
  <c r="G503" i="27"/>
  <c r="F503" i="27" s="1"/>
  <c r="G502" i="27"/>
  <c r="F502" i="27" s="1"/>
  <c r="G501" i="27"/>
  <c r="F501" i="27"/>
  <c r="G500" i="27"/>
  <c r="F500" i="27" s="1"/>
  <c r="G499" i="27"/>
  <c r="F499" i="27" s="1"/>
  <c r="G498" i="27"/>
  <c r="F498" i="27" s="1"/>
  <c r="G497" i="27"/>
  <c r="F497" i="27" s="1"/>
  <c r="G496" i="27"/>
  <c r="F496" i="27" s="1"/>
  <c r="G495" i="27"/>
  <c r="F495" i="27" s="1"/>
  <c r="G494" i="27"/>
  <c r="F494" i="27"/>
  <c r="G493" i="27"/>
  <c r="F493" i="27"/>
  <c r="G492" i="27"/>
  <c r="F492" i="27"/>
  <c r="G491" i="27"/>
  <c r="F491" i="27" s="1"/>
  <c r="G490" i="27"/>
  <c r="F490" i="27" s="1"/>
  <c r="G489" i="27"/>
  <c r="F489" i="27" s="1"/>
  <c r="G488" i="27"/>
  <c r="F488" i="27" s="1"/>
  <c r="G487" i="27"/>
  <c r="F487" i="27" s="1"/>
  <c r="G486" i="27"/>
  <c r="F486" i="27" s="1"/>
  <c r="G485" i="27"/>
  <c r="F485" i="27"/>
  <c r="G484" i="27"/>
  <c r="F484" i="27" s="1"/>
  <c r="G483" i="27"/>
  <c r="F483" i="27" s="1"/>
  <c r="G482" i="27"/>
  <c r="F482" i="27" s="1"/>
  <c r="G481" i="27"/>
  <c r="F481" i="27" s="1"/>
  <c r="G480" i="27"/>
  <c r="F480" i="27" s="1"/>
  <c r="G479" i="27"/>
  <c r="F479" i="27" s="1"/>
  <c r="G478" i="27"/>
  <c r="F478" i="27" s="1"/>
  <c r="G477" i="27"/>
  <c r="F477" i="27"/>
  <c r="G476" i="27"/>
  <c r="F476" i="27"/>
  <c r="G475" i="27"/>
  <c r="F475" i="27" s="1"/>
  <c r="G474" i="27"/>
  <c r="F474" i="27" s="1"/>
  <c r="G473" i="27"/>
  <c r="F473" i="27" s="1"/>
  <c r="G472" i="27"/>
  <c r="F472" i="27" s="1"/>
  <c r="G471" i="27"/>
  <c r="F471" i="27" s="1"/>
  <c r="G470" i="27"/>
  <c r="F470" i="27" s="1"/>
  <c r="G469" i="27"/>
  <c r="F469" i="27"/>
  <c r="G468" i="27"/>
  <c r="F468" i="27" s="1"/>
  <c r="G467" i="27"/>
  <c r="F467" i="27" s="1"/>
  <c r="G466" i="27"/>
  <c r="F466" i="27" s="1"/>
  <c r="G465" i="27"/>
  <c r="F465" i="27" s="1"/>
  <c r="G464" i="27"/>
  <c r="F464" i="27" s="1"/>
  <c r="G463" i="27"/>
  <c r="F463" i="27" s="1"/>
  <c r="G462" i="27"/>
  <c r="F462" i="27"/>
  <c r="G461" i="27"/>
  <c r="F461" i="27" s="1"/>
  <c r="G460" i="27"/>
  <c r="F460" i="27"/>
  <c r="G459" i="27"/>
  <c r="F459" i="27" s="1"/>
  <c r="G458" i="27"/>
  <c r="F458" i="27" s="1"/>
  <c r="G457" i="27"/>
  <c r="F457" i="27" s="1"/>
  <c r="G456" i="27"/>
  <c r="F456" i="27" s="1"/>
  <c r="G455" i="27"/>
  <c r="F455" i="27" s="1"/>
  <c r="G454" i="27"/>
  <c r="F454" i="27" s="1"/>
  <c r="G453" i="27"/>
  <c r="F453" i="27" s="1"/>
  <c r="G452" i="27"/>
  <c r="F452" i="27" s="1"/>
  <c r="G451" i="27"/>
  <c r="F451" i="27" s="1"/>
  <c r="G450" i="27"/>
  <c r="F450" i="27" s="1"/>
  <c r="G449" i="27"/>
  <c r="F449" i="27" s="1"/>
  <c r="G448" i="27"/>
  <c r="F448" i="27" s="1"/>
  <c r="G447" i="27"/>
  <c r="F447" i="27" s="1"/>
  <c r="G446" i="27"/>
  <c r="F446" i="27"/>
  <c r="G445" i="27"/>
  <c r="F445" i="27"/>
  <c r="G444" i="27"/>
  <c r="F444" i="27" s="1"/>
  <c r="G443" i="27"/>
  <c r="F443" i="27" s="1"/>
  <c r="G442" i="27"/>
  <c r="F442" i="27" s="1"/>
  <c r="G441" i="27"/>
  <c r="F441" i="27" s="1"/>
  <c r="G440" i="27"/>
  <c r="F440" i="27" s="1"/>
  <c r="G439" i="27"/>
  <c r="F439" i="27" s="1"/>
  <c r="G438" i="27"/>
  <c r="F438" i="27"/>
  <c r="G437" i="27"/>
  <c r="F437" i="27"/>
  <c r="G436" i="27"/>
  <c r="F436" i="27" s="1"/>
  <c r="G435" i="27"/>
  <c r="F435" i="27" s="1"/>
  <c r="G434" i="27"/>
  <c r="F434" i="27" s="1"/>
  <c r="G433" i="27"/>
  <c r="F433" i="27" s="1"/>
  <c r="G432" i="27"/>
  <c r="F432" i="27" s="1"/>
  <c r="G431" i="27"/>
  <c r="F431" i="27" s="1"/>
  <c r="G430" i="27"/>
  <c r="F430" i="27"/>
  <c r="G429" i="27"/>
  <c r="F429" i="27"/>
  <c r="G428" i="27"/>
  <c r="F428" i="27"/>
  <c r="G427" i="27"/>
  <c r="F427" i="27" s="1"/>
  <c r="G426" i="27"/>
  <c r="F426" i="27" s="1"/>
  <c r="G425" i="27"/>
  <c r="F425" i="27" s="1"/>
  <c r="G424" i="27"/>
  <c r="F424" i="27" s="1"/>
  <c r="G423" i="27"/>
  <c r="F423" i="27" s="1"/>
  <c r="G422" i="27"/>
  <c r="F422" i="27" s="1"/>
  <c r="G421" i="27"/>
  <c r="F421" i="27"/>
  <c r="G420" i="27"/>
  <c r="F420" i="27" s="1"/>
  <c r="G419" i="27"/>
  <c r="F419" i="27" s="1"/>
  <c r="G418" i="27"/>
  <c r="F418" i="27" s="1"/>
  <c r="G417" i="27"/>
  <c r="F417" i="27" s="1"/>
  <c r="G416" i="27"/>
  <c r="F416" i="27" s="1"/>
  <c r="G415" i="27"/>
  <c r="F415" i="27" s="1"/>
  <c r="G414" i="27"/>
  <c r="F414" i="27" s="1"/>
  <c r="G413" i="27"/>
  <c r="F413" i="27"/>
  <c r="G412" i="27"/>
  <c r="F412" i="27" s="1"/>
  <c r="G411" i="27"/>
  <c r="F411" i="27" s="1"/>
  <c r="G410" i="27"/>
  <c r="F410" i="27" s="1"/>
  <c r="G409" i="27"/>
  <c r="F409" i="27" s="1"/>
  <c r="G408" i="27"/>
  <c r="F408" i="27" s="1"/>
  <c r="G407" i="27"/>
  <c r="F407" i="27" s="1"/>
  <c r="G406" i="27"/>
  <c r="F406" i="27" s="1"/>
  <c r="G405" i="27"/>
  <c r="F405" i="27"/>
  <c r="G404" i="27"/>
  <c r="F404" i="27" s="1"/>
  <c r="G403" i="27"/>
  <c r="F403" i="27" s="1"/>
  <c r="G402" i="27"/>
  <c r="F402" i="27" s="1"/>
  <c r="G401" i="27"/>
  <c r="F401" i="27" s="1"/>
  <c r="G400" i="27"/>
  <c r="F400" i="27" s="1"/>
  <c r="G399" i="27"/>
  <c r="F399" i="27" s="1"/>
  <c r="G398" i="27"/>
  <c r="F398" i="27"/>
  <c r="G397" i="27"/>
  <c r="F397" i="27" s="1"/>
  <c r="G396" i="27"/>
  <c r="F396" i="27"/>
  <c r="G395" i="27"/>
  <c r="F395" i="27" s="1"/>
  <c r="G394" i="27"/>
  <c r="F394" i="27"/>
  <c r="G393" i="27"/>
  <c r="F393" i="27" s="1"/>
  <c r="G392" i="27"/>
  <c r="F392" i="27"/>
  <c r="G391" i="27"/>
  <c r="F391" i="27" s="1"/>
  <c r="G390" i="27"/>
  <c r="F390" i="27"/>
  <c r="G389" i="27"/>
  <c r="F389" i="27" s="1"/>
  <c r="G388" i="27"/>
  <c r="F388" i="27"/>
  <c r="G387" i="27"/>
  <c r="F387" i="27" s="1"/>
  <c r="G386" i="27"/>
  <c r="F386" i="27"/>
  <c r="G385" i="27"/>
  <c r="F385" i="27" s="1"/>
  <c r="G384" i="27"/>
  <c r="F384" i="27"/>
  <c r="G383" i="27"/>
  <c r="F383" i="27" s="1"/>
  <c r="G382" i="27"/>
  <c r="F382" i="27"/>
  <c r="G381" i="27"/>
  <c r="F381" i="27" s="1"/>
  <c r="G380" i="27"/>
  <c r="F380" i="27"/>
  <c r="G379" i="27"/>
  <c r="F379" i="27" s="1"/>
  <c r="G378" i="27"/>
  <c r="F378" i="27"/>
  <c r="G377" i="27"/>
  <c r="F377" i="27" s="1"/>
  <c r="G376" i="27"/>
  <c r="F376" i="27"/>
  <c r="G375" i="27"/>
  <c r="F375" i="27" s="1"/>
  <c r="G374" i="27"/>
  <c r="F374" i="27"/>
  <c r="G373" i="27"/>
  <c r="F373" i="27" s="1"/>
  <c r="G372" i="27"/>
  <c r="F372" i="27"/>
  <c r="G371" i="27"/>
  <c r="F371" i="27" s="1"/>
  <c r="G370" i="27"/>
  <c r="F370" i="27"/>
  <c r="G369" i="27"/>
  <c r="F369" i="27" s="1"/>
  <c r="G368" i="27"/>
  <c r="F368" i="27"/>
  <c r="G367" i="27"/>
  <c r="F367" i="27" s="1"/>
  <c r="G366" i="27"/>
  <c r="F366" i="27"/>
  <c r="G365" i="27"/>
  <c r="F365" i="27" s="1"/>
  <c r="G364" i="27"/>
  <c r="F364" i="27"/>
  <c r="G363" i="27"/>
  <c r="F363" i="27" s="1"/>
  <c r="G362" i="27"/>
  <c r="F362" i="27"/>
  <c r="G361" i="27"/>
  <c r="F361" i="27" s="1"/>
  <c r="G360" i="27"/>
  <c r="F360" i="27"/>
  <c r="G359" i="27"/>
  <c r="F359" i="27" s="1"/>
  <c r="G358" i="27"/>
  <c r="F358" i="27"/>
  <c r="G357" i="27"/>
  <c r="F357" i="27" s="1"/>
  <c r="G356" i="27"/>
  <c r="F356" i="27"/>
  <c r="G355" i="27"/>
  <c r="F355" i="27" s="1"/>
  <c r="G354" i="27"/>
  <c r="F354" i="27"/>
  <c r="G353" i="27"/>
  <c r="F353" i="27" s="1"/>
  <c r="G352" i="27"/>
  <c r="F352" i="27"/>
  <c r="G351" i="27"/>
  <c r="F351" i="27" s="1"/>
  <c r="G350" i="27"/>
  <c r="F350" i="27"/>
  <c r="G349" i="27"/>
  <c r="F349" i="27" s="1"/>
  <c r="G348" i="27"/>
  <c r="F348" i="27"/>
  <c r="G347" i="27"/>
  <c r="F347" i="27" s="1"/>
  <c r="G346" i="27"/>
  <c r="F346" i="27"/>
  <c r="G345" i="27"/>
  <c r="F345" i="27" s="1"/>
  <c r="G344" i="27"/>
  <c r="F344" i="27"/>
  <c r="G343" i="27"/>
  <c r="F343" i="27" s="1"/>
  <c r="G342" i="27"/>
  <c r="F342" i="27"/>
  <c r="G341" i="27"/>
  <c r="F341" i="27" s="1"/>
  <c r="G340" i="27"/>
  <c r="F340" i="27"/>
  <c r="G339" i="27"/>
  <c r="F339" i="27" s="1"/>
  <c r="G338" i="27"/>
  <c r="F338" i="27"/>
  <c r="G337" i="27"/>
  <c r="F337" i="27" s="1"/>
  <c r="G336" i="27"/>
  <c r="F336" i="27"/>
  <c r="G335" i="27"/>
  <c r="F335" i="27" s="1"/>
  <c r="G334" i="27"/>
  <c r="F334" i="27"/>
  <c r="G333" i="27"/>
  <c r="F333" i="27" s="1"/>
  <c r="G332" i="27"/>
  <c r="F332" i="27"/>
  <c r="G331" i="27"/>
  <c r="F331" i="27" s="1"/>
  <c r="G330" i="27"/>
  <c r="F330" i="27"/>
  <c r="G329" i="27"/>
  <c r="F329" i="27" s="1"/>
  <c r="G328" i="27"/>
  <c r="F328" i="27"/>
  <c r="G327" i="27"/>
  <c r="F327" i="27" s="1"/>
  <c r="G326" i="27"/>
  <c r="F326" i="27"/>
  <c r="G325" i="27"/>
  <c r="F325" i="27" s="1"/>
  <c r="G324" i="27"/>
  <c r="F324" i="27"/>
  <c r="G323" i="27"/>
  <c r="F323" i="27" s="1"/>
  <c r="G322" i="27"/>
  <c r="F322" i="27"/>
  <c r="G321" i="27"/>
  <c r="F321" i="27" s="1"/>
  <c r="G320" i="27"/>
  <c r="F320" i="27"/>
  <c r="G319" i="27"/>
  <c r="F319" i="27" s="1"/>
  <c r="G318" i="27"/>
  <c r="F318" i="27" s="1"/>
  <c r="G317" i="27"/>
  <c r="F317" i="27" s="1"/>
  <c r="G316" i="27"/>
  <c r="F316" i="27"/>
  <c r="G315" i="27"/>
  <c r="F315" i="27" s="1"/>
  <c r="G314" i="27"/>
  <c r="F314" i="27"/>
  <c r="G313" i="27"/>
  <c r="F313" i="27" s="1"/>
  <c r="G312" i="27"/>
  <c r="F312" i="27" s="1"/>
  <c r="G311" i="27"/>
  <c r="F311" i="27" s="1"/>
  <c r="G310" i="27"/>
  <c r="F310" i="27" s="1"/>
  <c r="G309" i="27"/>
  <c r="F309" i="27" s="1"/>
  <c r="G308" i="27"/>
  <c r="F308" i="27"/>
  <c r="G307" i="27"/>
  <c r="F307" i="27" s="1"/>
  <c r="G306" i="27"/>
  <c r="F306" i="27"/>
  <c r="G305" i="27"/>
  <c r="F305" i="27" s="1"/>
  <c r="G304" i="27"/>
  <c r="F304" i="27"/>
  <c r="G303" i="27"/>
  <c r="F303" i="27" s="1"/>
  <c r="G302" i="27"/>
  <c r="F302" i="27" s="1"/>
  <c r="G301" i="27"/>
  <c r="F301" i="27" s="1"/>
  <c r="G300" i="27"/>
  <c r="F300" i="27"/>
  <c r="G299" i="27"/>
  <c r="F299" i="27" s="1"/>
  <c r="G298" i="27"/>
  <c r="F298" i="27"/>
  <c r="G297" i="27"/>
  <c r="F297" i="27" s="1"/>
  <c r="G296" i="27"/>
  <c r="F296" i="27" s="1"/>
  <c r="G295" i="27"/>
  <c r="F295" i="27" s="1"/>
  <c r="G294" i="27"/>
  <c r="F294" i="27" s="1"/>
  <c r="G293" i="27"/>
  <c r="F293" i="27" s="1"/>
  <c r="G292" i="27"/>
  <c r="F292" i="27"/>
  <c r="G291" i="27"/>
  <c r="F291" i="27" s="1"/>
  <c r="G290" i="27"/>
  <c r="F290" i="27"/>
  <c r="G289" i="27"/>
  <c r="F289" i="27" s="1"/>
  <c r="G288" i="27"/>
  <c r="F288" i="27"/>
  <c r="G287" i="27"/>
  <c r="F287" i="27" s="1"/>
  <c r="G286" i="27"/>
  <c r="F286" i="27" s="1"/>
  <c r="G285" i="27"/>
  <c r="F285" i="27" s="1"/>
  <c r="G284" i="27"/>
  <c r="F284" i="27"/>
  <c r="G283" i="27"/>
  <c r="F283" i="27" s="1"/>
  <c r="G282" i="27"/>
  <c r="F282" i="27"/>
  <c r="G281" i="27"/>
  <c r="F281" i="27" s="1"/>
  <c r="G280" i="27"/>
  <c r="F280" i="27" s="1"/>
  <c r="G279" i="27"/>
  <c r="F279" i="27" s="1"/>
  <c r="G278" i="27"/>
  <c r="F278" i="27" s="1"/>
  <c r="G277" i="27"/>
  <c r="F277" i="27" s="1"/>
  <c r="G276" i="27"/>
  <c r="F276" i="27"/>
  <c r="G275" i="27"/>
  <c r="F275" i="27" s="1"/>
  <c r="G274" i="27"/>
  <c r="F274" i="27"/>
  <c r="G273" i="27"/>
  <c r="F273" i="27" s="1"/>
  <c r="G272" i="27"/>
  <c r="F272" i="27"/>
  <c r="G271" i="27"/>
  <c r="F271" i="27" s="1"/>
  <c r="G270" i="27"/>
  <c r="F270" i="27" s="1"/>
  <c r="G269" i="27"/>
  <c r="F269" i="27" s="1"/>
  <c r="G268" i="27"/>
  <c r="F268" i="27"/>
  <c r="G267" i="27"/>
  <c r="F267" i="27" s="1"/>
  <c r="G266" i="27"/>
  <c r="F266" i="27"/>
  <c r="G265" i="27"/>
  <c r="F265" i="27" s="1"/>
  <c r="G264" i="27"/>
  <c r="F264" i="27" s="1"/>
  <c r="G263" i="27"/>
  <c r="F263" i="27" s="1"/>
  <c r="G262" i="27"/>
  <c r="F262" i="27" s="1"/>
  <c r="G261" i="27"/>
  <c r="F261" i="27" s="1"/>
  <c r="G260" i="27"/>
  <c r="F260" i="27"/>
  <c r="G259" i="27"/>
  <c r="F259" i="27" s="1"/>
  <c r="G258" i="27"/>
  <c r="F258" i="27"/>
  <c r="G257" i="27"/>
  <c r="F257" i="27" s="1"/>
  <c r="G256" i="27"/>
  <c r="F256" i="27"/>
  <c r="G255" i="27"/>
  <c r="F255" i="27" s="1"/>
  <c r="G254" i="27"/>
  <c r="F254" i="27" s="1"/>
  <c r="G253" i="27"/>
  <c r="F253" i="27" s="1"/>
  <c r="G252" i="27"/>
  <c r="F252" i="27"/>
  <c r="G251" i="27"/>
  <c r="F251" i="27" s="1"/>
  <c r="G250" i="27"/>
  <c r="F250" i="27"/>
  <c r="G249" i="27"/>
  <c r="F249" i="27" s="1"/>
  <c r="G248" i="27"/>
  <c r="F248" i="27" s="1"/>
  <c r="G247" i="27"/>
  <c r="F247" i="27" s="1"/>
  <c r="G246" i="27"/>
  <c r="F246" i="27" s="1"/>
  <c r="G245" i="27"/>
  <c r="F245" i="27" s="1"/>
  <c r="G244" i="27"/>
  <c r="F244" i="27"/>
  <c r="G243" i="27"/>
  <c r="F243" i="27" s="1"/>
  <c r="G242" i="27"/>
  <c r="F242" i="27"/>
  <c r="G241" i="27"/>
  <c r="F241" i="27" s="1"/>
  <c r="G240" i="27"/>
  <c r="F240" i="27"/>
  <c r="G239" i="27"/>
  <c r="F239" i="27" s="1"/>
  <c r="G238" i="27"/>
  <c r="F238" i="27" s="1"/>
  <c r="G237" i="27"/>
  <c r="F237" i="27" s="1"/>
  <c r="G236" i="27"/>
  <c r="F236" i="27"/>
  <c r="G235" i="27"/>
  <c r="F235" i="27" s="1"/>
  <c r="G234" i="27"/>
  <c r="F234" i="27"/>
  <c r="G233" i="27"/>
  <c r="F233" i="27" s="1"/>
  <c r="G232" i="27"/>
  <c r="F232" i="27" s="1"/>
  <c r="G231" i="27"/>
  <c r="F231" i="27" s="1"/>
  <c r="G230" i="27"/>
  <c r="F230" i="27" s="1"/>
  <c r="G229" i="27"/>
  <c r="F229" i="27" s="1"/>
  <c r="G228" i="27"/>
  <c r="F228" i="27"/>
  <c r="G227" i="27"/>
  <c r="F227" i="27" s="1"/>
  <c r="G226" i="27"/>
  <c r="F226" i="27"/>
  <c r="G225" i="27"/>
  <c r="F225" i="27" s="1"/>
  <c r="G224" i="27"/>
  <c r="F224" i="27"/>
  <c r="G223" i="27"/>
  <c r="F223" i="27" s="1"/>
  <c r="G222" i="27"/>
  <c r="F222" i="27" s="1"/>
  <c r="G221" i="27"/>
  <c r="F221" i="27" s="1"/>
  <c r="G220" i="27"/>
  <c r="F220" i="27"/>
  <c r="G219" i="27"/>
  <c r="F219" i="27" s="1"/>
  <c r="G218" i="27"/>
  <c r="F218" i="27"/>
  <c r="G217" i="27"/>
  <c r="F217" i="27" s="1"/>
  <c r="G216" i="27"/>
  <c r="F216" i="27" s="1"/>
  <c r="G215" i="27"/>
  <c r="F215" i="27" s="1"/>
  <c r="G214" i="27"/>
  <c r="F214" i="27" s="1"/>
  <c r="G213" i="27"/>
  <c r="F213" i="27" s="1"/>
  <c r="G212" i="27"/>
  <c r="F212" i="27"/>
  <c r="G211" i="27"/>
  <c r="F211" i="27" s="1"/>
  <c r="G210" i="27"/>
  <c r="F210" i="27"/>
  <c r="G209" i="27"/>
  <c r="F209" i="27" s="1"/>
  <c r="G208" i="27"/>
  <c r="F208" i="27"/>
  <c r="G207" i="27"/>
  <c r="F207" i="27" s="1"/>
  <c r="G206" i="27"/>
  <c r="F206" i="27" s="1"/>
  <c r="G205" i="27"/>
  <c r="F205" i="27" s="1"/>
  <c r="G204" i="27"/>
  <c r="F204" i="27"/>
  <c r="G203" i="27"/>
  <c r="F203" i="27" s="1"/>
  <c r="G202" i="27"/>
  <c r="F202" i="27"/>
  <c r="G201" i="27"/>
  <c r="F201" i="27" s="1"/>
  <c r="G200" i="27"/>
  <c r="F200" i="27" s="1"/>
  <c r="G199" i="27"/>
  <c r="F199" i="27" s="1"/>
  <c r="G198" i="27"/>
  <c r="F198" i="27" s="1"/>
  <c r="G197" i="27"/>
  <c r="F197" i="27" s="1"/>
  <c r="G196" i="27"/>
  <c r="F196" i="27"/>
  <c r="G195" i="27"/>
  <c r="F195" i="27" s="1"/>
  <c r="G194" i="27"/>
  <c r="F194" i="27"/>
  <c r="G193" i="27"/>
  <c r="F193" i="27" s="1"/>
  <c r="G192" i="27"/>
  <c r="F192" i="27"/>
  <c r="G191" i="27"/>
  <c r="F191" i="27" s="1"/>
  <c r="G190" i="27"/>
  <c r="F190" i="27" s="1"/>
  <c r="G189" i="27"/>
  <c r="F189" i="27" s="1"/>
  <c r="G188" i="27"/>
  <c r="F188" i="27"/>
  <c r="G187" i="27"/>
  <c r="F187" i="27" s="1"/>
  <c r="G186" i="27"/>
  <c r="F186" i="27"/>
  <c r="G185" i="27"/>
  <c r="F185" i="27" s="1"/>
  <c r="G184" i="27"/>
  <c r="F184" i="27" s="1"/>
  <c r="G183" i="27"/>
  <c r="F183" i="27" s="1"/>
  <c r="G182" i="27"/>
  <c r="F182" i="27" s="1"/>
  <c r="G181" i="27"/>
  <c r="F181" i="27" s="1"/>
  <c r="G180" i="27"/>
  <c r="F180" i="27"/>
  <c r="G179" i="27"/>
  <c r="F179" i="27" s="1"/>
  <c r="G178" i="27"/>
  <c r="F178" i="27"/>
  <c r="G177" i="27"/>
  <c r="F177" i="27" s="1"/>
  <c r="G176" i="27"/>
  <c r="F176" i="27"/>
  <c r="G175" i="27"/>
  <c r="F175" i="27" s="1"/>
  <c r="G174" i="27"/>
  <c r="F174" i="27" s="1"/>
  <c r="G173" i="27"/>
  <c r="F173" i="27" s="1"/>
  <c r="G172" i="27"/>
  <c r="F172" i="27"/>
  <c r="G171" i="27"/>
  <c r="F171" i="27" s="1"/>
  <c r="G170" i="27"/>
  <c r="F170" i="27"/>
  <c r="G169" i="27"/>
  <c r="F169" i="27" s="1"/>
  <c r="G168" i="27"/>
  <c r="F168" i="27" s="1"/>
  <c r="G167" i="27"/>
  <c r="F167" i="27" s="1"/>
  <c r="G166" i="27"/>
  <c r="F166" i="27" s="1"/>
  <c r="G165" i="27"/>
  <c r="F165" i="27" s="1"/>
  <c r="G164" i="27"/>
  <c r="F164" i="27"/>
  <c r="G163" i="27"/>
  <c r="F163" i="27" s="1"/>
  <c r="G162" i="27"/>
  <c r="F162" i="27"/>
  <c r="G161" i="27"/>
  <c r="F161" i="27" s="1"/>
  <c r="G160" i="27"/>
  <c r="F160" i="27"/>
  <c r="G159" i="27"/>
  <c r="F159" i="27" s="1"/>
  <c r="G158" i="27"/>
  <c r="F158" i="27" s="1"/>
  <c r="G157" i="27"/>
  <c r="F157" i="27" s="1"/>
  <c r="G156" i="27"/>
  <c r="F156" i="27"/>
  <c r="G155" i="27"/>
  <c r="F155" i="27" s="1"/>
  <c r="G154" i="27"/>
  <c r="F154" i="27"/>
  <c r="G153" i="27"/>
  <c r="F153" i="27" s="1"/>
  <c r="G152" i="27"/>
  <c r="F152" i="27"/>
  <c r="G151" i="27"/>
  <c r="F151" i="27" s="1"/>
  <c r="G150" i="27"/>
  <c r="F150" i="27" s="1"/>
  <c r="G149" i="27"/>
  <c r="F149" i="27" s="1"/>
  <c r="G148" i="27"/>
  <c r="F148" i="27"/>
  <c r="G147" i="27"/>
  <c r="F147" i="27" s="1"/>
  <c r="G146" i="27"/>
  <c r="F146" i="27"/>
  <c r="G145" i="27"/>
  <c r="F145" i="27" s="1"/>
  <c r="G144" i="27"/>
  <c r="F144" i="27"/>
  <c r="G143" i="27"/>
  <c r="F143" i="27" s="1"/>
  <c r="G142" i="27"/>
  <c r="F142" i="27" s="1"/>
  <c r="G141" i="27"/>
  <c r="F141" i="27" s="1"/>
  <c r="G140" i="27"/>
  <c r="F140" i="27"/>
  <c r="G139" i="27"/>
  <c r="F139" i="27" s="1"/>
  <c r="G138" i="27"/>
  <c r="F138" i="27"/>
  <c r="G137" i="27"/>
  <c r="F137" i="27" s="1"/>
  <c r="G136" i="27"/>
  <c r="F136" i="27"/>
  <c r="G135" i="27"/>
  <c r="F135" i="27" s="1"/>
  <c r="G134" i="27"/>
  <c r="F134" i="27" s="1"/>
  <c r="G133" i="27"/>
  <c r="F133" i="27" s="1"/>
  <c r="G132" i="27"/>
  <c r="F132" i="27"/>
  <c r="G131" i="27"/>
  <c r="F131" i="27" s="1"/>
  <c r="G130" i="27"/>
  <c r="F130" i="27"/>
  <c r="G129" i="27"/>
  <c r="F129" i="27" s="1"/>
  <c r="G128" i="27"/>
  <c r="F128" i="27"/>
  <c r="G127" i="27"/>
  <c r="F127" i="27" s="1"/>
  <c r="G126" i="27"/>
  <c r="F126" i="27" s="1"/>
  <c r="G125" i="27"/>
  <c r="F125" i="27"/>
  <c r="G124" i="27"/>
  <c r="F124" i="27" s="1"/>
  <c r="G123" i="27"/>
  <c r="F123" i="27"/>
  <c r="G122" i="27"/>
  <c r="F122" i="27" s="1"/>
  <c r="G121" i="27"/>
  <c r="F121" i="27"/>
  <c r="G120" i="27"/>
  <c r="F120" i="27" s="1"/>
  <c r="G119" i="27"/>
  <c r="F119" i="27"/>
  <c r="G118" i="27"/>
  <c r="F118" i="27" s="1"/>
  <c r="G117" i="27"/>
  <c r="F117" i="27"/>
  <c r="G116" i="27"/>
  <c r="F116" i="27" s="1"/>
  <c r="G115" i="27"/>
  <c r="F115" i="27"/>
  <c r="G114" i="27"/>
  <c r="F114" i="27" s="1"/>
  <c r="G113" i="27"/>
  <c r="F113" i="27"/>
  <c r="G112" i="27"/>
  <c r="F112" i="27" s="1"/>
  <c r="G111" i="27"/>
  <c r="F111" i="27"/>
  <c r="G110" i="27"/>
  <c r="F110" i="27" s="1"/>
  <c r="G109" i="27"/>
  <c r="F109" i="27"/>
  <c r="G108" i="27"/>
  <c r="F108" i="27" s="1"/>
  <c r="G107" i="27"/>
  <c r="F107" i="27"/>
  <c r="G106" i="27"/>
  <c r="F106" i="27"/>
  <c r="G105" i="27"/>
  <c r="F105" i="27"/>
  <c r="G104" i="27"/>
  <c r="F104" i="27" s="1"/>
  <c r="G103" i="27"/>
  <c r="F103" i="27" s="1"/>
  <c r="G102" i="27"/>
  <c r="F102" i="27"/>
  <c r="G101" i="27"/>
  <c r="F101" i="27" s="1"/>
  <c r="G100" i="27"/>
  <c r="F100" i="27" s="1"/>
  <c r="G99" i="27"/>
  <c r="F99" i="27"/>
  <c r="G98" i="27"/>
  <c r="F98" i="27"/>
  <c r="G97" i="27"/>
  <c r="F97" i="27"/>
  <c r="G96" i="27"/>
  <c r="F96" i="27" s="1"/>
  <c r="G95" i="27"/>
  <c r="F95" i="27"/>
  <c r="G94" i="27"/>
  <c r="F94" i="27" s="1"/>
  <c r="G93" i="27"/>
  <c r="F93" i="27"/>
  <c r="G92" i="27"/>
  <c r="F92" i="27" s="1"/>
  <c r="G91" i="27"/>
  <c r="F91" i="27"/>
  <c r="G90" i="27"/>
  <c r="F90" i="27"/>
  <c r="G89" i="27"/>
  <c r="F89" i="27"/>
  <c r="G88" i="27"/>
  <c r="F88" i="27" s="1"/>
  <c r="G87" i="27"/>
  <c r="F87" i="27" s="1"/>
  <c r="G86" i="27"/>
  <c r="F86" i="27"/>
  <c r="G85" i="27"/>
  <c r="F85" i="27" s="1"/>
  <c r="G84" i="27"/>
  <c r="F84" i="27" s="1"/>
  <c r="G83" i="27"/>
  <c r="F83" i="27"/>
  <c r="G82" i="27"/>
  <c r="F82" i="27"/>
  <c r="G81" i="27"/>
  <c r="F81" i="27"/>
  <c r="G80" i="27"/>
  <c r="F80" i="27" s="1"/>
  <c r="G79" i="27"/>
  <c r="F79" i="27"/>
  <c r="G78" i="27"/>
  <c r="F78" i="27" s="1"/>
  <c r="G77" i="27"/>
  <c r="F77" i="27"/>
  <c r="G76" i="27"/>
  <c r="F76" i="27" s="1"/>
  <c r="G75" i="27"/>
  <c r="F75" i="27"/>
  <c r="G74" i="27"/>
  <c r="F74" i="27"/>
  <c r="G73" i="27"/>
  <c r="F73" i="27"/>
  <c r="G72" i="27"/>
  <c r="F72" i="27" s="1"/>
  <c r="G71" i="27"/>
  <c r="F71" i="27" s="1"/>
  <c r="G70" i="27"/>
  <c r="F70" i="27"/>
  <c r="G69" i="27"/>
  <c r="F69" i="27" s="1"/>
  <c r="G68" i="27"/>
  <c r="F68" i="27" s="1"/>
  <c r="G67" i="27"/>
  <c r="F67" i="27"/>
  <c r="G66" i="27"/>
  <c r="F66" i="27"/>
  <c r="G65" i="27"/>
  <c r="F65" i="27"/>
  <c r="G64" i="27"/>
  <c r="F64" i="27" s="1"/>
  <c r="G63" i="27"/>
  <c r="F63" i="27"/>
  <c r="G62" i="27"/>
  <c r="F62" i="27" s="1"/>
  <c r="G61" i="27"/>
  <c r="F61" i="27"/>
  <c r="G60" i="27"/>
  <c r="F60" i="27" s="1"/>
  <c r="G59" i="27"/>
  <c r="F59" i="27"/>
  <c r="G58" i="27"/>
  <c r="F58" i="27"/>
  <c r="G57" i="27"/>
  <c r="F57" i="27"/>
  <c r="G56" i="27"/>
  <c r="F56" i="27" s="1"/>
  <c r="G55" i="27"/>
  <c r="F55" i="27" s="1"/>
  <c r="G54" i="27"/>
  <c r="F54" i="27"/>
  <c r="G53" i="27"/>
  <c r="F53" i="27" s="1"/>
  <c r="G52" i="27"/>
  <c r="F52" i="27" s="1"/>
  <c r="G51" i="27"/>
  <c r="F51" i="27"/>
  <c r="G50" i="27"/>
  <c r="F50" i="27"/>
  <c r="G49" i="27"/>
  <c r="F49" i="27"/>
  <c r="G48" i="27"/>
  <c r="F48" i="27" s="1"/>
  <c r="G47" i="27"/>
  <c r="F47" i="27"/>
  <c r="G46" i="27"/>
  <c r="F46" i="27" s="1"/>
  <c r="G45" i="27"/>
  <c r="F45" i="27"/>
  <c r="G44" i="27"/>
  <c r="F44" i="27" s="1"/>
  <c r="G43" i="27"/>
  <c r="F43" i="27"/>
  <c r="G42" i="27"/>
  <c r="F42" i="27"/>
  <c r="G41" i="27"/>
  <c r="F41" i="27"/>
  <c r="G40" i="27"/>
  <c r="F40" i="27" s="1"/>
  <c r="G39" i="27"/>
  <c r="F39" i="27" s="1"/>
  <c r="G38" i="27"/>
  <c r="F38" i="27"/>
  <c r="G37" i="27"/>
  <c r="F37" i="27" s="1"/>
  <c r="G36" i="27"/>
  <c r="F36" i="27" s="1"/>
  <c r="G35" i="27"/>
  <c r="F35" i="27"/>
  <c r="G34" i="27"/>
  <c r="F34" i="27"/>
  <c r="G33" i="27"/>
  <c r="F33" i="27"/>
  <c r="G32" i="27"/>
  <c r="F32" i="27" s="1"/>
  <c r="G31" i="27"/>
  <c r="F31" i="27"/>
  <c r="G30" i="27"/>
  <c r="F30" i="27" s="1"/>
  <c r="G29" i="27"/>
  <c r="F29" i="27"/>
  <c r="G28" i="27"/>
  <c r="F28" i="27" s="1"/>
  <c r="G27" i="27"/>
  <c r="F27" i="27"/>
  <c r="G26" i="27"/>
  <c r="F26" i="27"/>
  <c r="G25" i="27"/>
  <c r="F25" i="27"/>
  <c r="G24" i="27"/>
  <c r="F24" i="27" s="1"/>
  <c r="G23" i="27"/>
  <c r="F23" i="27" s="1"/>
  <c r="G22" i="27"/>
  <c r="F22" i="27"/>
  <c r="G21" i="27"/>
  <c r="F21" i="27" s="1"/>
  <c r="G20" i="27"/>
  <c r="F20" i="27" s="1"/>
  <c r="G19" i="27"/>
  <c r="F19" i="27"/>
  <c r="G18" i="27"/>
  <c r="F18" i="27"/>
  <c r="G17" i="27"/>
  <c r="F17" i="27"/>
  <c r="G16" i="27"/>
  <c r="F16" i="27" s="1"/>
  <c r="G15" i="27"/>
  <c r="F15" i="27"/>
  <c r="G14" i="27"/>
  <c r="F14" i="27" s="1"/>
  <c r="G13" i="27"/>
  <c r="F13" i="27"/>
  <c r="G12" i="27"/>
  <c r="F12" i="27" s="1"/>
  <c r="G11" i="27"/>
  <c r="F11" i="27"/>
  <c r="G10" i="27"/>
  <c r="F10" i="27"/>
  <c r="G9" i="27"/>
  <c r="F9" i="27"/>
  <c r="G8" i="27"/>
  <c r="F8" i="27" s="1"/>
  <c r="G7" i="27"/>
  <c r="F7" i="27" s="1"/>
  <c r="G6" i="27"/>
  <c r="F6" i="27"/>
  <c r="G5" i="27"/>
  <c r="F5" i="27" s="1"/>
  <c r="G4" i="27"/>
  <c r="F4" i="27" s="1"/>
  <c r="G3" i="27"/>
  <c r="F3" i="27"/>
  <c r="G2" i="27"/>
  <c r="F2" i="27"/>
  <c r="O52" i="25"/>
  <c r="N52" i="25"/>
  <c r="M52" i="25"/>
  <c r="L52" i="25"/>
  <c r="K52" i="25"/>
  <c r="J52" i="25"/>
  <c r="I52" i="25"/>
  <c r="H52" i="25"/>
  <c r="G52" i="25"/>
  <c r="F52" i="25"/>
  <c r="E52" i="25"/>
  <c r="D52" i="25"/>
  <c r="C52" i="25"/>
  <c r="B52" i="25"/>
  <c r="A52" i="25"/>
  <c r="O51" i="25"/>
  <c r="N51" i="25"/>
  <c r="M51" i="25"/>
  <c r="L51" i="25"/>
  <c r="K51" i="25"/>
  <c r="J51" i="25"/>
  <c r="I51" i="25"/>
  <c r="H51" i="25"/>
  <c r="G51" i="25"/>
  <c r="F51" i="25"/>
  <c r="E51" i="25"/>
  <c r="D51" i="25"/>
  <c r="C51" i="25"/>
  <c r="B51" i="25"/>
  <c r="A51" i="25"/>
  <c r="O50" i="25"/>
  <c r="N50" i="25"/>
  <c r="M50" i="25"/>
  <c r="L50" i="25"/>
  <c r="K50" i="25"/>
  <c r="J50" i="25"/>
  <c r="I50" i="25"/>
  <c r="H50" i="25"/>
  <c r="G50" i="25"/>
  <c r="F50" i="25"/>
  <c r="E50" i="25"/>
  <c r="D50" i="25"/>
  <c r="C50" i="25"/>
  <c r="B50" i="25"/>
  <c r="A50" i="25"/>
  <c r="O49" i="25"/>
  <c r="N49" i="25"/>
  <c r="M49" i="25"/>
  <c r="L49" i="25"/>
  <c r="K49" i="25"/>
  <c r="J49" i="25"/>
  <c r="I49" i="25"/>
  <c r="H49" i="25"/>
  <c r="G49" i="25"/>
  <c r="F49" i="25"/>
  <c r="E49" i="25"/>
  <c r="D49" i="25"/>
  <c r="C49" i="25"/>
  <c r="B49" i="25"/>
  <c r="A49" i="25"/>
  <c r="O48" i="25"/>
  <c r="N48" i="25"/>
  <c r="M48" i="25"/>
  <c r="L48" i="25"/>
  <c r="K48" i="25"/>
  <c r="J48" i="25"/>
  <c r="I48" i="25"/>
  <c r="H48" i="25"/>
  <c r="G48" i="25"/>
  <c r="F48" i="25"/>
  <c r="E48" i="25"/>
  <c r="D48" i="25"/>
  <c r="C48" i="25"/>
  <c r="B48" i="25"/>
  <c r="A48" i="25"/>
  <c r="O47" i="25"/>
  <c r="N47" i="25"/>
  <c r="M47" i="25"/>
  <c r="L47" i="25"/>
  <c r="K47" i="25"/>
  <c r="J47" i="25"/>
  <c r="I47" i="25"/>
  <c r="H47" i="25"/>
  <c r="G47" i="25"/>
  <c r="F47" i="25"/>
  <c r="E47" i="25"/>
  <c r="D47" i="25"/>
  <c r="C47" i="25"/>
  <c r="B47" i="25"/>
  <c r="A47" i="25"/>
  <c r="O46" i="25"/>
  <c r="N46" i="25"/>
  <c r="M46" i="25"/>
  <c r="L46" i="25"/>
  <c r="K46" i="25"/>
  <c r="J46" i="25"/>
  <c r="I46" i="25"/>
  <c r="H46" i="25"/>
  <c r="G46" i="25"/>
  <c r="F46" i="25"/>
  <c r="E46" i="25"/>
  <c r="D46" i="25"/>
  <c r="C46" i="25"/>
  <c r="B46" i="25"/>
  <c r="A46" i="25"/>
  <c r="O45" i="25"/>
  <c r="N45" i="25"/>
  <c r="M45" i="25"/>
  <c r="L45" i="25"/>
  <c r="K45" i="25"/>
  <c r="J45" i="25"/>
  <c r="I45" i="25"/>
  <c r="H45" i="25"/>
  <c r="G45" i="25"/>
  <c r="F45" i="25"/>
  <c r="E45" i="25"/>
  <c r="D45" i="25"/>
  <c r="C45" i="25"/>
  <c r="B45" i="25"/>
  <c r="A45" i="25"/>
  <c r="O44" i="25"/>
  <c r="N44" i="25"/>
  <c r="M44" i="25"/>
  <c r="L44" i="25"/>
  <c r="K44" i="25"/>
  <c r="J44" i="25"/>
  <c r="I44" i="25"/>
  <c r="H44" i="25"/>
  <c r="G44" i="25"/>
  <c r="F44" i="25"/>
  <c r="E44" i="25"/>
  <c r="D44" i="25"/>
  <c r="C44" i="25"/>
  <c r="B44" i="25"/>
  <c r="A44" i="25"/>
  <c r="O43" i="25"/>
  <c r="N43" i="25"/>
  <c r="M43" i="25"/>
  <c r="L43" i="25"/>
  <c r="K43" i="25"/>
  <c r="J43" i="25"/>
  <c r="I43" i="25"/>
  <c r="H43" i="25"/>
  <c r="G43" i="25"/>
  <c r="F43" i="25"/>
  <c r="E43" i="25"/>
  <c r="D43" i="25"/>
  <c r="C43" i="25"/>
  <c r="B43" i="25"/>
  <c r="A43" i="25"/>
  <c r="O42" i="25"/>
  <c r="N42" i="25"/>
  <c r="M42" i="25"/>
  <c r="L42" i="25"/>
  <c r="K42" i="25"/>
  <c r="J42" i="25"/>
  <c r="I42" i="25"/>
  <c r="H42" i="25"/>
  <c r="G42" i="25"/>
  <c r="F42" i="25"/>
  <c r="E42" i="25"/>
  <c r="D42" i="25"/>
  <c r="C42" i="25"/>
  <c r="B42" i="25"/>
  <c r="A42" i="25"/>
  <c r="O41" i="25"/>
  <c r="N41" i="25"/>
  <c r="M41" i="25"/>
  <c r="L41" i="25"/>
  <c r="K41" i="25"/>
  <c r="J41" i="25"/>
  <c r="I41" i="25"/>
  <c r="H41" i="25"/>
  <c r="G41" i="25"/>
  <c r="F41" i="25"/>
  <c r="E41" i="25"/>
  <c r="D41" i="25"/>
  <c r="C41" i="25"/>
  <c r="B41" i="25"/>
  <c r="A41" i="25"/>
  <c r="O40" i="25"/>
  <c r="N40" i="25"/>
  <c r="M40" i="25"/>
  <c r="L40" i="25"/>
  <c r="K40" i="25"/>
  <c r="J40" i="25"/>
  <c r="I40" i="25"/>
  <c r="H40" i="25"/>
  <c r="G40" i="25"/>
  <c r="F40" i="25"/>
  <c r="E40" i="25"/>
  <c r="D40" i="25"/>
  <c r="C40" i="25"/>
  <c r="B40" i="25"/>
  <c r="A40" i="25"/>
  <c r="O39" i="25"/>
  <c r="N39" i="25"/>
  <c r="M39" i="25"/>
  <c r="L39" i="25"/>
  <c r="K39" i="25"/>
  <c r="J39" i="25"/>
  <c r="I39" i="25"/>
  <c r="H39" i="25"/>
  <c r="G39" i="25"/>
  <c r="F39" i="25"/>
  <c r="E39" i="25"/>
  <c r="D39" i="25"/>
  <c r="C39" i="25"/>
  <c r="B39" i="25"/>
  <c r="A39" i="25"/>
  <c r="O38" i="25"/>
  <c r="N38" i="25"/>
  <c r="M38" i="25"/>
  <c r="L38" i="25"/>
  <c r="K38" i="25"/>
  <c r="J38" i="25"/>
  <c r="I38" i="25"/>
  <c r="H38" i="25"/>
  <c r="G38" i="25"/>
  <c r="F38" i="25"/>
  <c r="E38" i="25"/>
  <c r="D38" i="25"/>
  <c r="C38" i="25"/>
  <c r="B38" i="25"/>
  <c r="A38" i="25"/>
  <c r="O37" i="25"/>
  <c r="N37" i="25"/>
  <c r="M37" i="25"/>
  <c r="L37" i="25"/>
  <c r="K37" i="25"/>
  <c r="J37" i="25"/>
  <c r="I37" i="25"/>
  <c r="H37" i="25"/>
  <c r="G37" i="25"/>
  <c r="F37" i="25"/>
  <c r="E37" i="25"/>
  <c r="D37" i="25"/>
  <c r="C37" i="25"/>
  <c r="B37" i="25"/>
  <c r="A37" i="25"/>
  <c r="O36" i="25"/>
  <c r="N36" i="25"/>
  <c r="M36" i="25"/>
  <c r="L36" i="25"/>
  <c r="K36" i="25"/>
  <c r="J36" i="25"/>
  <c r="I36" i="25"/>
  <c r="H36" i="25"/>
  <c r="G36" i="25"/>
  <c r="F36" i="25"/>
  <c r="E36" i="25"/>
  <c r="D36" i="25"/>
  <c r="C36" i="25"/>
  <c r="B36" i="25"/>
  <c r="A36" i="25"/>
  <c r="O35" i="25"/>
  <c r="N35" i="25"/>
  <c r="M35" i="25"/>
  <c r="L35" i="25"/>
  <c r="K35" i="25"/>
  <c r="J35" i="25"/>
  <c r="I35" i="25"/>
  <c r="H35" i="25"/>
  <c r="G35" i="25"/>
  <c r="F35" i="25"/>
  <c r="E35" i="25"/>
  <c r="D35" i="25"/>
  <c r="C35" i="25"/>
  <c r="B35" i="25"/>
  <c r="A35" i="25"/>
  <c r="O34" i="25"/>
  <c r="N34" i="25"/>
  <c r="M34" i="25"/>
  <c r="L34" i="25"/>
  <c r="K34" i="25"/>
  <c r="J34" i="25"/>
  <c r="I34" i="25"/>
  <c r="H34" i="25"/>
  <c r="G34" i="25"/>
  <c r="F34" i="25"/>
  <c r="E34" i="25"/>
  <c r="D34" i="25"/>
  <c r="C34" i="25"/>
  <c r="B34" i="25"/>
  <c r="A34" i="25"/>
  <c r="O33" i="25"/>
  <c r="N33" i="25"/>
  <c r="M33" i="25"/>
  <c r="L33" i="25"/>
  <c r="K33" i="25"/>
  <c r="J33" i="25"/>
  <c r="I33" i="25"/>
  <c r="H33" i="25"/>
  <c r="G33" i="25"/>
  <c r="F33" i="25"/>
  <c r="E33" i="25"/>
  <c r="D33" i="25"/>
  <c r="C33" i="25"/>
  <c r="B33" i="25"/>
  <c r="A33" i="25"/>
  <c r="O32" i="25"/>
  <c r="N32" i="25"/>
  <c r="M32" i="25"/>
  <c r="L32" i="25"/>
  <c r="K32" i="25"/>
  <c r="J32" i="25"/>
  <c r="I32" i="25"/>
  <c r="H32" i="25"/>
  <c r="G32" i="25"/>
  <c r="F32" i="25"/>
  <c r="E32" i="25"/>
  <c r="D32" i="25"/>
  <c r="C32" i="25"/>
  <c r="B32" i="25"/>
  <c r="A32" i="25"/>
  <c r="O31" i="25"/>
  <c r="N31" i="25"/>
  <c r="M31" i="25"/>
  <c r="L31" i="25"/>
  <c r="K31" i="25"/>
  <c r="J31" i="25"/>
  <c r="I31" i="25"/>
  <c r="H31" i="25"/>
  <c r="G31" i="25"/>
  <c r="F31" i="25"/>
  <c r="E31" i="25"/>
  <c r="D31" i="25"/>
  <c r="C31" i="25"/>
  <c r="B31" i="25"/>
  <c r="A31" i="25"/>
  <c r="O30" i="25"/>
  <c r="N30" i="25"/>
  <c r="M30" i="25"/>
  <c r="L30" i="25"/>
  <c r="K30" i="25"/>
  <c r="J30" i="25"/>
  <c r="I30" i="25"/>
  <c r="H30" i="25"/>
  <c r="G30" i="25"/>
  <c r="F30" i="25"/>
  <c r="E30" i="25"/>
  <c r="D30" i="25"/>
  <c r="C30" i="25"/>
  <c r="B30" i="25"/>
  <c r="A30" i="25"/>
  <c r="O29" i="25"/>
  <c r="N29" i="25"/>
  <c r="M29" i="25"/>
  <c r="L29" i="25"/>
  <c r="K29" i="25"/>
  <c r="J29" i="25"/>
  <c r="I29" i="25"/>
  <c r="H29" i="25"/>
  <c r="G29" i="25"/>
  <c r="F29" i="25"/>
  <c r="E29" i="25"/>
  <c r="D29" i="25"/>
  <c r="C29" i="25"/>
  <c r="B29" i="25"/>
  <c r="A29" i="25"/>
  <c r="O28" i="25"/>
  <c r="N28" i="25"/>
  <c r="M28" i="25"/>
  <c r="L28" i="25"/>
  <c r="K28" i="25"/>
  <c r="J28" i="25"/>
  <c r="I28" i="25"/>
  <c r="H28" i="25"/>
  <c r="G28" i="25"/>
  <c r="F28" i="25"/>
  <c r="E28" i="25"/>
  <c r="D28" i="25"/>
  <c r="C28" i="25"/>
  <c r="B28" i="25"/>
  <c r="A28" i="25"/>
  <c r="O27" i="25"/>
  <c r="N27" i="25"/>
  <c r="M27" i="25"/>
  <c r="L27" i="25"/>
  <c r="K27" i="25"/>
  <c r="J27" i="25"/>
  <c r="I27" i="25"/>
  <c r="H27" i="25"/>
  <c r="G27" i="25"/>
  <c r="F27" i="25"/>
  <c r="E27" i="25"/>
  <c r="D27" i="25"/>
  <c r="C27" i="25"/>
  <c r="B27" i="25"/>
  <c r="A27" i="25"/>
  <c r="O26" i="25"/>
  <c r="N26" i="25"/>
  <c r="M26" i="25"/>
  <c r="L26" i="25"/>
  <c r="K26" i="25"/>
  <c r="J26" i="25"/>
  <c r="I26" i="25"/>
  <c r="H26" i="25"/>
  <c r="G26" i="25"/>
  <c r="F26" i="25"/>
  <c r="E26" i="25"/>
  <c r="D26" i="25"/>
  <c r="C26" i="25"/>
  <c r="B26" i="25"/>
  <c r="A26" i="25"/>
  <c r="O25" i="25"/>
  <c r="N25" i="25"/>
  <c r="M25" i="25"/>
  <c r="L25" i="25"/>
  <c r="K25" i="25"/>
  <c r="J25" i="25"/>
  <c r="I25" i="25"/>
  <c r="H25" i="25"/>
  <c r="G25" i="25"/>
  <c r="F25" i="25"/>
  <c r="E25" i="25"/>
  <c r="D25" i="25"/>
  <c r="C25" i="25"/>
  <c r="B25" i="25"/>
  <c r="A25" i="25"/>
  <c r="O24" i="25"/>
  <c r="N24" i="25"/>
  <c r="M24" i="25"/>
  <c r="L24" i="25"/>
  <c r="K24" i="25"/>
  <c r="J24" i="25"/>
  <c r="I24" i="25"/>
  <c r="H24" i="25"/>
  <c r="G24" i="25"/>
  <c r="F24" i="25"/>
  <c r="E24" i="25"/>
  <c r="D24" i="25"/>
  <c r="C24" i="25"/>
  <c r="B24" i="25"/>
  <c r="A24" i="25"/>
  <c r="O23" i="25"/>
  <c r="N23" i="25"/>
  <c r="M23" i="25"/>
  <c r="L23" i="25"/>
  <c r="K23" i="25"/>
  <c r="J23" i="25"/>
  <c r="I23" i="25"/>
  <c r="H23" i="25"/>
  <c r="G23" i="25"/>
  <c r="F23" i="25"/>
  <c r="E23" i="25"/>
  <c r="D23" i="25"/>
  <c r="C23" i="25"/>
  <c r="B23" i="25"/>
  <c r="A23" i="25"/>
  <c r="O22" i="25"/>
  <c r="N22" i="25"/>
  <c r="M22" i="25"/>
  <c r="L22" i="25"/>
  <c r="K22" i="25"/>
  <c r="J22" i="25"/>
  <c r="I22" i="25"/>
  <c r="H22" i="25"/>
  <c r="G22" i="25"/>
  <c r="F22" i="25"/>
  <c r="E22" i="25"/>
  <c r="D22" i="25"/>
  <c r="C22" i="25"/>
  <c r="B22" i="25"/>
  <c r="A22" i="25"/>
  <c r="O21" i="25"/>
  <c r="N21" i="25"/>
  <c r="M21" i="25"/>
  <c r="L21" i="25"/>
  <c r="K21" i="25"/>
  <c r="J21" i="25"/>
  <c r="I21" i="25"/>
  <c r="H21" i="25"/>
  <c r="G21" i="25"/>
  <c r="F21" i="25"/>
  <c r="E21" i="25"/>
  <c r="D21" i="25"/>
  <c r="C21" i="25"/>
  <c r="B21" i="25"/>
  <c r="A21" i="25"/>
  <c r="O20" i="25"/>
  <c r="N20" i="25"/>
  <c r="M20" i="25"/>
  <c r="L20" i="25"/>
  <c r="K20" i="25"/>
  <c r="J20" i="25"/>
  <c r="I20" i="25"/>
  <c r="H20" i="25"/>
  <c r="G20" i="25"/>
  <c r="F20" i="25"/>
  <c r="E20" i="25"/>
  <c r="D20" i="25"/>
  <c r="C20" i="25"/>
  <c r="B20" i="25"/>
  <c r="A20" i="25"/>
  <c r="O19" i="25"/>
  <c r="N19" i="25"/>
  <c r="M19" i="25"/>
  <c r="L19" i="25"/>
  <c r="K19" i="25"/>
  <c r="J19" i="25"/>
  <c r="I19" i="25"/>
  <c r="H19" i="25"/>
  <c r="G19" i="25"/>
  <c r="F19" i="25"/>
  <c r="E19" i="25"/>
  <c r="D19" i="25"/>
  <c r="C19" i="25"/>
  <c r="B19" i="25"/>
  <c r="A19" i="25"/>
  <c r="O18" i="25"/>
  <c r="N18" i="25"/>
  <c r="M18" i="25"/>
  <c r="L18" i="25"/>
  <c r="K18" i="25"/>
  <c r="J18" i="25"/>
  <c r="I18" i="25"/>
  <c r="H18" i="25"/>
  <c r="G18" i="25"/>
  <c r="F18" i="25"/>
  <c r="E18" i="25"/>
  <c r="D18" i="25"/>
  <c r="C18" i="25"/>
  <c r="B18" i="25"/>
  <c r="A18" i="25"/>
  <c r="O17" i="25"/>
  <c r="N17" i="25"/>
  <c r="M17" i="25"/>
  <c r="L17" i="25"/>
  <c r="K17" i="25"/>
  <c r="J17" i="25"/>
  <c r="I17" i="25"/>
  <c r="H17" i="25"/>
  <c r="G17" i="25"/>
  <c r="F17" i="25"/>
  <c r="E17" i="25"/>
  <c r="D17" i="25"/>
  <c r="C17" i="25"/>
  <c r="B17" i="25"/>
  <c r="A17" i="25"/>
  <c r="O16" i="25"/>
  <c r="N16" i="25"/>
  <c r="M16" i="25"/>
  <c r="L16" i="25"/>
  <c r="K16" i="25"/>
  <c r="J16" i="25"/>
  <c r="I16" i="25"/>
  <c r="H16" i="25"/>
  <c r="G16" i="25"/>
  <c r="F16" i="25"/>
  <c r="E16" i="25"/>
  <c r="D16" i="25"/>
  <c r="C16" i="25"/>
  <c r="B16" i="25"/>
  <c r="A16" i="25"/>
  <c r="O15" i="25"/>
  <c r="N15" i="25"/>
  <c r="M15" i="25"/>
  <c r="L15" i="25"/>
  <c r="K15" i="25"/>
  <c r="J15" i="25"/>
  <c r="I15" i="25"/>
  <c r="H15" i="25"/>
  <c r="G15" i="25"/>
  <c r="F15" i="25"/>
  <c r="E15" i="25"/>
  <c r="D15" i="25"/>
  <c r="C15" i="25"/>
  <c r="B15" i="25"/>
  <c r="A15" i="25"/>
  <c r="O14" i="25"/>
  <c r="N14" i="25"/>
  <c r="M14" i="25"/>
  <c r="L14" i="25"/>
  <c r="K14" i="25"/>
  <c r="J14" i="25"/>
  <c r="I14" i="25"/>
  <c r="H14" i="25"/>
  <c r="G14" i="25"/>
  <c r="F14" i="25"/>
  <c r="E14" i="25"/>
  <c r="D14" i="25"/>
  <c r="C14" i="25"/>
  <c r="B14" i="25"/>
  <c r="A14" i="25"/>
  <c r="O13" i="25"/>
  <c r="N13" i="25"/>
  <c r="M13" i="25"/>
  <c r="L13" i="25"/>
  <c r="K13" i="25"/>
  <c r="J13" i="25"/>
  <c r="I13" i="25"/>
  <c r="H13" i="25"/>
  <c r="G13" i="25"/>
  <c r="F13" i="25"/>
  <c r="E13" i="25"/>
  <c r="D13" i="25"/>
  <c r="C13" i="25"/>
  <c r="B13" i="25"/>
  <c r="A13" i="25"/>
  <c r="O12" i="25"/>
  <c r="N12" i="25"/>
  <c r="M12" i="25"/>
  <c r="L12" i="25"/>
  <c r="K12" i="25"/>
  <c r="J12" i="25"/>
  <c r="I12" i="25"/>
  <c r="H12" i="25"/>
  <c r="G12" i="25"/>
  <c r="F12" i="25"/>
  <c r="E12" i="25"/>
  <c r="D12" i="25"/>
  <c r="C12" i="25"/>
  <c r="B12" i="25"/>
  <c r="A12" i="25"/>
  <c r="O11" i="25"/>
  <c r="N11" i="25"/>
  <c r="M11" i="25"/>
  <c r="L11" i="25"/>
  <c r="K11" i="25"/>
  <c r="J11" i="25"/>
  <c r="I11" i="25"/>
  <c r="H11" i="25"/>
  <c r="G11" i="25"/>
  <c r="F11" i="25"/>
  <c r="E11" i="25"/>
  <c r="D11" i="25"/>
  <c r="C11" i="25"/>
  <c r="B11" i="25"/>
  <c r="A11" i="25"/>
  <c r="O10" i="25"/>
  <c r="N10" i="25"/>
  <c r="M10" i="25"/>
  <c r="L10" i="25"/>
  <c r="K10" i="25"/>
  <c r="J10" i="25"/>
  <c r="I10" i="25"/>
  <c r="H10" i="25"/>
  <c r="G10" i="25"/>
  <c r="F10" i="25"/>
  <c r="E10" i="25"/>
  <c r="D10" i="25"/>
  <c r="C10" i="25"/>
  <c r="B10" i="25"/>
  <c r="A10" i="25"/>
  <c r="O9" i="25"/>
  <c r="N9" i="25"/>
  <c r="M9" i="25"/>
  <c r="L9" i="25"/>
  <c r="K9" i="25"/>
  <c r="J9" i="25"/>
  <c r="I9" i="25"/>
  <c r="H9" i="25"/>
  <c r="G9" i="25"/>
  <c r="F9" i="25"/>
  <c r="E9" i="25"/>
  <c r="D9" i="25"/>
  <c r="C9" i="25"/>
  <c r="B9" i="25"/>
  <c r="A9" i="25"/>
  <c r="O8" i="25"/>
  <c r="N8" i="25"/>
  <c r="M8" i="25"/>
  <c r="L8" i="25"/>
  <c r="K8" i="25"/>
  <c r="J8" i="25"/>
  <c r="I8" i="25"/>
  <c r="H8" i="25"/>
  <c r="G8" i="25"/>
  <c r="F8" i="25"/>
  <c r="E8" i="25"/>
  <c r="D8" i="25"/>
  <c r="C8" i="25"/>
  <c r="B8" i="25"/>
  <c r="A8" i="25"/>
  <c r="O7" i="25"/>
  <c r="N7" i="25"/>
  <c r="M7" i="25"/>
  <c r="L7" i="25"/>
  <c r="K7" i="25"/>
  <c r="J7" i="25"/>
  <c r="I7" i="25"/>
  <c r="H7" i="25"/>
  <c r="G7" i="25"/>
  <c r="F7" i="25"/>
  <c r="E7" i="25"/>
  <c r="D7" i="25"/>
  <c r="C7" i="25"/>
  <c r="B7" i="25"/>
  <c r="A7" i="25"/>
  <c r="O6" i="25"/>
  <c r="N6" i="25"/>
  <c r="M6" i="25"/>
  <c r="L6" i="25"/>
  <c r="K6" i="25"/>
  <c r="J6" i="25"/>
  <c r="I6" i="25"/>
  <c r="H6" i="25"/>
  <c r="G6" i="25"/>
  <c r="F6" i="25"/>
  <c r="E6" i="25"/>
  <c r="D6" i="25"/>
  <c r="C6" i="25"/>
  <c r="B6" i="25"/>
  <c r="A6" i="25"/>
  <c r="O5" i="25"/>
  <c r="N5" i="25"/>
  <c r="M5" i="25"/>
  <c r="L5" i="25"/>
  <c r="K5" i="25"/>
  <c r="J5" i="25"/>
  <c r="I5" i="25"/>
  <c r="H5" i="25"/>
  <c r="G5" i="25"/>
  <c r="F5" i="25"/>
  <c r="E5" i="25"/>
  <c r="D5" i="25"/>
  <c r="C5" i="25"/>
  <c r="B5" i="25"/>
  <c r="A5" i="25"/>
  <c r="O4" i="25"/>
  <c r="N4" i="25"/>
  <c r="M4" i="25"/>
  <c r="L4" i="25"/>
  <c r="K4" i="25"/>
  <c r="J4" i="25"/>
  <c r="I4" i="25"/>
  <c r="H4" i="25"/>
  <c r="G4" i="25"/>
  <c r="F4" i="25"/>
  <c r="E4" i="25"/>
  <c r="D4" i="25"/>
  <c r="C4" i="25"/>
  <c r="B4" i="25"/>
  <c r="A4" i="25"/>
  <c r="O3" i="25"/>
  <c r="N3" i="25"/>
  <c r="M3" i="25"/>
  <c r="L3" i="25"/>
  <c r="K3" i="25"/>
  <c r="J3" i="25"/>
  <c r="I3" i="25"/>
  <c r="H3" i="25"/>
  <c r="G3" i="25"/>
  <c r="F3" i="25"/>
  <c r="E3" i="25"/>
  <c r="D3" i="25"/>
  <c r="C3" i="25"/>
  <c r="B3" i="25"/>
  <c r="A3" i="25"/>
  <c r="O2" i="25"/>
  <c r="N2" i="25"/>
  <c r="M2" i="25"/>
  <c r="L2" i="25"/>
  <c r="K2" i="25"/>
  <c r="J2" i="25"/>
  <c r="I2" i="25"/>
  <c r="H2" i="25"/>
  <c r="G2" i="25"/>
  <c r="F2" i="25"/>
  <c r="E2" i="25"/>
  <c r="D2" i="25"/>
  <c r="C2" i="25"/>
  <c r="B2" i="25"/>
  <c r="A2" i="25"/>
  <c r="O1" i="25"/>
  <c r="N1" i="25"/>
  <c r="M1" i="25"/>
  <c r="L1" i="25"/>
  <c r="K1" i="25"/>
  <c r="J1" i="25"/>
  <c r="I1" i="25"/>
  <c r="H1" i="25"/>
  <c r="G1" i="25"/>
  <c r="F1" i="25"/>
  <c r="E1" i="25"/>
  <c r="D1" i="25"/>
  <c r="C1" i="25"/>
  <c r="B1" i="25"/>
  <c r="A1" i="25"/>
  <c r="J295" i="24"/>
  <c r="I295" i="24"/>
  <c r="H295" i="24"/>
  <c r="G295" i="24"/>
  <c r="F295" i="24"/>
  <c r="E295" i="24"/>
  <c r="D295" i="24"/>
  <c r="C295" i="24"/>
  <c r="B295" i="24"/>
  <c r="A295" i="24"/>
  <c r="J294" i="24"/>
  <c r="I294" i="24"/>
  <c r="H294" i="24"/>
  <c r="G294" i="24"/>
  <c r="F294" i="24"/>
  <c r="E294" i="24"/>
  <c r="D294" i="24"/>
  <c r="C294" i="24"/>
  <c r="B294" i="24"/>
  <c r="A294" i="24"/>
  <c r="J293" i="24"/>
  <c r="I293" i="24"/>
  <c r="H293" i="24"/>
  <c r="G293" i="24"/>
  <c r="F293" i="24"/>
  <c r="E293" i="24"/>
  <c r="D293" i="24"/>
  <c r="C293" i="24"/>
  <c r="B293" i="24"/>
  <c r="A293" i="24"/>
  <c r="J292" i="24"/>
  <c r="I292" i="24"/>
  <c r="H292" i="24"/>
  <c r="G292" i="24"/>
  <c r="F292" i="24"/>
  <c r="E292" i="24"/>
  <c r="D292" i="24"/>
  <c r="C292" i="24"/>
  <c r="B292" i="24"/>
  <c r="A292" i="24"/>
  <c r="J291" i="24"/>
  <c r="I291" i="24"/>
  <c r="H291" i="24"/>
  <c r="G291" i="24"/>
  <c r="F291" i="24"/>
  <c r="E291" i="24"/>
  <c r="D291" i="24"/>
  <c r="C291" i="24"/>
  <c r="B291" i="24"/>
  <c r="A291" i="24"/>
  <c r="J290" i="24"/>
  <c r="I290" i="24"/>
  <c r="H290" i="24"/>
  <c r="G290" i="24"/>
  <c r="F290" i="24"/>
  <c r="E290" i="24"/>
  <c r="D290" i="24"/>
  <c r="C290" i="24"/>
  <c r="B290" i="24"/>
  <c r="A290" i="24"/>
  <c r="J289" i="24"/>
  <c r="I289" i="24"/>
  <c r="H289" i="24"/>
  <c r="G289" i="24"/>
  <c r="F289" i="24"/>
  <c r="E289" i="24"/>
  <c r="D289" i="24"/>
  <c r="C289" i="24"/>
  <c r="B289" i="24"/>
  <c r="A289" i="24"/>
  <c r="J288" i="24"/>
  <c r="I288" i="24"/>
  <c r="H288" i="24"/>
  <c r="G288" i="24"/>
  <c r="F288" i="24"/>
  <c r="E288" i="24"/>
  <c r="D288" i="24"/>
  <c r="C288" i="24"/>
  <c r="B288" i="24"/>
  <c r="A288" i="24"/>
  <c r="J287" i="24"/>
  <c r="I287" i="24"/>
  <c r="H287" i="24"/>
  <c r="G287" i="24"/>
  <c r="F287" i="24"/>
  <c r="E287" i="24"/>
  <c r="D287" i="24"/>
  <c r="C287" i="24"/>
  <c r="B287" i="24"/>
  <c r="A287" i="24"/>
  <c r="J286" i="24"/>
  <c r="I286" i="24"/>
  <c r="H286" i="24"/>
  <c r="G286" i="24"/>
  <c r="F286" i="24"/>
  <c r="E286" i="24"/>
  <c r="D286" i="24"/>
  <c r="C286" i="24"/>
  <c r="B286" i="24"/>
  <c r="A286" i="24"/>
  <c r="J285" i="24"/>
  <c r="I285" i="24"/>
  <c r="H285" i="24"/>
  <c r="G285" i="24"/>
  <c r="F285" i="24"/>
  <c r="E285" i="24"/>
  <c r="D285" i="24"/>
  <c r="C285" i="24"/>
  <c r="B285" i="24"/>
  <c r="A285" i="24"/>
  <c r="J284" i="24"/>
  <c r="I284" i="24"/>
  <c r="H284" i="24"/>
  <c r="G284" i="24"/>
  <c r="F284" i="24"/>
  <c r="E284" i="24"/>
  <c r="D284" i="24"/>
  <c r="C284" i="24"/>
  <c r="B284" i="24"/>
  <c r="A284" i="24"/>
  <c r="J283" i="24"/>
  <c r="I283" i="24"/>
  <c r="H283" i="24"/>
  <c r="G283" i="24"/>
  <c r="F283" i="24"/>
  <c r="E283" i="24"/>
  <c r="D283" i="24"/>
  <c r="C283" i="24"/>
  <c r="B283" i="24"/>
  <c r="A283" i="24"/>
  <c r="J282" i="24"/>
  <c r="I282" i="24"/>
  <c r="H282" i="24"/>
  <c r="G282" i="24"/>
  <c r="F282" i="24"/>
  <c r="E282" i="24"/>
  <c r="D282" i="24"/>
  <c r="C282" i="24"/>
  <c r="B282" i="24"/>
  <c r="A282" i="24"/>
  <c r="J281" i="24"/>
  <c r="I281" i="24"/>
  <c r="H281" i="24"/>
  <c r="G281" i="24"/>
  <c r="F281" i="24"/>
  <c r="E281" i="24"/>
  <c r="D281" i="24"/>
  <c r="C281" i="24"/>
  <c r="B281" i="24"/>
  <c r="A281" i="24"/>
  <c r="J280" i="24"/>
  <c r="I280" i="24"/>
  <c r="H280" i="24"/>
  <c r="G280" i="24"/>
  <c r="F280" i="24"/>
  <c r="E280" i="24"/>
  <c r="D280" i="24"/>
  <c r="C280" i="24"/>
  <c r="B280" i="24"/>
  <c r="A280" i="24"/>
  <c r="J279" i="24"/>
  <c r="I279" i="24"/>
  <c r="H279" i="24"/>
  <c r="G279" i="24"/>
  <c r="F279" i="24"/>
  <c r="E279" i="24"/>
  <c r="D279" i="24"/>
  <c r="C279" i="24"/>
  <c r="B279" i="24"/>
  <c r="A279" i="24"/>
  <c r="J278" i="24"/>
  <c r="I278" i="24"/>
  <c r="H278" i="24"/>
  <c r="G278" i="24"/>
  <c r="F278" i="24"/>
  <c r="E278" i="24"/>
  <c r="D278" i="24"/>
  <c r="C278" i="24"/>
  <c r="B278" i="24"/>
  <c r="A278" i="24"/>
  <c r="J277" i="24"/>
  <c r="I277" i="24"/>
  <c r="H277" i="24"/>
  <c r="G277" i="24"/>
  <c r="F277" i="24"/>
  <c r="E277" i="24"/>
  <c r="D277" i="24"/>
  <c r="C277" i="24"/>
  <c r="B277" i="24"/>
  <c r="A277" i="24"/>
  <c r="J276" i="24"/>
  <c r="I276" i="24"/>
  <c r="H276" i="24"/>
  <c r="G276" i="24"/>
  <c r="F276" i="24"/>
  <c r="E276" i="24"/>
  <c r="D276" i="24"/>
  <c r="C276" i="24"/>
  <c r="B276" i="24"/>
  <c r="A276" i="24"/>
  <c r="J275" i="24"/>
  <c r="I275" i="24"/>
  <c r="H275" i="24"/>
  <c r="G275" i="24"/>
  <c r="F275" i="24"/>
  <c r="E275" i="24"/>
  <c r="D275" i="24"/>
  <c r="C275" i="24"/>
  <c r="B275" i="24"/>
  <c r="A275" i="24"/>
  <c r="J274" i="24"/>
  <c r="I274" i="24"/>
  <c r="H274" i="24"/>
  <c r="G274" i="24"/>
  <c r="F274" i="24"/>
  <c r="E274" i="24"/>
  <c r="D274" i="24"/>
  <c r="C274" i="24"/>
  <c r="B274" i="24"/>
  <c r="A274" i="24"/>
  <c r="J273" i="24"/>
  <c r="I273" i="24"/>
  <c r="H273" i="24"/>
  <c r="G273" i="24"/>
  <c r="F273" i="24"/>
  <c r="E273" i="24"/>
  <c r="D273" i="24"/>
  <c r="C273" i="24"/>
  <c r="B273" i="24"/>
  <c r="A273" i="24"/>
  <c r="J272" i="24"/>
  <c r="I272" i="24"/>
  <c r="H272" i="24"/>
  <c r="G272" i="24"/>
  <c r="F272" i="24"/>
  <c r="E272" i="24"/>
  <c r="D272" i="24"/>
  <c r="C272" i="24"/>
  <c r="B272" i="24"/>
  <c r="A272" i="24"/>
  <c r="J271" i="24"/>
  <c r="I271" i="24"/>
  <c r="H271" i="24"/>
  <c r="G271" i="24"/>
  <c r="F271" i="24"/>
  <c r="E271" i="24"/>
  <c r="D271" i="24"/>
  <c r="C271" i="24"/>
  <c r="B271" i="24"/>
  <c r="A271" i="24"/>
  <c r="J270" i="24"/>
  <c r="I270" i="24"/>
  <c r="H270" i="24"/>
  <c r="G270" i="24"/>
  <c r="F270" i="24"/>
  <c r="E270" i="24"/>
  <c r="D270" i="24"/>
  <c r="C270" i="24"/>
  <c r="B270" i="24"/>
  <c r="A270" i="24"/>
  <c r="J269" i="24"/>
  <c r="I269" i="24"/>
  <c r="H269" i="24"/>
  <c r="G269" i="24"/>
  <c r="F269" i="24"/>
  <c r="E269" i="24"/>
  <c r="D269" i="24"/>
  <c r="C269" i="24"/>
  <c r="B269" i="24"/>
  <c r="A269" i="24"/>
  <c r="J268" i="24"/>
  <c r="I268" i="24"/>
  <c r="H268" i="24"/>
  <c r="G268" i="24"/>
  <c r="F268" i="24"/>
  <c r="E268" i="24"/>
  <c r="D268" i="24"/>
  <c r="C268" i="24"/>
  <c r="B268" i="24"/>
  <c r="A268" i="24"/>
  <c r="J267" i="24"/>
  <c r="I267" i="24"/>
  <c r="H267" i="24"/>
  <c r="G267" i="24"/>
  <c r="F267" i="24"/>
  <c r="E267" i="24"/>
  <c r="D267" i="24"/>
  <c r="C267" i="24"/>
  <c r="B267" i="24"/>
  <c r="A267" i="24"/>
  <c r="J266" i="24"/>
  <c r="I266" i="24"/>
  <c r="H266" i="24"/>
  <c r="G266" i="24"/>
  <c r="F266" i="24"/>
  <c r="E266" i="24"/>
  <c r="D266" i="24"/>
  <c r="C266" i="24"/>
  <c r="B266" i="24"/>
  <c r="A266" i="24"/>
  <c r="J265" i="24"/>
  <c r="I265" i="24"/>
  <c r="H265" i="24"/>
  <c r="G265" i="24"/>
  <c r="F265" i="24"/>
  <c r="E265" i="24"/>
  <c r="D265" i="24"/>
  <c r="C265" i="24"/>
  <c r="B265" i="24"/>
  <c r="A265" i="24"/>
  <c r="J264" i="24"/>
  <c r="I264" i="24"/>
  <c r="H264" i="24"/>
  <c r="G264" i="24"/>
  <c r="F264" i="24"/>
  <c r="E264" i="24"/>
  <c r="D264" i="24"/>
  <c r="C264" i="24"/>
  <c r="B264" i="24"/>
  <c r="A264" i="24"/>
  <c r="J263" i="24"/>
  <c r="I263" i="24"/>
  <c r="H263" i="24"/>
  <c r="G263" i="24"/>
  <c r="F263" i="24"/>
  <c r="E263" i="24"/>
  <c r="D263" i="24"/>
  <c r="C263" i="24"/>
  <c r="B263" i="24"/>
  <c r="A263" i="24"/>
  <c r="J262" i="24"/>
  <c r="I262" i="24"/>
  <c r="H262" i="24"/>
  <c r="G262" i="24"/>
  <c r="F262" i="24"/>
  <c r="E262" i="24"/>
  <c r="D262" i="24"/>
  <c r="C262" i="24"/>
  <c r="B262" i="24"/>
  <c r="A262" i="24"/>
  <c r="J261" i="24"/>
  <c r="I261" i="24"/>
  <c r="H261" i="24"/>
  <c r="G261" i="24"/>
  <c r="F261" i="24"/>
  <c r="E261" i="24"/>
  <c r="D261" i="24"/>
  <c r="C261" i="24"/>
  <c r="B261" i="24"/>
  <c r="A261" i="24"/>
  <c r="J260" i="24"/>
  <c r="I260" i="24"/>
  <c r="H260" i="24"/>
  <c r="G260" i="24"/>
  <c r="F260" i="24"/>
  <c r="E260" i="24"/>
  <c r="D260" i="24"/>
  <c r="C260" i="24"/>
  <c r="B260" i="24"/>
  <c r="A260" i="24"/>
  <c r="J259" i="24"/>
  <c r="I259" i="24"/>
  <c r="H259" i="24"/>
  <c r="G259" i="24"/>
  <c r="F259" i="24"/>
  <c r="E259" i="24"/>
  <c r="D259" i="24"/>
  <c r="C259" i="24"/>
  <c r="B259" i="24"/>
  <c r="A259" i="24"/>
  <c r="J258" i="24"/>
  <c r="I258" i="24"/>
  <c r="H258" i="24"/>
  <c r="G258" i="24"/>
  <c r="F258" i="24"/>
  <c r="E258" i="24"/>
  <c r="D258" i="24"/>
  <c r="C258" i="24"/>
  <c r="B258" i="24"/>
  <c r="A258" i="24"/>
  <c r="J257" i="24"/>
  <c r="I257" i="24"/>
  <c r="H257" i="24"/>
  <c r="G257" i="24"/>
  <c r="F257" i="24"/>
  <c r="E257" i="24"/>
  <c r="D257" i="24"/>
  <c r="C257" i="24"/>
  <c r="B257" i="24"/>
  <c r="A257" i="24"/>
  <c r="J256" i="24"/>
  <c r="I256" i="24"/>
  <c r="H256" i="24"/>
  <c r="G256" i="24"/>
  <c r="F256" i="24"/>
  <c r="E256" i="24"/>
  <c r="D256" i="24"/>
  <c r="C256" i="24"/>
  <c r="B256" i="24"/>
  <c r="A256" i="24"/>
  <c r="J255" i="24"/>
  <c r="I255" i="24"/>
  <c r="H255" i="24"/>
  <c r="G255" i="24"/>
  <c r="F255" i="24"/>
  <c r="E255" i="24"/>
  <c r="D255" i="24"/>
  <c r="C255" i="24"/>
  <c r="B255" i="24"/>
  <c r="A255" i="24"/>
  <c r="J254" i="24"/>
  <c r="I254" i="24"/>
  <c r="H254" i="24"/>
  <c r="G254" i="24"/>
  <c r="F254" i="24"/>
  <c r="E254" i="24"/>
  <c r="D254" i="24"/>
  <c r="C254" i="24"/>
  <c r="B254" i="24"/>
  <c r="A254" i="24"/>
  <c r="J253" i="24"/>
  <c r="I253" i="24"/>
  <c r="H253" i="24"/>
  <c r="G253" i="24"/>
  <c r="F253" i="24"/>
  <c r="E253" i="24"/>
  <c r="D253" i="24"/>
  <c r="C253" i="24"/>
  <c r="B253" i="24"/>
  <c r="A253" i="24"/>
  <c r="J252" i="24"/>
  <c r="I252" i="24"/>
  <c r="H252" i="24"/>
  <c r="G252" i="24"/>
  <c r="F252" i="24"/>
  <c r="E252" i="24"/>
  <c r="D252" i="24"/>
  <c r="C252" i="24"/>
  <c r="B252" i="24"/>
  <c r="A252" i="24"/>
  <c r="J251" i="24"/>
  <c r="I251" i="24"/>
  <c r="H251" i="24"/>
  <c r="G251" i="24"/>
  <c r="F251" i="24"/>
  <c r="E251" i="24"/>
  <c r="D251" i="24"/>
  <c r="C251" i="24"/>
  <c r="B251" i="24"/>
  <c r="A251" i="24"/>
  <c r="J250" i="24"/>
  <c r="I250" i="24"/>
  <c r="H250" i="24"/>
  <c r="G250" i="24"/>
  <c r="F250" i="24"/>
  <c r="E250" i="24"/>
  <c r="D250" i="24"/>
  <c r="C250" i="24"/>
  <c r="B250" i="24"/>
  <c r="A250" i="24"/>
  <c r="J249" i="24"/>
  <c r="I249" i="24"/>
  <c r="H249" i="24"/>
  <c r="G249" i="24"/>
  <c r="F249" i="24"/>
  <c r="E249" i="24"/>
  <c r="D249" i="24"/>
  <c r="C249" i="24"/>
  <c r="B249" i="24"/>
  <c r="A249" i="24"/>
  <c r="J248" i="24"/>
  <c r="I248" i="24"/>
  <c r="H248" i="24"/>
  <c r="G248" i="24"/>
  <c r="F248" i="24"/>
  <c r="E248" i="24"/>
  <c r="D248" i="24"/>
  <c r="C248" i="24"/>
  <c r="B248" i="24"/>
  <c r="A248" i="24"/>
  <c r="J247" i="24"/>
  <c r="I247" i="24"/>
  <c r="H247" i="24"/>
  <c r="G247" i="24"/>
  <c r="F247" i="24"/>
  <c r="E247" i="24"/>
  <c r="D247" i="24"/>
  <c r="C247" i="24"/>
  <c r="B247" i="24"/>
  <c r="A247" i="24"/>
  <c r="J246" i="24"/>
  <c r="I246" i="24"/>
  <c r="H246" i="24"/>
  <c r="G246" i="24"/>
  <c r="F246" i="24"/>
  <c r="E246" i="24"/>
  <c r="D246" i="24"/>
  <c r="C246" i="24"/>
  <c r="B246" i="24"/>
  <c r="A246" i="24"/>
  <c r="J245" i="24"/>
  <c r="I245" i="24"/>
  <c r="H245" i="24"/>
  <c r="G245" i="24"/>
  <c r="F245" i="24"/>
  <c r="E245" i="24"/>
  <c r="D245" i="24"/>
  <c r="C245" i="24"/>
  <c r="B245" i="24"/>
  <c r="A245" i="24"/>
  <c r="J244" i="24"/>
  <c r="I244" i="24"/>
  <c r="H244" i="24"/>
  <c r="G244" i="24"/>
  <c r="F244" i="24"/>
  <c r="E244" i="24"/>
  <c r="D244" i="24"/>
  <c r="C244" i="24"/>
  <c r="B244" i="24"/>
  <c r="A244" i="24"/>
  <c r="J243" i="24"/>
  <c r="I243" i="24"/>
  <c r="H243" i="24"/>
  <c r="G243" i="24"/>
  <c r="F243" i="24"/>
  <c r="E243" i="24"/>
  <c r="D243" i="24"/>
  <c r="C243" i="24"/>
  <c r="B243" i="24"/>
  <c r="A243" i="24"/>
  <c r="J242" i="24"/>
  <c r="I242" i="24"/>
  <c r="H242" i="24"/>
  <c r="G242" i="24"/>
  <c r="F242" i="24"/>
  <c r="E242" i="24"/>
  <c r="D242" i="24"/>
  <c r="C242" i="24"/>
  <c r="B242" i="24"/>
  <c r="A242" i="24"/>
  <c r="J241" i="24"/>
  <c r="I241" i="24"/>
  <c r="H241" i="24"/>
  <c r="G241" i="24"/>
  <c r="F241" i="24"/>
  <c r="E241" i="24"/>
  <c r="D241" i="24"/>
  <c r="C241" i="24"/>
  <c r="B241" i="24"/>
  <c r="A241" i="24"/>
  <c r="J240" i="24"/>
  <c r="I240" i="24"/>
  <c r="H240" i="24"/>
  <c r="G240" i="24"/>
  <c r="F240" i="24"/>
  <c r="E240" i="24"/>
  <c r="D240" i="24"/>
  <c r="C240" i="24"/>
  <c r="B240" i="24"/>
  <c r="A240" i="24"/>
  <c r="J239" i="24"/>
  <c r="I239" i="24"/>
  <c r="H239" i="24"/>
  <c r="G239" i="24"/>
  <c r="F239" i="24"/>
  <c r="E239" i="24"/>
  <c r="D239" i="24"/>
  <c r="C239" i="24"/>
  <c r="B239" i="24"/>
  <c r="A239" i="24"/>
  <c r="J238" i="24"/>
  <c r="I238" i="24"/>
  <c r="H238" i="24"/>
  <c r="G238" i="24"/>
  <c r="F238" i="24"/>
  <c r="E238" i="24"/>
  <c r="D238" i="24"/>
  <c r="C238" i="24"/>
  <c r="B238" i="24"/>
  <c r="A238" i="24"/>
  <c r="J237" i="24"/>
  <c r="I237" i="24"/>
  <c r="H237" i="24"/>
  <c r="G237" i="24"/>
  <c r="F237" i="24"/>
  <c r="E237" i="24"/>
  <c r="D237" i="24"/>
  <c r="C237" i="24"/>
  <c r="B237" i="24"/>
  <c r="A237" i="24"/>
  <c r="J236" i="24"/>
  <c r="I236" i="24"/>
  <c r="H236" i="24"/>
  <c r="G236" i="24"/>
  <c r="F236" i="24"/>
  <c r="E236" i="24"/>
  <c r="D236" i="24"/>
  <c r="C236" i="24"/>
  <c r="B236" i="24"/>
  <c r="A236" i="24"/>
  <c r="J235" i="24"/>
  <c r="I235" i="24"/>
  <c r="H235" i="24"/>
  <c r="G235" i="24"/>
  <c r="F235" i="24"/>
  <c r="E235" i="24"/>
  <c r="D235" i="24"/>
  <c r="C235" i="24"/>
  <c r="B235" i="24"/>
  <c r="A235" i="24"/>
  <c r="J234" i="24"/>
  <c r="I234" i="24"/>
  <c r="H234" i="24"/>
  <c r="G234" i="24"/>
  <c r="F234" i="24"/>
  <c r="E234" i="24"/>
  <c r="D234" i="24"/>
  <c r="C234" i="24"/>
  <c r="B234" i="24"/>
  <c r="A234" i="24"/>
  <c r="J233" i="24"/>
  <c r="I233" i="24"/>
  <c r="H233" i="24"/>
  <c r="G233" i="24"/>
  <c r="F233" i="24"/>
  <c r="E233" i="24"/>
  <c r="D233" i="24"/>
  <c r="C233" i="24"/>
  <c r="B233" i="24"/>
  <c r="A233" i="24"/>
  <c r="J232" i="24"/>
  <c r="I232" i="24"/>
  <c r="H232" i="24"/>
  <c r="G232" i="24"/>
  <c r="F232" i="24"/>
  <c r="E232" i="24"/>
  <c r="D232" i="24"/>
  <c r="C232" i="24"/>
  <c r="B232" i="24"/>
  <c r="A232" i="24"/>
  <c r="J231" i="24"/>
  <c r="I231" i="24"/>
  <c r="H231" i="24"/>
  <c r="G231" i="24"/>
  <c r="F231" i="24"/>
  <c r="E231" i="24"/>
  <c r="D231" i="24"/>
  <c r="C231" i="24"/>
  <c r="B231" i="24"/>
  <c r="A231" i="24"/>
  <c r="J230" i="24"/>
  <c r="I230" i="24"/>
  <c r="H230" i="24"/>
  <c r="G230" i="24"/>
  <c r="F230" i="24"/>
  <c r="E230" i="24"/>
  <c r="D230" i="24"/>
  <c r="C230" i="24"/>
  <c r="B230" i="24"/>
  <c r="A230" i="24"/>
  <c r="J229" i="24"/>
  <c r="I229" i="24"/>
  <c r="H229" i="24"/>
  <c r="G229" i="24"/>
  <c r="F229" i="24"/>
  <c r="E229" i="24"/>
  <c r="D229" i="24"/>
  <c r="C229" i="24"/>
  <c r="B229" i="24"/>
  <c r="A229" i="24"/>
  <c r="J228" i="24"/>
  <c r="I228" i="24"/>
  <c r="H228" i="24"/>
  <c r="G228" i="24"/>
  <c r="F228" i="24"/>
  <c r="E228" i="24"/>
  <c r="D228" i="24"/>
  <c r="C228" i="24"/>
  <c r="B228" i="24"/>
  <c r="A228" i="24"/>
  <c r="J227" i="24"/>
  <c r="I227" i="24"/>
  <c r="H227" i="24"/>
  <c r="G227" i="24"/>
  <c r="F227" i="24"/>
  <c r="E227" i="24"/>
  <c r="D227" i="24"/>
  <c r="C227" i="24"/>
  <c r="B227" i="24"/>
  <c r="A227" i="24"/>
  <c r="J226" i="24"/>
  <c r="I226" i="24"/>
  <c r="H226" i="24"/>
  <c r="G226" i="24"/>
  <c r="F226" i="24"/>
  <c r="E226" i="24"/>
  <c r="D226" i="24"/>
  <c r="C226" i="24"/>
  <c r="B226" i="24"/>
  <c r="A226" i="24"/>
  <c r="J225" i="24"/>
  <c r="I225" i="24"/>
  <c r="H225" i="24"/>
  <c r="G225" i="24"/>
  <c r="F225" i="24"/>
  <c r="E225" i="24"/>
  <c r="D225" i="24"/>
  <c r="C225" i="24"/>
  <c r="B225" i="24"/>
  <c r="A225" i="24"/>
  <c r="J224" i="24"/>
  <c r="I224" i="24"/>
  <c r="H224" i="24"/>
  <c r="G224" i="24"/>
  <c r="F224" i="24"/>
  <c r="E224" i="24"/>
  <c r="D224" i="24"/>
  <c r="C224" i="24"/>
  <c r="B224" i="24"/>
  <c r="A224" i="24"/>
  <c r="J223" i="24"/>
  <c r="I223" i="24"/>
  <c r="H223" i="24"/>
  <c r="G223" i="24"/>
  <c r="F223" i="24"/>
  <c r="E223" i="24"/>
  <c r="D223" i="24"/>
  <c r="C223" i="24"/>
  <c r="B223" i="24"/>
  <c r="A223" i="24"/>
  <c r="J222" i="24"/>
  <c r="I222" i="24"/>
  <c r="H222" i="24"/>
  <c r="G222" i="24"/>
  <c r="F222" i="24"/>
  <c r="E222" i="24"/>
  <c r="D222" i="24"/>
  <c r="C222" i="24"/>
  <c r="B222" i="24"/>
  <c r="A222" i="24"/>
  <c r="J221" i="24"/>
  <c r="I221" i="24"/>
  <c r="H221" i="24"/>
  <c r="G221" i="24"/>
  <c r="F221" i="24"/>
  <c r="E221" i="24"/>
  <c r="D221" i="24"/>
  <c r="C221" i="24"/>
  <c r="B221" i="24"/>
  <c r="A221" i="24"/>
  <c r="J220" i="24"/>
  <c r="I220" i="24"/>
  <c r="H220" i="24"/>
  <c r="G220" i="24"/>
  <c r="F220" i="24"/>
  <c r="E220" i="24"/>
  <c r="D220" i="24"/>
  <c r="C220" i="24"/>
  <c r="B220" i="24"/>
  <c r="A220" i="24"/>
  <c r="J219" i="24"/>
  <c r="I219" i="24"/>
  <c r="H219" i="24"/>
  <c r="G219" i="24"/>
  <c r="F219" i="24"/>
  <c r="E219" i="24"/>
  <c r="D219" i="24"/>
  <c r="C219" i="24"/>
  <c r="B219" i="24"/>
  <c r="A219" i="24"/>
  <c r="J218" i="24"/>
  <c r="I218" i="24"/>
  <c r="H218" i="24"/>
  <c r="G218" i="24"/>
  <c r="F218" i="24"/>
  <c r="E218" i="24"/>
  <c r="D218" i="24"/>
  <c r="C218" i="24"/>
  <c r="B218" i="24"/>
  <c r="A218" i="24"/>
  <c r="J217" i="24"/>
  <c r="I217" i="24"/>
  <c r="H217" i="24"/>
  <c r="G217" i="24"/>
  <c r="F217" i="24"/>
  <c r="E217" i="24"/>
  <c r="D217" i="24"/>
  <c r="C217" i="24"/>
  <c r="B217" i="24"/>
  <c r="A217" i="24"/>
  <c r="J216" i="24"/>
  <c r="I216" i="24"/>
  <c r="H216" i="24"/>
  <c r="G216" i="24"/>
  <c r="F216" i="24"/>
  <c r="E216" i="24"/>
  <c r="D216" i="24"/>
  <c r="C216" i="24"/>
  <c r="B216" i="24"/>
  <c r="A216" i="24"/>
  <c r="J215" i="24"/>
  <c r="I215" i="24"/>
  <c r="H215" i="24"/>
  <c r="G215" i="24"/>
  <c r="F215" i="24"/>
  <c r="E215" i="24"/>
  <c r="D215" i="24"/>
  <c r="C215" i="24"/>
  <c r="B215" i="24"/>
  <c r="A215" i="24"/>
  <c r="J214" i="24"/>
  <c r="I214" i="24"/>
  <c r="H214" i="24"/>
  <c r="G214" i="24"/>
  <c r="F214" i="24"/>
  <c r="E214" i="24"/>
  <c r="D214" i="24"/>
  <c r="C214" i="24"/>
  <c r="B214" i="24"/>
  <c r="A214" i="24"/>
  <c r="J213" i="24"/>
  <c r="I213" i="24"/>
  <c r="H213" i="24"/>
  <c r="G213" i="24"/>
  <c r="F213" i="24"/>
  <c r="E213" i="24"/>
  <c r="D213" i="24"/>
  <c r="C213" i="24"/>
  <c r="B213" i="24"/>
  <c r="A213" i="24"/>
  <c r="J212" i="24"/>
  <c r="I212" i="24"/>
  <c r="H212" i="24"/>
  <c r="G212" i="24"/>
  <c r="F212" i="24"/>
  <c r="E212" i="24"/>
  <c r="D212" i="24"/>
  <c r="C212" i="24"/>
  <c r="B212" i="24"/>
  <c r="A212" i="24"/>
  <c r="J211" i="24"/>
  <c r="I211" i="24"/>
  <c r="H211" i="24"/>
  <c r="G211" i="24"/>
  <c r="F211" i="24"/>
  <c r="E211" i="24"/>
  <c r="D211" i="24"/>
  <c r="C211" i="24"/>
  <c r="B211" i="24"/>
  <c r="A211" i="24"/>
  <c r="J210" i="24"/>
  <c r="I210" i="24"/>
  <c r="H210" i="24"/>
  <c r="G210" i="24"/>
  <c r="F210" i="24"/>
  <c r="E210" i="24"/>
  <c r="D210" i="24"/>
  <c r="C210" i="24"/>
  <c r="B210" i="24"/>
  <c r="A210" i="24"/>
  <c r="J209" i="24"/>
  <c r="I209" i="24"/>
  <c r="H209" i="24"/>
  <c r="G209" i="24"/>
  <c r="F209" i="24"/>
  <c r="E209" i="24"/>
  <c r="D209" i="24"/>
  <c r="C209" i="24"/>
  <c r="B209" i="24"/>
  <c r="A209" i="24"/>
  <c r="J208" i="24"/>
  <c r="I208" i="24"/>
  <c r="H208" i="24"/>
  <c r="G208" i="24"/>
  <c r="F208" i="24"/>
  <c r="E208" i="24"/>
  <c r="D208" i="24"/>
  <c r="C208" i="24"/>
  <c r="B208" i="24"/>
  <c r="A208" i="24"/>
  <c r="J207" i="24"/>
  <c r="I207" i="24"/>
  <c r="H207" i="24"/>
  <c r="G207" i="24"/>
  <c r="F207" i="24"/>
  <c r="E207" i="24"/>
  <c r="D207" i="24"/>
  <c r="C207" i="24"/>
  <c r="B207" i="24"/>
  <c r="A207" i="24"/>
  <c r="J206" i="24"/>
  <c r="I206" i="24"/>
  <c r="H206" i="24"/>
  <c r="G206" i="24"/>
  <c r="F206" i="24"/>
  <c r="E206" i="24"/>
  <c r="D206" i="24"/>
  <c r="C206" i="24"/>
  <c r="B206" i="24"/>
  <c r="A206" i="24"/>
  <c r="J205" i="24"/>
  <c r="I205" i="24"/>
  <c r="H205" i="24"/>
  <c r="G205" i="24"/>
  <c r="F205" i="24"/>
  <c r="E205" i="24"/>
  <c r="D205" i="24"/>
  <c r="C205" i="24"/>
  <c r="B205" i="24"/>
  <c r="A205" i="24"/>
  <c r="J204" i="24"/>
  <c r="I204" i="24"/>
  <c r="H204" i="24"/>
  <c r="G204" i="24"/>
  <c r="F204" i="24"/>
  <c r="E204" i="24"/>
  <c r="D204" i="24"/>
  <c r="C204" i="24"/>
  <c r="B204" i="24"/>
  <c r="A204" i="24"/>
  <c r="J203" i="24"/>
  <c r="I203" i="24"/>
  <c r="H203" i="24"/>
  <c r="G203" i="24"/>
  <c r="F203" i="24"/>
  <c r="E203" i="24"/>
  <c r="D203" i="24"/>
  <c r="C203" i="24"/>
  <c r="B203" i="24"/>
  <c r="A203" i="24"/>
  <c r="J202" i="24"/>
  <c r="I202" i="24"/>
  <c r="H202" i="24"/>
  <c r="G202" i="24"/>
  <c r="F202" i="24"/>
  <c r="E202" i="24"/>
  <c r="D202" i="24"/>
  <c r="C202" i="24"/>
  <c r="B202" i="24"/>
  <c r="A202" i="24"/>
  <c r="J201" i="24"/>
  <c r="I201" i="24"/>
  <c r="H201" i="24"/>
  <c r="G201" i="24"/>
  <c r="F201" i="24"/>
  <c r="E201" i="24"/>
  <c r="D201" i="24"/>
  <c r="C201" i="24"/>
  <c r="B201" i="24"/>
  <c r="A201" i="24"/>
  <c r="J200" i="24"/>
  <c r="I200" i="24"/>
  <c r="H200" i="24"/>
  <c r="G200" i="24"/>
  <c r="F200" i="24"/>
  <c r="E200" i="24"/>
  <c r="D200" i="24"/>
  <c r="C200" i="24"/>
  <c r="B200" i="24"/>
  <c r="A200" i="24"/>
  <c r="J199" i="24"/>
  <c r="I199" i="24"/>
  <c r="H199" i="24"/>
  <c r="G199" i="24"/>
  <c r="F199" i="24"/>
  <c r="E199" i="24"/>
  <c r="D199" i="24"/>
  <c r="C199" i="24"/>
  <c r="B199" i="24"/>
  <c r="A199" i="24"/>
  <c r="J198" i="24"/>
  <c r="I198" i="24"/>
  <c r="H198" i="24"/>
  <c r="G198" i="24"/>
  <c r="F198" i="24"/>
  <c r="E198" i="24"/>
  <c r="D198" i="24"/>
  <c r="C198" i="24"/>
  <c r="B198" i="24"/>
  <c r="A198" i="24"/>
  <c r="J197" i="24"/>
  <c r="I197" i="24"/>
  <c r="H197" i="24"/>
  <c r="G197" i="24"/>
  <c r="F197" i="24"/>
  <c r="E197" i="24"/>
  <c r="D197" i="24"/>
  <c r="C197" i="24"/>
  <c r="B197" i="24"/>
  <c r="A197" i="24"/>
  <c r="J196" i="24"/>
  <c r="I196" i="24"/>
  <c r="H196" i="24"/>
  <c r="G196" i="24"/>
  <c r="F196" i="24"/>
  <c r="E196" i="24"/>
  <c r="D196" i="24"/>
  <c r="C196" i="24"/>
  <c r="B196" i="24"/>
  <c r="A196" i="24"/>
  <c r="J195" i="24"/>
  <c r="I195" i="24"/>
  <c r="H195" i="24"/>
  <c r="G195" i="24"/>
  <c r="F195" i="24"/>
  <c r="E195" i="24"/>
  <c r="D195" i="24"/>
  <c r="C195" i="24"/>
  <c r="B195" i="24"/>
  <c r="A195" i="24"/>
  <c r="J194" i="24"/>
  <c r="I194" i="24"/>
  <c r="H194" i="24"/>
  <c r="G194" i="24"/>
  <c r="F194" i="24"/>
  <c r="E194" i="24"/>
  <c r="D194" i="24"/>
  <c r="C194" i="24"/>
  <c r="B194" i="24"/>
  <c r="A194" i="24"/>
  <c r="J193" i="24"/>
  <c r="I193" i="24"/>
  <c r="H193" i="24"/>
  <c r="G193" i="24"/>
  <c r="F193" i="24"/>
  <c r="E193" i="24"/>
  <c r="D193" i="24"/>
  <c r="C193" i="24"/>
  <c r="B193" i="24"/>
  <c r="A193" i="24"/>
  <c r="J192" i="24"/>
  <c r="I192" i="24"/>
  <c r="H192" i="24"/>
  <c r="G192" i="24"/>
  <c r="F192" i="24"/>
  <c r="E192" i="24"/>
  <c r="D192" i="24"/>
  <c r="C192" i="24"/>
  <c r="B192" i="24"/>
  <c r="A192" i="24"/>
  <c r="J191" i="24"/>
  <c r="I191" i="24"/>
  <c r="H191" i="24"/>
  <c r="G191" i="24"/>
  <c r="F191" i="24"/>
  <c r="E191" i="24"/>
  <c r="D191" i="24"/>
  <c r="C191" i="24"/>
  <c r="B191" i="24"/>
  <c r="A191" i="24"/>
  <c r="J190" i="24"/>
  <c r="I190" i="24"/>
  <c r="H190" i="24"/>
  <c r="G190" i="24"/>
  <c r="F190" i="24"/>
  <c r="E190" i="24"/>
  <c r="D190" i="24"/>
  <c r="C190" i="24"/>
  <c r="B190" i="24"/>
  <c r="A190" i="24"/>
  <c r="J189" i="24"/>
  <c r="I189" i="24"/>
  <c r="H189" i="24"/>
  <c r="G189" i="24"/>
  <c r="F189" i="24"/>
  <c r="E189" i="24"/>
  <c r="D189" i="24"/>
  <c r="C189" i="24"/>
  <c r="B189" i="24"/>
  <c r="A189" i="24"/>
  <c r="J188" i="24"/>
  <c r="I188" i="24"/>
  <c r="H188" i="24"/>
  <c r="G188" i="24"/>
  <c r="F188" i="24"/>
  <c r="E188" i="24"/>
  <c r="D188" i="24"/>
  <c r="C188" i="24"/>
  <c r="B188" i="24"/>
  <c r="A188" i="24"/>
  <c r="J187" i="24"/>
  <c r="I187" i="24"/>
  <c r="H187" i="24"/>
  <c r="G187" i="24"/>
  <c r="F187" i="24"/>
  <c r="E187" i="24"/>
  <c r="D187" i="24"/>
  <c r="C187" i="24"/>
  <c r="B187" i="24"/>
  <c r="A187" i="24"/>
  <c r="J186" i="24"/>
  <c r="I186" i="24"/>
  <c r="H186" i="24"/>
  <c r="G186" i="24"/>
  <c r="F186" i="24"/>
  <c r="E186" i="24"/>
  <c r="D186" i="24"/>
  <c r="C186" i="24"/>
  <c r="B186" i="24"/>
  <c r="A186" i="24"/>
  <c r="J185" i="24"/>
  <c r="I185" i="24"/>
  <c r="H185" i="24"/>
  <c r="G185" i="24"/>
  <c r="F185" i="24"/>
  <c r="E185" i="24"/>
  <c r="D185" i="24"/>
  <c r="C185" i="24"/>
  <c r="B185" i="24"/>
  <c r="A185" i="24"/>
  <c r="J184" i="24"/>
  <c r="I184" i="24"/>
  <c r="H184" i="24"/>
  <c r="G184" i="24"/>
  <c r="F184" i="24"/>
  <c r="E184" i="24"/>
  <c r="D184" i="24"/>
  <c r="C184" i="24"/>
  <c r="B184" i="24"/>
  <c r="A184" i="24"/>
  <c r="J183" i="24"/>
  <c r="I183" i="24"/>
  <c r="H183" i="24"/>
  <c r="G183" i="24"/>
  <c r="F183" i="24"/>
  <c r="E183" i="24"/>
  <c r="D183" i="24"/>
  <c r="C183" i="24"/>
  <c r="B183" i="24"/>
  <c r="A183" i="24"/>
  <c r="J182" i="24"/>
  <c r="I182" i="24"/>
  <c r="H182" i="24"/>
  <c r="G182" i="24"/>
  <c r="F182" i="24"/>
  <c r="E182" i="24"/>
  <c r="D182" i="24"/>
  <c r="C182" i="24"/>
  <c r="B182" i="24"/>
  <c r="A182" i="24"/>
  <c r="J181" i="24"/>
  <c r="I181" i="24"/>
  <c r="H181" i="24"/>
  <c r="G181" i="24"/>
  <c r="F181" i="24"/>
  <c r="E181" i="24"/>
  <c r="D181" i="24"/>
  <c r="C181" i="24"/>
  <c r="B181" i="24"/>
  <c r="A181" i="24"/>
  <c r="J180" i="24"/>
  <c r="I180" i="24"/>
  <c r="H180" i="24"/>
  <c r="G180" i="24"/>
  <c r="F180" i="24"/>
  <c r="E180" i="24"/>
  <c r="D180" i="24"/>
  <c r="C180" i="24"/>
  <c r="B180" i="24"/>
  <c r="A180" i="24"/>
  <c r="J179" i="24"/>
  <c r="I179" i="24"/>
  <c r="H179" i="24"/>
  <c r="G179" i="24"/>
  <c r="F179" i="24"/>
  <c r="E179" i="24"/>
  <c r="D179" i="24"/>
  <c r="C179" i="24"/>
  <c r="B179" i="24"/>
  <c r="A179" i="24"/>
  <c r="J178" i="24"/>
  <c r="I178" i="24"/>
  <c r="H178" i="24"/>
  <c r="G178" i="24"/>
  <c r="F178" i="24"/>
  <c r="E178" i="24"/>
  <c r="D178" i="24"/>
  <c r="C178" i="24"/>
  <c r="B178" i="24"/>
  <c r="A178" i="24"/>
  <c r="J177" i="24"/>
  <c r="I177" i="24"/>
  <c r="H177" i="24"/>
  <c r="G177" i="24"/>
  <c r="F177" i="24"/>
  <c r="E177" i="24"/>
  <c r="D177" i="24"/>
  <c r="C177" i="24"/>
  <c r="B177" i="24"/>
  <c r="A177" i="24"/>
  <c r="J176" i="24"/>
  <c r="I176" i="24"/>
  <c r="H176" i="24"/>
  <c r="G176" i="24"/>
  <c r="F176" i="24"/>
  <c r="E176" i="24"/>
  <c r="D176" i="24"/>
  <c r="C176" i="24"/>
  <c r="B176" i="24"/>
  <c r="A176" i="24"/>
  <c r="J175" i="24"/>
  <c r="I175" i="24"/>
  <c r="H175" i="24"/>
  <c r="G175" i="24"/>
  <c r="F175" i="24"/>
  <c r="E175" i="24"/>
  <c r="D175" i="24"/>
  <c r="C175" i="24"/>
  <c r="B175" i="24"/>
  <c r="A175" i="24"/>
  <c r="J174" i="24"/>
  <c r="I174" i="24"/>
  <c r="H174" i="24"/>
  <c r="G174" i="24"/>
  <c r="F174" i="24"/>
  <c r="E174" i="24"/>
  <c r="D174" i="24"/>
  <c r="C174" i="24"/>
  <c r="B174" i="24"/>
  <c r="A174" i="24"/>
  <c r="J173" i="24"/>
  <c r="I173" i="24"/>
  <c r="H173" i="24"/>
  <c r="G173" i="24"/>
  <c r="F173" i="24"/>
  <c r="E173" i="24"/>
  <c r="D173" i="24"/>
  <c r="C173" i="24"/>
  <c r="B173" i="24"/>
  <c r="A173" i="24"/>
  <c r="J172" i="24"/>
  <c r="I172" i="24"/>
  <c r="H172" i="24"/>
  <c r="G172" i="24"/>
  <c r="F172" i="24"/>
  <c r="E172" i="24"/>
  <c r="D172" i="24"/>
  <c r="C172" i="24"/>
  <c r="B172" i="24"/>
  <c r="A172" i="24"/>
  <c r="J171" i="24"/>
  <c r="I171" i="24"/>
  <c r="H171" i="24"/>
  <c r="G171" i="24"/>
  <c r="F171" i="24"/>
  <c r="E171" i="24"/>
  <c r="D171" i="24"/>
  <c r="C171" i="24"/>
  <c r="B171" i="24"/>
  <c r="A171" i="24"/>
  <c r="J170" i="24"/>
  <c r="I170" i="24"/>
  <c r="H170" i="24"/>
  <c r="G170" i="24"/>
  <c r="F170" i="24"/>
  <c r="E170" i="24"/>
  <c r="D170" i="24"/>
  <c r="C170" i="24"/>
  <c r="B170" i="24"/>
  <c r="A170" i="24"/>
  <c r="J169" i="24"/>
  <c r="I169" i="24"/>
  <c r="H169" i="24"/>
  <c r="G169" i="24"/>
  <c r="F169" i="24"/>
  <c r="E169" i="24"/>
  <c r="D169" i="24"/>
  <c r="C169" i="24"/>
  <c r="B169" i="24"/>
  <c r="A169" i="24"/>
  <c r="J168" i="24"/>
  <c r="I168" i="24"/>
  <c r="H168" i="24"/>
  <c r="G168" i="24"/>
  <c r="F168" i="24"/>
  <c r="E168" i="24"/>
  <c r="D168" i="24"/>
  <c r="C168" i="24"/>
  <c r="B168" i="24"/>
  <c r="A168" i="24"/>
  <c r="J167" i="24"/>
  <c r="I167" i="24"/>
  <c r="H167" i="24"/>
  <c r="G167" i="24"/>
  <c r="F167" i="24"/>
  <c r="E167" i="24"/>
  <c r="D167" i="24"/>
  <c r="C167" i="24"/>
  <c r="B167" i="24"/>
  <c r="A167" i="24"/>
  <c r="J166" i="24"/>
  <c r="I166" i="24"/>
  <c r="H166" i="24"/>
  <c r="G166" i="24"/>
  <c r="F166" i="24"/>
  <c r="E166" i="24"/>
  <c r="D166" i="24"/>
  <c r="C166" i="24"/>
  <c r="B166" i="24"/>
  <c r="A166" i="24"/>
  <c r="J165" i="24"/>
  <c r="I165" i="24"/>
  <c r="H165" i="24"/>
  <c r="G165" i="24"/>
  <c r="F165" i="24"/>
  <c r="E165" i="24"/>
  <c r="D165" i="24"/>
  <c r="C165" i="24"/>
  <c r="B165" i="24"/>
  <c r="A165" i="24"/>
  <c r="J164" i="24"/>
  <c r="I164" i="24"/>
  <c r="H164" i="24"/>
  <c r="G164" i="24"/>
  <c r="F164" i="24"/>
  <c r="E164" i="24"/>
  <c r="D164" i="24"/>
  <c r="C164" i="24"/>
  <c r="B164" i="24"/>
  <c r="A164" i="24"/>
  <c r="J163" i="24"/>
  <c r="I163" i="24"/>
  <c r="H163" i="24"/>
  <c r="G163" i="24"/>
  <c r="F163" i="24"/>
  <c r="E163" i="24"/>
  <c r="D163" i="24"/>
  <c r="C163" i="24"/>
  <c r="B163" i="24"/>
  <c r="A163" i="24"/>
  <c r="J162" i="24"/>
  <c r="I162" i="24"/>
  <c r="H162" i="24"/>
  <c r="G162" i="24"/>
  <c r="F162" i="24"/>
  <c r="E162" i="24"/>
  <c r="D162" i="24"/>
  <c r="C162" i="24"/>
  <c r="B162" i="24"/>
  <c r="A162" i="24"/>
  <c r="J161" i="24"/>
  <c r="I161" i="24"/>
  <c r="H161" i="24"/>
  <c r="G161" i="24"/>
  <c r="F161" i="24"/>
  <c r="E161" i="24"/>
  <c r="D161" i="24"/>
  <c r="C161" i="24"/>
  <c r="B161" i="24"/>
  <c r="A161" i="24"/>
  <c r="J160" i="24"/>
  <c r="I160" i="24"/>
  <c r="H160" i="24"/>
  <c r="G160" i="24"/>
  <c r="F160" i="24"/>
  <c r="E160" i="24"/>
  <c r="D160" i="24"/>
  <c r="C160" i="24"/>
  <c r="B160" i="24"/>
  <c r="A160" i="24"/>
  <c r="J159" i="24"/>
  <c r="I159" i="24"/>
  <c r="H159" i="24"/>
  <c r="G159" i="24"/>
  <c r="F159" i="24"/>
  <c r="E159" i="24"/>
  <c r="D159" i="24"/>
  <c r="C159" i="24"/>
  <c r="B159" i="24"/>
  <c r="A159" i="24"/>
  <c r="J158" i="24"/>
  <c r="I158" i="24"/>
  <c r="H158" i="24"/>
  <c r="G158" i="24"/>
  <c r="F158" i="24"/>
  <c r="E158" i="24"/>
  <c r="D158" i="24"/>
  <c r="C158" i="24"/>
  <c r="B158" i="24"/>
  <c r="A158" i="24"/>
  <c r="J157" i="24"/>
  <c r="I157" i="24"/>
  <c r="H157" i="24"/>
  <c r="G157" i="24"/>
  <c r="F157" i="24"/>
  <c r="E157" i="24"/>
  <c r="D157" i="24"/>
  <c r="C157" i="24"/>
  <c r="B157" i="24"/>
  <c r="A157" i="24"/>
  <c r="J156" i="24"/>
  <c r="I156" i="24"/>
  <c r="H156" i="24"/>
  <c r="G156" i="24"/>
  <c r="F156" i="24"/>
  <c r="E156" i="24"/>
  <c r="D156" i="24"/>
  <c r="C156" i="24"/>
  <c r="B156" i="24"/>
  <c r="A156" i="24"/>
  <c r="J155" i="24"/>
  <c r="I155" i="24"/>
  <c r="H155" i="24"/>
  <c r="G155" i="24"/>
  <c r="F155" i="24"/>
  <c r="E155" i="24"/>
  <c r="D155" i="24"/>
  <c r="C155" i="24"/>
  <c r="B155" i="24"/>
  <c r="A155" i="24"/>
  <c r="J154" i="24"/>
  <c r="I154" i="24"/>
  <c r="H154" i="24"/>
  <c r="G154" i="24"/>
  <c r="F154" i="24"/>
  <c r="E154" i="24"/>
  <c r="D154" i="24"/>
  <c r="C154" i="24"/>
  <c r="B154" i="24"/>
  <c r="A154" i="24"/>
  <c r="J153" i="24"/>
  <c r="I153" i="24"/>
  <c r="H153" i="24"/>
  <c r="G153" i="24"/>
  <c r="F153" i="24"/>
  <c r="E153" i="24"/>
  <c r="D153" i="24"/>
  <c r="C153" i="24"/>
  <c r="B153" i="24"/>
  <c r="A153" i="24"/>
  <c r="J152" i="24"/>
  <c r="I152" i="24"/>
  <c r="H152" i="24"/>
  <c r="G152" i="24"/>
  <c r="F152" i="24"/>
  <c r="E152" i="24"/>
  <c r="D152" i="24"/>
  <c r="C152" i="24"/>
  <c r="B152" i="24"/>
  <c r="A152" i="24"/>
  <c r="J151" i="24"/>
  <c r="I151" i="24"/>
  <c r="H151" i="24"/>
  <c r="G151" i="24"/>
  <c r="F151" i="24"/>
  <c r="E151" i="24"/>
  <c r="D151" i="24"/>
  <c r="C151" i="24"/>
  <c r="B151" i="24"/>
  <c r="A151" i="24"/>
  <c r="J150" i="24"/>
  <c r="I150" i="24"/>
  <c r="H150" i="24"/>
  <c r="G150" i="24"/>
  <c r="F150" i="24"/>
  <c r="E150" i="24"/>
  <c r="D150" i="24"/>
  <c r="C150" i="24"/>
  <c r="B150" i="24"/>
  <c r="A150" i="24"/>
  <c r="J149" i="24"/>
  <c r="I149" i="24"/>
  <c r="H149" i="24"/>
  <c r="G149" i="24"/>
  <c r="F149" i="24"/>
  <c r="E149" i="24"/>
  <c r="D149" i="24"/>
  <c r="C149" i="24"/>
  <c r="B149" i="24"/>
  <c r="A149" i="24"/>
  <c r="J148" i="24"/>
  <c r="I148" i="24"/>
  <c r="H148" i="24"/>
  <c r="G148" i="24"/>
  <c r="F148" i="24"/>
  <c r="E148" i="24"/>
  <c r="D148" i="24"/>
  <c r="C148" i="24"/>
  <c r="B148" i="24"/>
  <c r="A148" i="24"/>
  <c r="J147" i="24"/>
  <c r="I147" i="24"/>
  <c r="H147" i="24"/>
  <c r="G147" i="24"/>
  <c r="F147" i="24"/>
  <c r="E147" i="24"/>
  <c r="D147" i="24"/>
  <c r="C147" i="24"/>
  <c r="B147" i="24"/>
  <c r="A147" i="24"/>
  <c r="J146" i="24"/>
  <c r="I146" i="24"/>
  <c r="H146" i="24"/>
  <c r="G146" i="24"/>
  <c r="F146" i="24"/>
  <c r="E146" i="24"/>
  <c r="D146" i="24"/>
  <c r="C146" i="24"/>
  <c r="B146" i="24"/>
  <c r="A146" i="24"/>
  <c r="J145" i="24"/>
  <c r="I145" i="24"/>
  <c r="H145" i="24"/>
  <c r="G145" i="24"/>
  <c r="F145" i="24"/>
  <c r="E145" i="24"/>
  <c r="D145" i="24"/>
  <c r="C145" i="24"/>
  <c r="B145" i="24"/>
  <c r="A145" i="24"/>
  <c r="J144" i="24"/>
  <c r="I144" i="24"/>
  <c r="H144" i="24"/>
  <c r="G144" i="24"/>
  <c r="F144" i="24"/>
  <c r="E144" i="24"/>
  <c r="D144" i="24"/>
  <c r="C144" i="24"/>
  <c r="B144" i="24"/>
  <c r="A144" i="24"/>
  <c r="J143" i="24"/>
  <c r="I143" i="24"/>
  <c r="H143" i="24"/>
  <c r="G143" i="24"/>
  <c r="F143" i="24"/>
  <c r="E143" i="24"/>
  <c r="D143" i="24"/>
  <c r="C143" i="24"/>
  <c r="B143" i="24"/>
  <c r="A143" i="24"/>
  <c r="J142" i="24"/>
  <c r="I142" i="24"/>
  <c r="H142" i="24"/>
  <c r="G142" i="24"/>
  <c r="F142" i="24"/>
  <c r="E142" i="24"/>
  <c r="D142" i="24"/>
  <c r="C142" i="24"/>
  <c r="B142" i="24"/>
  <c r="A142" i="24"/>
  <c r="J141" i="24"/>
  <c r="I141" i="24"/>
  <c r="H141" i="24"/>
  <c r="G141" i="24"/>
  <c r="F141" i="24"/>
  <c r="E141" i="24"/>
  <c r="D141" i="24"/>
  <c r="C141" i="24"/>
  <c r="B141" i="24"/>
  <c r="A141" i="24"/>
  <c r="J140" i="24"/>
  <c r="I140" i="24"/>
  <c r="H140" i="24"/>
  <c r="G140" i="24"/>
  <c r="F140" i="24"/>
  <c r="E140" i="24"/>
  <c r="D140" i="24"/>
  <c r="C140" i="24"/>
  <c r="B140" i="24"/>
  <c r="A140" i="24"/>
  <c r="J139" i="24"/>
  <c r="I139" i="24"/>
  <c r="H139" i="24"/>
  <c r="G139" i="24"/>
  <c r="F139" i="24"/>
  <c r="E139" i="24"/>
  <c r="D139" i="24"/>
  <c r="C139" i="24"/>
  <c r="B139" i="24"/>
  <c r="A139" i="24"/>
  <c r="J138" i="24"/>
  <c r="I138" i="24"/>
  <c r="H138" i="24"/>
  <c r="G138" i="24"/>
  <c r="F138" i="24"/>
  <c r="E138" i="24"/>
  <c r="D138" i="24"/>
  <c r="C138" i="24"/>
  <c r="B138" i="24"/>
  <c r="A138" i="24"/>
  <c r="J137" i="24"/>
  <c r="I137" i="24"/>
  <c r="H137" i="24"/>
  <c r="G137" i="24"/>
  <c r="F137" i="24"/>
  <c r="E137" i="24"/>
  <c r="D137" i="24"/>
  <c r="C137" i="24"/>
  <c r="B137" i="24"/>
  <c r="A137" i="24"/>
  <c r="J136" i="24"/>
  <c r="I136" i="24"/>
  <c r="H136" i="24"/>
  <c r="G136" i="24"/>
  <c r="F136" i="24"/>
  <c r="E136" i="24"/>
  <c r="D136" i="24"/>
  <c r="C136" i="24"/>
  <c r="B136" i="24"/>
  <c r="A136" i="24"/>
  <c r="J135" i="24"/>
  <c r="I135" i="24"/>
  <c r="H135" i="24"/>
  <c r="G135" i="24"/>
  <c r="F135" i="24"/>
  <c r="E135" i="24"/>
  <c r="D135" i="24"/>
  <c r="C135" i="24"/>
  <c r="B135" i="24"/>
  <c r="A135" i="24"/>
  <c r="J134" i="24"/>
  <c r="I134" i="24"/>
  <c r="H134" i="24"/>
  <c r="G134" i="24"/>
  <c r="F134" i="24"/>
  <c r="E134" i="24"/>
  <c r="D134" i="24"/>
  <c r="C134" i="24"/>
  <c r="B134" i="24"/>
  <c r="A134" i="24"/>
  <c r="J133" i="24"/>
  <c r="I133" i="24"/>
  <c r="H133" i="24"/>
  <c r="G133" i="24"/>
  <c r="F133" i="24"/>
  <c r="E133" i="24"/>
  <c r="D133" i="24"/>
  <c r="C133" i="24"/>
  <c r="B133" i="24"/>
  <c r="A133" i="24"/>
  <c r="J132" i="24"/>
  <c r="I132" i="24"/>
  <c r="H132" i="24"/>
  <c r="G132" i="24"/>
  <c r="F132" i="24"/>
  <c r="E132" i="24"/>
  <c r="D132" i="24"/>
  <c r="C132" i="24"/>
  <c r="B132" i="24"/>
  <c r="A132" i="24"/>
  <c r="J131" i="24"/>
  <c r="I131" i="24"/>
  <c r="H131" i="24"/>
  <c r="G131" i="24"/>
  <c r="F131" i="24"/>
  <c r="E131" i="24"/>
  <c r="D131" i="24"/>
  <c r="C131" i="24"/>
  <c r="B131" i="24"/>
  <c r="A131" i="24"/>
  <c r="J130" i="24"/>
  <c r="I130" i="24"/>
  <c r="H130" i="24"/>
  <c r="G130" i="24"/>
  <c r="F130" i="24"/>
  <c r="E130" i="24"/>
  <c r="D130" i="24"/>
  <c r="C130" i="24"/>
  <c r="B130" i="24"/>
  <c r="A130" i="24"/>
  <c r="J129" i="24"/>
  <c r="I129" i="24"/>
  <c r="H129" i="24"/>
  <c r="G129" i="24"/>
  <c r="F129" i="24"/>
  <c r="E129" i="24"/>
  <c r="D129" i="24"/>
  <c r="C129" i="24"/>
  <c r="B129" i="24"/>
  <c r="A129" i="24"/>
  <c r="J128" i="24"/>
  <c r="I128" i="24"/>
  <c r="H128" i="24"/>
  <c r="G128" i="24"/>
  <c r="F128" i="24"/>
  <c r="E128" i="24"/>
  <c r="D128" i="24"/>
  <c r="C128" i="24"/>
  <c r="B128" i="24"/>
  <c r="A128" i="24"/>
  <c r="J127" i="24"/>
  <c r="I127" i="24"/>
  <c r="H127" i="24"/>
  <c r="G127" i="24"/>
  <c r="F127" i="24"/>
  <c r="E127" i="24"/>
  <c r="D127" i="24"/>
  <c r="C127" i="24"/>
  <c r="B127" i="24"/>
  <c r="A127" i="24"/>
  <c r="J126" i="24"/>
  <c r="I126" i="24"/>
  <c r="H126" i="24"/>
  <c r="G126" i="24"/>
  <c r="F126" i="24"/>
  <c r="E126" i="24"/>
  <c r="D126" i="24"/>
  <c r="C126" i="24"/>
  <c r="B126" i="24"/>
  <c r="A126" i="24"/>
  <c r="J125" i="24"/>
  <c r="I125" i="24"/>
  <c r="H125" i="24"/>
  <c r="G125" i="24"/>
  <c r="F125" i="24"/>
  <c r="E125" i="24"/>
  <c r="D125" i="24"/>
  <c r="C125" i="24"/>
  <c r="B125" i="24"/>
  <c r="A125" i="24"/>
  <c r="J124" i="24"/>
  <c r="I124" i="24"/>
  <c r="H124" i="24"/>
  <c r="G124" i="24"/>
  <c r="F124" i="24"/>
  <c r="E124" i="24"/>
  <c r="D124" i="24"/>
  <c r="C124" i="24"/>
  <c r="B124" i="24"/>
  <c r="A124" i="24"/>
  <c r="J123" i="24"/>
  <c r="I123" i="24"/>
  <c r="H123" i="24"/>
  <c r="G123" i="24"/>
  <c r="F123" i="24"/>
  <c r="E123" i="24"/>
  <c r="D123" i="24"/>
  <c r="C123" i="24"/>
  <c r="B123" i="24"/>
  <c r="A123" i="24"/>
  <c r="J122" i="24"/>
  <c r="I122" i="24"/>
  <c r="H122" i="24"/>
  <c r="G122" i="24"/>
  <c r="F122" i="24"/>
  <c r="E122" i="24"/>
  <c r="D122" i="24"/>
  <c r="C122" i="24"/>
  <c r="B122" i="24"/>
  <c r="A122" i="24"/>
  <c r="J121" i="24"/>
  <c r="I121" i="24"/>
  <c r="H121" i="24"/>
  <c r="G121" i="24"/>
  <c r="F121" i="24"/>
  <c r="E121" i="24"/>
  <c r="D121" i="24"/>
  <c r="C121" i="24"/>
  <c r="B121" i="24"/>
  <c r="A121" i="24"/>
  <c r="J120" i="24"/>
  <c r="I120" i="24"/>
  <c r="H120" i="24"/>
  <c r="G120" i="24"/>
  <c r="F120" i="24"/>
  <c r="E120" i="24"/>
  <c r="D120" i="24"/>
  <c r="C120" i="24"/>
  <c r="B120" i="24"/>
  <c r="A120" i="24"/>
  <c r="J119" i="24"/>
  <c r="I119" i="24"/>
  <c r="H119" i="24"/>
  <c r="G119" i="24"/>
  <c r="F119" i="24"/>
  <c r="E119" i="24"/>
  <c r="D119" i="24"/>
  <c r="C119" i="24"/>
  <c r="B119" i="24"/>
  <c r="A119" i="24"/>
  <c r="J118" i="24"/>
  <c r="I118" i="24"/>
  <c r="H118" i="24"/>
  <c r="G118" i="24"/>
  <c r="F118" i="24"/>
  <c r="E118" i="24"/>
  <c r="D118" i="24"/>
  <c r="C118" i="24"/>
  <c r="B118" i="24"/>
  <c r="A118" i="24"/>
  <c r="J117" i="24"/>
  <c r="I117" i="24"/>
  <c r="H117" i="24"/>
  <c r="G117" i="24"/>
  <c r="F117" i="24"/>
  <c r="E117" i="24"/>
  <c r="D117" i="24"/>
  <c r="C117" i="24"/>
  <c r="B117" i="24"/>
  <c r="A117" i="24"/>
  <c r="J116" i="24"/>
  <c r="I116" i="24"/>
  <c r="H116" i="24"/>
  <c r="G116" i="24"/>
  <c r="F116" i="24"/>
  <c r="E116" i="24"/>
  <c r="D116" i="24"/>
  <c r="C116" i="24"/>
  <c r="B116" i="24"/>
  <c r="A116" i="24"/>
  <c r="J115" i="24"/>
  <c r="I115" i="24"/>
  <c r="H115" i="24"/>
  <c r="G115" i="24"/>
  <c r="F115" i="24"/>
  <c r="E115" i="24"/>
  <c r="D115" i="24"/>
  <c r="C115" i="24"/>
  <c r="B115" i="24"/>
  <c r="A115" i="24"/>
  <c r="J114" i="24"/>
  <c r="I114" i="24"/>
  <c r="H114" i="24"/>
  <c r="G114" i="24"/>
  <c r="F114" i="24"/>
  <c r="E114" i="24"/>
  <c r="D114" i="24"/>
  <c r="C114" i="24"/>
  <c r="B114" i="24"/>
  <c r="A114" i="24"/>
  <c r="J113" i="24"/>
  <c r="I113" i="24"/>
  <c r="H113" i="24"/>
  <c r="G113" i="24"/>
  <c r="F113" i="24"/>
  <c r="E113" i="24"/>
  <c r="D113" i="24"/>
  <c r="C113" i="24"/>
  <c r="B113" i="24"/>
  <c r="A113" i="24"/>
  <c r="J112" i="24"/>
  <c r="I112" i="24"/>
  <c r="H112" i="24"/>
  <c r="G112" i="24"/>
  <c r="F112" i="24"/>
  <c r="E112" i="24"/>
  <c r="D112" i="24"/>
  <c r="C112" i="24"/>
  <c r="B112" i="24"/>
  <c r="A112" i="24"/>
  <c r="J111" i="24"/>
  <c r="I111" i="24"/>
  <c r="H111" i="24"/>
  <c r="G111" i="24"/>
  <c r="F111" i="24"/>
  <c r="E111" i="24"/>
  <c r="D111" i="24"/>
  <c r="C111" i="24"/>
  <c r="B111" i="24"/>
  <c r="A111" i="24"/>
  <c r="J110" i="24"/>
  <c r="I110" i="24"/>
  <c r="H110" i="24"/>
  <c r="G110" i="24"/>
  <c r="F110" i="24"/>
  <c r="E110" i="24"/>
  <c r="D110" i="24"/>
  <c r="C110" i="24"/>
  <c r="B110" i="24"/>
  <c r="A110" i="24"/>
  <c r="J109" i="24"/>
  <c r="I109" i="24"/>
  <c r="H109" i="24"/>
  <c r="G109" i="24"/>
  <c r="F109" i="24"/>
  <c r="E109" i="24"/>
  <c r="D109" i="24"/>
  <c r="C109" i="24"/>
  <c r="B109" i="24"/>
  <c r="A109" i="24"/>
  <c r="J108" i="24"/>
  <c r="I108" i="24"/>
  <c r="H108" i="24"/>
  <c r="G108" i="24"/>
  <c r="F108" i="24"/>
  <c r="E108" i="24"/>
  <c r="D108" i="24"/>
  <c r="C108" i="24"/>
  <c r="B108" i="24"/>
  <c r="A108" i="24"/>
  <c r="J107" i="24"/>
  <c r="I107" i="24"/>
  <c r="H107" i="24"/>
  <c r="G107" i="24"/>
  <c r="F107" i="24"/>
  <c r="E107" i="24"/>
  <c r="D107" i="24"/>
  <c r="C107" i="24"/>
  <c r="B107" i="24"/>
  <c r="A107" i="24"/>
  <c r="J106" i="24"/>
  <c r="I106" i="24"/>
  <c r="H106" i="24"/>
  <c r="G106" i="24"/>
  <c r="F106" i="24"/>
  <c r="E106" i="24"/>
  <c r="D106" i="24"/>
  <c r="C106" i="24"/>
  <c r="B106" i="24"/>
  <c r="A106" i="24"/>
  <c r="J105" i="24"/>
  <c r="I105" i="24"/>
  <c r="H105" i="24"/>
  <c r="G105" i="24"/>
  <c r="F105" i="24"/>
  <c r="E105" i="24"/>
  <c r="D105" i="24"/>
  <c r="C105" i="24"/>
  <c r="B105" i="24"/>
  <c r="A105" i="24"/>
  <c r="J104" i="24"/>
  <c r="I104" i="24"/>
  <c r="H104" i="24"/>
  <c r="G104" i="24"/>
  <c r="F104" i="24"/>
  <c r="E104" i="24"/>
  <c r="D104" i="24"/>
  <c r="C104" i="24"/>
  <c r="B104" i="24"/>
  <c r="A104" i="24"/>
  <c r="J103" i="24"/>
  <c r="I103" i="24"/>
  <c r="H103" i="24"/>
  <c r="G103" i="24"/>
  <c r="F103" i="24"/>
  <c r="E103" i="24"/>
  <c r="D103" i="24"/>
  <c r="C103" i="24"/>
  <c r="B103" i="24"/>
  <c r="A103" i="24"/>
  <c r="J102" i="24"/>
  <c r="I102" i="24"/>
  <c r="H102" i="24"/>
  <c r="G102" i="24"/>
  <c r="F102" i="24"/>
  <c r="E102" i="24"/>
  <c r="D102" i="24"/>
  <c r="C102" i="24"/>
  <c r="B102" i="24"/>
  <c r="A102" i="24"/>
  <c r="J101" i="24"/>
  <c r="I101" i="24"/>
  <c r="H101" i="24"/>
  <c r="G101" i="24"/>
  <c r="F101" i="24"/>
  <c r="E101" i="24"/>
  <c r="D101" i="24"/>
  <c r="C101" i="24"/>
  <c r="B101" i="24"/>
  <c r="A101" i="24"/>
  <c r="J100" i="24"/>
  <c r="I100" i="24"/>
  <c r="H100" i="24"/>
  <c r="G100" i="24"/>
  <c r="F100" i="24"/>
  <c r="E100" i="24"/>
  <c r="D100" i="24"/>
  <c r="C100" i="24"/>
  <c r="B100" i="24"/>
  <c r="A100" i="24"/>
  <c r="J99" i="24"/>
  <c r="I99" i="24"/>
  <c r="H99" i="24"/>
  <c r="G99" i="24"/>
  <c r="F99" i="24"/>
  <c r="E99" i="24"/>
  <c r="D99" i="24"/>
  <c r="C99" i="24"/>
  <c r="B99" i="24"/>
  <c r="A99" i="24"/>
  <c r="J98" i="24"/>
  <c r="I98" i="24"/>
  <c r="H98" i="24"/>
  <c r="G98" i="24"/>
  <c r="F98" i="24"/>
  <c r="E98" i="24"/>
  <c r="D98" i="24"/>
  <c r="C98" i="24"/>
  <c r="B98" i="24"/>
  <c r="A98" i="24"/>
  <c r="J97" i="24"/>
  <c r="I97" i="24"/>
  <c r="H97" i="24"/>
  <c r="G97" i="24"/>
  <c r="F97" i="24"/>
  <c r="E97" i="24"/>
  <c r="D97" i="24"/>
  <c r="C97" i="24"/>
  <c r="B97" i="24"/>
  <c r="A97" i="24"/>
  <c r="J96" i="24"/>
  <c r="I96" i="24"/>
  <c r="H96" i="24"/>
  <c r="G96" i="24"/>
  <c r="F96" i="24"/>
  <c r="E96" i="24"/>
  <c r="D96" i="24"/>
  <c r="C96" i="24"/>
  <c r="B96" i="24"/>
  <c r="A96" i="24"/>
  <c r="J95" i="24"/>
  <c r="I95" i="24"/>
  <c r="H95" i="24"/>
  <c r="G95" i="24"/>
  <c r="F95" i="24"/>
  <c r="E95" i="24"/>
  <c r="D95" i="24"/>
  <c r="C95" i="24"/>
  <c r="B95" i="24"/>
  <c r="A95" i="24"/>
  <c r="J94" i="24"/>
  <c r="I94" i="24"/>
  <c r="H94" i="24"/>
  <c r="G94" i="24"/>
  <c r="F94" i="24"/>
  <c r="E94" i="24"/>
  <c r="D94" i="24"/>
  <c r="C94" i="24"/>
  <c r="B94" i="24"/>
  <c r="A94" i="24"/>
  <c r="J93" i="24"/>
  <c r="I93" i="24"/>
  <c r="H93" i="24"/>
  <c r="G93" i="24"/>
  <c r="F93" i="24"/>
  <c r="E93" i="24"/>
  <c r="D93" i="24"/>
  <c r="C93" i="24"/>
  <c r="B93" i="24"/>
  <c r="A93" i="24"/>
  <c r="J92" i="24"/>
  <c r="I92" i="24"/>
  <c r="H92" i="24"/>
  <c r="G92" i="24"/>
  <c r="F92" i="24"/>
  <c r="E92" i="24"/>
  <c r="D92" i="24"/>
  <c r="C92" i="24"/>
  <c r="B92" i="24"/>
  <c r="A92" i="24"/>
  <c r="J91" i="24"/>
  <c r="I91" i="24"/>
  <c r="H91" i="24"/>
  <c r="G91" i="24"/>
  <c r="F91" i="24"/>
  <c r="E91" i="24"/>
  <c r="D91" i="24"/>
  <c r="C91" i="24"/>
  <c r="B91" i="24"/>
  <c r="A91" i="24"/>
  <c r="J90" i="24"/>
  <c r="I90" i="24"/>
  <c r="H90" i="24"/>
  <c r="G90" i="24"/>
  <c r="F90" i="24"/>
  <c r="E90" i="24"/>
  <c r="D90" i="24"/>
  <c r="C90" i="24"/>
  <c r="B90" i="24"/>
  <c r="A90" i="24"/>
  <c r="J89" i="24"/>
  <c r="I89" i="24"/>
  <c r="H89" i="24"/>
  <c r="G89" i="24"/>
  <c r="F89" i="24"/>
  <c r="E89" i="24"/>
  <c r="D89" i="24"/>
  <c r="C89" i="24"/>
  <c r="B89" i="24"/>
  <c r="A89" i="24"/>
  <c r="J88" i="24"/>
  <c r="I88" i="24"/>
  <c r="H88" i="24"/>
  <c r="G88" i="24"/>
  <c r="F88" i="24"/>
  <c r="E88" i="24"/>
  <c r="D88" i="24"/>
  <c r="C88" i="24"/>
  <c r="B88" i="24"/>
  <c r="A88" i="24"/>
  <c r="J87" i="24"/>
  <c r="I87" i="24"/>
  <c r="H87" i="24"/>
  <c r="G87" i="24"/>
  <c r="F87" i="24"/>
  <c r="E87" i="24"/>
  <c r="D87" i="24"/>
  <c r="C87" i="24"/>
  <c r="B87" i="24"/>
  <c r="A87" i="24"/>
  <c r="J86" i="24"/>
  <c r="I86" i="24"/>
  <c r="H86" i="24"/>
  <c r="G86" i="24"/>
  <c r="F86" i="24"/>
  <c r="E86" i="24"/>
  <c r="D86" i="24"/>
  <c r="C86" i="24"/>
  <c r="B86" i="24"/>
  <c r="A86" i="24"/>
  <c r="J85" i="24"/>
  <c r="I85" i="24"/>
  <c r="H85" i="24"/>
  <c r="G85" i="24"/>
  <c r="F85" i="24"/>
  <c r="E85" i="24"/>
  <c r="D85" i="24"/>
  <c r="C85" i="24"/>
  <c r="B85" i="24"/>
  <c r="A85" i="24"/>
  <c r="J84" i="24"/>
  <c r="I84" i="24"/>
  <c r="H84" i="24"/>
  <c r="G84" i="24"/>
  <c r="F84" i="24"/>
  <c r="E84" i="24"/>
  <c r="D84" i="24"/>
  <c r="C84" i="24"/>
  <c r="B84" i="24"/>
  <c r="A84" i="24"/>
  <c r="J83" i="24"/>
  <c r="I83" i="24"/>
  <c r="H83" i="24"/>
  <c r="G83" i="24"/>
  <c r="F83" i="24"/>
  <c r="E83" i="24"/>
  <c r="D83" i="24"/>
  <c r="C83" i="24"/>
  <c r="B83" i="24"/>
  <c r="A83" i="24"/>
  <c r="J82" i="24"/>
  <c r="I82" i="24"/>
  <c r="H82" i="24"/>
  <c r="G82" i="24"/>
  <c r="F82" i="24"/>
  <c r="E82" i="24"/>
  <c r="D82" i="24"/>
  <c r="C82" i="24"/>
  <c r="B82" i="24"/>
  <c r="A82" i="24"/>
  <c r="J81" i="24"/>
  <c r="I81" i="24"/>
  <c r="H81" i="24"/>
  <c r="G81" i="24"/>
  <c r="F81" i="24"/>
  <c r="E81" i="24"/>
  <c r="D81" i="24"/>
  <c r="C81" i="24"/>
  <c r="B81" i="24"/>
  <c r="A81" i="24"/>
  <c r="J80" i="24"/>
  <c r="I80" i="24"/>
  <c r="H80" i="24"/>
  <c r="G80" i="24"/>
  <c r="F80" i="24"/>
  <c r="E80" i="24"/>
  <c r="D80" i="24"/>
  <c r="C80" i="24"/>
  <c r="B80" i="24"/>
  <c r="A80" i="24"/>
  <c r="J79" i="24"/>
  <c r="I79" i="24"/>
  <c r="H79" i="24"/>
  <c r="G79" i="24"/>
  <c r="F79" i="24"/>
  <c r="E79" i="24"/>
  <c r="D79" i="24"/>
  <c r="C79" i="24"/>
  <c r="B79" i="24"/>
  <c r="A79" i="24"/>
  <c r="J78" i="24"/>
  <c r="I78" i="24"/>
  <c r="H78" i="24"/>
  <c r="G78" i="24"/>
  <c r="F78" i="24"/>
  <c r="E78" i="24"/>
  <c r="D78" i="24"/>
  <c r="C78" i="24"/>
  <c r="B78" i="24"/>
  <c r="A78" i="24"/>
  <c r="J77" i="24"/>
  <c r="I77" i="24"/>
  <c r="H77" i="24"/>
  <c r="G77" i="24"/>
  <c r="F77" i="24"/>
  <c r="E77" i="24"/>
  <c r="D77" i="24"/>
  <c r="C77" i="24"/>
  <c r="B77" i="24"/>
  <c r="A77" i="24"/>
  <c r="J76" i="24"/>
  <c r="I76" i="24"/>
  <c r="H76" i="24"/>
  <c r="G76" i="24"/>
  <c r="F76" i="24"/>
  <c r="E76" i="24"/>
  <c r="D76" i="24"/>
  <c r="C76" i="24"/>
  <c r="B76" i="24"/>
  <c r="A76" i="24"/>
  <c r="J75" i="24"/>
  <c r="I75" i="24"/>
  <c r="H75" i="24"/>
  <c r="G75" i="24"/>
  <c r="F75" i="24"/>
  <c r="E75" i="24"/>
  <c r="D75" i="24"/>
  <c r="C75" i="24"/>
  <c r="B75" i="24"/>
  <c r="A75" i="24"/>
  <c r="J74" i="24"/>
  <c r="I74" i="24"/>
  <c r="H74" i="24"/>
  <c r="G74" i="24"/>
  <c r="F74" i="24"/>
  <c r="E74" i="24"/>
  <c r="D74" i="24"/>
  <c r="C74" i="24"/>
  <c r="B74" i="24"/>
  <c r="A74" i="24"/>
  <c r="J73" i="24"/>
  <c r="I73" i="24"/>
  <c r="H73" i="24"/>
  <c r="G73" i="24"/>
  <c r="F73" i="24"/>
  <c r="E73" i="24"/>
  <c r="D73" i="24"/>
  <c r="C73" i="24"/>
  <c r="B73" i="24"/>
  <c r="A73" i="24"/>
  <c r="J72" i="24"/>
  <c r="I72" i="24"/>
  <c r="H72" i="24"/>
  <c r="G72" i="24"/>
  <c r="F72" i="24"/>
  <c r="E72" i="24"/>
  <c r="D72" i="24"/>
  <c r="C72" i="24"/>
  <c r="B72" i="24"/>
  <c r="A72" i="24"/>
  <c r="J71" i="24"/>
  <c r="I71" i="24"/>
  <c r="H71" i="24"/>
  <c r="G71" i="24"/>
  <c r="F71" i="24"/>
  <c r="E71" i="24"/>
  <c r="D71" i="24"/>
  <c r="C71" i="24"/>
  <c r="B71" i="24"/>
  <c r="A71" i="24"/>
  <c r="J70" i="24"/>
  <c r="I70" i="24"/>
  <c r="H70" i="24"/>
  <c r="G70" i="24"/>
  <c r="F70" i="24"/>
  <c r="E70" i="24"/>
  <c r="D70" i="24"/>
  <c r="C70" i="24"/>
  <c r="B70" i="24"/>
  <c r="A70" i="24"/>
  <c r="J69" i="24"/>
  <c r="I69" i="24"/>
  <c r="H69" i="24"/>
  <c r="G69" i="24"/>
  <c r="F69" i="24"/>
  <c r="E69" i="24"/>
  <c r="D69" i="24"/>
  <c r="C69" i="24"/>
  <c r="B69" i="24"/>
  <c r="A69" i="24"/>
  <c r="J68" i="24"/>
  <c r="I68" i="24"/>
  <c r="H68" i="24"/>
  <c r="G68" i="24"/>
  <c r="F68" i="24"/>
  <c r="E68" i="24"/>
  <c r="D68" i="24"/>
  <c r="C68" i="24"/>
  <c r="B68" i="24"/>
  <c r="A68" i="24"/>
  <c r="J67" i="24"/>
  <c r="I67" i="24"/>
  <c r="H67" i="24"/>
  <c r="G67" i="24"/>
  <c r="F67" i="24"/>
  <c r="E67" i="24"/>
  <c r="D67" i="24"/>
  <c r="C67" i="24"/>
  <c r="B67" i="24"/>
  <c r="A67" i="24"/>
  <c r="J66" i="24"/>
  <c r="I66" i="24"/>
  <c r="H66" i="24"/>
  <c r="G66" i="24"/>
  <c r="F66" i="24"/>
  <c r="E66" i="24"/>
  <c r="D66" i="24"/>
  <c r="C66" i="24"/>
  <c r="B66" i="24"/>
  <c r="A66" i="24"/>
  <c r="J65" i="24"/>
  <c r="I65" i="24"/>
  <c r="H65" i="24"/>
  <c r="G65" i="24"/>
  <c r="F65" i="24"/>
  <c r="E65" i="24"/>
  <c r="D65" i="24"/>
  <c r="C65" i="24"/>
  <c r="B65" i="24"/>
  <c r="A65" i="24"/>
  <c r="J64" i="24"/>
  <c r="I64" i="24"/>
  <c r="H64" i="24"/>
  <c r="G64" i="24"/>
  <c r="F64" i="24"/>
  <c r="E64" i="24"/>
  <c r="D64" i="24"/>
  <c r="C64" i="24"/>
  <c r="B64" i="24"/>
  <c r="A64" i="24"/>
  <c r="J63" i="24"/>
  <c r="I63" i="24"/>
  <c r="H63" i="24"/>
  <c r="G63" i="24"/>
  <c r="F63" i="24"/>
  <c r="E63" i="24"/>
  <c r="D63" i="24"/>
  <c r="C63" i="24"/>
  <c r="B63" i="24"/>
  <c r="A63" i="24"/>
  <c r="J62" i="24"/>
  <c r="I62" i="24"/>
  <c r="H62" i="24"/>
  <c r="G62" i="24"/>
  <c r="F62" i="24"/>
  <c r="E62" i="24"/>
  <c r="D62" i="24"/>
  <c r="C62" i="24"/>
  <c r="B62" i="24"/>
  <c r="A62" i="24"/>
  <c r="J61" i="24"/>
  <c r="I61" i="24"/>
  <c r="H61" i="24"/>
  <c r="G61" i="24"/>
  <c r="F61" i="24"/>
  <c r="E61" i="24"/>
  <c r="D61" i="24"/>
  <c r="C61" i="24"/>
  <c r="B61" i="24"/>
  <c r="A61" i="24"/>
  <c r="J60" i="24"/>
  <c r="I60" i="24"/>
  <c r="H60" i="24"/>
  <c r="G60" i="24"/>
  <c r="F60" i="24"/>
  <c r="E60" i="24"/>
  <c r="D60" i="24"/>
  <c r="C60" i="24"/>
  <c r="B60" i="24"/>
  <c r="A60" i="24"/>
  <c r="J59" i="24"/>
  <c r="I59" i="24"/>
  <c r="H59" i="24"/>
  <c r="G59" i="24"/>
  <c r="F59" i="24"/>
  <c r="E59" i="24"/>
  <c r="D59" i="24"/>
  <c r="C59" i="24"/>
  <c r="B59" i="24"/>
  <c r="A59" i="24"/>
  <c r="J58" i="24"/>
  <c r="I58" i="24"/>
  <c r="H58" i="24"/>
  <c r="G58" i="24"/>
  <c r="F58" i="24"/>
  <c r="E58" i="24"/>
  <c r="D58" i="24"/>
  <c r="C58" i="24"/>
  <c r="B58" i="24"/>
  <c r="A58" i="24"/>
  <c r="J57" i="24"/>
  <c r="I57" i="24"/>
  <c r="H57" i="24"/>
  <c r="G57" i="24"/>
  <c r="F57" i="24"/>
  <c r="E57" i="24"/>
  <c r="D57" i="24"/>
  <c r="C57" i="24"/>
  <c r="B57" i="24"/>
  <c r="A57" i="24"/>
  <c r="J56" i="24"/>
  <c r="I56" i="24"/>
  <c r="H56" i="24"/>
  <c r="G56" i="24"/>
  <c r="F56" i="24"/>
  <c r="E56" i="24"/>
  <c r="D56" i="24"/>
  <c r="C56" i="24"/>
  <c r="B56" i="24"/>
  <c r="A56" i="24"/>
  <c r="J55" i="24"/>
  <c r="I55" i="24"/>
  <c r="H55" i="24"/>
  <c r="G55" i="24"/>
  <c r="F55" i="24"/>
  <c r="E55" i="24"/>
  <c r="D55" i="24"/>
  <c r="C55" i="24"/>
  <c r="B55" i="24"/>
  <c r="A55" i="24"/>
  <c r="J54" i="24"/>
  <c r="I54" i="24"/>
  <c r="H54" i="24"/>
  <c r="G54" i="24"/>
  <c r="F54" i="24"/>
  <c r="E54" i="24"/>
  <c r="D54" i="24"/>
  <c r="C54" i="24"/>
  <c r="B54" i="24"/>
  <c r="A54" i="24"/>
  <c r="J53" i="24"/>
  <c r="I53" i="24"/>
  <c r="H53" i="24"/>
  <c r="G53" i="24"/>
  <c r="F53" i="24"/>
  <c r="E53" i="24"/>
  <c r="D53" i="24"/>
  <c r="C53" i="24"/>
  <c r="B53" i="24"/>
  <c r="A53" i="24"/>
  <c r="J52" i="24"/>
  <c r="I52" i="24"/>
  <c r="H52" i="24"/>
  <c r="G52" i="24"/>
  <c r="F52" i="24"/>
  <c r="E52" i="24"/>
  <c r="D52" i="24"/>
  <c r="C52" i="24"/>
  <c r="B52" i="24"/>
  <c r="A52" i="24"/>
  <c r="J51" i="24"/>
  <c r="I51" i="24"/>
  <c r="H51" i="24"/>
  <c r="G51" i="24"/>
  <c r="F51" i="24"/>
  <c r="E51" i="24"/>
  <c r="D51" i="24"/>
  <c r="C51" i="24"/>
  <c r="B51" i="24"/>
  <c r="A51" i="24"/>
  <c r="J50" i="24"/>
  <c r="I50" i="24"/>
  <c r="H50" i="24"/>
  <c r="G50" i="24"/>
  <c r="F50" i="24"/>
  <c r="E50" i="24"/>
  <c r="D50" i="24"/>
  <c r="C50" i="24"/>
  <c r="B50" i="24"/>
  <c r="A50" i="24"/>
  <c r="J49" i="24"/>
  <c r="I49" i="24"/>
  <c r="H49" i="24"/>
  <c r="G49" i="24"/>
  <c r="F49" i="24"/>
  <c r="E49" i="24"/>
  <c r="D49" i="24"/>
  <c r="C49" i="24"/>
  <c r="B49" i="24"/>
  <c r="A49" i="24"/>
  <c r="J48" i="24"/>
  <c r="I48" i="24"/>
  <c r="H48" i="24"/>
  <c r="G48" i="24"/>
  <c r="F48" i="24"/>
  <c r="E48" i="24"/>
  <c r="D48" i="24"/>
  <c r="C48" i="24"/>
  <c r="B48" i="24"/>
  <c r="A48" i="24"/>
  <c r="J47" i="24"/>
  <c r="I47" i="24"/>
  <c r="H47" i="24"/>
  <c r="G47" i="24"/>
  <c r="F47" i="24"/>
  <c r="E47" i="24"/>
  <c r="D47" i="24"/>
  <c r="C47" i="24"/>
  <c r="B47" i="24"/>
  <c r="A47" i="24"/>
  <c r="J46" i="24"/>
  <c r="I46" i="24"/>
  <c r="H46" i="24"/>
  <c r="G46" i="24"/>
  <c r="F46" i="24"/>
  <c r="E46" i="24"/>
  <c r="D46" i="24"/>
  <c r="C46" i="24"/>
  <c r="B46" i="24"/>
  <c r="A46" i="24"/>
  <c r="J45" i="24"/>
  <c r="I45" i="24"/>
  <c r="H45" i="24"/>
  <c r="G45" i="24"/>
  <c r="F45" i="24"/>
  <c r="E45" i="24"/>
  <c r="D45" i="24"/>
  <c r="C45" i="24"/>
  <c r="B45" i="24"/>
  <c r="A45" i="24"/>
  <c r="J44" i="24"/>
  <c r="I44" i="24"/>
  <c r="H44" i="24"/>
  <c r="G44" i="24"/>
  <c r="F44" i="24"/>
  <c r="E44" i="24"/>
  <c r="D44" i="24"/>
  <c r="C44" i="24"/>
  <c r="B44" i="24"/>
  <c r="A44" i="24"/>
  <c r="J43" i="24"/>
  <c r="I43" i="24"/>
  <c r="H43" i="24"/>
  <c r="G43" i="24"/>
  <c r="F43" i="24"/>
  <c r="E43" i="24"/>
  <c r="D43" i="24"/>
  <c r="C43" i="24"/>
  <c r="B43" i="24"/>
  <c r="A43" i="24"/>
  <c r="J42" i="24"/>
  <c r="I42" i="24"/>
  <c r="H42" i="24"/>
  <c r="G42" i="24"/>
  <c r="F42" i="24"/>
  <c r="E42" i="24"/>
  <c r="D42" i="24"/>
  <c r="C42" i="24"/>
  <c r="B42" i="24"/>
  <c r="A42" i="24"/>
  <c r="J41" i="24"/>
  <c r="I41" i="24"/>
  <c r="H41" i="24"/>
  <c r="G41" i="24"/>
  <c r="F41" i="24"/>
  <c r="E41" i="24"/>
  <c r="D41" i="24"/>
  <c r="C41" i="24"/>
  <c r="B41" i="24"/>
  <c r="A41" i="24"/>
  <c r="J40" i="24"/>
  <c r="I40" i="24"/>
  <c r="H40" i="24"/>
  <c r="G40" i="24"/>
  <c r="F40" i="24"/>
  <c r="E40" i="24"/>
  <c r="D40" i="24"/>
  <c r="C40" i="24"/>
  <c r="B40" i="24"/>
  <c r="A40" i="24"/>
  <c r="J39" i="24"/>
  <c r="I39" i="24"/>
  <c r="H39" i="24"/>
  <c r="G39" i="24"/>
  <c r="F39" i="24"/>
  <c r="E39" i="24"/>
  <c r="D39" i="24"/>
  <c r="C39" i="24"/>
  <c r="B39" i="24"/>
  <c r="A39" i="24"/>
  <c r="J38" i="24"/>
  <c r="I38" i="24"/>
  <c r="H38" i="24"/>
  <c r="G38" i="24"/>
  <c r="F38" i="24"/>
  <c r="E38" i="24"/>
  <c r="D38" i="24"/>
  <c r="C38" i="24"/>
  <c r="B38" i="24"/>
  <c r="A38" i="24"/>
  <c r="J37" i="24"/>
  <c r="I37" i="24"/>
  <c r="H37" i="24"/>
  <c r="G37" i="24"/>
  <c r="F37" i="24"/>
  <c r="E37" i="24"/>
  <c r="D37" i="24"/>
  <c r="C37" i="24"/>
  <c r="B37" i="24"/>
  <c r="A37" i="24"/>
  <c r="J36" i="24"/>
  <c r="I36" i="24"/>
  <c r="H36" i="24"/>
  <c r="G36" i="24"/>
  <c r="F36" i="24"/>
  <c r="E36" i="24"/>
  <c r="D36" i="24"/>
  <c r="C36" i="24"/>
  <c r="B36" i="24"/>
  <c r="A36" i="24"/>
  <c r="J35" i="24"/>
  <c r="I35" i="24"/>
  <c r="H35" i="24"/>
  <c r="G35" i="24"/>
  <c r="F35" i="24"/>
  <c r="E35" i="24"/>
  <c r="D35" i="24"/>
  <c r="C35" i="24"/>
  <c r="B35" i="24"/>
  <c r="A35" i="24"/>
  <c r="J34" i="24"/>
  <c r="I34" i="24"/>
  <c r="H34" i="24"/>
  <c r="G34" i="24"/>
  <c r="F34" i="24"/>
  <c r="E34" i="24"/>
  <c r="D34" i="24"/>
  <c r="C34" i="24"/>
  <c r="B34" i="24"/>
  <c r="A34" i="24"/>
  <c r="J33" i="24"/>
  <c r="I33" i="24"/>
  <c r="H33" i="24"/>
  <c r="G33" i="24"/>
  <c r="F33" i="24"/>
  <c r="E33" i="24"/>
  <c r="D33" i="24"/>
  <c r="C33" i="24"/>
  <c r="B33" i="24"/>
  <c r="A33" i="24"/>
  <c r="J32" i="24"/>
  <c r="I32" i="24"/>
  <c r="H32" i="24"/>
  <c r="G32" i="24"/>
  <c r="F32" i="24"/>
  <c r="E32" i="24"/>
  <c r="D32" i="24"/>
  <c r="C32" i="24"/>
  <c r="B32" i="24"/>
  <c r="A32" i="24"/>
  <c r="J31" i="24"/>
  <c r="I31" i="24"/>
  <c r="H31" i="24"/>
  <c r="G31" i="24"/>
  <c r="F31" i="24"/>
  <c r="E31" i="24"/>
  <c r="D31" i="24"/>
  <c r="C31" i="24"/>
  <c r="B31" i="24"/>
  <c r="A31" i="24"/>
  <c r="J30" i="24"/>
  <c r="I30" i="24"/>
  <c r="H30" i="24"/>
  <c r="G30" i="24"/>
  <c r="F30" i="24"/>
  <c r="E30" i="24"/>
  <c r="D30" i="24"/>
  <c r="C30" i="24"/>
  <c r="B30" i="24"/>
  <c r="A30" i="24"/>
  <c r="J29" i="24"/>
  <c r="I29" i="24"/>
  <c r="H29" i="24"/>
  <c r="G29" i="24"/>
  <c r="F29" i="24"/>
  <c r="E29" i="24"/>
  <c r="D29" i="24"/>
  <c r="C29" i="24"/>
  <c r="B29" i="24"/>
  <c r="A29" i="24"/>
  <c r="J28" i="24"/>
  <c r="I28" i="24"/>
  <c r="H28" i="24"/>
  <c r="G28" i="24"/>
  <c r="F28" i="24"/>
  <c r="E28" i="24"/>
  <c r="D28" i="24"/>
  <c r="C28" i="24"/>
  <c r="B28" i="24"/>
  <c r="A28" i="24"/>
  <c r="J27" i="24"/>
  <c r="I27" i="24"/>
  <c r="H27" i="24"/>
  <c r="G27" i="24"/>
  <c r="F27" i="24"/>
  <c r="E27" i="24"/>
  <c r="D27" i="24"/>
  <c r="C27" i="24"/>
  <c r="B27" i="24"/>
  <c r="A27" i="24"/>
  <c r="J26" i="24"/>
  <c r="I26" i="24"/>
  <c r="H26" i="24"/>
  <c r="G26" i="24"/>
  <c r="F26" i="24"/>
  <c r="E26" i="24"/>
  <c r="D26" i="24"/>
  <c r="C26" i="24"/>
  <c r="B26" i="24"/>
  <c r="A26" i="24"/>
  <c r="J25" i="24"/>
  <c r="I25" i="24"/>
  <c r="H25" i="24"/>
  <c r="G25" i="24"/>
  <c r="F25" i="24"/>
  <c r="E25" i="24"/>
  <c r="D25" i="24"/>
  <c r="C25" i="24"/>
  <c r="B25" i="24"/>
  <c r="A25" i="24"/>
  <c r="J24" i="24"/>
  <c r="I24" i="24"/>
  <c r="H24" i="24"/>
  <c r="G24" i="24"/>
  <c r="F24" i="24"/>
  <c r="E24" i="24"/>
  <c r="D24" i="24"/>
  <c r="C24" i="24"/>
  <c r="B24" i="24"/>
  <c r="A24" i="24"/>
  <c r="J23" i="24"/>
  <c r="I23" i="24"/>
  <c r="H23" i="24"/>
  <c r="G23" i="24"/>
  <c r="F23" i="24"/>
  <c r="E23" i="24"/>
  <c r="D23" i="24"/>
  <c r="C23" i="24"/>
  <c r="B23" i="24"/>
  <c r="A23" i="24"/>
  <c r="J22" i="24"/>
  <c r="I22" i="24"/>
  <c r="H22" i="24"/>
  <c r="G22" i="24"/>
  <c r="F22" i="24"/>
  <c r="E22" i="24"/>
  <c r="D22" i="24"/>
  <c r="C22" i="24"/>
  <c r="B22" i="24"/>
  <c r="A22" i="24"/>
  <c r="J21" i="24"/>
  <c r="I21" i="24"/>
  <c r="H21" i="24"/>
  <c r="G21" i="24"/>
  <c r="F21" i="24"/>
  <c r="E21" i="24"/>
  <c r="D21" i="24"/>
  <c r="C21" i="24"/>
  <c r="B21" i="24"/>
  <c r="A21" i="24"/>
  <c r="J20" i="24"/>
  <c r="I20" i="24"/>
  <c r="H20" i="24"/>
  <c r="G20" i="24"/>
  <c r="F20" i="24"/>
  <c r="E20" i="24"/>
  <c r="D20" i="24"/>
  <c r="C20" i="24"/>
  <c r="B20" i="24"/>
  <c r="A20" i="24"/>
  <c r="J19" i="24"/>
  <c r="I19" i="24"/>
  <c r="H19" i="24"/>
  <c r="G19" i="24"/>
  <c r="F19" i="24"/>
  <c r="E19" i="24"/>
  <c r="D19" i="24"/>
  <c r="C19" i="24"/>
  <c r="B19" i="24"/>
  <c r="A19" i="24"/>
  <c r="J18" i="24"/>
  <c r="I18" i="24"/>
  <c r="H18" i="24"/>
  <c r="G18" i="24"/>
  <c r="F18" i="24"/>
  <c r="E18" i="24"/>
  <c r="D18" i="24"/>
  <c r="C18" i="24"/>
  <c r="B18" i="24"/>
  <c r="A18" i="24"/>
  <c r="J17" i="24"/>
  <c r="I17" i="24"/>
  <c r="H17" i="24"/>
  <c r="G17" i="24"/>
  <c r="F17" i="24"/>
  <c r="E17" i="24"/>
  <c r="D17" i="24"/>
  <c r="C17" i="24"/>
  <c r="B17" i="24"/>
  <c r="A17" i="24"/>
  <c r="J16" i="24"/>
  <c r="I16" i="24"/>
  <c r="H16" i="24"/>
  <c r="G16" i="24"/>
  <c r="F16" i="24"/>
  <c r="E16" i="24"/>
  <c r="D16" i="24"/>
  <c r="C16" i="24"/>
  <c r="B16" i="24"/>
  <c r="A16" i="24"/>
  <c r="J15" i="24"/>
  <c r="I15" i="24"/>
  <c r="H15" i="24"/>
  <c r="G15" i="24"/>
  <c r="F15" i="24"/>
  <c r="E15" i="24"/>
  <c r="D15" i="24"/>
  <c r="C15" i="24"/>
  <c r="B15" i="24"/>
  <c r="A15" i="24"/>
  <c r="J14" i="24"/>
  <c r="I14" i="24"/>
  <c r="H14" i="24"/>
  <c r="G14" i="24"/>
  <c r="F14" i="24"/>
  <c r="E14" i="24"/>
  <c r="D14" i="24"/>
  <c r="C14" i="24"/>
  <c r="B14" i="24"/>
  <c r="A14" i="24"/>
  <c r="J13" i="24"/>
  <c r="I13" i="24"/>
  <c r="H13" i="24"/>
  <c r="G13" i="24"/>
  <c r="F13" i="24"/>
  <c r="E13" i="24"/>
  <c r="D13" i="24"/>
  <c r="C13" i="24"/>
  <c r="B13" i="24"/>
  <c r="A13" i="24"/>
  <c r="J12" i="24"/>
  <c r="I12" i="24"/>
  <c r="H12" i="24"/>
  <c r="G12" i="24"/>
  <c r="F12" i="24"/>
  <c r="E12" i="24"/>
  <c r="D12" i="24"/>
  <c r="C12" i="24"/>
  <c r="B12" i="24"/>
  <c r="A12" i="24"/>
  <c r="J11" i="24"/>
  <c r="I11" i="24"/>
  <c r="H11" i="24"/>
  <c r="G11" i="24"/>
  <c r="F11" i="24"/>
  <c r="E11" i="24"/>
  <c r="D11" i="24"/>
  <c r="C11" i="24"/>
  <c r="B11" i="24"/>
  <c r="A11" i="24"/>
  <c r="J10" i="24"/>
  <c r="I10" i="24"/>
  <c r="H10" i="24"/>
  <c r="G10" i="24"/>
  <c r="F10" i="24"/>
  <c r="E10" i="24"/>
  <c r="D10" i="24"/>
  <c r="C10" i="24"/>
  <c r="B10" i="24"/>
  <c r="A10" i="24"/>
  <c r="J9" i="24"/>
  <c r="I9" i="24"/>
  <c r="H9" i="24"/>
  <c r="G9" i="24"/>
  <c r="F9" i="24"/>
  <c r="E9" i="24"/>
  <c r="D9" i="24"/>
  <c r="C9" i="24"/>
  <c r="B9" i="24"/>
  <c r="A9" i="24"/>
  <c r="J8" i="24"/>
  <c r="I8" i="24"/>
  <c r="H8" i="24"/>
  <c r="G8" i="24"/>
  <c r="F8" i="24"/>
  <c r="E8" i="24"/>
  <c r="D8" i="24"/>
  <c r="C8" i="24"/>
  <c r="B8" i="24"/>
  <c r="A8" i="24"/>
  <c r="J7" i="24"/>
  <c r="I7" i="24"/>
  <c r="H7" i="24"/>
  <c r="G7" i="24"/>
  <c r="F7" i="24"/>
  <c r="E7" i="24"/>
  <c r="D7" i="24"/>
  <c r="C7" i="24"/>
  <c r="B7" i="24"/>
  <c r="A7" i="24"/>
  <c r="J6" i="24"/>
  <c r="I6" i="24"/>
  <c r="H6" i="24"/>
  <c r="G6" i="24"/>
  <c r="F6" i="24"/>
  <c r="E6" i="24"/>
  <c r="D6" i="24"/>
  <c r="C6" i="24"/>
  <c r="B6" i="24"/>
  <c r="A6" i="24"/>
  <c r="J5" i="24"/>
  <c r="I5" i="24"/>
  <c r="H5" i="24"/>
  <c r="G5" i="24"/>
  <c r="F5" i="24"/>
  <c r="E5" i="24"/>
  <c r="D5" i="24"/>
  <c r="C5" i="24"/>
  <c r="B5" i="24"/>
  <c r="A5" i="24"/>
  <c r="J4" i="24"/>
  <c r="I4" i="24"/>
  <c r="H4" i="24"/>
  <c r="G4" i="24"/>
  <c r="F4" i="24"/>
  <c r="E4" i="24"/>
  <c r="D4" i="24"/>
  <c r="C4" i="24"/>
  <c r="B4" i="24"/>
  <c r="A4" i="24"/>
  <c r="J3" i="24"/>
  <c r="I3" i="24"/>
  <c r="H3" i="24"/>
  <c r="G3" i="24"/>
  <c r="F3" i="24"/>
  <c r="E3" i="24"/>
  <c r="D3" i="24"/>
  <c r="C3" i="24"/>
  <c r="B3" i="24"/>
  <c r="A3" i="24"/>
  <c r="J2" i="24"/>
  <c r="I2" i="24"/>
  <c r="H2" i="24"/>
  <c r="G2" i="24"/>
  <c r="F2" i="24"/>
  <c r="E2" i="24"/>
  <c r="D2" i="24"/>
  <c r="C2" i="24"/>
  <c r="B2" i="24"/>
  <c r="A2" i="24"/>
  <c r="J1" i="24"/>
  <c r="I1" i="24"/>
  <c r="H1" i="24"/>
  <c r="G1" i="24"/>
  <c r="F1" i="24"/>
  <c r="E1" i="24"/>
  <c r="D1" i="24"/>
  <c r="C1" i="24"/>
  <c r="B1" i="24"/>
  <c r="A1" i="24"/>
  <c r="J139" i="23"/>
  <c r="I139" i="23"/>
  <c r="H139" i="23"/>
  <c r="G139" i="23"/>
  <c r="F139" i="23"/>
  <c r="E139" i="23"/>
  <c r="D139" i="23"/>
  <c r="C139" i="23"/>
  <c r="B139" i="23"/>
  <c r="A139" i="23"/>
  <c r="J138" i="23"/>
  <c r="I138" i="23"/>
  <c r="H138" i="23"/>
  <c r="G138" i="23"/>
  <c r="F138" i="23"/>
  <c r="E138" i="23"/>
  <c r="D138" i="23"/>
  <c r="C138" i="23"/>
  <c r="B138" i="23"/>
  <c r="A138" i="23"/>
  <c r="J137" i="23"/>
  <c r="I137" i="23"/>
  <c r="H137" i="23"/>
  <c r="G137" i="23"/>
  <c r="F137" i="23"/>
  <c r="E137" i="23"/>
  <c r="D137" i="23"/>
  <c r="C137" i="23"/>
  <c r="B137" i="23"/>
  <c r="A137" i="23"/>
  <c r="J136" i="23"/>
  <c r="I136" i="23"/>
  <c r="H136" i="23"/>
  <c r="G136" i="23"/>
  <c r="F136" i="23"/>
  <c r="E136" i="23"/>
  <c r="D136" i="23"/>
  <c r="C136" i="23"/>
  <c r="B136" i="23"/>
  <c r="A136" i="23"/>
  <c r="J135" i="23"/>
  <c r="I135" i="23"/>
  <c r="H135" i="23"/>
  <c r="G135" i="23"/>
  <c r="F135" i="23"/>
  <c r="E135" i="23"/>
  <c r="D135" i="23"/>
  <c r="C135" i="23"/>
  <c r="B135" i="23"/>
  <c r="A135" i="23"/>
  <c r="J134" i="23"/>
  <c r="I134" i="23"/>
  <c r="H134" i="23"/>
  <c r="G134" i="23"/>
  <c r="F134" i="23"/>
  <c r="E134" i="23"/>
  <c r="D134" i="23"/>
  <c r="C134" i="23"/>
  <c r="B134" i="23"/>
  <c r="A134" i="23"/>
  <c r="J133" i="23"/>
  <c r="I133" i="23"/>
  <c r="H133" i="23"/>
  <c r="G133" i="23"/>
  <c r="F133" i="23"/>
  <c r="E133" i="23"/>
  <c r="D133" i="23"/>
  <c r="C133" i="23"/>
  <c r="B133" i="23"/>
  <c r="A133" i="23"/>
  <c r="J132" i="23"/>
  <c r="I132" i="23"/>
  <c r="H132" i="23"/>
  <c r="G132" i="23"/>
  <c r="F132" i="23"/>
  <c r="E132" i="23"/>
  <c r="D132" i="23"/>
  <c r="C132" i="23"/>
  <c r="B132" i="23"/>
  <c r="A132" i="23"/>
  <c r="J131" i="23"/>
  <c r="I131" i="23"/>
  <c r="H131" i="23"/>
  <c r="G131" i="23"/>
  <c r="F131" i="23"/>
  <c r="E131" i="23"/>
  <c r="D131" i="23"/>
  <c r="C131" i="23"/>
  <c r="B131" i="23"/>
  <c r="A131" i="23"/>
  <c r="J130" i="23"/>
  <c r="I130" i="23"/>
  <c r="H130" i="23"/>
  <c r="G130" i="23"/>
  <c r="F130" i="23"/>
  <c r="E130" i="23"/>
  <c r="D130" i="23"/>
  <c r="C130" i="23"/>
  <c r="B130" i="23"/>
  <c r="A130" i="23"/>
  <c r="J129" i="23"/>
  <c r="I129" i="23"/>
  <c r="H129" i="23"/>
  <c r="G129" i="23"/>
  <c r="F129" i="23"/>
  <c r="E129" i="23"/>
  <c r="D129" i="23"/>
  <c r="C129" i="23"/>
  <c r="B129" i="23"/>
  <c r="A129" i="23"/>
  <c r="J128" i="23"/>
  <c r="I128" i="23"/>
  <c r="H128" i="23"/>
  <c r="G128" i="23"/>
  <c r="F128" i="23"/>
  <c r="E128" i="23"/>
  <c r="D128" i="23"/>
  <c r="C128" i="23"/>
  <c r="B128" i="23"/>
  <c r="A128" i="23"/>
  <c r="J127" i="23"/>
  <c r="I127" i="23"/>
  <c r="H127" i="23"/>
  <c r="G127" i="23"/>
  <c r="F127" i="23"/>
  <c r="E127" i="23"/>
  <c r="D127" i="23"/>
  <c r="C127" i="23"/>
  <c r="B127" i="23"/>
  <c r="A127" i="23"/>
  <c r="J126" i="23"/>
  <c r="I126" i="23"/>
  <c r="H126" i="23"/>
  <c r="G126" i="23"/>
  <c r="F126" i="23"/>
  <c r="E126" i="23"/>
  <c r="D126" i="23"/>
  <c r="C126" i="23"/>
  <c r="B126" i="23"/>
  <c r="A126" i="23"/>
  <c r="J125" i="23"/>
  <c r="I125" i="23"/>
  <c r="H125" i="23"/>
  <c r="G125" i="23"/>
  <c r="F125" i="23"/>
  <c r="E125" i="23"/>
  <c r="D125" i="23"/>
  <c r="C125" i="23"/>
  <c r="B125" i="23"/>
  <c r="A125" i="23"/>
  <c r="J124" i="23"/>
  <c r="I124" i="23"/>
  <c r="H124" i="23"/>
  <c r="G124" i="23"/>
  <c r="F124" i="23"/>
  <c r="E124" i="23"/>
  <c r="D124" i="23"/>
  <c r="C124" i="23"/>
  <c r="B124" i="23"/>
  <c r="A124" i="23"/>
  <c r="J123" i="23"/>
  <c r="I123" i="23"/>
  <c r="H123" i="23"/>
  <c r="G123" i="23"/>
  <c r="F123" i="23"/>
  <c r="E123" i="23"/>
  <c r="D123" i="23"/>
  <c r="C123" i="23"/>
  <c r="B123" i="23"/>
  <c r="A123" i="23"/>
  <c r="J122" i="23"/>
  <c r="I122" i="23"/>
  <c r="H122" i="23"/>
  <c r="G122" i="23"/>
  <c r="F122" i="23"/>
  <c r="E122" i="23"/>
  <c r="D122" i="23"/>
  <c r="C122" i="23"/>
  <c r="B122" i="23"/>
  <c r="A122" i="23"/>
  <c r="J121" i="23"/>
  <c r="I121" i="23"/>
  <c r="H121" i="23"/>
  <c r="G121" i="23"/>
  <c r="F121" i="23"/>
  <c r="E121" i="23"/>
  <c r="D121" i="23"/>
  <c r="C121" i="23"/>
  <c r="B121" i="23"/>
  <c r="A121" i="23"/>
  <c r="J120" i="23"/>
  <c r="I120" i="23"/>
  <c r="H120" i="23"/>
  <c r="G120" i="23"/>
  <c r="F120" i="23"/>
  <c r="E120" i="23"/>
  <c r="D120" i="23"/>
  <c r="C120" i="23"/>
  <c r="B120" i="23"/>
  <c r="A120" i="23"/>
  <c r="J119" i="23"/>
  <c r="I119" i="23"/>
  <c r="H119" i="23"/>
  <c r="G119" i="23"/>
  <c r="F119" i="23"/>
  <c r="E119" i="23"/>
  <c r="D119" i="23"/>
  <c r="C119" i="23"/>
  <c r="B119" i="23"/>
  <c r="A119" i="23"/>
  <c r="J118" i="23"/>
  <c r="I118" i="23"/>
  <c r="H118" i="23"/>
  <c r="G118" i="23"/>
  <c r="F118" i="23"/>
  <c r="E118" i="23"/>
  <c r="D118" i="23"/>
  <c r="C118" i="23"/>
  <c r="B118" i="23"/>
  <c r="A118" i="23"/>
  <c r="J117" i="23"/>
  <c r="I117" i="23"/>
  <c r="H117" i="23"/>
  <c r="G117" i="23"/>
  <c r="F117" i="23"/>
  <c r="E117" i="23"/>
  <c r="D117" i="23"/>
  <c r="C117" i="23"/>
  <c r="B117" i="23"/>
  <c r="A117" i="23"/>
  <c r="J116" i="23"/>
  <c r="I116" i="23"/>
  <c r="H116" i="23"/>
  <c r="G116" i="23"/>
  <c r="F116" i="23"/>
  <c r="E116" i="23"/>
  <c r="D116" i="23"/>
  <c r="C116" i="23"/>
  <c r="B116" i="23"/>
  <c r="A116" i="23"/>
  <c r="J115" i="23"/>
  <c r="I115" i="23"/>
  <c r="H115" i="23"/>
  <c r="G115" i="23"/>
  <c r="F115" i="23"/>
  <c r="E115" i="23"/>
  <c r="D115" i="23"/>
  <c r="C115" i="23"/>
  <c r="B115" i="23"/>
  <c r="A115" i="23"/>
  <c r="J114" i="23"/>
  <c r="I114" i="23"/>
  <c r="H114" i="23"/>
  <c r="G114" i="23"/>
  <c r="F114" i="23"/>
  <c r="E114" i="23"/>
  <c r="D114" i="23"/>
  <c r="C114" i="23"/>
  <c r="B114" i="23"/>
  <c r="A114" i="23"/>
  <c r="J113" i="23"/>
  <c r="I113" i="23"/>
  <c r="H113" i="23"/>
  <c r="G113" i="23"/>
  <c r="F113" i="23"/>
  <c r="E113" i="23"/>
  <c r="D113" i="23"/>
  <c r="C113" i="23"/>
  <c r="B113" i="23"/>
  <c r="A113" i="23"/>
  <c r="J112" i="23"/>
  <c r="I112" i="23"/>
  <c r="H112" i="23"/>
  <c r="G112" i="23"/>
  <c r="F112" i="23"/>
  <c r="E112" i="23"/>
  <c r="D112" i="23"/>
  <c r="C112" i="23"/>
  <c r="B112" i="23"/>
  <c r="A112" i="23"/>
  <c r="J111" i="23"/>
  <c r="I111" i="23"/>
  <c r="H111" i="23"/>
  <c r="G111" i="23"/>
  <c r="F111" i="23"/>
  <c r="E111" i="23"/>
  <c r="D111" i="23"/>
  <c r="C111" i="23"/>
  <c r="B111" i="23"/>
  <c r="A111" i="23"/>
  <c r="J110" i="23"/>
  <c r="I110" i="23"/>
  <c r="H110" i="23"/>
  <c r="G110" i="23"/>
  <c r="F110" i="23"/>
  <c r="E110" i="23"/>
  <c r="D110" i="23"/>
  <c r="C110" i="23"/>
  <c r="B110" i="23"/>
  <c r="A110" i="23"/>
  <c r="J109" i="23"/>
  <c r="I109" i="23"/>
  <c r="H109" i="23"/>
  <c r="G109" i="23"/>
  <c r="F109" i="23"/>
  <c r="E109" i="23"/>
  <c r="D109" i="23"/>
  <c r="C109" i="23"/>
  <c r="B109" i="23"/>
  <c r="A109" i="23"/>
  <c r="J108" i="23"/>
  <c r="I108" i="23"/>
  <c r="H108" i="23"/>
  <c r="G108" i="23"/>
  <c r="F108" i="23"/>
  <c r="E108" i="23"/>
  <c r="D108" i="23"/>
  <c r="C108" i="23"/>
  <c r="B108" i="23"/>
  <c r="A108" i="23"/>
  <c r="J107" i="23"/>
  <c r="I107" i="23"/>
  <c r="H107" i="23"/>
  <c r="G107" i="23"/>
  <c r="F107" i="23"/>
  <c r="E107" i="23"/>
  <c r="D107" i="23"/>
  <c r="C107" i="23"/>
  <c r="B107" i="23"/>
  <c r="A107" i="23"/>
  <c r="J106" i="23"/>
  <c r="I106" i="23"/>
  <c r="H106" i="23"/>
  <c r="G106" i="23"/>
  <c r="F106" i="23"/>
  <c r="E106" i="23"/>
  <c r="D106" i="23"/>
  <c r="C106" i="23"/>
  <c r="B106" i="23"/>
  <c r="A106" i="23"/>
  <c r="J105" i="23"/>
  <c r="I105" i="23"/>
  <c r="H105" i="23"/>
  <c r="G105" i="23"/>
  <c r="F105" i="23"/>
  <c r="E105" i="23"/>
  <c r="D105" i="23"/>
  <c r="C105" i="23"/>
  <c r="B105" i="23"/>
  <c r="A105" i="23"/>
  <c r="J104" i="23"/>
  <c r="I104" i="23"/>
  <c r="H104" i="23"/>
  <c r="G104" i="23"/>
  <c r="F104" i="23"/>
  <c r="E104" i="23"/>
  <c r="D104" i="23"/>
  <c r="C104" i="23"/>
  <c r="B104" i="23"/>
  <c r="A104" i="23"/>
  <c r="J103" i="23"/>
  <c r="I103" i="23"/>
  <c r="H103" i="23"/>
  <c r="G103" i="23"/>
  <c r="F103" i="23"/>
  <c r="E103" i="23"/>
  <c r="D103" i="23"/>
  <c r="C103" i="23"/>
  <c r="B103" i="23"/>
  <c r="A103" i="23"/>
  <c r="J102" i="23"/>
  <c r="I102" i="23"/>
  <c r="H102" i="23"/>
  <c r="G102" i="23"/>
  <c r="F102" i="23"/>
  <c r="E102" i="23"/>
  <c r="D102" i="23"/>
  <c r="C102" i="23"/>
  <c r="B102" i="23"/>
  <c r="A102" i="23"/>
  <c r="J101" i="23"/>
  <c r="I101" i="23"/>
  <c r="H101" i="23"/>
  <c r="G101" i="23"/>
  <c r="F101" i="23"/>
  <c r="E101" i="23"/>
  <c r="D101" i="23"/>
  <c r="C101" i="23"/>
  <c r="B101" i="23"/>
  <c r="A101" i="23"/>
  <c r="J100" i="23"/>
  <c r="I100" i="23"/>
  <c r="H100" i="23"/>
  <c r="G100" i="23"/>
  <c r="F100" i="23"/>
  <c r="E100" i="23"/>
  <c r="D100" i="23"/>
  <c r="C100" i="23"/>
  <c r="B100" i="23"/>
  <c r="A100" i="23"/>
  <c r="J99" i="23"/>
  <c r="I99" i="23"/>
  <c r="H99" i="23"/>
  <c r="G99" i="23"/>
  <c r="F99" i="23"/>
  <c r="E99" i="23"/>
  <c r="D99" i="23"/>
  <c r="C99" i="23"/>
  <c r="B99" i="23"/>
  <c r="A99" i="23"/>
  <c r="J98" i="23"/>
  <c r="I98" i="23"/>
  <c r="H98" i="23"/>
  <c r="G98" i="23"/>
  <c r="F98" i="23"/>
  <c r="E98" i="23"/>
  <c r="D98" i="23"/>
  <c r="C98" i="23"/>
  <c r="B98" i="23"/>
  <c r="A98" i="23"/>
  <c r="J97" i="23"/>
  <c r="I97" i="23"/>
  <c r="H97" i="23"/>
  <c r="G97" i="23"/>
  <c r="F97" i="23"/>
  <c r="E97" i="23"/>
  <c r="D97" i="23"/>
  <c r="C97" i="23"/>
  <c r="B97" i="23"/>
  <c r="A97" i="23"/>
  <c r="J96" i="23"/>
  <c r="I96" i="23"/>
  <c r="H96" i="23"/>
  <c r="G96" i="23"/>
  <c r="F96" i="23"/>
  <c r="E96" i="23"/>
  <c r="D96" i="23"/>
  <c r="C96" i="23"/>
  <c r="B96" i="23"/>
  <c r="A96" i="23"/>
  <c r="J95" i="23"/>
  <c r="I95" i="23"/>
  <c r="H95" i="23"/>
  <c r="G95" i="23"/>
  <c r="F95" i="23"/>
  <c r="E95" i="23"/>
  <c r="D95" i="23"/>
  <c r="C95" i="23"/>
  <c r="B95" i="23"/>
  <c r="A95" i="23"/>
  <c r="J94" i="23"/>
  <c r="I94" i="23"/>
  <c r="H94" i="23"/>
  <c r="G94" i="23"/>
  <c r="F94" i="23"/>
  <c r="E94" i="23"/>
  <c r="D94" i="23"/>
  <c r="C94" i="23"/>
  <c r="B94" i="23"/>
  <c r="A94" i="23"/>
  <c r="J93" i="23"/>
  <c r="I93" i="23"/>
  <c r="H93" i="23"/>
  <c r="G93" i="23"/>
  <c r="F93" i="23"/>
  <c r="E93" i="23"/>
  <c r="D93" i="23"/>
  <c r="C93" i="23"/>
  <c r="B93" i="23"/>
  <c r="A93" i="23"/>
  <c r="J92" i="23"/>
  <c r="I92" i="23"/>
  <c r="H92" i="23"/>
  <c r="G92" i="23"/>
  <c r="F92" i="23"/>
  <c r="E92" i="23"/>
  <c r="D92" i="23"/>
  <c r="C92" i="23"/>
  <c r="B92" i="23"/>
  <c r="A92" i="23"/>
  <c r="J91" i="23"/>
  <c r="I91" i="23"/>
  <c r="H91" i="23"/>
  <c r="G91" i="23"/>
  <c r="F91" i="23"/>
  <c r="E91" i="23"/>
  <c r="D91" i="23"/>
  <c r="C91" i="23"/>
  <c r="B91" i="23"/>
  <c r="A91" i="23"/>
  <c r="J90" i="23"/>
  <c r="I90" i="23"/>
  <c r="H90" i="23"/>
  <c r="G90" i="23"/>
  <c r="F90" i="23"/>
  <c r="E90" i="23"/>
  <c r="D90" i="23"/>
  <c r="C90" i="23"/>
  <c r="B90" i="23"/>
  <c r="A90" i="23"/>
  <c r="J89" i="23"/>
  <c r="I89" i="23"/>
  <c r="H89" i="23"/>
  <c r="G89" i="23"/>
  <c r="F89" i="23"/>
  <c r="E89" i="23"/>
  <c r="D89" i="23"/>
  <c r="C89" i="23"/>
  <c r="B89" i="23"/>
  <c r="A89" i="23"/>
  <c r="J88" i="23"/>
  <c r="I88" i="23"/>
  <c r="H88" i="23"/>
  <c r="G88" i="23"/>
  <c r="F88" i="23"/>
  <c r="E88" i="23"/>
  <c r="D88" i="23"/>
  <c r="C88" i="23"/>
  <c r="B88" i="23"/>
  <c r="A88" i="23"/>
  <c r="J87" i="23"/>
  <c r="I87" i="23"/>
  <c r="H87" i="23"/>
  <c r="G87" i="23"/>
  <c r="F87" i="23"/>
  <c r="E87" i="23"/>
  <c r="D87" i="23"/>
  <c r="C87" i="23"/>
  <c r="B87" i="23"/>
  <c r="A87" i="23"/>
  <c r="J86" i="23"/>
  <c r="I86" i="23"/>
  <c r="H86" i="23"/>
  <c r="G86" i="23"/>
  <c r="F86" i="23"/>
  <c r="E86" i="23"/>
  <c r="D86" i="23"/>
  <c r="C86" i="23"/>
  <c r="B86" i="23"/>
  <c r="A86" i="23"/>
  <c r="J85" i="23"/>
  <c r="I85" i="23"/>
  <c r="H85" i="23"/>
  <c r="G85" i="23"/>
  <c r="F85" i="23"/>
  <c r="E85" i="23"/>
  <c r="D85" i="23"/>
  <c r="C85" i="23"/>
  <c r="B85" i="23"/>
  <c r="A85" i="23"/>
  <c r="J84" i="23"/>
  <c r="I84" i="23"/>
  <c r="H84" i="23"/>
  <c r="G84" i="23"/>
  <c r="F84" i="23"/>
  <c r="E84" i="23"/>
  <c r="D84" i="23"/>
  <c r="C84" i="23"/>
  <c r="B84" i="23"/>
  <c r="A84" i="23"/>
  <c r="J83" i="23"/>
  <c r="I83" i="23"/>
  <c r="H83" i="23"/>
  <c r="G83" i="23"/>
  <c r="F83" i="23"/>
  <c r="E83" i="23"/>
  <c r="D83" i="23"/>
  <c r="C83" i="23"/>
  <c r="B83" i="23"/>
  <c r="A83" i="23"/>
  <c r="J82" i="23"/>
  <c r="I82" i="23"/>
  <c r="H82" i="23"/>
  <c r="G82" i="23"/>
  <c r="F82" i="23"/>
  <c r="E82" i="23"/>
  <c r="D82" i="23"/>
  <c r="C82" i="23"/>
  <c r="B82" i="23"/>
  <c r="A82" i="23"/>
  <c r="J81" i="23"/>
  <c r="I81" i="23"/>
  <c r="H81" i="23"/>
  <c r="G81" i="23"/>
  <c r="F81" i="23"/>
  <c r="E81" i="23"/>
  <c r="D81" i="23"/>
  <c r="C81" i="23"/>
  <c r="B81" i="23"/>
  <c r="A81" i="23"/>
  <c r="J80" i="23"/>
  <c r="I80" i="23"/>
  <c r="H80" i="23"/>
  <c r="G80" i="23"/>
  <c r="F80" i="23"/>
  <c r="E80" i="23"/>
  <c r="D80" i="23"/>
  <c r="C80" i="23"/>
  <c r="B80" i="23"/>
  <c r="A80" i="23"/>
  <c r="J79" i="23"/>
  <c r="I79" i="23"/>
  <c r="H79" i="23"/>
  <c r="G79" i="23"/>
  <c r="F79" i="23"/>
  <c r="E79" i="23"/>
  <c r="D79" i="23"/>
  <c r="C79" i="23"/>
  <c r="B79" i="23"/>
  <c r="A79" i="23"/>
  <c r="J78" i="23"/>
  <c r="I78" i="23"/>
  <c r="H78" i="23"/>
  <c r="G78" i="23"/>
  <c r="F78" i="23"/>
  <c r="E78" i="23"/>
  <c r="D78" i="23"/>
  <c r="C78" i="23"/>
  <c r="B78" i="23"/>
  <c r="A78" i="23"/>
  <c r="J77" i="23"/>
  <c r="I77" i="23"/>
  <c r="H77" i="23"/>
  <c r="G77" i="23"/>
  <c r="F77" i="23"/>
  <c r="E77" i="23"/>
  <c r="D77" i="23"/>
  <c r="C77" i="23"/>
  <c r="B77" i="23"/>
  <c r="A77" i="23"/>
  <c r="J76" i="23"/>
  <c r="I76" i="23"/>
  <c r="H76" i="23"/>
  <c r="G76" i="23"/>
  <c r="F76" i="23"/>
  <c r="E76" i="23"/>
  <c r="D76" i="23"/>
  <c r="C76" i="23"/>
  <c r="B76" i="23"/>
  <c r="A76" i="23"/>
  <c r="J75" i="23"/>
  <c r="I75" i="23"/>
  <c r="H75" i="23"/>
  <c r="G75" i="23"/>
  <c r="F75" i="23"/>
  <c r="E75" i="23"/>
  <c r="D75" i="23"/>
  <c r="C75" i="23"/>
  <c r="B75" i="23"/>
  <c r="A75" i="23"/>
  <c r="J74" i="23"/>
  <c r="I74" i="23"/>
  <c r="H74" i="23"/>
  <c r="G74" i="23"/>
  <c r="F74" i="23"/>
  <c r="E74" i="23"/>
  <c r="D74" i="23"/>
  <c r="C74" i="23"/>
  <c r="B74" i="23"/>
  <c r="A74" i="23"/>
  <c r="J73" i="23"/>
  <c r="I73" i="23"/>
  <c r="H73" i="23"/>
  <c r="G73" i="23"/>
  <c r="F73" i="23"/>
  <c r="E73" i="23"/>
  <c r="D73" i="23"/>
  <c r="C73" i="23"/>
  <c r="B73" i="23"/>
  <c r="A73" i="23"/>
  <c r="J72" i="23"/>
  <c r="I72" i="23"/>
  <c r="H72" i="23"/>
  <c r="G72" i="23"/>
  <c r="F72" i="23"/>
  <c r="E72" i="23"/>
  <c r="D72" i="23"/>
  <c r="C72" i="23"/>
  <c r="B72" i="23"/>
  <c r="A72" i="23"/>
  <c r="J71" i="23"/>
  <c r="I71" i="23"/>
  <c r="H71" i="23"/>
  <c r="G71" i="23"/>
  <c r="F71" i="23"/>
  <c r="E71" i="23"/>
  <c r="D71" i="23"/>
  <c r="C71" i="23"/>
  <c r="B71" i="23"/>
  <c r="A71" i="23"/>
  <c r="J70" i="23"/>
  <c r="I70" i="23"/>
  <c r="H70" i="23"/>
  <c r="G70" i="23"/>
  <c r="F70" i="23"/>
  <c r="E70" i="23"/>
  <c r="D70" i="23"/>
  <c r="C70" i="23"/>
  <c r="B70" i="23"/>
  <c r="A70" i="23"/>
  <c r="J69" i="23"/>
  <c r="I69" i="23"/>
  <c r="H69" i="23"/>
  <c r="G69" i="23"/>
  <c r="F69" i="23"/>
  <c r="E69" i="23"/>
  <c r="D69" i="23"/>
  <c r="C69" i="23"/>
  <c r="B69" i="23"/>
  <c r="A69" i="23"/>
  <c r="J68" i="23"/>
  <c r="I68" i="23"/>
  <c r="H68" i="23"/>
  <c r="G68" i="23"/>
  <c r="F68" i="23"/>
  <c r="E68" i="23"/>
  <c r="D68" i="23"/>
  <c r="C68" i="23"/>
  <c r="B68" i="23"/>
  <c r="A68" i="23"/>
  <c r="J67" i="23"/>
  <c r="I67" i="23"/>
  <c r="H67" i="23"/>
  <c r="G67" i="23"/>
  <c r="F67" i="23"/>
  <c r="E67" i="23"/>
  <c r="D67" i="23"/>
  <c r="C67" i="23"/>
  <c r="B67" i="23"/>
  <c r="A67" i="23"/>
  <c r="J66" i="23"/>
  <c r="I66" i="23"/>
  <c r="H66" i="23"/>
  <c r="G66" i="23"/>
  <c r="F66" i="23"/>
  <c r="E66" i="23"/>
  <c r="D66" i="23"/>
  <c r="C66" i="23"/>
  <c r="B66" i="23"/>
  <c r="A66" i="23"/>
  <c r="J65" i="23"/>
  <c r="I65" i="23"/>
  <c r="H65" i="23"/>
  <c r="G65" i="23"/>
  <c r="F65" i="23"/>
  <c r="E65" i="23"/>
  <c r="D65" i="23"/>
  <c r="C65" i="23"/>
  <c r="B65" i="23"/>
  <c r="A65" i="23"/>
  <c r="J64" i="23"/>
  <c r="I64" i="23"/>
  <c r="H64" i="23"/>
  <c r="G64" i="23"/>
  <c r="F64" i="23"/>
  <c r="E64" i="23"/>
  <c r="D64" i="23"/>
  <c r="C64" i="23"/>
  <c r="B64" i="23"/>
  <c r="A64" i="23"/>
  <c r="J63" i="23"/>
  <c r="I63" i="23"/>
  <c r="H63" i="23"/>
  <c r="G63" i="23"/>
  <c r="F63" i="23"/>
  <c r="E63" i="23"/>
  <c r="D63" i="23"/>
  <c r="C63" i="23"/>
  <c r="B63" i="23"/>
  <c r="A63" i="23"/>
  <c r="J62" i="23"/>
  <c r="I62" i="23"/>
  <c r="H62" i="23"/>
  <c r="G62" i="23"/>
  <c r="F62" i="23"/>
  <c r="E62" i="23"/>
  <c r="D62" i="23"/>
  <c r="C62" i="23"/>
  <c r="B62" i="23"/>
  <c r="A62" i="23"/>
  <c r="J61" i="23"/>
  <c r="I61" i="23"/>
  <c r="H61" i="23"/>
  <c r="G61" i="23"/>
  <c r="F61" i="23"/>
  <c r="E61" i="23"/>
  <c r="D61" i="23"/>
  <c r="C61" i="23"/>
  <c r="B61" i="23"/>
  <c r="A61" i="23"/>
  <c r="J60" i="23"/>
  <c r="I60" i="23"/>
  <c r="H60" i="23"/>
  <c r="G60" i="23"/>
  <c r="F60" i="23"/>
  <c r="E60" i="23"/>
  <c r="D60" i="23"/>
  <c r="C60" i="23"/>
  <c r="B60" i="23"/>
  <c r="A60" i="23"/>
  <c r="J59" i="23"/>
  <c r="I59" i="23"/>
  <c r="H59" i="23"/>
  <c r="G59" i="23"/>
  <c r="F59" i="23"/>
  <c r="E59" i="23"/>
  <c r="D59" i="23"/>
  <c r="C59" i="23"/>
  <c r="B59" i="23"/>
  <c r="A59" i="23"/>
  <c r="J58" i="23"/>
  <c r="I58" i="23"/>
  <c r="H58" i="23"/>
  <c r="G58" i="23"/>
  <c r="F58" i="23"/>
  <c r="E58" i="23"/>
  <c r="D58" i="23"/>
  <c r="C58" i="23"/>
  <c r="B58" i="23"/>
  <c r="A58" i="23"/>
  <c r="J57" i="23"/>
  <c r="I57" i="23"/>
  <c r="H57" i="23"/>
  <c r="G57" i="23"/>
  <c r="F57" i="23"/>
  <c r="E57" i="23"/>
  <c r="D57" i="23"/>
  <c r="C57" i="23"/>
  <c r="B57" i="23"/>
  <c r="A57" i="23"/>
  <c r="J56" i="23"/>
  <c r="I56" i="23"/>
  <c r="H56" i="23"/>
  <c r="G56" i="23"/>
  <c r="F56" i="23"/>
  <c r="E56" i="23"/>
  <c r="D56" i="23"/>
  <c r="C56" i="23"/>
  <c r="B56" i="23"/>
  <c r="A56" i="23"/>
  <c r="J55" i="23"/>
  <c r="I55" i="23"/>
  <c r="H55" i="23"/>
  <c r="G55" i="23"/>
  <c r="F55" i="23"/>
  <c r="E55" i="23"/>
  <c r="D55" i="23"/>
  <c r="C55" i="23"/>
  <c r="B55" i="23"/>
  <c r="A55" i="23"/>
  <c r="J54" i="23"/>
  <c r="I54" i="23"/>
  <c r="H54" i="23"/>
  <c r="G54" i="23"/>
  <c r="F54" i="23"/>
  <c r="E54" i="23"/>
  <c r="D54" i="23"/>
  <c r="C54" i="23"/>
  <c r="B54" i="23"/>
  <c r="A54" i="23"/>
  <c r="J53" i="23"/>
  <c r="I53" i="23"/>
  <c r="H53" i="23"/>
  <c r="G53" i="23"/>
  <c r="F53" i="23"/>
  <c r="E53" i="23"/>
  <c r="D53" i="23"/>
  <c r="C53" i="23"/>
  <c r="B53" i="23"/>
  <c r="A53" i="23"/>
  <c r="J52" i="23"/>
  <c r="I52" i="23"/>
  <c r="H52" i="23"/>
  <c r="G52" i="23"/>
  <c r="F52" i="23"/>
  <c r="E52" i="23"/>
  <c r="D52" i="23"/>
  <c r="C52" i="23"/>
  <c r="B52" i="23"/>
  <c r="A52" i="23"/>
  <c r="J51" i="23"/>
  <c r="I51" i="23"/>
  <c r="H51" i="23"/>
  <c r="G51" i="23"/>
  <c r="F51" i="23"/>
  <c r="E51" i="23"/>
  <c r="D51" i="23"/>
  <c r="C51" i="23"/>
  <c r="B51" i="23"/>
  <c r="A51" i="23"/>
  <c r="J50" i="23"/>
  <c r="I50" i="23"/>
  <c r="H50" i="23"/>
  <c r="G50" i="23"/>
  <c r="F50" i="23"/>
  <c r="E50" i="23"/>
  <c r="D50" i="23"/>
  <c r="C50" i="23"/>
  <c r="B50" i="23"/>
  <c r="A50" i="23"/>
  <c r="J49" i="23"/>
  <c r="I49" i="23"/>
  <c r="H49" i="23"/>
  <c r="G49" i="23"/>
  <c r="F49" i="23"/>
  <c r="E49" i="23"/>
  <c r="D49" i="23"/>
  <c r="C49" i="23"/>
  <c r="B49" i="23"/>
  <c r="A49" i="23"/>
  <c r="J48" i="23"/>
  <c r="I48" i="23"/>
  <c r="H48" i="23"/>
  <c r="G48" i="23"/>
  <c r="F48" i="23"/>
  <c r="E48" i="23"/>
  <c r="D48" i="23"/>
  <c r="C48" i="23"/>
  <c r="B48" i="23"/>
  <c r="A48" i="23"/>
  <c r="J47" i="23"/>
  <c r="I47" i="23"/>
  <c r="H47" i="23"/>
  <c r="G47" i="23"/>
  <c r="F47" i="23"/>
  <c r="E47" i="23"/>
  <c r="D47" i="23"/>
  <c r="C47" i="23"/>
  <c r="B47" i="23"/>
  <c r="A47" i="23"/>
  <c r="J46" i="23"/>
  <c r="I46" i="23"/>
  <c r="H46" i="23"/>
  <c r="G46" i="23"/>
  <c r="F46" i="23"/>
  <c r="E46" i="23"/>
  <c r="D46" i="23"/>
  <c r="C46" i="23"/>
  <c r="B46" i="23"/>
  <c r="A46" i="23"/>
  <c r="J45" i="23"/>
  <c r="I45" i="23"/>
  <c r="H45" i="23"/>
  <c r="G45" i="23"/>
  <c r="F45" i="23"/>
  <c r="E45" i="23"/>
  <c r="D45" i="23"/>
  <c r="C45" i="23"/>
  <c r="B45" i="23"/>
  <c r="A45" i="23"/>
  <c r="J44" i="23"/>
  <c r="I44" i="23"/>
  <c r="H44" i="23"/>
  <c r="G44" i="23"/>
  <c r="F44" i="23"/>
  <c r="E44" i="23"/>
  <c r="D44" i="23"/>
  <c r="C44" i="23"/>
  <c r="B44" i="23"/>
  <c r="A44" i="23"/>
  <c r="J43" i="23"/>
  <c r="I43" i="23"/>
  <c r="H43" i="23"/>
  <c r="G43" i="23"/>
  <c r="F43" i="23"/>
  <c r="E43" i="23"/>
  <c r="D43" i="23"/>
  <c r="C43" i="23"/>
  <c r="B43" i="23"/>
  <c r="A43" i="23"/>
  <c r="J42" i="23"/>
  <c r="I42" i="23"/>
  <c r="H42" i="23"/>
  <c r="G42" i="23"/>
  <c r="F42" i="23"/>
  <c r="E42" i="23"/>
  <c r="D42" i="23"/>
  <c r="C42" i="23"/>
  <c r="B42" i="23"/>
  <c r="A42" i="23"/>
  <c r="J41" i="23"/>
  <c r="I41" i="23"/>
  <c r="H41" i="23"/>
  <c r="G41" i="23"/>
  <c r="F41" i="23"/>
  <c r="E41" i="23"/>
  <c r="D41" i="23"/>
  <c r="C41" i="23"/>
  <c r="B41" i="23"/>
  <c r="A41" i="23"/>
  <c r="J40" i="23"/>
  <c r="I40" i="23"/>
  <c r="H40" i="23"/>
  <c r="G40" i="23"/>
  <c r="F40" i="23"/>
  <c r="E40" i="23"/>
  <c r="D40" i="23"/>
  <c r="C40" i="23"/>
  <c r="B40" i="23"/>
  <c r="A40" i="23"/>
  <c r="J39" i="23"/>
  <c r="I39" i="23"/>
  <c r="H39" i="23"/>
  <c r="G39" i="23"/>
  <c r="F39" i="23"/>
  <c r="E39" i="23"/>
  <c r="D39" i="23"/>
  <c r="C39" i="23"/>
  <c r="B39" i="23"/>
  <c r="A39" i="23"/>
  <c r="J38" i="23"/>
  <c r="I38" i="23"/>
  <c r="H38" i="23"/>
  <c r="G38" i="23"/>
  <c r="F38" i="23"/>
  <c r="E38" i="23"/>
  <c r="D38" i="23"/>
  <c r="C38" i="23"/>
  <c r="B38" i="23"/>
  <c r="A38" i="23"/>
  <c r="J37" i="23"/>
  <c r="I37" i="23"/>
  <c r="H37" i="23"/>
  <c r="G37" i="23"/>
  <c r="F37" i="23"/>
  <c r="E37" i="23"/>
  <c r="D37" i="23"/>
  <c r="C37" i="23"/>
  <c r="B37" i="23"/>
  <c r="A37" i="23"/>
  <c r="J36" i="23"/>
  <c r="I36" i="23"/>
  <c r="H36" i="23"/>
  <c r="G36" i="23"/>
  <c r="F36" i="23"/>
  <c r="E36" i="23"/>
  <c r="D36" i="23"/>
  <c r="C36" i="23"/>
  <c r="B36" i="23"/>
  <c r="A36" i="23"/>
  <c r="J35" i="23"/>
  <c r="I35" i="23"/>
  <c r="H35" i="23"/>
  <c r="G35" i="23"/>
  <c r="F35" i="23"/>
  <c r="E35" i="23"/>
  <c r="D35" i="23"/>
  <c r="C35" i="23"/>
  <c r="B35" i="23"/>
  <c r="A35" i="23"/>
  <c r="J34" i="23"/>
  <c r="I34" i="23"/>
  <c r="H34" i="23"/>
  <c r="G34" i="23"/>
  <c r="F34" i="23"/>
  <c r="E34" i="23"/>
  <c r="D34" i="23"/>
  <c r="C34" i="23"/>
  <c r="B34" i="23"/>
  <c r="A34" i="23"/>
  <c r="J33" i="23"/>
  <c r="I33" i="23"/>
  <c r="H33" i="23"/>
  <c r="G33" i="23"/>
  <c r="F33" i="23"/>
  <c r="E33" i="23"/>
  <c r="D33" i="23"/>
  <c r="C33" i="23"/>
  <c r="B33" i="23"/>
  <c r="A33" i="23"/>
  <c r="J32" i="23"/>
  <c r="I32" i="23"/>
  <c r="H32" i="23"/>
  <c r="G32" i="23"/>
  <c r="F32" i="23"/>
  <c r="E32" i="23"/>
  <c r="D32" i="23"/>
  <c r="C32" i="23"/>
  <c r="B32" i="23"/>
  <c r="A32" i="23"/>
  <c r="J31" i="23"/>
  <c r="I31" i="23"/>
  <c r="H31" i="23"/>
  <c r="G31" i="23"/>
  <c r="F31" i="23"/>
  <c r="E31" i="23"/>
  <c r="D31" i="23"/>
  <c r="C31" i="23"/>
  <c r="B31" i="23"/>
  <c r="A31" i="23"/>
  <c r="J30" i="23"/>
  <c r="I30" i="23"/>
  <c r="H30" i="23"/>
  <c r="G30" i="23"/>
  <c r="F30" i="23"/>
  <c r="E30" i="23"/>
  <c r="D30" i="23"/>
  <c r="C30" i="23"/>
  <c r="B30" i="23"/>
  <c r="A30" i="23"/>
  <c r="J29" i="23"/>
  <c r="I29" i="23"/>
  <c r="H29" i="23"/>
  <c r="G29" i="23"/>
  <c r="F29" i="23"/>
  <c r="E29" i="23"/>
  <c r="D29" i="23"/>
  <c r="C29" i="23"/>
  <c r="B29" i="23"/>
  <c r="A29" i="23"/>
  <c r="J28" i="23"/>
  <c r="I28" i="23"/>
  <c r="H28" i="23"/>
  <c r="G28" i="23"/>
  <c r="F28" i="23"/>
  <c r="E28" i="23"/>
  <c r="D28" i="23"/>
  <c r="C28" i="23"/>
  <c r="B28" i="23"/>
  <c r="A28" i="23"/>
  <c r="J27" i="23"/>
  <c r="I27" i="23"/>
  <c r="H27" i="23"/>
  <c r="G27" i="23"/>
  <c r="F27" i="23"/>
  <c r="E27" i="23"/>
  <c r="D27" i="23"/>
  <c r="C27" i="23"/>
  <c r="B27" i="23"/>
  <c r="A27" i="23"/>
  <c r="J26" i="23"/>
  <c r="I26" i="23"/>
  <c r="H26" i="23"/>
  <c r="G26" i="23"/>
  <c r="F26" i="23"/>
  <c r="E26" i="23"/>
  <c r="D26" i="23"/>
  <c r="C26" i="23"/>
  <c r="B26" i="23"/>
  <c r="A26" i="23"/>
  <c r="J25" i="23"/>
  <c r="I25" i="23"/>
  <c r="H25" i="23"/>
  <c r="G25" i="23"/>
  <c r="F25" i="23"/>
  <c r="E25" i="23"/>
  <c r="D25" i="23"/>
  <c r="C25" i="23"/>
  <c r="B25" i="23"/>
  <c r="A25" i="23"/>
  <c r="J24" i="23"/>
  <c r="I24" i="23"/>
  <c r="H24" i="23"/>
  <c r="G24" i="23"/>
  <c r="F24" i="23"/>
  <c r="E24" i="23"/>
  <c r="D24" i="23"/>
  <c r="C24" i="23"/>
  <c r="B24" i="23"/>
  <c r="A24" i="23"/>
  <c r="J23" i="23"/>
  <c r="I23" i="23"/>
  <c r="H23" i="23"/>
  <c r="G23" i="23"/>
  <c r="F23" i="23"/>
  <c r="E23" i="23"/>
  <c r="D23" i="23"/>
  <c r="C23" i="23"/>
  <c r="B23" i="23"/>
  <c r="A23" i="23"/>
  <c r="J22" i="23"/>
  <c r="I22" i="23"/>
  <c r="H22" i="23"/>
  <c r="G22" i="23"/>
  <c r="F22" i="23"/>
  <c r="E22" i="23"/>
  <c r="D22" i="23"/>
  <c r="C22" i="23"/>
  <c r="B22" i="23"/>
  <c r="A22" i="23"/>
  <c r="J21" i="23"/>
  <c r="I21" i="23"/>
  <c r="H21" i="23"/>
  <c r="G21" i="23"/>
  <c r="F21" i="23"/>
  <c r="E21" i="23"/>
  <c r="D21" i="23"/>
  <c r="C21" i="23"/>
  <c r="B21" i="23"/>
  <c r="A21" i="23"/>
  <c r="J20" i="23"/>
  <c r="I20" i="23"/>
  <c r="H20" i="23"/>
  <c r="G20" i="23"/>
  <c r="F20" i="23"/>
  <c r="E20" i="23"/>
  <c r="D20" i="23"/>
  <c r="C20" i="23"/>
  <c r="B20" i="23"/>
  <c r="A20" i="23"/>
  <c r="J19" i="23"/>
  <c r="I19" i="23"/>
  <c r="H19" i="23"/>
  <c r="G19" i="23"/>
  <c r="F19" i="23"/>
  <c r="E19" i="23"/>
  <c r="D19" i="23"/>
  <c r="C19" i="23"/>
  <c r="B19" i="23"/>
  <c r="A19" i="23"/>
  <c r="J18" i="23"/>
  <c r="I18" i="23"/>
  <c r="H18" i="23"/>
  <c r="G18" i="23"/>
  <c r="F18" i="23"/>
  <c r="E18" i="23"/>
  <c r="D18" i="23"/>
  <c r="C18" i="23"/>
  <c r="B18" i="23"/>
  <c r="A18" i="23"/>
  <c r="J17" i="23"/>
  <c r="I17" i="23"/>
  <c r="H17" i="23"/>
  <c r="G17" i="23"/>
  <c r="F17" i="23"/>
  <c r="E17" i="23"/>
  <c r="D17" i="23"/>
  <c r="C17" i="23"/>
  <c r="B17" i="23"/>
  <c r="A17" i="23"/>
  <c r="J16" i="23"/>
  <c r="I16" i="23"/>
  <c r="H16" i="23"/>
  <c r="G16" i="23"/>
  <c r="F16" i="23"/>
  <c r="E16" i="23"/>
  <c r="D16" i="23"/>
  <c r="C16" i="23"/>
  <c r="B16" i="23"/>
  <c r="A16" i="23"/>
  <c r="J15" i="23"/>
  <c r="I15" i="23"/>
  <c r="H15" i="23"/>
  <c r="G15" i="23"/>
  <c r="F15" i="23"/>
  <c r="E15" i="23"/>
  <c r="D15" i="23"/>
  <c r="C15" i="23"/>
  <c r="B15" i="23"/>
  <c r="A15" i="23"/>
  <c r="J14" i="23"/>
  <c r="I14" i="23"/>
  <c r="H14" i="23"/>
  <c r="G14" i="23"/>
  <c r="F14" i="23"/>
  <c r="E14" i="23"/>
  <c r="D14" i="23"/>
  <c r="C14" i="23"/>
  <c r="B14" i="23"/>
  <c r="A14" i="23"/>
  <c r="J13" i="23"/>
  <c r="I13" i="23"/>
  <c r="H13" i="23"/>
  <c r="G13" i="23"/>
  <c r="F13" i="23"/>
  <c r="E13" i="23"/>
  <c r="D13" i="23"/>
  <c r="C13" i="23"/>
  <c r="B13" i="23"/>
  <c r="A13" i="23"/>
  <c r="J12" i="23"/>
  <c r="I12" i="23"/>
  <c r="H12" i="23"/>
  <c r="G12" i="23"/>
  <c r="F12" i="23"/>
  <c r="E12" i="23"/>
  <c r="D12" i="23"/>
  <c r="C12" i="23"/>
  <c r="B12" i="23"/>
  <c r="A12" i="23"/>
  <c r="J11" i="23"/>
  <c r="I11" i="23"/>
  <c r="H11" i="23"/>
  <c r="G11" i="23"/>
  <c r="F11" i="23"/>
  <c r="E11" i="23"/>
  <c r="D11" i="23"/>
  <c r="C11" i="23"/>
  <c r="B11" i="23"/>
  <c r="A11" i="23"/>
  <c r="J10" i="23"/>
  <c r="I10" i="23"/>
  <c r="H10" i="23"/>
  <c r="G10" i="23"/>
  <c r="F10" i="23"/>
  <c r="E10" i="23"/>
  <c r="D10" i="23"/>
  <c r="C10" i="23"/>
  <c r="B10" i="23"/>
  <c r="A10" i="23"/>
  <c r="J9" i="23"/>
  <c r="I9" i="23"/>
  <c r="H9" i="23"/>
  <c r="G9" i="23"/>
  <c r="F9" i="23"/>
  <c r="E9" i="23"/>
  <c r="D9" i="23"/>
  <c r="C9" i="23"/>
  <c r="B9" i="23"/>
  <c r="A9" i="23"/>
  <c r="J8" i="23"/>
  <c r="I8" i="23"/>
  <c r="H8" i="23"/>
  <c r="G8" i="23"/>
  <c r="F8" i="23"/>
  <c r="E8" i="23"/>
  <c r="D8" i="23"/>
  <c r="C8" i="23"/>
  <c r="B8" i="23"/>
  <c r="A8" i="23"/>
  <c r="J7" i="23"/>
  <c r="I7" i="23"/>
  <c r="H7" i="23"/>
  <c r="G7" i="23"/>
  <c r="F7" i="23"/>
  <c r="E7" i="23"/>
  <c r="D7" i="23"/>
  <c r="C7" i="23"/>
  <c r="B7" i="23"/>
  <c r="A7" i="23"/>
  <c r="J6" i="23"/>
  <c r="I6" i="23"/>
  <c r="H6" i="23"/>
  <c r="G6" i="23"/>
  <c r="F6" i="23"/>
  <c r="E6" i="23"/>
  <c r="D6" i="23"/>
  <c r="C6" i="23"/>
  <c r="B6" i="23"/>
  <c r="A6" i="23"/>
  <c r="J5" i="23"/>
  <c r="I5" i="23"/>
  <c r="H5" i="23"/>
  <c r="G5" i="23"/>
  <c r="F5" i="23"/>
  <c r="E5" i="23"/>
  <c r="D5" i="23"/>
  <c r="C5" i="23"/>
  <c r="B5" i="23"/>
  <c r="A5" i="23"/>
  <c r="J4" i="23"/>
  <c r="I4" i="23"/>
  <c r="H4" i="23"/>
  <c r="G4" i="23"/>
  <c r="F4" i="23"/>
  <c r="E4" i="23"/>
  <c r="D4" i="23"/>
  <c r="C4" i="23"/>
  <c r="B4" i="23"/>
  <c r="A4" i="23"/>
  <c r="J3" i="23"/>
  <c r="I3" i="23"/>
  <c r="H3" i="23"/>
  <c r="G3" i="23"/>
  <c r="F3" i="23"/>
  <c r="E3" i="23"/>
  <c r="D3" i="23"/>
  <c r="C3" i="23"/>
  <c r="B3" i="23"/>
  <c r="A3" i="23"/>
  <c r="J2" i="23"/>
  <c r="I2" i="23"/>
  <c r="H2" i="23"/>
  <c r="G2" i="23"/>
  <c r="F2" i="23"/>
  <c r="E2" i="23"/>
  <c r="D2" i="23"/>
  <c r="C2" i="23"/>
  <c r="B2" i="23"/>
  <c r="A2" i="23"/>
  <c r="J1" i="23"/>
  <c r="I1" i="23"/>
  <c r="H1" i="23"/>
  <c r="G1" i="23"/>
  <c r="F1" i="23"/>
  <c r="E1" i="23"/>
  <c r="D1" i="23"/>
  <c r="C1" i="23"/>
  <c r="B1" i="23"/>
  <c r="A1" i="23"/>
  <c r="G18" i="22"/>
  <c r="F18" i="22"/>
  <c r="E18" i="22"/>
  <c r="D18" i="22"/>
  <c r="C18" i="22"/>
  <c r="B18" i="22"/>
  <c r="A18" i="22"/>
  <c r="G17" i="22"/>
  <c r="F17" i="22"/>
  <c r="E17" i="22"/>
  <c r="D17" i="22"/>
  <c r="C17" i="22"/>
  <c r="B17" i="22"/>
  <c r="A17" i="22"/>
  <c r="G16" i="22"/>
  <c r="F16" i="22"/>
  <c r="E16" i="22"/>
  <c r="D16" i="22"/>
  <c r="C16" i="22"/>
  <c r="B16" i="22"/>
  <c r="A16" i="22"/>
  <c r="G15" i="22"/>
  <c r="F15" i="22"/>
  <c r="E15" i="22"/>
  <c r="D15" i="22"/>
  <c r="C15" i="22"/>
  <c r="B15" i="22"/>
  <c r="A15" i="22"/>
  <c r="G14" i="22"/>
  <c r="F14" i="22"/>
  <c r="E14" i="22"/>
  <c r="D14" i="22"/>
  <c r="C14" i="22"/>
  <c r="B14" i="22"/>
  <c r="A14" i="22"/>
  <c r="G13" i="22"/>
  <c r="F13" i="22"/>
  <c r="E13" i="22"/>
  <c r="D13" i="22"/>
  <c r="C13" i="22"/>
  <c r="B13" i="22"/>
  <c r="A13" i="22"/>
  <c r="G12" i="22"/>
  <c r="F12" i="22"/>
  <c r="E12" i="22"/>
  <c r="D12" i="22"/>
  <c r="C12" i="22"/>
  <c r="B12" i="22"/>
  <c r="A12" i="22"/>
  <c r="G11" i="22"/>
  <c r="F11" i="22"/>
  <c r="E11" i="22"/>
  <c r="D11" i="22"/>
  <c r="C11" i="22"/>
  <c r="B11" i="22"/>
  <c r="A11" i="22"/>
  <c r="G10" i="22"/>
  <c r="F10" i="22"/>
  <c r="E10" i="22"/>
  <c r="D10" i="22"/>
  <c r="C10" i="22"/>
  <c r="B10" i="22"/>
  <c r="A10" i="22"/>
  <c r="G9" i="22"/>
  <c r="F9" i="22"/>
  <c r="E9" i="22"/>
  <c r="D9" i="22"/>
  <c r="C9" i="22"/>
  <c r="B9" i="22"/>
  <c r="A9" i="22"/>
  <c r="G8" i="22"/>
  <c r="F8" i="22"/>
  <c r="E8" i="22"/>
  <c r="D8" i="22"/>
  <c r="C8" i="22"/>
  <c r="B8" i="22"/>
  <c r="A8" i="22"/>
  <c r="G7" i="22"/>
  <c r="F7" i="22"/>
  <c r="E7" i="22"/>
  <c r="D7" i="22"/>
  <c r="C7" i="22"/>
  <c r="B7" i="22"/>
  <c r="A7" i="22"/>
  <c r="G6" i="22"/>
  <c r="F6" i="22"/>
  <c r="E6" i="22"/>
  <c r="D6" i="22"/>
  <c r="C6" i="22"/>
  <c r="B6" i="22"/>
  <c r="A6" i="22"/>
  <c r="G5" i="22"/>
  <c r="F5" i="22"/>
  <c r="E5" i="22"/>
  <c r="D5" i="22"/>
  <c r="C5" i="22"/>
  <c r="B5" i="22"/>
  <c r="A5" i="22"/>
  <c r="G4" i="22"/>
  <c r="F4" i="22"/>
  <c r="E4" i="22"/>
  <c r="D4" i="22"/>
  <c r="C4" i="22"/>
  <c r="B4" i="22"/>
  <c r="A4" i="22"/>
  <c r="G3" i="22"/>
  <c r="F3" i="22"/>
  <c r="E3" i="22"/>
  <c r="D3" i="22"/>
  <c r="C3" i="22"/>
  <c r="B3" i="22"/>
  <c r="A3" i="22"/>
  <c r="G2" i="22"/>
  <c r="F2" i="22"/>
  <c r="E2" i="22"/>
  <c r="D2" i="22"/>
  <c r="C2" i="22"/>
  <c r="B2" i="22"/>
  <c r="A2" i="22"/>
  <c r="G1" i="22"/>
  <c r="F1" i="22"/>
  <c r="E1" i="22"/>
  <c r="D1" i="22"/>
  <c r="C1" i="22"/>
  <c r="B1" i="22"/>
  <c r="A1" i="22"/>
  <c r="G8" i="21"/>
  <c r="F8" i="21"/>
  <c r="E8" i="21"/>
  <c r="D8" i="21"/>
  <c r="C8" i="21"/>
  <c r="B8" i="21"/>
  <c r="A8" i="21"/>
  <c r="G7" i="21"/>
  <c r="F7" i="21"/>
  <c r="E7" i="21"/>
  <c r="D7" i="21"/>
  <c r="C7" i="21"/>
  <c r="B7" i="21"/>
  <c r="A7" i="21"/>
  <c r="G6" i="21"/>
  <c r="F6" i="21"/>
  <c r="E6" i="21"/>
  <c r="D6" i="21"/>
  <c r="C6" i="21"/>
  <c r="B6" i="21"/>
  <c r="A6" i="21"/>
  <c r="G5" i="21"/>
  <c r="F5" i="21"/>
  <c r="E5" i="21"/>
  <c r="D5" i="21"/>
  <c r="C5" i="21"/>
  <c r="B5" i="21"/>
  <c r="A5" i="21"/>
  <c r="G4" i="21"/>
  <c r="F4" i="21"/>
  <c r="E4" i="21"/>
  <c r="D4" i="21"/>
  <c r="C4" i="21"/>
  <c r="B4" i="21"/>
  <c r="A4" i="21"/>
  <c r="G3" i="21"/>
  <c r="F3" i="21"/>
  <c r="E3" i="21"/>
  <c r="D3" i="21"/>
  <c r="C3" i="21"/>
  <c r="B3" i="21"/>
  <c r="A3" i="21"/>
  <c r="G2" i="21"/>
  <c r="F2" i="21"/>
  <c r="E2" i="21"/>
  <c r="D2" i="21"/>
  <c r="C2" i="21"/>
  <c r="B2" i="21"/>
  <c r="A2" i="21"/>
  <c r="G1" i="21"/>
  <c r="F1" i="21"/>
  <c r="E1" i="21"/>
  <c r="D1" i="21"/>
  <c r="C1" i="21"/>
  <c r="B1" i="21"/>
  <c r="A1" i="21"/>
  <c r="G20" i="20"/>
  <c r="F20" i="20"/>
  <c r="E20" i="20"/>
  <c r="D20" i="20"/>
  <c r="C20" i="20"/>
  <c r="B20" i="20"/>
  <c r="A20" i="20"/>
  <c r="G19" i="20"/>
  <c r="F19" i="20"/>
  <c r="E19" i="20"/>
  <c r="D19" i="20"/>
  <c r="C19" i="20"/>
  <c r="B19" i="20"/>
  <c r="A19" i="20"/>
  <c r="G18" i="20"/>
  <c r="F18" i="20"/>
  <c r="E18" i="20"/>
  <c r="D18" i="20"/>
  <c r="C18" i="20"/>
  <c r="B18" i="20"/>
  <c r="A18" i="20"/>
  <c r="G17" i="20"/>
  <c r="F17" i="20"/>
  <c r="E17" i="20"/>
  <c r="D17" i="20"/>
  <c r="C17" i="20"/>
  <c r="B17" i="20"/>
  <c r="A17" i="20"/>
  <c r="G16" i="20"/>
  <c r="F16" i="20"/>
  <c r="E16" i="20"/>
  <c r="D16" i="20"/>
  <c r="C16" i="20"/>
  <c r="B16" i="20"/>
  <c r="A16" i="20"/>
  <c r="G15" i="20"/>
  <c r="F15" i="20"/>
  <c r="E15" i="20"/>
  <c r="D15" i="20"/>
  <c r="C15" i="20"/>
  <c r="B15" i="20"/>
  <c r="A15" i="20"/>
  <c r="G14" i="20"/>
  <c r="F14" i="20"/>
  <c r="E14" i="20"/>
  <c r="D14" i="20"/>
  <c r="C14" i="20"/>
  <c r="B14" i="20"/>
  <c r="A14" i="20"/>
  <c r="G13" i="20"/>
  <c r="F13" i="20"/>
  <c r="E13" i="20"/>
  <c r="D13" i="20"/>
  <c r="C13" i="20"/>
  <c r="B13" i="20"/>
  <c r="A13" i="20"/>
  <c r="G12" i="20"/>
  <c r="F12" i="20"/>
  <c r="E12" i="20"/>
  <c r="D12" i="20"/>
  <c r="C12" i="20"/>
  <c r="B12" i="20"/>
  <c r="A12" i="20"/>
  <c r="G11" i="20"/>
  <c r="F11" i="20"/>
  <c r="E11" i="20"/>
  <c r="D11" i="20"/>
  <c r="C11" i="20"/>
  <c r="B11" i="20"/>
  <c r="A11" i="20"/>
  <c r="G10" i="20"/>
  <c r="F10" i="20"/>
  <c r="E10" i="20"/>
  <c r="D10" i="20"/>
  <c r="C10" i="20"/>
  <c r="B10" i="20"/>
  <c r="A10" i="20"/>
  <c r="G9" i="20"/>
  <c r="F9" i="20"/>
  <c r="E9" i="20"/>
  <c r="D9" i="20"/>
  <c r="C9" i="20"/>
  <c r="B9" i="20"/>
  <c r="A9" i="20"/>
  <c r="G8" i="20"/>
  <c r="F8" i="20"/>
  <c r="E8" i="20"/>
  <c r="D8" i="20"/>
  <c r="C8" i="20"/>
  <c r="B8" i="20"/>
  <c r="A8" i="20"/>
  <c r="G7" i="20"/>
  <c r="F7" i="20"/>
  <c r="E7" i="20"/>
  <c r="D7" i="20"/>
  <c r="C7" i="20"/>
  <c r="B7" i="20"/>
  <c r="A7" i="20"/>
  <c r="G6" i="20"/>
  <c r="F6" i="20"/>
  <c r="E6" i="20"/>
  <c r="D6" i="20"/>
  <c r="C6" i="20"/>
  <c r="B6" i="20"/>
  <c r="A6" i="20"/>
  <c r="G5" i="20"/>
  <c r="F5" i="20"/>
  <c r="E5" i="20"/>
  <c r="D5" i="20"/>
  <c r="C5" i="20"/>
  <c r="B5" i="20"/>
  <c r="A5" i="20"/>
  <c r="G4" i="20"/>
  <c r="F4" i="20"/>
  <c r="E4" i="20"/>
  <c r="D4" i="20"/>
  <c r="C4" i="20"/>
  <c r="B4" i="20"/>
  <c r="A4" i="20"/>
  <c r="G3" i="20"/>
  <c r="F3" i="20"/>
  <c r="E3" i="20"/>
  <c r="D3" i="20"/>
  <c r="C3" i="20"/>
  <c r="B3" i="20"/>
  <c r="A3" i="20"/>
  <c r="G2" i="20"/>
  <c r="F2" i="20"/>
  <c r="E2" i="20"/>
  <c r="D2" i="20"/>
  <c r="C2" i="20"/>
  <c r="B2" i="20"/>
  <c r="A2" i="20"/>
  <c r="G1" i="20"/>
  <c r="F1" i="20"/>
  <c r="E1" i="20"/>
  <c r="D1" i="20"/>
  <c r="C1" i="20"/>
  <c r="B1" i="20"/>
  <c r="A1" i="20"/>
  <c r="G16" i="19"/>
  <c r="F16" i="19"/>
  <c r="E16" i="19"/>
  <c r="D16" i="19"/>
  <c r="C16" i="19"/>
  <c r="B16" i="19"/>
  <c r="A16" i="19"/>
  <c r="G15" i="19"/>
  <c r="F15" i="19"/>
  <c r="E15" i="19"/>
  <c r="D15" i="19"/>
  <c r="C15" i="19"/>
  <c r="B15" i="19"/>
  <c r="A15" i="19"/>
  <c r="G14" i="19"/>
  <c r="F14" i="19"/>
  <c r="E14" i="19"/>
  <c r="D14" i="19"/>
  <c r="C14" i="19"/>
  <c r="B14" i="19"/>
  <c r="A14" i="19"/>
  <c r="G13" i="19"/>
  <c r="F13" i="19"/>
  <c r="E13" i="19"/>
  <c r="D13" i="19"/>
  <c r="C13" i="19"/>
  <c r="B13" i="19"/>
  <c r="A13" i="19"/>
  <c r="G12" i="19"/>
  <c r="F12" i="19"/>
  <c r="E12" i="19"/>
  <c r="D12" i="19"/>
  <c r="C12" i="19"/>
  <c r="B12" i="19"/>
  <c r="A12" i="19"/>
  <c r="G11" i="19"/>
  <c r="F11" i="19"/>
  <c r="E11" i="19"/>
  <c r="D11" i="19"/>
  <c r="C11" i="19"/>
  <c r="B11" i="19"/>
  <c r="A11" i="19"/>
  <c r="G10" i="19"/>
  <c r="F10" i="19"/>
  <c r="E10" i="19"/>
  <c r="D10" i="19"/>
  <c r="C10" i="19"/>
  <c r="B10" i="19"/>
  <c r="A10" i="19"/>
  <c r="G9" i="19"/>
  <c r="F9" i="19"/>
  <c r="E9" i="19"/>
  <c r="D9" i="19"/>
  <c r="C9" i="19"/>
  <c r="B9" i="19"/>
  <c r="A9" i="19"/>
  <c r="G8" i="19"/>
  <c r="F8" i="19"/>
  <c r="E8" i="19"/>
  <c r="D8" i="19"/>
  <c r="C8" i="19"/>
  <c r="B8" i="19"/>
  <c r="A8" i="19"/>
  <c r="G7" i="19"/>
  <c r="F7" i="19"/>
  <c r="E7" i="19"/>
  <c r="D7" i="19"/>
  <c r="C7" i="19"/>
  <c r="B7" i="19"/>
  <c r="A7" i="19"/>
  <c r="G6" i="19"/>
  <c r="F6" i="19"/>
  <c r="E6" i="19"/>
  <c r="D6" i="19"/>
  <c r="C6" i="19"/>
  <c r="B6" i="19"/>
  <c r="A6" i="19"/>
  <c r="G5" i="19"/>
  <c r="F5" i="19"/>
  <c r="E5" i="19"/>
  <c r="D5" i="19"/>
  <c r="C5" i="19"/>
  <c r="B5" i="19"/>
  <c r="A5" i="19"/>
  <c r="G4" i="19"/>
  <c r="F4" i="19"/>
  <c r="E4" i="19"/>
  <c r="D4" i="19"/>
  <c r="C4" i="19"/>
  <c r="B4" i="19"/>
  <c r="A4" i="19"/>
  <c r="G3" i="19"/>
  <c r="F3" i="19"/>
  <c r="E3" i="19"/>
  <c r="D3" i="19"/>
  <c r="C3" i="19"/>
  <c r="B3" i="19"/>
  <c r="A3" i="19"/>
  <c r="G2" i="19"/>
  <c r="F2" i="19"/>
  <c r="E2" i="19"/>
  <c r="D2" i="19"/>
  <c r="C2" i="19"/>
  <c r="B2" i="19"/>
  <c r="A2" i="19"/>
  <c r="G1" i="19"/>
  <c r="F1" i="19"/>
  <c r="E1" i="19"/>
  <c r="D1" i="19"/>
  <c r="C1" i="19"/>
  <c r="B1" i="19"/>
  <c r="A1" i="19"/>
  <c r="G20" i="18"/>
  <c r="F20" i="18"/>
  <c r="E20" i="18"/>
  <c r="D20" i="18"/>
  <c r="C20" i="18"/>
  <c r="B20" i="18"/>
  <c r="A20" i="18"/>
  <c r="G19" i="18"/>
  <c r="F19" i="18"/>
  <c r="E19" i="18"/>
  <c r="D19" i="18"/>
  <c r="C19" i="18"/>
  <c r="B19" i="18"/>
  <c r="A19" i="18"/>
  <c r="G18" i="18"/>
  <c r="F18" i="18"/>
  <c r="E18" i="18"/>
  <c r="D18" i="18"/>
  <c r="C18" i="18"/>
  <c r="B18" i="18"/>
  <c r="A18" i="18"/>
  <c r="G17" i="18"/>
  <c r="F17" i="18"/>
  <c r="E17" i="18"/>
  <c r="D17" i="18"/>
  <c r="C17" i="18"/>
  <c r="B17" i="18"/>
  <c r="A17" i="18"/>
  <c r="G16" i="18"/>
  <c r="F16" i="18"/>
  <c r="E16" i="18"/>
  <c r="D16" i="18"/>
  <c r="C16" i="18"/>
  <c r="B16" i="18"/>
  <c r="A16" i="18"/>
  <c r="G15" i="18"/>
  <c r="F15" i="18"/>
  <c r="E15" i="18"/>
  <c r="D15" i="18"/>
  <c r="C15" i="18"/>
  <c r="B15" i="18"/>
  <c r="A15" i="18"/>
  <c r="G14" i="18"/>
  <c r="F14" i="18"/>
  <c r="E14" i="18"/>
  <c r="D14" i="18"/>
  <c r="C14" i="18"/>
  <c r="B14" i="18"/>
  <c r="A14" i="18"/>
  <c r="G13" i="18"/>
  <c r="F13" i="18"/>
  <c r="E13" i="18"/>
  <c r="D13" i="18"/>
  <c r="C13" i="18"/>
  <c r="B13" i="18"/>
  <c r="A13" i="18"/>
  <c r="G12" i="18"/>
  <c r="F12" i="18"/>
  <c r="E12" i="18"/>
  <c r="D12" i="18"/>
  <c r="C12" i="18"/>
  <c r="B12" i="18"/>
  <c r="A12" i="18"/>
  <c r="G11" i="18"/>
  <c r="F11" i="18"/>
  <c r="E11" i="18"/>
  <c r="D11" i="18"/>
  <c r="C11" i="18"/>
  <c r="B11" i="18"/>
  <c r="A11" i="18"/>
  <c r="G10" i="18"/>
  <c r="F10" i="18"/>
  <c r="E10" i="18"/>
  <c r="D10" i="18"/>
  <c r="C10" i="18"/>
  <c r="B10" i="18"/>
  <c r="A10" i="18"/>
  <c r="G9" i="18"/>
  <c r="F9" i="18"/>
  <c r="E9" i="18"/>
  <c r="D9" i="18"/>
  <c r="C9" i="18"/>
  <c r="B9" i="18"/>
  <c r="A9" i="18"/>
  <c r="G8" i="18"/>
  <c r="F8" i="18"/>
  <c r="E8" i="18"/>
  <c r="D8" i="18"/>
  <c r="C8" i="18"/>
  <c r="B8" i="18"/>
  <c r="A8" i="18"/>
  <c r="G7" i="18"/>
  <c r="F7" i="18"/>
  <c r="E7" i="18"/>
  <c r="D7" i="18"/>
  <c r="C7" i="18"/>
  <c r="B7" i="18"/>
  <c r="A7" i="18"/>
  <c r="G6" i="18"/>
  <c r="F6" i="18"/>
  <c r="E6" i="18"/>
  <c r="D6" i="18"/>
  <c r="C6" i="18"/>
  <c r="B6" i="18"/>
  <c r="A6" i="18"/>
  <c r="G5" i="18"/>
  <c r="F5" i="18"/>
  <c r="E5" i="18"/>
  <c r="D5" i="18"/>
  <c r="C5" i="18"/>
  <c r="B5" i="18"/>
  <c r="A5" i="18"/>
  <c r="G4" i="18"/>
  <c r="F4" i="18"/>
  <c r="E4" i="18"/>
  <c r="D4" i="18"/>
  <c r="C4" i="18"/>
  <c r="B4" i="18"/>
  <c r="A4" i="18"/>
  <c r="G3" i="18"/>
  <c r="F3" i="18"/>
  <c r="E3" i="18"/>
  <c r="D3" i="18"/>
  <c r="C3" i="18"/>
  <c r="B3" i="18"/>
  <c r="A3" i="18"/>
  <c r="G2" i="18"/>
  <c r="F2" i="18"/>
  <c r="E2" i="18"/>
  <c r="D2" i="18"/>
  <c r="C2" i="18"/>
  <c r="B2" i="18"/>
  <c r="A2" i="18"/>
  <c r="G1" i="18"/>
  <c r="F1" i="18"/>
  <c r="E1" i="18"/>
  <c r="D1" i="18"/>
  <c r="C1" i="18"/>
  <c r="B1" i="18"/>
  <c r="A1" i="18"/>
  <c r="G18" i="17"/>
  <c r="F18" i="17"/>
  <c r="E18" i="17"/>
  <c r="D18" i="17"/>
  <c r="C18" i="17"/>
  <c r="B18" i="17"/>
  <c r="A18" i="17"/>
  <c r="G17" i="17"/>
  <c r="F17" i="17"/>
  <c r="E17" i="17"/>
  <c r="D17" i="17"/>
  <c r="C17" i="17"/>
  <c r="B17" i="17"/>
  <c r="A17" i="17"/>
  <c r="G16" i="17"/>
  <c r="F16" i="17"/>
  <c r="E16" i="17"/>
  <c r="D16" i="17"/>
  <c r="C16" i="17"/>
  <c r="B16" i="17"/>
  <c r="A16" i="17"/>
  <c r="G15" i="17"/>
  <c r="F15" i="17"/>
  <c r="E15" i="17"/>
  <c r="D15" i="17"/>
  <c r="C15" i="17"/>
  <c r="B15" i="17"/>
  <c r="A15" i="17"/>
  <c r="G14" i="17"/>
  <c r="F14" i="17"/>
  <c r="E14" i="17"/>
  <c r="D14" i="17"/>
  <c r="C14" i="17"/>
  <c r="B14" i="17"/>
  <c r="A14" i="17"/>
  <c r="G13" i="17"/>
  <c r="F13" i="17"/>
  <c r="E13" i="17"/>
  <c r="D13" i="17"/>
  <c r="C13" i="17"/>
  <c r="B13" i="17"/>
  <c r="A13" i="17"/>
  <c r="G12" i="17"/>
  <c r="F12" i="17"/>
  <c r="E12" i="17"/>
  <c r="D12" i="17"/>
  <c r="C12" i="17"/>
  <c r="B12" i="17"/>
  <c r="A12" i="17"/>
  <c r="G11" i="17"/>
  <c r="F11" i="17"/>
  <c r="E11" i="17"/>
  <c r="D11" i="17"/>
  <c r="C11" i="17"/>
  <c r="B11" i="17"/>
  <c r="A11" i="17"/>
  <c r="G10" i="17"/>
  <c r="F10" i="17"/>
  <c r="E10" i="17"/>
  <c r="D10" i="17"/>
  <c r="C10" i="17"/>
  <c r="B10" i="17"/>
  <c r="A10" i="17"/>
  <c r="G9" i="17"/>
  <c r="F9" i="17"/>
  <c r="E9" i="17"/>
  <c r="D9" i="17"/>
  <c r="C9" i="17"/>
  <c r="B9" i="17"/>
  <c r="A9" i="17"/>
  <c r="G8" i="17"/>
  <c r="F8" i="17"/>
  <c r="E8" i="17"/>
  <c r="D8" i="17"/>
  <c r="C8" i="17"/>
  <c r="B8" i="17"/>
  <c r="A8" i="17"/>
  <c r="G7" i="17"/>
  <c r="F7" i="17"/>
  <c r="E7" i="17"/>
  <c r="D7" i="17"/>
  <c r="C7" i="17"/>
  <c r="B7" i="17"/>
  <c r="A7" i="17"/>
  <c r="G6" i="17"/>
  <c r="F6" i="17"/>
  <c r="E6" i="17"/>
  <c r="D6" i="17"/>
  <c r="C6" i="17"/>
  <c r="B6" i="17"/>
  <c r="A6" i="17"/>
  <c r="G5" i="17"/>
  <c r="F5" i="17"/>
  <c r="E5" i="17"/>
  <c r="D5" i="17"/>
  <c r="C5" i="17"/>
  <c r="B5" i="17"/>
  <c r="A5" i="17"/>
  <c r="G4" i="17"/>
  <c r="F4" i="17"/>
  <c r="E4" i="17"/>
  <c r="D4" i="17"/>
  <c r="C4" i="17"/>
  <c r="B4" i="17"/>
  <c r="A4" i="17"/>
  <c r="G3" i="17"/>
  <c r="F3" i="17"/>
  <c r="E3" i="17"/>
  <c r="D3" i="17"/>
  <c r="C3" i="17"/>
  <c r="B3" i="17"/>
  <c r="A3" i="17"/>
  <c r="G2" i="17"/>
  <c r="F2" i="17"/>
  <c r="E2" i="17"/>
  <c r="D2" i="17"/>
  <c r="C2" i="17"/>
  <c r="B2" i="17"/>
  <c r="A2" i="17"/>
  <c r="G1" i="17"/>
  <c r="F1" i="17"/>
  <c r="E1" i="17"/>
  <c r="D1" i="17"/>
  <c r="C1" i="17"/>
  <c r="B1" i="17"/>
  <c r="A1" i="17"/>
  <c r="G34" i="16"/>
  <c r="F34" i="16"/>
  <c r="E34" i="16"/>
  <c r="D34" i="16"/>
  <c r="C34" i="16"/>
  <c r="B34" i="16"/>
  <c r="A34" i="16"/>
  <c r="G33" i="16"/>
  <c r="F33" i="16"/>
  <c r="E33" i="16"/>
  <c r="D33" i="16"/>
  <c r="C33" i="16"/>
  <c r="B33" i="16"/>
  <c r="A33" i="16"/>
  <c r="G32" i="16"/>
  <c r="F32" i="16"/>
  <c r="E32" i="16"/>
  <c r="D32" i="16"/>
  <c r="C32" i="16"/>
  <c r="B32" i="16"/>
  <c r="A32" i="16"/>
  <c r="G31" i="16"/>
  <c r="F31" i="16"/>
  <c r="E31" i="16"/>
  <c r="D31" i="16"/>
  <c r="C31" i="16"/>
  <c r="B31" i="16"/>
  <c r="A31" i="16"/>
  <c r="G30" i="16"/>
  <c r="F30" i="16"/>
  <c r="E30" i="16"/>
  <c r="D30" i="16"/>
  <c r="C30" i="16"/>
  <c r="B30" i="16"/>
  <c r="A30" i="16"/>
  <c r="G29" i="16"/>
  <c r="F29" i="16"/>
  <c r="E29" i="16"/>
  <c r="D29" i="16"/>
  <c r="C29" i="16"/>
  <c r="B29" i="16"/>
  <c r="A29" i="16"/>
  <c r="G28" i="16"/>
  <c r="F28" i="16"/>
  <c r="E28" i="16"/>
  <c r="D28" i="16"/>
  <c r="C28" i="16"/>
  <c r="B28" i="16"/>
  <c r="A28" i="16"/>
  <c r="G27" i="16"/>
  <c r="F27" i="16"/>
  <c r="E27" i="16"/>
  <c r="D27" i="16"/>
  <c r="C27" i="16"/>
  <c r="B27" i="16"/>
  <c r="A27" i="16"/>
  <c r="G26" i="16"/>
  <c r="F26" i="16"/>
  <c r="E26" i="16"/>
  <c r="D26" i="16"/>
  <c r="C26" i="16"/>
  <c r="B26" i="16"/>
  <c r="A26" i="16"/>
  <c r="G25" i="16"/>
  <c r="F25" i="16"/>
  <c r="E25" i="16"/>
  <c r="D25" i="16"/>
  <c r="C25" i="16"/>
  <c r="B25" i="16"/>
  <c r="A25" i="16"/>
  <c r="G24" i="16"/>
  <c r="F24" i="16"/>
  <c r="E24" i="16"/>
  <c r="D24" i="16"/>
  <c r="C24" i="16"/>
  <c r="B24" i="16"/>
  <c r="A24" i="16"/>
  <c r="G23" i="16"/>
  <c r="F23" i="16"/>
  <c r="E23" i="16"/>
  <c r="D23" i="16"/>
  <c r="C23" i="16"/>
  <c r="B23" i="16"/>
  <c r="A23" i="16"/>
  <c r="G22" i="16"/>
  <c r="F22" i="16"/>
  <c r="E22" i="16"/>
  <c r="D22" i="16"/>
  <c r="C22" i="16"/>
  <c r="B22" i="16"/>
  <c r="A22" i="16"/>
  <c r="G21" i="16"/>
  <c r="F21" i="16"/>
  <c r="E21" i="16"/>
  <c r="D21" i="16"/>
  <c r="C21" i="16"/>
  <c r="B21" i="16"/>
  <c r="A21" i="16"/>
  <c r="G20" i="16"/>
  <c r="F20" i="16"/>
  <c r="E20" i="16"/>
  <c r="D20" i="16"/>
  <c r="C20" i="16"/>
  <c r="B20" i="16"/>
  <c r="A20" i="16"/>
  <c r="G19" i="16"/>
  <c r="F19" i="16"/>
  <c r="E19" i="16"/>
  <c r="D19" i="16"/>
  <c r="C19" i="16"/>
  <c r="B19" i="16"/>
  <c r="A19" i="16"/>
  <c r="G18" i="16"/>
  <c r="F18" i="16"/>
  <c r="E18" i="16"/>
  <c r="D18" i="16"/>
  <c r="C18" i="16"/>
  <c r="B18" i="16"/>
  <c r="A18" i="16"/>
  <c r="G17" i="16"/>
  <c r="F17" i="16"/>
  <c r="E17" i="16"/>
  <c r="D17" i="16"/>
  <c r="C17" i="16"/>
  <c r="B17" i="16"/>
  <c r="A17" i="16"/>
  <c r="G16" i="16"/>
  <c r="F16" i="16"/>
  <c r="E16" i="16"/>
  <c r="D16" i="16"/>
  <c r="C16" i="16"/>
  <c r="B16" i="16"/>
  <c r="A16" i="16"/>
  <c r="G15" i="16"/>
  <c r="F15" i="16"/>
  <c r="E15" i="16"/>
  <c r="D15" i="16"/>
  <c r="C15" i="16"/>
  <c r="B15" i="16"/>
  <c r="A15" i="16"/>
  <c r="G14" i="16"/>
  <c r="F14" i="16"/>
  <c r="E14" i="16"/>
  <c r="D14" i="16"/>
  <c r="C14" i="16"/>
  <c r="B14" i="16"/>
  <c r="A14" i="16"/>
  <c r="G13" i="16"/>
  <c r="F13" i="16"/>
  <c r="E13" i="16"/>
  <c r="D13" i="16"/>
  <c r="C13" i="16"/>
  <c r="B13" i="16"/>
  <c r="A13" i="16"/>
  <c r="G12" i="16"/>
  <c r="F12" i="16"/>
  <c r="E12" i="16"/>
  <c r="D12" i="16"/>
  <c r="C12" i="16"/>
  <c r="B12" i="16"/>
  <c r="A12" i="16"/>
  <c r="G11" i="16"/>
  <c r="F11" i="16"/>
  <c r="E11" i="16"/>
  <c r="D11" i="16"/>
  <c r="C11" i="16"/>
  <c r="B11" i="16"/>
  <c r="A11" i="16"/>
  <c r="G10" i="16"/>
  <c r="F10" i="16"/>
  <c r="E10" i="16"/>
  <c r="D10" i="16"/>
  <c r="C10" i="16"/>
  <c r="B10" i="16"/>
  <c r="A10" i="16"/>
  <c r="G9" i="16"/>
  <c r="F9" i="16"/>
  <c r="E9" i="16"/>
  <c r="D9" i="16"/>
  <c r="C9" i="16"/>
  <c r="B9" i="16"/>
  <c r="A9" i="16"/>
  <c r="G8" i="16"/>
  <c r="F8" i="16"/>
  <c r="E8" i="16"/>
  <c r="D8" i="16"/>
  <c r="C8" i="16"/>
  <c r="B8" i="16"/>
  <c r="A8" i="16"/>
  <c r="G7" i="16"/>
  <c r="F7" i="16"/>
  <c r="E7" i="16"/>
  <c r="D7" i="16"/>
  <c r="C7" i="16"/>
  <c r="B7" i="16"/>
  <c r="A7" i="16"/>
  <c r="G6" i="16"/>
  <c r="F6" i="16"/>
  <c r="E6" i="16"/>
  <c r="D6" i="16"/>
  <c r="C6" i="16"/>
  <c r="B6" i="16"/>
  <c r="A6" i="16"/>
  <c r="G5" i="16"/>
  <c r="F5" i="16"/>
  <c r="E5" i="16"/>
  <c r="D5" i="16"/>
  <c r="C5" i="16"/>
  <c r="B5" i="16"/>
  <c r="A5" i="16"/>
  <c r="G4" i="16"/>
  <c r="F4" i="16"/>
  <c r="E4" i="16"/>
  <c r="D4" i="16"/>
  <c r="C4" i="16"/>
  <c r="B4" i="16"/>
  <c r="A4" i="16"/>
  <c r="G3" i="16"/>
  <c r="F3" i="16"/>
  <c r="E3" i="16"/>
  <c r="D3" i="16"/>
  <c r="C3" i="16"/>
  <c r="B3" i="16"/>
  <c r="A3" i="16"/>
  <c r="G2" i="16"/>
  <c r="F2" i="16"/>
  <c r="E2" i="16"/>
  <c r="D2" i="16"/>
  <c r="C2" i="16"/>
  <c r="B2" i="16"/>
  <c r="A2" i="16"/>
  <c r="G1" i="16"/>
  <c r="F1" i="16"/>
  <c r="E1" i="16"/>
  <c r="D1" i="16"/>
  <c r="C1" i="16"/>
  <c r="B1" i="16"/>
  <c r="A1" i="16"/>
  <c r="G64" i="15"/>
  <c r="F64" i="15"/>
  <c r="E64" i="15"/>
  <c r="D64" i="15"/>
  <c r="C64" i="15"/>
  <c r="B64" i="15"/>
  <c r="A64" i="15"/>
  <c r="G63" i="15"/>
  <c r="F63" i="15"/>
  <c r="E63" i="15"/>
  <c r="D63" i="15"/>
  <c r="C63" i="15"/>
  <c r="B63" i="15"/>
  <c r="A63" i="15"/>
  <c r="G62" i="15"/>
  <c r="F62" i="15"/>
  <c r="E62" i="15"/>
  <c r="D62" i="15"/>
  <c r="C62" i="15"/>
  <c r="B62" i="15"/>
  <c r="A62" i="15"/>
  <c r="G61" i="15"/>
  <c r="F61" i="15"/>
  <c r="E61" i="15"/>
  <c r="D61" i="15"/>
  <c r="C61" i="15"/>
  <c r="B61" i="15"/>
  <c r="A61" i="15"/>
  <c r="G60" i="15"/>
  <c r="F60" i="15"/>
  <c r="E60" i="15"/>
  <c r="D60" i="15"/>
  <c r="C60" i="15"/>
  <c r="B60" i="15"/>
  <c r="A60" i="15"/>
  <c r="G59" i="15"/>
  <c r="F59" i="15"/>
  <c r="E59" i="15"/>
  <c r="D59" i="15"/>
  <c r="C59" i="15"/>
  <c r="B59" i="15"/>
  <c r="A59" i="15"/>
  <c r="G58" i="15"/>
  <c r="F58" i="15"/>
  <c r="E58" i="15"/>
  <c r="D58" i="15"/>
  <c r="C58" i="15"/>
  <c r="B58" i="15"/>
  <c r="A58" i="15"/>
  <c r="G57" i="15"/>
  <c r="F57" i="15"/>
  <c r="E57" i="15"/>
  <c r="D57" i="15"/>
  <c r="C57" i="15"/>
  <c r="B57" i="15"/>
  <c r="A57" i="15"/>
  <c r="G56" i="15"/>
  <c r="F56" i="15"/>
  <c r="E56" i="15"/>
  <c r="D56" i="15"/>
  <c r="C56" i="15"/>
  <c r="B56" i="15"/>
  <c r="A56" i="15"/>
  <c r="G55" i="15"/>
  <c r="F55" i="15"/>
  <c r="E55" i="15"/>
  <c r="D55" i="15"/>
  <c r="C55" i="15"/>
  <c r="B55" i="15"/>
  <c r="A55" i="15"/>
  <c r="G54" i="15"/>
  <c r="F54" i="15"/>
  <c r="E54" i="15"/>
  <c r="D54" i="15"/>
  <c r="C54" i="15"/>
  <c r="B54" i="15"/>
  <c r="A54" i="15"/>
  <c r="G53" i="15"/>
  <c r="F53" i="15"/>
  <c r="E53" i="15"/>
  <c r="D53" i="15"/>
  <c r="C53" i="15"/>
  <c r="B53" i="15"/>
  <c r="A53" i="15"/>
  <c r="G52" i="15"/>
  <c r="F52" i="15"/>
  <c r="E52" i="15"/>
  <c r="D52" i="15"/>
  <c r="C52" i="15"/>
  <c r="B52" i="15"/>
  <c r="A52" i="15"/>
  <c r="G51" i="15"/>
  <c r="F51" i="15"/>
  <c r="E51" i="15"/>
  <c r="D51" i="15"/>
  <c r="C51" i="15"/>
  <c r="B51" i="15"/>
  <c r="A51" i="15"/>
  <c r="G50" i="15"/>
  <c r="F50" i="15"/>
  <c r="E50" i="15"/>
  <c r="D50" i="15"/>
  <c r="C50" i="15"/>
  <c r="B50" i="15"/>
  <c r="A50" i="15"/>
  <c r="G49" i="15"/>
  <c r="F49" i="15"/>
  <c r="E49" i="15"/>
  <c r="D49" i="15"/>
  <c r="C49" i="15"/>
  <c r="B49" i="15"/>
  <c r="A49" i="15"/>
  <c r="G48" i="15"/>
  <c r="F48" i="15"/>
  <c r="E48" i="15"/>
  <c r="D48" i="15"/>
  <c r="C48" i="15"/>
  <c r="B48" i="15"/>
  <c r="A48" i="15"/>
  <c r="G47" i="15"/>
  <c r="F47" i="15"/>
  <c r="E47" i="15"/>
  <c r="D47" i="15"/>
  <c r="C47" i="15"/>
  <c r="B47" i="15"/>
  <c r="A47" i="15"/>
  <c r="G46" i="15"/>
  <c r="F46" i="15"/>
  <c r="E46" i="15"/>
  <c r="D46" i="15"/>
  <c r="C46" i="15"/>
  <c r="B46" i="15"/>
  <c r="A46" i="15"/>
  <c r="G45" i="15"/>
  <c r="F45" i="15"/>
  <c r="E45" i="15"/>
  <c r="D45" i="15"/>
  <c r="C45" i="15"/>
  <c r="B45" i="15"/>
  <c r="A45" i="15"/>
  <c r="G44" i="15"/>
  <c r="F44" i="15"/>
  <c r="E44" i="15"/>
  <c r="D44" i="15"/>
  <c r="C44" i="15"/>
  <c r="B44" i="15"/>
  <c r="A44" i="15"/>
  <c r="G43" i="15"/>
  <c r="F43" i="15"/>
  <c r="E43" i="15"/>
  <c r="D43" i="15"/>
  <c r="C43" i="15"/>
  <c r="B43" i="15"/>
  <c r="A43" i="15"/>
  <c r="G42" i="15"/>
  <c r="F42" i="15"/>
  <c r="E42" i="15"/>
  <c r="D42" i="15"/>
  <c r="C42" i="15"/>
  <c r="B42" i="15"/>
  <c r="A42" i="15"/>
  <c r="G41" i="15"/>
  <c r="F41" i="15"/>
  <c r="E41" i="15"/>
  <c r="D41" i="15"/>
  <c r="C41" i="15"/>
  <c r="B41" i="15"/>
  <c r="A41" i="15"/>
  <c r="G40" i="15"/>
  <c r="F40" i="15"/>
  <c r="E40" i="15"/>
  <c r="D40" i="15"/>
  <c r="C40" i="15"/>
  <c r="B40" i="15"/>
  <c r="A40" i="15"/>
  <c r="G39" i="15"/>
  <c r="F39" i="15"/>
  <c r="E39" i="15"/>
  <c r="D39" i="15"/>
  <c r="C39" i="15"/>
  <c r="B39" i="15"/>
  <c r="A39" i="15"/>
  <c r="G38" i="15"/>
  <c r="F38" i="15"/>
  <c r="E38" i="15"/>
  <c r="D38" i="15"/>
  <c r="C38" i="15"/>
  <c r="B38" i="15"/>
  <c r="A38" i="15"/>
  <c r="G37" i="15"/>
  <c r="F37" i="15"/>
  <c r="E37" i="15"/>
  <c r="D37" i="15"/>
  <c r="C37" i="15"/>
  <c r="B37" i="15"/>
  <c r="A37" i="15"/>
  <c r="G36" i="15"/>
  <c r="F36" i="15"/>
  <c r="E36" i="15"/>
  <c r="D36" i="15"/>
  <c r="C36" i="15"/>
  <c r="B36" i="15"/>
  <c r="A36" i="15"/>
  <c r="G35" i="15"/>
  <c r="F35" i="15"/>
  <c r="E35" i="15"/>
  <c r="D35" i="15"/>
  <c r="C35" i="15"/>
  <c r="B35" i="15"/>
  <c r="A35" i="15"/>
  <c r="G34" i="15"/>
  <c r="F34" i="15"/>
  <c r="E34" i="15"/>
  <c r="D34" i="15"/>
  <c r="C34" i="15"/>
  <c r="B34" i="15"/>
  <c r="A34" i="15"/>
  <c r="G33" i="15"/>
  <c r="F33" i="15"/>
  <c r="E33" i="15"/>
  <c r="D33" i="15"/>
  <c r="C33" i="15"/>
  <c r="B33" i="15"/>
  <c r="A33" i="15"/>
  <c r="G32" i="15"/>
  <c r="F32" i="15"/>
  <c r="E32" i="15"/>
  <c r="D32" i="15"/>
  <c r="C32" i="15"/>
  <c r="B32" i="15"/>
  <c r="A32" i="15"/>
  <c r="G31" i="15"/>
  <c r="F31" i="15"/>
  <c r="E31" i="15"/>
  <c r="D31" i="15"/>
  <c r="C31" i="15"/>
  <c r="B31" i="15"/>
  <c r="A31" i="15"/>
  <c r="G30" i="15"/>
  <c r="F30" i="15"/>
  <c r="E30" i="15"/>
  <c r="D30" i="15"/>
  <c r="C30" i="15"/>
  <c r="B30" i="15"/>
  <c r="A30" i="15"/>
  <c r="G29" i="15"/>
  <c r="F29" i="15"/>
  <c r="E29" i="15"/>
  <c r="D29" i="15"/>
  <c r="C29" i="15"/>
  <c r="B29" i="15"/>
  <c r="A29" i="15"/>
  <c r="G28" i="15"/>
  <c r="F28" i="15"/>
  <c r="E28" i="15"/>
  <c r="D28" i="15"/>
  <c r="C28" i="15"/>
  <c r="B28" i="15"/>
  <c r="A28" i="15"/>
  <c r="G27" i="15"/>
  <c r="F27" i="15"/>
  <c r="E27" i="15"/>
  <c r="D27" i="15"/>
  <c r="C27" i="15"/>
  <c r="B27" i="15"/>
  <c r="A27" i="15"/>
  <c r="G26" i="15"/>
  <c r="F26" i="15"/>
  <c r="E26" i="15"/>
  <c r="D26" i="15"/>
  <c r="C26" i="15"/>
  <c r="B26" i="15"/>
  <c r="A26" i="15"/>
  <c r="G25" i="15"/>
  <c r="F25" i="15"/>
  <c r="E25" i="15"/>
  <c r="D25" i="15"/>
  <c r="C25" i="15"/>
  <c r="B25" i="15"/>
  <c r="A25" i="15"/>
  <c r="G24" i="15"/>
  <c r="F24" i="15"/>
  <c r="E24" i="15"/>
  <c r="D24" i="15"/>
  <c r="C24" i="15"/>
  <c r="B24" i="15"/>
  <c r="A24" i="15"/>
  <c r="G23" i="15"/>
  <c r="F23" i="15"/>
  <c r="E23" i="15"/>
  <c r="D23" i="15"/>
  <c r="C23" i="15"/>
  <c r="B23" i="15"/>
  <c r="A23" i="15"/>
  <c r="G22" i="15"/>
  <c r="F22" i="15"/>
  <c r="E22" i="15"/>
  <c r="D22" i="15"/>
  <c r="C22" i="15"/>
  <c r="B22" i="15"/>
  <c r="A22" i="15"/>
  <c r="G21" i="15"/>
  <c r="F21" i="15"/>
  <c r="E21" i="15"/>
  <c r="D21" i="15"/>
  <c r="C21" i="15"/>
  <c r="B21" i="15"/>
  <c r="A21" i="15"/>
  <c r="G20" i="15"/>
  <c r="F20" i="15"/>
  <c r="E20" i="15"/>
  <c r="D20" i="15"/>
  <c r="C20" i="15"/>
  <c r="B20" i="15"/>
  <c r="A20" i="15"/>
  <c r="G19" i="15"/>
  <c r="F19" i="15"/>
  <c r="E19" i="15"/>
  <c r="D19" i="15"/>
  <c r="C19" i="15"/>
  <c r="B19" i="15"/>
  <c r="A19" i="15"/>
  <c r="G18" i="15"/>
  <c r="F18" i="15"/>
  <c r="E18" i="15"/>
  <c r="D18" i="15"/>
  <c r="C18" i="15"/>
  <c r="B18" i="15"/>
  <c r="A18" i="15"/>
  <c r="G17" i="15"/>
  <c r="F17" i="15"/>
  <c r="E17" i="15"/>
  <c r="D17" i="15"/>
  <c r="C17" i="15"/>
  <c r="B17" i="15"/>
  <c r="A17" i="15"/>
  <c r="G16" i="15"/>
  <c r="F16" i="15"/>
  <c r="E16" i="15"/>
  <c r="D16" i="15"/>
  <c r="C16" i="15"/>
  <c r="B16" i="15"/>
  <c r="A16" i="15"/>
  <c r="G15" i="15"/>
  <c r="F15" i="15"/>
  <c r="E15" i="15"/>
  <c r="D15" i="15"/>
  <c r="C15" i="15"/>
  <c r="B15" i="15"/>
  <c r="A15" i="15"/>
  <c r="G14" i="15"/>
  <c r="F14" i="15"/>
  <c r="E14" i="15"/>
  <c r="D14" i="15"/>
  <c r="C14" i="15"/>
  <c r="B14" i="15"/>
  <c r="A14" i="15"/>
  <c r="G13" i="15"/>
  <c r="F13" i="15"/>
  <c r="E13" i="15"/>
  <c r="D13" i="15"/>
  <c r="C13" i="15"/>
  <c r="B13" i="15"/>
  <c r="A13" i="15"/>
  <c r="G12" i="15"/>
  <c r="F12" i="15"/>
  <c r="E12" i="15"/>
  <c r="D12" i="15"/>
  <c r="C12" i="15"/>
  <c r="B12" i="15"/>
  <c r="A12" i="15"/>
  <c r="G11" i="15"/>
  <c r="F11" i="15"/>
  <c r="E11" i="15"/>
  <c r="D11" i="15"/>
  <c r="C11" i="15"/>
  <c r="B11" i="15"/>
  <c r="A11" i="15"/>
  <c r="G10" i="15"/>
  <c r="F10" i="15"/>
  <c r="E10" i="15"/>
  <c r="D10" i="15"/>
  <c r="C10" i="15"/>
  <c r="B10" i="15"/>
  <c r="A10" i="15"/>
  <c r="G9" i="15"/>
  <c r="F9" i="15"/>
  <c r="E9" i="15"/>
  <c r="D9" i="15"/>
  <c r="C9" i="15"/>
  <c r="B9" i="15"/>
  <c r="A9" i="15"/>
  <c r="G8" i="15"/>
  <c r="F8" i="15"/>
  <c r="E8" i="15"/>
  <c r="D8" i="15"/>
  <c r="C8" i="15"/>
  <c r="B8" i="15"/>
  <c r="A8" i="15"/>
  <c r="G7" i="15"/>
  <c r="F7" i="15"/>
  <c r="E7" i="15"/>
  <c r="D7" i="15"/>
  <c r="C7" i="15"/>
  <c r="B7" i="15"/>
  <c r="A7" i="15"/>
  <c r="G6" i="15"/>
  <c r="F6" i="15"/>
  <c r="E6" i="15"/>
  <c r="D6" i="15"/>
  <c r="C6" i="15"/>
  <c r="B6" i="15"/>
  <c r="A6" i="15"/>
  <c r="G5" i="15"/>
  <c r="F5" i="15"/>
  <c r="E5" i="15"/>
  <c r="D5" i="15"/>
  <c r="C5" i="15"/>
  <c r="B5" i="15"/>
  <c r="A5" i="15"/>
  <c r="G4" i="15"/>
  <c r="F4" i="15"/>
  <c r="E4" i="15"/>
  <c r="D4" i="15"/>
  <c r="C4" i="15"/>
  <c r="B4" i="15"/>
  <c r="A4" i="15"/>
  <c r="G3" i="15"/>
  <c r="F3" i="15"/>
  <c r="E3" i="15"/>
  <c r="D3" i="15"/>
  <c r="C3" i="15"/>
  <c r="B3" i="15"/>
  <c r="A3" i="15"/>
  <c r="G2" i="15"/>
  <c r="F2" i="15"/>
  <c r="E2" i="15"/>
  <c r="D2" i="15"/>
  <c r="C2" i="15"/>
  <c r="B2" i="15"/>
  <c r="A2" i="15"/>
  <c r="G1" i="15"/>
  <c r="F1" i="15"/>
  <c r="E1" i="15"/>
  <c r="D1" i="15"/>
  <c r="C1" i="15"/>
  <c r="B1" i="15"/>
  <c r="A1" i="15"/>
  <c r="G81" i="14"/>
  <c r="F81" i="14"/>
  <c r="E81" i="14"/>
  <c r="D81" i="14"/>
  <c r="C81" i="14"/>
  <c r="B81" i="14"/>
  <c r="A81" i="14"/>
  <c r="G80" i="14"/>
  <c r="F80" i="14"/>
  <c r="E80" i="14"/>
  <c r="D80" i="14"/>
  <c r="C80" i="14"/>
  <c r="B80" i="14"/>
  <c r="A80" i="14"/>
  <c r="G79" i="14"/>
  <c r="F79" i="14"/>
  <c r="E79" i="14"/>
  <c r="D79" i="14"/>
  <c r="C79" i="14"/>
  <c r="B79" i="14"/>
  <c r="A79" i="14"/>
  <c r="G78" i="14"/>
  <c r="F78" i="14"/>
  <c r="E78" i="14"/>
  <c r="D78" i="14"/>
  <c r="C78" i="14"/>
  <c r="B78" i="14"/>
  <c r="A78" i="14"/>
  <c r="G77" i="14"/>
  <c r="F77" i="14"/>
  <c r="E77" i="14"/>
  <c r="D77" i="14"/>
  <c r="C77" i="14"/>
  <c r="B77" i="14"/>
  <c r="A77" i="14"/>
  <c r="G76" i="14"/>
  <c r="F76" i="14"/>
  <c r="E76" i="14"/>
  <c r="D76" i="14"/>
  <c r="C76" i="14"/>
  <c r="B76" i="14"/>
  <c r="A76" i="14"/>
  <c r="G75" i="14"/>
  <c r="F75" i="14"/>
  <c r="E75" i="14"/>
  <c r="D75" i="14"/>
  <c r="C75" i="14"/>
  <c r="B75" i="14"/>
  <c r="A75" i="14"/>
  <c r="G74" i="14"/>
  <c r="F74" i="14"/>
  <c r="E74" i="14"/>
  <c r="D74" i="14"/>
  <c r="C74" i="14"/>
  <c r="B74" i="14"/>
  <c r="A74" i="14"/>
  <c r="G73" i="14"/>
  <c r="F73" i="14"/>
  <c r="E73" i="14"/>
  <c r="D73" i="14"/>
  <c r="C73" i="14"/>
  <c r="B73" i="14"/>
  <c r="A73" i="14"/>
  <c r="G72" i="14"/>
  <c r="F72" i="14"/>
  <c r="E72" i="14"/>
  <c r="D72" i="14"/>
  <c r="C72" i="14"/>
  <c r="B72" i="14"/>
  <c r="A72" i="14"/>
  <c r="G71" i="14"/>
  <c r="F71" i="14"/>
  <c r="E71" i="14"/>
  <c r="D71" i="14"/>
  <c r="C71" i="14"/>
  <c r="B71" i="14"/>
  <c r="A71" i="14"/>
  <c r="G70" i="14"/>
  <c r="F70" i="14"/>
  <c r="E70" i="14"/>
  <c r="D70" i="14"/>
  <c r="C70" i="14"/>
  <c r="B70" i="14"/>
  <c r="A70" i="14"/>
  <c r="G69" i="14"/>
  <c r="F69" i="14"/>
  <c r="E69" i="14"/>
  <c r="D69" i="14"/>
  <c r="C69" i="14"/>
  <c r="B69" i="14"/>
  <c r="A69" i="14"/>
  <c r="G68" i="14"/>
  <c r="F68" i="14"/>
  <c r="E68" i="14"/>
  <c r="D68" i="14"/>
  <c r="C68" i="14"/>
  <c r="B68" i="14"/>
  <c r="A68" i="14"/>
  <c r="G67" i="14"/>
  <c r="F67" i="14"/>
  <c r="E67" i="14"/>
  <c r="D67" i="14"/>
  <c r="C67" i="14"/>
  <c r="B67" i="14"/>
  <c r="A67" i="14"/>
  <c r="G66" i="14"/>
  <c r="F66" i="14"/>
  <c r="E66" i="14"/>
  <c r="D66" i="14"/>
  <c r="C66" i="14"/>
  <c r="B66" i="14"/>
  <c r="A66" i="14"/>
  <c r="G65" i="14"/>
  <c r="F65" i="14"/>
  <c r="E65" i="14"/>
  <c r="D65" i="14"/>
  <c r="C65" i="14"/>
  <c r="B65" i="14"/>
  <c r="A65" i="14"/>
  <c r="G64" i="14"/>
  <c r="F64" i="14"/>
  <c r="E64" i="14"/>
  <c r="D64" i="14"/>
  <c r="C64" i="14"/>
  <c r="B64" i="14"/>
  <c r="A64" i="14"/>
  <c r="G63" i="14"/>
  <c r="F63" i="14"/>
  <c r="E63" i="14"/>
  <c r="D63" i="14"/>
  <c r="C63" i="14"/>
  <c r="B63" i="14"/>
  <c r="A63" i="14"/>
  <c r="G62" i="14"/>
  <c r="F62" i="14"/>
  <c r="E62" i="14"/>
  <c r="D62" i="14"/>
  <c r="C62" i="14"/>
  <c r="B62" i="14"/>
  <c r="A62" i="14"/>
  <c r="G61" i="14"/>
  <c r="F61" i="14"/>
  <c r="E61" i="14"/>
  <c r="D61" i="14"/>
  <c r="C61" i="14"/>
  <c r="B61" i="14"/>
  <c r="A61" i="14"/>
  <c r="G60" i="14"/>
  <c r="F60" i="14"/>
  <c r="E60" i="14"/>
  <c r="D60" i="14"/>
  <c r="C60" i="14"/>
  <c r="B60" i="14"/>
  <c r="A60" i="14"/>
  <c r="G59" i="14"/>
  <c r="F59" i="14"/>
  <c r="E59" i="14"/>
  <c r="D59" i="14"/>
  <c r="C59" i="14"/>
  <c r="B59" i="14"/>
  <c r="A59" i="14"/>
  <c r="G58" i="14"/>
  <c r="F58" i="14"/>
  <c r="E58" i="14"/>
  <c r="D58" i="14"/>
  <c r="C58" i="14"/>
  <c r="B58" i="14"/>
  <c r="A58" i="14"/>
  <c r="G57" i="14"/>
  <c r="F57" i="14"/>
  <c r="E57" i="14"/>
  <c r="D57" i="14"/>
  <c r="C57" i="14"/>
  <c r="B57" i="14"/>
  <c r="A57" i="14"/>
  <c r="G56" i="14"/>
  <c r="F56" i="14"/>
  <c r="E56" i="14"/>
  <c r="D56" i="14"/>
  <c r="C56" i="14"/>
  <c r="B56" i="14"/>
  <c r="A56" i="14"/>
  <c r="G55" i="14"/>
  <c r="F55" i="14"/>
  <c r="E55" i="14"/>
  <c r="D55" i="14"/>
  <c r="C55" i="14"/>
  <c r="B55" i="14"/>
  <c r="A55" i="14"/>
  <c r="G54" i="14"/>
  <c r="F54" i="14"/>
  <c r="E54" i="14"/>
  <c r="D54" i="14"/>
  <c r="C54" i="14"/>
  <c r="B54" i="14"/>
  <c r="A54" i="14"/>
  <c r="G53" i="14"/>
  <c r="F53" i="14"/>
  <c r="E53" i="14"/>
  <c r="D53" i="14"/>
  <c r="C53" i="14"/>
  <c r="B53" i="14"/>
  <c r="A53" i="14"/>
  <c r="G52" i="14"/>
  <c r="F52" i="14"/>
  <c r="E52" i="14"/>
  <c r="D52" i="14"/>
  <c r="C52" i="14"/>
  <c r="B52" i="14"/>
  <c r="A52" i="14"/>
  <c r="G51" i="14"/>
  <c r="F51" i="14"/>
  <c r="E51" i="14"/>
  <c r="D51" i="14"/>
  <c r="C51" i="14"/>
  <c r="B51" i="14"/>
  <c r="A51" i="14"/>
  <c r="G50" i="14"/>
  <c r="F50" i="14"/>
  <c r="E50" i="14"/>
  <c r="D50" i="14"/>
  <c r="C50" i="14"/>
  <c r="B50" i="14"/>
  <c r="A50" i="14"/>
  <c r="G49" i="14"/>
  <c r="F49" i="14"/>
  <c r="E49" i="14"/>
  <c r="D49" i="14"/>
  <c r="C49" i="14"/>
  <c r="B49" i="14"/>
  <c r="A49" i="14"/>
  <c r="G48" i="14"/>
  <c r="F48" i="14"/>
  <c r="E48" i="14"/>
  <c r="D48" i="14"/>
  <c r="C48" i="14"/>
  <c r="B48" i="14"/>
  <c r="A48" i="14"/>
  <c r="G47" i="14"/>
  <c r="F47" i="14"/>
  <c r="E47" i="14"/>
  <c r="D47" i="14"/>
  <c r="C47" i="14"/>
  <c r="B47" i="14"/>
  <c r="A47" i="14"/>
  <c r="G46" i="14"/>
  <c r="F46" i="14"/>
  <c r="E46" i="14"/>
  <c r="D46" i="14"/>
  <c r="C46" i="14"/>
  <c r="B46" i="14"/>
  <c r="A46" i="14"/>
  <c r="G45" i="14"/>
  <c r="F45" i="14"/>
  <c r="E45" i="14"/>
  <c r="D45" i="14"/>
  <c r="C45" i="14"/>
  <c r="B45" i="14"/>
  <c r="A45" i="14"/>
  <c r="G44" i="14"/>
  <c r="F44" i="14"/>
  <c r="E44" i="14"/>
  <c r="D44" i="14"/>
  <c r="C44" i="14"/>
  <c r="B44" i="14"/>
  <c r="A44" i="14"/>
  <c r="G43" i="14"/>
  <c r="F43" i="14"/>
  <c r="E43" i="14"/>
  <c r="D43" i="14"/>
  <c r="C43" i="14"/>
  <c r="B43" i="14"/>
  <c r="A43" i="14"/>
  <c r="G42" i="14"/>
  <c r="F42" i="14"/>
  <c r="E42" i="14"/>
  <c r="D42" i="14"/>
  <c r="C42" i="14"/>
  <c r="B42" i="14"/>
  <c r="A42" i="14"/>
  <c r="G41" i="14"/>
  <c r="F41" i="14"/>
  <c r="E41" i="14"/>
  <c r="D41" i="14"/>
  <c r="C41" i="14"/>
  <c r="B41" i="14"/>
  <c r="A41" i="14"/>
  <c r="G40" i="14"/>
  <c r="F40" i="14"/>
  <c r="E40" i="14"/>
  <c r="D40" i="14"/>
  <c r="C40" i="14"/>
  <c r="B40" i="14"/>
  <c r="A40" i="14"/>
  <c r="G39" i="14"/>
  <c r="F39" i="14"/>
  <c r="E39" i="14"/>
  <c r="D39" i="14"/>
  <c r="C39" i="14"/>
  <c r="B39" i="14"/>
  <c r="A39" i="14"/>
  <c r="G38" i="14"/>
  <c r="F38" i="14"/>
  <c r="E38" i="14"/>
  <c r="D38" i="14"/>
  <c r="C38" i="14"/>
  <c r="B38" i="14"/>
  <c r="A38" i="14"/>
  <c r="G37" i="14"/>
  <c r="F37" i="14"/>
  <c r="E37" i="14"/>
  <c r="D37" i="14"/>
  <c r="C37" i="14"/>
  <c r="B37" i="14"/>
  <c r="A37" i="14"/>
  <c r="G36" i="14"/>
  <c r="F36" i="14"/>
  <c r="E36" i="14"/>
  <c r="D36" i="14"/>
  <c r="C36" i="14"/>
  <c r="B36" i="14"/>
  <c r="A36" i="14"/>
  <c r="G35" i="14"/>
  <c r="F35" i="14"/>
  <c r="E35" i="14"/>
  <c r="D35" i="14"/>
  <c r="C35" i="14"/>
  <c r="B35" i="14"/>
  <c r="A35" i="14"/>
  <c r="G34" i="14"/>
  <c r="F34" i="14"/>
  <c r="E34" i="14"/>
  <c r="D34" i="14"/>
  <c r="C34" i="14"/>
  <c r="B34" i="14"/>
  <c r="A34" i="14"/>
  <c r="G33" i="14"/>
  <c r="F33" i="14"/>
  <c r="E33" i="14"/>
  <c r="D33" i="14"/>
  <c r="C33" i="14"/>
  <c r="B33" i="14"/>
  <c r="A33" i="14"/>
  <c r="G32" i="14"/>
  <c r="F32" i="14"/>
  <c r="E32" i="14"/>
  <c r="D32" i="14"/>
  <c r="C32" i="14"/>
  <c r="B32" i="14"/>
  <c r="A32" i="14"/>
  <c r="G31" i="14"/>
  <c r="F31" i="14"/>
  <c r="E31" i="14"/>
  <c r="D31" i="14"/>
  <c r="C31" i="14"/>
  <c r="B31" i="14"/>
  <c r="A31" i="14"/>
  <c r="G30" i="14"/>
  <c r="F30" i="14"/>
  <c r="E30" i="14"/>
  <c r="D30" i="14"/>
  <c r="C30" i="14"/>
  <c r="B30" i="14"/>
  <c r="A30" i="14"/>
  <c r="G29" i="14"/>
  <c r="F29" i="14"/>
  <c r="E29" i="14"/>
  <c r="D29" i="14"/>
  <c r="C29" i="14"/>
  <c r="B29" i="14"/>
  <c r="A29" i="14"/>
  <c r="G28" i="14"/>
  <c r="F28" i="14"/>
  <c r="E28" i="14"/>
  <c r="D28" i="14"/>
  <c r="C28" i="14"/>
  <c r="B28" i="14"/>
  <c r="A28" i="14"/>
  <c r="G27" i="14"/>
  <c r="F27" i="14"/>
  <c r="E27" i="14"/>
  <c r="D27" i="14"/>
  <c r="C27" i="14"/>
  <c r="B27" i="14"/>
  <c r="A27" i="14"/>
  <c r="G26" i="14"/>
  <c r="F26" i="14"/>
  <c r="E26" i="14"/>
  <c r="D26" i="14"/>
  <c r="C26" i="14"/>
  <c r="B26" i="14"/>
  <c r="A26" i="14"/>
  <c r="G25" i="14"/>
  <c r="F25" i="14"/>
  <c r="E25" i="14"/>
  <c r="D25" i="14"/>
  <c r="C25" i="14"/>
  <c r="B25" i="14"/>
  <c r="A25" i="14"/>
  <c r="G24" i="14"/>
  <c r="F24" i="14"/>
  <c r="E24" i="14"/>
  <c r="D24" i="14"/>
  <c r="C24" i="14"/>
  <c r="B24" i="14"/>
  <c r="A24" i="14"/>
  <c r="G23" i="14"/>
  <c r="F23" i="14"/>
  <c r="E23" i="14"/>
  <c r="D23" i="14"/>
  <c r="C23" i="14"/>
  <c r="B23" i="14"/>
  <c r="A23" i="14"/>
  <c r="G22" i="14"/>
  <c r="F22" i="14"/>
  <c r="E22" i="14"/>
  <c r="D22" i="14"/>
  <c r="C22" i="14"/>
  <c r="B22" i="14"/>
  <c r="A22" i="14"/>
  <c r="G21" i="14"/>
  <c r="F21" i="14"/>
  <c r="E21" i="14"/>
  <c r="D21" i="14"/>
  <c r="C21" i="14"/>
  <c r="B21" i="14"/>
  <c r="A21" i="14"/>
  <c r="G20" i="14"/>
  <c r="F20" i="14"/>
  <c r="E20" i="14"/>
  <c r="D20" i="14"/>
  <c r="C20" i="14"/>
  <c r="B20" i="14"/>
  <c r="A20" i="14"/>
  <c r="G19" i="14"/>
  <c r="F19" i="14"/>
  <c r="E19" i="14"/>
  <c r="D19" i="14"/>
  <c r="C19" i="14"/>
  <c r="B19" i="14"/>
  <c r="A19" i="14"/>
  <c r="G18" i="14"/>
  <c r="F18" i="14"/>
  <c r="E18" i="14"/>
  <c r="D18" i="14"/>
  <c r="C18" i="14"/>
  <c r="B18" i="14"/>
  <c r="A18" i="14"/>
  <c r="G17" i="14"/>
  <c r="F17" i="14"/>
  <c r="E17" i="14"/>
  <c r="D17" i="14"/>
  <c r="C17" i="14"/>
  <c r="B17" i="14"/>
  <c r="A17" i="14"/>
  <c r="G16" i="14"/>
  <c r="F16" i="14"/>
  <c r="E16" i="14"/>
  <c r="D16" i="14"/>
  <c r="C16" i="14"/>
  <c r="B16" i="14"/>
  <c r="A16" i="14"/>
  <c r="G15" i="14"/>
  <c r="F15" i="14"/>
  <c r="E15" i="14"/>
  <c r="D15" i="14"/>
  <c r="C15" i="14"/>
  <c r="B15" i="14"/>
  <c r="A15" i="14"/>
  <c r="G14" i="14"/>
  <c r="F14" i="14"/>
  <c r="E14" i="14"/>
  <c r="D14" i="14"/>
  <c r="C14" i="14"/>
  <c r="B14" i="14"/>
  <c r="A14" i="14"/>
  <c r="G13" i="14"/>
  <c r="F13" i="14"/>
  <c r="E13" i="14"/>
  <c r="D13" i="14"/>
  <c r="C13" i="14"/>
  <c r="B13" i="14"/>
  <c r="A13" i="14"/>
  <c r="G12" i="14"/>
  <c r="F12" i="14"/>
  <c r="E12" i="14"/>
  <c r="D12" i="14"/>
  <c r="C12" i="14"/>
  <c r="B12" i="14"/>
  <c r="A12" i="14"/>
  <c r="G11" i="14"/>
  <c r="F11" i="14"/>
  <c r="E11" i="14"/>
  <c r="D11" i="14"/>
  <c r="C11" i="14"/>
  <c r="B11" i="14"/>
  <c r="A11" i="14"/>
  <c r="G10" i="14"/>
  <c r="F10" i="14"/>
  <c r="E10" i="14"/>
  <c r="D10" i="14"/>
  <c r="C10" i="14"/>
  <c r="B10" i="14"/>
  <c r="A10" i="14"/>
  <c r="G9" i="14"/>
  <c r="F9" i="14"/>
  <c r="E9" i="14"/>
  <c r="D9" i="14"/>
  <c r="C9" i="14"/>
  <c r="B9" i="14"/>
  <c r="A9" i="14"/>
  <c r="G8" i="14"/>
  <c r="F8" i="14"/>
  <c r="E8" i="14"/>
  <c r="D8" i="14"/>
  <c r="C8" i="14"/>
  <c r="B8" i="14"/>
  <c r="A8" i="14"/>
  <c r="G7" i="14"/>
  <c r="F7" i="14"/>
  <c r="E7" i="14"/>
  <c r="D7" i="14"/>
  <c r="C7" i="14"/>
  <c r="B7" i="14"/>
  <c r="A7" i="14"/>
  <c r="G6" i="14"/>
  <c r="F6" i="14"/>
  <c r="E6" i="14"/>
  <c r="D6" i="14"/>
  <c r="C6" i="14"/>
  <c r="B6" i="14"/>
  <c r="A6" i="14"/>
  <c r="G5" i="14"/>
  <c r="F5" i="14"/>
  <c r="E5" i="14"/>
  <c r="D5" i="14"/>
  <c r="C5" i="14"/>
  <c r="B5" i="14"/>
  <c r="A5" i="14"/>
  <c r="G4" i="14"/>
  <c r="F4" i="14"/>
  <c r="E4" i="14"/>
  <c r="D4" i="14"/>
  <c r="C4" i="14"/>
  <c r="B4" i="14"/>
  <c r="A4" i="14"/>
  <c r="G3" i="14"/>
  <c r="F3" i="14"/>
  <c r="E3" i="14"/>
  <c r="D3" i="14"/>
  <c r="C3" i="14"/>
  <c r="B3" i="14"/>
  <c r="A3" i="14"/>
  <c r="G2" i="14"/>
  <c r="F2" i="14"/>
  <c r="E2" i="14"/>
  <c r="D2" i="14"/>
  <c r="C2" i="14"/>
  <c r="B2" i="14"/>
  <c r="A2" i="14"/>
  <c r="G1" i="14"/>
  <c r="F1" i="14"/>
  <c r="E1" i="14"/>
  <c r="D1" i="14"/>
  <c r="C1" i="14"/>
  <c r="B1" i="14"/>
  <c r="A1" i="14"/>
  <c r="J343" i="13"/>
  <c r="I343" i="13"/>
  <c r="H343" i="13"/>
  <c r="G343" i="13"/>
  <c r="F343" i="13"/>
  <c r="E343" i="13"/>
  <c r="D343" i="13"/>
  <c r="C343" i="13"/>
  <c r="B342" i="13"/>
  <c r="A342" i="13"/>
  <c r="J342" i="13"/>
  <c r="I342" i="13"/>
  <c r="H342" i="13"/>
  <c r="G342" i="13"/>
  <c r="F342" i="13"/>
  <c r="E342" i="13"/>
  <c r="D342" i="13"/>
  <c r="C342" i="13"/>
  <c r="B341" i="13"/>
  <c r="A341" i="13"/>
  <c r="J341" i="13"/>
  <c r="I341" i="13"/>
  <c r="H341" i="13"/>
  <c r="G341" i="13"/>
  <c r="F341" i="13"/>
  <c r="E341" i="13"/>
  <c r="D341" i="13"/>
  <c r="C341" i="13"/>
  <c r="B340" i="13"/>
  <c r="A340" i="13"/>
  <c r="J340" i="13"/>
  <c r="I340" i="13"/>
  <c r="H340" i="13"/>
  <c r="G340" i="13"/>
  <c r="F340" i="13"/>
  <c r="E340" i="13"/>
  <c r="D340" i="13"/>
  <c r="C340" i="13"/>
  <c r="B339" i="13"/>
  <c r="A339" i="13"/>
  <c r="J339" i="13"/>
  <c r="I339" i="13"/>
  <c r="H339" i="13"/>
  <c r="G339" i="13"/>
  <c r="F339" i="13"/>
  <c r="E339" i="13"/>
  <c r="D339" i="13"/>
  <c r="C339" i="13"/>
  <c r="B338" i="13"/>
  <c r="A338" i="13"/>
  <c r="J338" i="13"/>
  <c r="I338" i="13"/>
  <c r="H338" i="13"/>
  <c r="G338" i="13"/>
  <c r="F338" i="13"/>
  <c r="E338" i="13"/>
  <c r="D338" i="13"/>
  <c r="C338" i="13"/>
  <c r="B337" i="13"/>
  <c r="A337" i="13"/>
  <c r="J337" i="13"/>
  <c r="I337" i="13"/>
  <c r="H337" i="13"/>
  <c r="G337" i="13"/>
  <c r="F337" i="13"/>
  <c r="E337" i="13"/>
  <c r="D337" i="13"/>
  <c r="C337" i="13"/>
  <c r="B336" i="13"/>
  <c r="A336" i="13"/>
  <c r="J336" i="13"/>
  <c r="I336" i="13"/>
  <c r="H336" i="13"/>
  <c r="G336" i="13"/>
  <c r="F336" i="13"/>
  <c r="E336" i="13"/>
  <c r="D336" i="13"/>
  <c r="C336" i="13"/>
  <c r="B335" i="13"/>
  <c r="A335" i="13"/>
  <c r="J335" i="13"/>
  <c r="I335" i="13"/>
  <c r="H335" i="13"/>
  <c r="G335" i="13"/>
  <c r="F335" i="13"/>
  <c r="E335" i="13"/>
  <c r="D335" i="13"/>
  <c r="C335" i="13"/>
  <c r="B334" i="13"/>
  <c r="A334" i="13"/>
  <c r="J334" i="13"/>
  <c r="I334" i="13"/>
  <c r="H334" i="13"/>
  <c r="G334" i="13"/>
  <c r="F334" i="13"/>
  <c r="E334" i="13"/>
  <c r="D334" i="13"/>
  <c r="C334" i="13"/>
  <c r="B333" i="13"/>
  <c r="A333" i="13"/>
  <c r="J333" i="13"/>
  <c r="I333" i="13"/>
  <c r="H333" i="13"/>
  <c r="G333" i="13"/>
  <c r="F333" i="13"/>
  <c r="E333" i="13"/>
  <c r="D333" i="13"/>
  <c r="C333" i="13"/>
  <c r="B332" i="13"/>
  <c r="A332" i="13"/>
  <c r="J332" i="13"/>
  <c r="I332" i="13"/>
  <c r="H332" i="13"/>
  <c r="G332" i="13"/>
  <c r="F332" i="13"/>
  <c r="E332" i="13"/>
  <c r="D332" i="13"/>
  <c r="C332" i="13"/>
  <c r="B331" i="13"/>
  <c r="A331" i="13"/>
  <c r="J331" i="13"/>
  <c r="I331" i="13"/>
  <c r="H331" i="13"/>
  <c r="G331" i="13"/>
  <c r="F331" i="13"/>
  <c r="E331" i="13"/>
  <c r="D331" i="13"/>
  <c r="C331" i="13"/>
  <c r="B330" i="13"/>
  <c r="A330" i="13"/>
  <c r="J330" i="13"/>
  <c r="I330" i="13"/>
  <c r="H330" i="13"/>
  <c r="G330" i="13"/>
  <c r="F330" i="13"/>
  <c r="E330" i="13"/>
  <c r="D330" i="13"/>
  <c r="C330" i="13"/>
  <c r="B329" i="13"/>
  <c r="A329" i="13"/>
  <c r="J329" i="13"/>
  <c r="I329" i="13"/>
  <c r="H329" i="13"/>
  <c r="G329" i="13"/>
  <c r="F329" i="13"/>
  <c r="E329" i="13"/>
  <c r="D329" i="13"/>
  <c r="C329" i="13"/>
  <c r="B328" i="13"/>
  <c r="A328" i="13"/>
  <c r="J328" i="13"/>
  <c r="I328" i="13"/>
  <c r="H328" i="13"/>
  <c r="G328" i="13"/>
  <c r="F328" i="13"/>
  <c r="E328" i="13"/>
  <c r="D328" i="13"/>
  <c r="C328" i="13"/>
  <c r="B327" i="13"/>
  <c r="A327" i="13"/>
  <c r="J327" i="13"/>
  <c r="I327" i="13"/>
  <c r="H327" i="13"/>
  <c r="G327" i="13"/>
  <c r="F327" i="13"/>
  <c r="E327" i="13"/>
  <c r="D327" i="13"/>
  <c r="C327" i="13"/>
  <c r="B326" i="13"/>
  <c r="A326" i="13"/>
  <c r="J326" i="13"/>
  <c r="I326" i="13"/>
  <c r="H326" i="13"/>
  <c r="G326" i="13"/>
  <c r="F326" i="13"/>
  <c r="E326" i="13"/>
  <c r="D326" i="13"/>
  <c r="C326" i="13"/>
  <c r="B325" i="13"/>
  <c r="A325" i="13"/>
  <c r="J325" i="13"/>
  <c r="I325" i="13"/>
  <c r="H325" i="13"/>
  <c r="G325" i="13"/>
  <c r="F325" i="13"/>
  <c r="E325" i="13"/>
  <c r="D325" i="13"/>
  <c r="C325" i="13"/>
  <c r="B324" i="13"/>
  <c r="A324" i="13"/>
  <c r="J324" i="13"/>
  <c r="I324" i="13"/>
  <c r="H324" i="13"/>
  <c r="G324" i="13"/>
  <c r="F324" i="13"/>
  <c r="E324" i="13"/>
  <c r="D324" i="13"/>
  <c r="C324" i="13"/>
  <c r="B323" i="13"/>
  <c r="A323" i="13"/>
  <c r="J323" i="13"/>
  <c r="I323" i="13"/>
  <c r="H323" i="13"/>
  <c r="G323" i="13"/>
  <c r="F323" i="13"/>
  <c r="E323" i="13"/>
  <c r="D323" i="13"/>
  <c r="C323" i="13"/>
  <c r="B322" i="13"/>
  <c r="A322" i="13"/>
  <c r="J322" i="13"/>
  <c r="I322" i="13"/>
  <c r="H322" i="13"/>
  <c r="G322" i="13"/>
  <c r="F322" i="13"/>
  <c r="E322" i="13"/>
  <c r="D322" i="13"/>
  <c r="C322" i="13"/>
  <c r="B321" i="13"/>
  <c r="A321" i="13"/>
  <c r="J321" i="13"/>
  <c r="I321" i="13"/>
  <c r="H321" i="13"/>
  <c r="G321" i="13"/>
  <c r="F321" i="13"/>
  <c r="E321" i="13"/>
  <c r="D321" i="13"/>
  <c r="C321" i="13"/>
  <c r="B320" i="13"/>
  <c r="A320" i="13"/>
  <c r="J320" i="13"/>
  <c r="I320" i="13"/>
  <c r="H320" i="13"/>
  <c r="G320" i="13"/>
  <c r="F320" i="13"/>
  <c r="E320" i="13"/>
  <c r="D320" i="13"/>
  <c r="C320" i="13"/>
  <c r="B319" i="13"/>
  <c r="A319" i="13"/>
  <c r="J319" i="13"/>
  <c r="I319" i="13"/>
  <c r="H319" i="13"/>
  <c r="G319" i="13"/>
  <c r="F319" i="13"/>
  <c r="E319" i="13"/>
  <c r="D319" i="13"/>
  <c r="C319" i="13"/>
  <c r="B318" i="13"/>
  <c r="A318" i="13"/>
  <c r="J318" i="13"/>
  <c r="I318" i="13"/>
  <c r="H318" i="13"/>
  <c r="G318" i="13"/>
  <c r="F318" i="13"/>
  <c r="E318" i="13"/>
  <c r="D318" i="13"/>
  <c r="C318" i="13"/>
  <c r="B317" i="13"/>
  <c r="A317" i="13"/>
  <c r="J317" i="13"/>
  <c r="I317" i="13"/>
  <c r="H317" i="13"/>
  <c r="G317" i="13"/>
  <c r="F317" i="13"/>
  <c r="E317" i="13"/>
  <c r="D317" i="13"/>
  <c r="C317" i="13"/>
  <c r="B316" i="13"/>
  <c r="A316" i="13"/>
  <c r="J316" i="13"/>
  <c r="I316" i="13"/>
  <c r="H316" i="13"/>
  <c r="G316" i="13"/>
  <c r="F316" i="13"/>
  <c r="E316" i="13"/>
  <c r="D316" i="13"/>
  <c r="C316" i="13"/>
  <c r="B315" i="13"/>
  <c r="A315" i="13"/>
  <c r="J315" i="13"/>
  <c r="I315" i="13"/>
  <c r="H315" i="13"/>
  <c r="G315" i="13"/>
  <c r="F315" i="13"/>
  <c r="E315" i="13"/>
  <c r="D315" i="13"/>
  <c r="C315" i="13"/>
  <c r="B314" i="13"/>
  <c r="A314" i="13"/>
  <c r="J314" i="13"/>
  <c r="I314" i="13"/>
  <c r="H314" i="13"/>
  <c r="G314" i="13"/>
  <c r="F314" i="13"/>
  <c r="E314" i="13"/>
  <c r="D314" i="13"/>
  <c r="C314" i="13"/>
  <c r="B313" i="13"/>
  <c r="A313" i="13"/>
  <c r="J313" i="13"/>
  <c r="I313" i="13"/>
  <c r="H313" i="13"/>
  <c r="G313" i="13"/>
  <c r="F313" i="13"/>
  <c r="E313" i="13"/>
  <c r="D313" i="13"/>
  <c r="C313" i="13"/>
  <c r="B312" i="13"/>
  <c r="A312" i="13"/>
  <c r="J312" i="13"/>
  <c r="I312" i="13"/>
  <c r="H312" i="13"/>
  <c r="G312" i="13"/>
  <c r="F312" i="13"/>
  <c r="E312" i="13"/>
  <c r="D312" i="13"/>
  <c r="C312" i="13"/>
  <c r="B311" i="13"/>
  <c r="A311" i="13"/>
  <c r="J311" i="13"/>
  <c r="I311" i="13"/>
  <c r="H311" i="13"/>
  <c r="G311" i="13"/>
  <c r="F311" i="13"/>
  <c r="E311" i="13"/>
  <c r="D311" i="13"/>
  <c r="C311" i="13"/>
  <c r="B310" i="13"/>
  <c r="A310" i="13"/>
  <c r="J310" i="13"/>
  <c r="I310" i="13"/>
  <c r="H310" i="13"/>
  <c r="G310" i="13"/>
  <c r="F310" i="13"/>
  <c r="E310" i="13"/>
  <c r="D310" i="13"/>
  <c r="C310" i="13"/>
  <c r="B309" i="13"/>
  <c r="A309" i="13"/>
  <c r="J309" i="13"/>
  <c r="I309" i="13"/>
  <c r="H309" i="13"/>
  <c r="G309" i="13"/>
  <c r="F309" i="13"/>
  <c r="E309" i="13"/>
  <c r="D309" i="13"/>
  <c r="C309" i="13"/>
  <c r="B308" i="13"/>
  <c r="A308" i="13"/>
  <c r="J308" i="13"/>
  <c r="I308" i="13"/>
  <c r="H308" i="13"/>
  <c r="G308" i="13"/>
  <c r="F308" i="13"/>
  <c r="E308" i="13"/>
  <c r="D308" i="13"/>
  <c r="C308" i="13"/>
  <c r="B307" i="13"/>
  <c r="A307" i="13"/>
  <c r="J307" i="13"/>
  <c r="I307" i="13"/>
  <c r="H307" i="13"/>
  <c r="G307" i="13"/>
  <c r="F307" i="13"/>
  <c r="E307" i="13"/>
  <c r="D307" i="13"/>
  <c r="C307" i="13"/>
  <c r="B306" i="13"/>
  <c r="A306" i="13"/>
  <c r="J306" i="13"/>
  <c r="I306" i="13"/>
  <c r="H306" i="13"/>
  <c r="G306" i="13"/>
  <c r="F306" i="13"/>
  <c r="E306" i="13"/>
  <c r="D306" i="13"/>
  <c r="C306" i="13"/>
  <c r="B305" i="13"/>
  <c r="A305" i="13"/>
  <c r="J305" i="13"/>
  <c r="I305" i="13"/>
  <c r="H305" i="13"/>
  <c r="G305" i="13"/>
  <c r="F305" i="13"/>
  <c r="E305" i="13"/>
  <c r="D305" i="13"/>
  <c r="C305" i="13"/>
  <c r="B304" i="13"/>
  <c r="A304" i="13"/>
  <c r="J304" i="13"/>
  <c r="I304" i="13"/>
  <c r="H304" i="13"/>
  <c r="G304" i="13"/>
  <c r="F304" i="13"/>
  <c r="E304" i="13"/>
  <c r="D304" i="13"/>
  <c r="C304" i="13"/>
  <c r="B303" i="13"/>
  <c r="A303" i="13"/>
  <c r="J303" i="13"/>
  <c r="I303" i="13"/>
  <c r="H303" i="13"/>
  <c r="G303" i="13"/>
  <c r="F303" i="13"/>
  <c r="E303" i="13"/>
  <c r="D303" i="13"/>
  <c r="C303" i="13"/>
  <c r="B302" i="13"/>
  <c r="A302" i="13"/>
  <c r="J302" i="13"/>
  <c r="I302" i="13"/>
  <c r="H302" i="13"/>
  <c r="G302" i="13"/>
  <c r="F302" i="13"/>
  <c r="E302" i="13"/>
  <c r="D302" i="13"/>
  <c r="C302" i="13"/>
  <c r="B301" i="13"/>
  <c r="A301" i="13"/>
  <c r="J301" i="13"/>
  <c r="I301" i="13"/>
  <c r="H301" i="13"/>
  <c r="G301" i="13"/>
  <c r="F301" i="13"/>
  <c r="E301" i="13"/>
  <c r="D301" i="13"/>
  <c r="C301" i="13"/>
  <c r="B300" i="13"/>
  <c r="A300" i="13"/>
  <c r="J300" i="13"/>
  <c r="I300" i="13"/>
  <c r="H300" i="13"/>
  <c r="G300" i="13"/>
  <c r="F300" i="13"/>
  <c r="E300" i="13"/>
  <c r="D300" i="13"/>
  <c r="C300" i="13"/>
  <c r="B299" i="13"/>
  <c r="A299" i="13"/>
  <c r="J299" i="13"/>
  <c r="I299" i="13"/>
  <c r="H299" i="13"/>
  <c r="G299" i="13"/>
  <c r="F299" i="13"/>
  <c r="E299" i="13"/>
  <c r="D299" i="13"/>
  <c r="C299" i="13"/>
  <c r="B298" i="13"/>
  <c r="A298" i="13"/>
  <c r="J298" i="13"/>
  <c r="I298" i="13"/>
  <c r="H298" i="13"/>
  <c r="G298" i="13"/>
  <c r="F298" i="13"/>
  <c r="E298" i="13"/>
  <c r="D298" i="13"/>
  <c r="C298" i="13"/>
  <c r="B297" i="13"/>
  <c r="A297" i="13"/>
  <c r="J297" i="13"/>
  <c r="I297" i="13"/>
  <c r="H297" i="13"/>
  <c r="G297" i="13"/>
  <c r="F297" i="13"/>
  <c r="E297" i="13"/>
  <c r="D297" i="13"/>
  <c r="C297" i="13"/>
  <c r="B296" i="13"/>
  <c r="A296" i="13"/>
  <c r="J296" i="13"/>
  <c r="I296" i="13"/>
  <c r="H296" i="13"/>
  <c r="G296" i="13"/>
  <c r="F296" i="13"/>
  <c r="E296" i="13"/>
  <c r="D296" i="13"/>
  <c r="C296" i="13"/>
  <c r="B295" i="13"/>
  <c r="A295" i="13"/>
  <c r="J295" i="13"/>
  <c r="I295" i="13"/>
  <c r="H295" i="13"/>
  <c r="G295" i="13"/>
  <c r="F295" i="13"/>
  <c r="E295" i="13"/>
  <c r="D295" i="13"/>
  <c r="C295" i="13"/>
  <c r="B294" i="13"/>
  <c r="A294" i="13"/>
  <c r="J294" i="13"/>
  <c r="I294" i="13"/>
  <c r="H294" i="13"/>
  <c r="G294" i="13"/>
  <c r="F294" i="13"/>
  <c r="E294" i="13"/>
  <c r="D294" i="13"/>
  <c r="C294" i="13"/>
  <c r="B293" i="13"/>
  <c r="A293" i="13"/>
  <c r="J293" i="13"/>
  <c r="I293" i="13"/>
  <c r="H293" i="13"/>
  <c r="G293" i="13"/>
  <c r="F293" i="13"/>
  <c r="E293" i="13"/>
  <c r="D293" i="13"/>
  <c r="C293" i="13"/>
  <c r="B292" i="13"/>
  <c r="A292" i="13"/>
  <c r="J292" i="13"/>
  <c r="I292" i="13"/>
  <c r="H292" i="13"/>
  <c r="G292" i="13"/>
  <c r="F292" i="13"/>
  <c r="E292" i="13"/>
  <c r="D292" i="13"/>
  <c r="C292" i="13"/>
  <c r="B291" i="13"/>
  <c r="A291" i="13"/>
  <c r="J291" i="13"/>
  <c r="I291" i="13"/>
  <c r="H291" i="13"/>
  <c r="G291" i="13"/>
  <c r="F291" i="13"/>
  <c r="E291" i="13"/>
  <c r="D291" i="13"/>
  <c r="C291" i="13"/>
  <c r="B290" i="13"/>
  <c r="A290" i="13"/>
  <c r="J290" i="13"/>
  <c r="I290" i="13"/>
  <c r="H290" i="13"/>
  <c r="G290" i="13"/>
  <c r="F290" i="13"/>
  <c r="E290" i="13"/>
  <c r="D290" i="13"/>
  <c r="C290" i="13"/>
  <c r="B289" i="13"/>
  <c r="A289" i="13"/>
  <c r="J289" i="13"/>
  <c r="I289" i="13"/>
  <c r="H289" i="13"/>
  <c r="G289" i="13"/>
  <c r="F289" i="13"/>
  <c r="E289" i="13"/>
  <c r="D289" i="13"/>
  <c r="C289" i="13"/>
  <c r="B288" i="13"/>
  <c r="A288" i="13"/>
  <c r="J288" i="13"/>
  <c r="I288" i="13"/>
  <c r="H288" i="13"/>
  <c r="G288" i="13"/>
  <c r="F288" i="13"/>
  <c r="E288" i="13"/>
  <c r="D288" i="13"/>
  <c r="C288" i="13"/>
  <c r="B287" i="13"/>
  <c r="A287" i="13"/>
  <c r="J287" i="13"/>
  <c r="I287" i="13"/>
  <c r="H287" i="13"/>
  <c r="G287" i="13"/>
  <c r="F287" i="13"/>
  <c r="E287" i="13"/>
  <c r="D287" i="13"/>
  <c r="C287" i="13"/>
  <c r="B286" i="13"/>
  <c r="A286" i="13"/>
  <c r="J286" i="13"/>
  <c r="I286" i="13"/>
  <c r="H286" i="13"/>
  <c r="G286" i="13"/>
  <c r="F286" i="13"/>
  <c r="E286" i="13"/>
  <c r="D286" i="13"/>
  <c r="C286" i="13"/>
  <c r="B285" i="13"/>
  <c r="A285" i="13"/>
  <c r="J285" i="13"/>
  <c r="I285" i="13"/>
  <c r="H285" i="13"/>
  <c r="G285" i="13"/>
  <c r="F285" i="13"/>
  <c r="E285" i="13"/>
  <c r="D285" i="13"/>
  <c r="C285" i="13"/>
  <c r="B284" i="13"/>
  <c r="A284" i="13"/>
  <c r="J284" i="13"/>
  <c r="I284" i="13"/>
  <c r="H284" i="13"/>
  <c r="G284" i="13"/>
  <c r="F284" i="13"/>
  <c r="E284" i="13"/>
  <c r="D284" i="13"/>
  <c r="C284" i="13"/>
  <c r="B283" i="13"/>
  <c r="A283" i="13"/>
  <c r="J283" i="13"/>
  <c r="I283" i="13"/>
  <c r="H283" i="13"/>
  <c r="G283" i="13"/>
  <c r="F283" i="13"/>
  <c r="E283" i="13"/>
  <c r="D283" i="13"/>
  <c r="C283" i="13"/>
  <c r="B282" i="13"/>
  <c r="A282" i="13"/>
  <c r="J282" i="13"/>
  <c r="I282" i="13"/>
  <c r="H282" i="13"/>
  <c r="G282" i="13"/>
  <c r="F282" i="13"/>
  <c r="E282" i="13"/>
  <c r="D282" i="13"/>
  <c r="C282" i="13"/>
  <c r="B281" i="13"/>
  <c r="A281" i="13"/>
  <c r="J281" i="13"/>
  <c r="I281" i="13"/>
  <c r="H281" i="13"/>
  <c r="G281" i="13"/>
  <c r="F281" i="13"/>
  <c r="E281" i="13"/>
  <c r="D281" i="13"/>
  <c r="C281" i="13"/>
  <c r="B280" i="13"/>
  <c r="A280" i="13"/>
  <c r="J280" i="13"/>
  <c r="I280" i="13"/>
  <c r="H280" i="13"/>
  <c r="G280" i="13"/>
  <c r="F280" i="13"/>
  <c r="E280" i="13"/>
  <c r="D280" i="13"/>
  <c r="C280" i="13"/>
  <c r="B279" i="13"/>
  <c r="A279" i="13"/>
  <c r="J279" i="13"/>
  <c r="I279" i="13"/>
  <c r="H279" i="13"/>
  <c r="G279" i="13"/>
  <c r="F279" i="13"/>
  <c r="E279" i="13"/>
  <c r="D279" i="13"/>
  <c r="C279" i="13"/>
  <c r="B278" i="13"/>
  <c r="A278" i="13"/>
  <c r="J278" i="13"/>
  <c r="I278" i="13"/>
  <c r="H278" i="13"/>
  <c r="G278" i="13"/>
  <c r="F278" i="13"/>
  <c r="E278" i="13"/>
  <c r="D278" i="13"/>
  <c r="C278" i="13"/>
  <c r="B277" i="13"/>
  <c r="A277" i="13"/>
  <c r="J277" i="13"/>
  <c r="I277" i="13"/>
  <c r="H277" i="13"/>
  <c r="G277" i="13"/>
  <c r="F277" i="13"/>
  <c r="E277" i="13"/>
  <c r="D277" i="13"/>
  <c r="C277" i="13"/>
  <c r="B276" i="13"/>
  <c r="A276" i="13"/>
  <c r="J276" i="13"/>
  <c r="I276" i="13"/>
  <c r="H276" i="13"/>
  <c r="G276" i="13"/>
  <c r="F276" i="13"/>
  <c r="E276" i="13"/>
  <c r="D276" i="13"/>
  <c r="C276" i="13"/>
  <c r="B275" i="13"/>
  <c r="A275" i="13"/>
  <c r="J275" i="13"/>
  <c r="I275" i="13"/>
  <c r="H275" i="13"/>
  <c r="G275" i="13"/>
  <c r="F275" i="13"/>
  <c r="E275" i="13"/>
  <c r="D275" i="13"/>
  <c r="C275" i="13"/>
  <c r="B274" i="13"/>
  <c r="A274" i="13"/>
  <c r="J274" i="13"/>
  <c r="I274" i="13"/>
  <c r="H274" i="13"/>
  <c r="G274" i="13"/>
  <c r="F274" i="13"/>
  <c r="E274" i="13"/>
  <c r="D274" i="13"/>
  <c r="C274" i="13"/>
  <c r="B273" i="13"/>
  <c r="A273" i="13"/>
  <c r="J273" i="13"/>
  <c r="I273" i="13"/>
  <c r="H273" i="13"/>
  <c r="G273" i="13"/>
  <c r="F273" i="13"/>
  <c r="E273" i="13"/>
  <c r="D273" i="13"/>
  <c r="C273" i="13"/>
  <c r="B272" i="13"/>
  <c r="A272" i="13"/>
  <c r="J272" i="13"/>
  <c r="I272" i="13"/>
  <c r="H272" i="13"/>
  <c r="G272" i="13"/>
  <c r="F272" i="13"/>
  <c r="E272" i="13"/>
  <c r="D272" i="13"/>
  <c r="C272" i="13"/>
  <c r="B271" i="13"/>
  <c r="A271" i="13"/>
  <c r="J271" i="13"/>
  <c r="I271" i="13"/>
  <c r="H271" i="13"/>
  <c r="G271" i="13"/>
  <c r="F271" i="13"/>
  <c r="E271" i="13"/>
  <c r="D271" i="13"/>
  <c r="C271" i="13"/>
  <c r="B270" i="13"/>
  <c r="A270" i="13"/>
  <c r="J270" i="13"/>
  <c r="I270" i="13"/>
  <c r="H270" i="13"/>
  <c r="G270" i="13"/>
  <c r="F270" i="13"/>
  <c r="E270" i="13"/>
  <c r="D270" i="13"/>
  <c r="C270" i="13"/>
  <c r="B269" i="13"/>
  <c r="A269" i="13"/>
  <c r="J269" i="13"/>
  <c r="I269" i="13"/>
  <c r="H269" i="13"/>
  <c r="G269" i="13"/>
  <c r="F269" i="13"/>
  <c r="E269" i="13"/>
  <c r="D269" i="13"/>
  <c r="C269" i="13"/>
  <c r="B268" i="13"/>
  <c r="A268" i="13"/>
  <c r="J268" i="13"/>
  <c r="I268" i="13"/>
  <c r="H268" i="13"/>
  <c r="G268" i="13"/>
  <c r="F268" i="13"/>
  <c r="E268" i="13"/>
  <c r="D268" i="13"/>
  <c r="C268" i="13"/>
  <c r="B267" i="13"/>
  <c r="A267" i="13"/>
  <c r="J267" i="13"/>
  <c r="I267" i="13"/>
  <c r="H267" i="13"/>
  <c r="G267" i="13"/>
  <c r="F267" i="13"/>
  <c r="E267" i="13"/>
  <c r="D267" i="13"/>
  <c r="C267" i="13"/>
  <c r="B266" i="13"/>
  <c r="A266" i="13"/>
  <c r="J266" i="13"/>
  <c r="I266" i="13"/>
  <c r="H266" i="13"/>
  <c r="G266" i="13"/>
  <c r="F266" i="13"/>
  <c r="E266" i="13"/>
  <c r="D266" i="13"/>
  <c r="C266" i="13"/>
  <c r="B265" i="13"/>
  <c r="A265" i="13"/>
  <c r="J265" i="13"/>
  <c r="I265" i="13"/>
  <c r="H265" i="13"/>
  <c r="G265" i="13"/>
  <c r="F265" i="13"/>
  <c r="E265" i="13"/>
  <c r="D265" i="13"/>
  <c r="C265" i="13"/>
  <c r="B264" i="13"/>
  <c r="A264" i="13"/>
  <c r="J264" i="13"/>
  <c r="I264" i="13"/>
  <c r="H264" i="13"/>
  <c r="G264" i="13"/>
  <c r="F264" i="13"/>
  <c r="E264" i="13"/>
  <c r="D264" i="13"/>
  <c r="C264" i="13"/>
  <c r="B263" i="13"/>
  <c r="A263" i="13"/>
  <c r="J263" i="13"/>
  <c r="I263" i="13"/>
  <c r="H263" i="13"/>
  <c r="G263" i="13"/>
  <c r="F263" i="13"/>
  <c r="E263" i="13"/>
  <c r="D263" i="13"/>
  <c r="C263" i="13"/>
  <c r="B262" i="13"/>
  <c r="A262" i="13"/>
  <c r="J262" i="13"/>
  <c r="I262" i="13"/>
  <c r="H262" i="13"/>
  <c r="G262" i="13"/>
  <c r="F262" i="13"/>
  <c r="E262" i="13"/>
  <c r="D262" i="13"/>
  <c r="C262" i="13"/>
  <c r="B261" i="13"/>
  <c r="A261" i="13"/>
  <c r="J261" i="13"/>
  <c r="I261" i="13"/>
  <c r="H261" i="13"/>
  <c r="G261" i="13"/>
  <c r="F261" i="13"/>
  <c r="E261" i="13"/>
  <c r="D261" i="13"/>
  <c r="C261" i="13"/>
  <c r="B260" i="13"/>
  <c r="A260" i="13"/>
  <c r="J260" i="13"/>
  <c r="I260" i="13"/>
  <c r="H260" i="13"/>
  <c r="G260" i="13"/>
  <c r="F260" i="13"/>
  <c r="E260" i="13"/>
  <c r="D260" i="13"/>
  <c r="C260" i="13"/>
  <c r="B259" i="13"/>
  <c r="A259" i="13"/>
  <c r="J259" i="13"/>
  <c r="I259" i="13"/>
  <c r="H259" i="13"/>
  <c r="G259" i="13"/>
  <c r="F259" i="13"/>
  <c r="E259" i="13"/>
  <c r="D259" i="13"/>
  <c r="C259" i="13"/>
  <c r="B258" i="13"/>
  <c r="A258" i="13"/>
  <c r="J258" i="13"/>
  <c r="I258" i="13"/>
  <c r="H258" i="13"/>
  <c r="G258" i="13"/>
  <c r="F258" i="13"/>
  <c r="E258" i="13"/>
  <c r="D258" i="13"/>
  <c r="C258" i="13"/>
  <c r="B257" i="13"/>
  <c r="A257" i="13"/>
  <c r="J257" i="13"/>
  <c r="I257" i="13"/>
  <c r="H257" i="13"/>
  <c r="G257" i="13"/>
  <c r="F257" i="13"/>
  <c r="E257" i="13"/>
  <c r="D257" i="13"/>
  <c r="C257" i="13"/>
  <c r="B256" i="13"/>
  <c r="A256" i="13"/>
  <c r="J256" i="13"/>
  <c r="I256" i="13"/>
  <c r="H256" i="13"/>
  <c r="G256" i="13"/>
  <c r="F256" i="13"/>
  <c r="E256" i="13"/>
  <c r="D256" i="13"/>
  <c r="C256" i="13"/>
  <c r="B255" i="13"/>
  <c r="A255" i="13"/>
  <c r="J255" i="13"/>
  <c r="I255" i="13"/>
  <c r="H255" i="13"/>
  <c r="G255" i="13"/>
  <c r="F255" i="13"/>
  <c r="E255" i="13"/>
  <c r="D255" i="13"/>
  <c r="C255" i="13"/>
  <c r="B254" i="13"/>
  <c r="A254" i="13"/>
  <c r="J254" i="13"/>
  <c r="I254" i="13"/>
  <c r="H254" i="13"/>
  <c r="G254" i="13"/>
  <c r="F254" i="13"/>
  <c r="E254" i="13"/>
  <c r="D254" i="13"/>
  <c r="C254" i="13"/>
  <c r="B253" i="13"/>
  <c r="A253" i="13"/>
  <c r="J253" i="13"/>
  <c r="I253" i="13"/>
  <c r="H253" i="13"/>
  <c r="G253" i="13"/>
  <c r="F253" i="13"/>
  <c r="E253" i="13"/>
  <c r="D253" i="13"/>
  <c r="C253" i="13"/>
  <c r="B252" i="13"/>
  <c r="A252" i="13"/>
  <c r="J252" i="13"/>
  <c r="I252" i="13"/>
  <c r="H252" i="13"/>
  <c r="G252" i="13"/>
  <c r="F252" i="13"/>
  <c r="E252" i="13"/>
  <c r="D252" i="13"/>
  <c r="C252" i="13"/>
  <c r="B251" i="13"/>
  <c r="A251" i="13"/>
  <c r="J251" i="13"/>
  <c r="I251" i="13"/>
  <c r="H251" i="13"/>
  <c r="G251" i="13"/>
  <c r="F251" i="13"/>
  <c r="E251" i="13"/>
  <c r="D251" i="13"/>
  <c r="C251" i="13"/>
  <c r="B250" i="13"/>
  <c r="A250" i="13"/>
  <c r="J250" i="13"/>
  <c r="I250" i="13"/>
  <c r="H250" i="13"/>
  <c r="G250" i="13"/>
  <c r="F250" i="13"/>
  <c r="E250" i="13"/>
  <c r="D250" i="13"/>
  <c r="C250" i="13"/>
  <c r="B249" i="13"/>
  <c r="A249" i="13"/>
  <c r="J249" i="13"/>
  <c r="I249" i="13"/>
  <c r="H249" i="13"/>
  <c r="G249" i="13"/>
  <c r="F249" i="13"/>
  <c r="E249" i="13"/>
  <c r="D249" i="13"/>
  <c r="C249" i="13"/>
  <c r="B248" i="13"/>
  <c r="A248" i="13"/>
  <c r="J248" i="13"/>
  <c r="I248" i="13"/>
  <c r="H248" i="13"/>
  <c r="G248" i="13"/>
  <c r="F248" i="13"/>
  <c r="E248" i="13"/>
  <c r="D248" i="13"/>
  <c r="C248" i="13"/>
  <c r="B247" i="13"/>
  <c r="A247" i="13"/>
  <c r="J247" i="13"/>
  <c r="I247" i="13"/>
  <c r="H247" i="13"/>
  <c r="G247" i="13"/>
  <c r="F247" i="13"/>
  <c r="E247" i="13"/>
  <c r="D247" i="13"/>
  <c r="C247" i="13"/>
  <c r="B246" i="13"/>
  <c r="A246" i="13"/>
  <c r="J246" i="13"/>
  <c r="I246" i="13"/>
  <c r="H246" i="13"/>
  <c r="G246" i="13"/>
  <c r="F246" i="13"/>
  <c r="E246" i="13"/>
  <c r="D246" i="13"/>
  <c r="C246" i="13"/>
  <c r="B245" i="13"/>
  <c r="A245" i="13"/>
  <c r="J245" i="13"/>
  <c r="I245" i="13"/>
  <c r="H245" i="13"/>
  <c r="G245" i="13"/>
  <c r="F245" i="13"/>
  <c r="E245" i="13"/>
  <c r="D245" i="13"/>
  <c r="C245" i="13"/>
  <c r="B244" i="13"/>
  <c r="A244" i="13"/>
  <c r="J244" i="13"/>
  <c r="I244" i="13"/>
  <c r="H244" i="13"/>
  <c r="G244" i="13"/>
  <c r="F244" i="13"/>
  <c r="E244" i="13"/>
  <c r="D244" i="13"/>
  <c r="C244" i="13"/>
  <c r="B243" i="13"/>
  <c r="A243" i="13"/>
  <c r="J243" i="13"/>
  <c r="I243" i="13"/>
  <c r="H243" i="13"/>
  <c r="G243" i="13"/>
  <c r="F243" i="13"/>
  <c r="E243" i="13"/>
  <c r="D243" i="13"/>
  <c r="C243" i="13"/>
  <c r="B242" i="13"/>
  <c r="A242" i="13"/>
  <c r="J242" i="13"/>
  <c r="I242" i="13"/>
  <c r="H242" i="13"/>
  <c r="G242" i="13"/>
  <c r="F242" i="13"/>
  <c r="E242" i="13"/>
  <c r="D242" i="13"/>
  <c r="C242" i="13"/>
  <c r="B241" i="13"/>
  <c r="A241" i="13"/>
  <c r="J241" i="13"/>
  <c r="I241" i="13"/>
  <c r="H241" i="13"/>
  <c r="G241" i="13"/>
  <c r="F241" i="13"/>
  <c r="E241" i="13"/>
  <c r="D241" i="13"/>
  <c r="C241" i="13"/>
  <c r="B240" i="13"/>
  <c r="A240" i="13"/>
  <c r="J240" i="13"/>
  <c r="I240" i="13"/>
  <c r="H240" i="13"/>
  <c r="G240" i="13"/>
  <c r="F240" i="13"/>
  <c r="E240" i="13"/>
  <c r="D240" i="13"/>
  <c r="C240" i="13"/>
  <c r="B239" i="13"/>
  <c r="A239" i="13"/>
  <c r="J239" i="13"/>
  <c r="I239" i="13"/>
  <c r="H239" i="13"/>
  <c r="G239" i="13"/>
  <c r="F239" i="13"/>
  <c r="E239" i="13"/>
  <c r="D239" i="13"/>
  <c r="C239" i="13"/>
  <c r="B238" i="13"/>
  <c r="A238" i="13"/>
  <c r="J238" i="13"/>
  <c r="I238" i="13"/>
  <c r="H238" i="13"/>
  <c r="G238" i="13"/>
  <c r="F238" i="13"/>
  <c r="E238" i="13"/>
  <c r="D238" i="13"/>
  <c r="C238" i="13"/>
  <c r="B237" i="13"/>
  <c r="A237" i="13"/>
  <c r="J237" i="13"/>
  <c r="I237" i="13"/>
  <c r="H237" i="13"/>
  <c r="G237" i="13"/>
  <c r="F237" i="13"/>
  <c r="E237" i="13"/>
  <c r="D237" i="13"/>
  <c r="C237" i="13"/>
  <c r="B236" i="13"/>
  <c r="A236" i="13"/>
  <c r="J236" i="13"/>
  <c r="I236" i="13"/>
  <c r="H236" i="13"/>
  <c r="G236" i="13"/>
  <c r="F236" i="13"/>
  <c r="E236" i="13"/>
  <c r="D236" i="13"/>
  <c r="C236" i="13"/>
  <c r="B235" i="13"/>
  <c r="A235" i="13"/>
  <c r="J235" i="13"/>
  <c r="I235" i="13"/>
  <c r="H235" i="13"/>
  <c r="G235" i="13"/>
  <c r="F235" i="13"/>
  <c r="E235" i="13"/>
  <c r="D235" i="13"/>
  <c r="C235" i="13"/>
  <c r="B234" i="13"/>
  <c r="A234" i="13"/>
  <c r="J234" i="13"/>
  <c r="I234" i="13"/>
  <c r="H234" i="13"/>
  <c r="G234" i="13"/>
  <c r="F234" i="13"/>
  <c r="E234" i="13"/>
  <c r="D234" i="13"/>
  <c r="C234" i="13"/>
  <c r="B233" i="13"/>
  <c r="A233" i="13"/>
  <c r="J233" i="13"/>
  <c r="I233" i="13"/>
  <c r="H233" i="13"/>
  <c r="G233" i="13"/>
  <c r="F233" i="13"/>
  <c r="E233" i="13"/>
  <c r="D233" i="13"/>
  <c r="C233" i="13"/>
  <c r="B232" i="13"/>
  <c r="A232" i="13"/>
  <c r="J232" i="13"/>
  <c r="I232" i="13"/>
  <c r="H232" i="13"/>
  <c r="G232" i="13"/>
  <c r="F232" i="13"/>
  <c r="E232" i="13"/>
  <c r="D232" i="13"/>
  <c r="C232" i="13"/>
  <c r="B231" i="13"/>
  <c r="A231" i="13"/>
  <c r="J231" i="13"/>
  <c r="I231" i="13"/>
  <c r="H231" i="13"/>
  <c r="G231" i="13"/>
  <c r="F231" i="13"/>
  <c r="E231" i="13"/>
  <c r="D231" i="13"/>
  <c r="C231" i="13"/>
  <c r="B230" i="13"/>
  <c r="A230" i="13"/>
  <c r="J230" i="13"/>
  <c r="I230" i="13"/>
  <c r="H230" i="13"/>
  <c r="G230" i="13"/>
  <c r="F230" i="13"/>
  <c r="E230" i="13"/>
  <c r="D230" i="13"/>
  <c r="C230" i="13"/>
  <c r="B229" i="13"/>
  <c r="A229" i="13"/>
  <c r="J229" i="13"/>
  <c r="I229" i="13"/>
  <c r="H229" i="13"/>
  <c r="G229" i="13"/>
  <c r="F229" i="13"/>
  <c r="E229" i="13"/>
  <c r="D229" i="13"/>
  <c r="C229" i="13"/>
  <c r="B228" i="13"/>
  <c r="A228" i="13"/>
  <c r="J228" i="13"/>
  <c r="I228" i="13"/>
  <c r="H228" i="13"/>
  <c r="G228" i="13"/>
  <c r="F228" i="13"/>
  <c r="E228" i="13"/>
  <c r="D228" i="13"/>
  <c r="C228" i="13"/>
  <c r="B227" i="13"/>
  <c r="A227" i="13"/>
  <c r="J227" i="13"/>
  <c r="I227" i="13"/>
  <c r="H227" i="13"/>
  <c r="G227" i="13"/>
  <c r="F227" i="13"/>
  <c r="E227" i="13"/>
  <c r="D227" i="13"/>
  <c r="C227" i="13"/>
  <c r="B226" i="13"/>
  <c r="A226" i="13"/>
  <c r="J226" i="13"/>
  <c r="I226" i="13"/>
  <c r="H226" i="13"/>
  <c r="G226" i="13"/>
  <c r="F226" i="13"/>
  <c r="E226" i="13"/>
  <c r="D226" i="13"/>
  <c r="C226" i="13"/>
  <c r="B225" i="13"/>
  <c r="A225" i="13"/>
  <c r="J225" i="13"/>
  <c r="I225" i="13"/>
  <c r="H225" i="13"/>
  <c r="G225" i="13"/>
  <c r="F225" i="13"/>
  <c r="E225" i="13"/>
  <c r="D225" i="13"/>
  <c r="C225" i="13"/>
  <c r="B224" i="13"/>
  <c r="A224" i="13"/>
  <c r="J224" i="13"/>
  <c r="I224" i="13"/>
  <c r="H224" i="13"/>
  <c r="G224" i="13"/>
  <c r="F224" i="13"/>
  <c r="E224" i="13"/>
  <c r="D224" i="13"/>
  <c r="C224" i="13"/>
  <c r="B223" i="13"/>
  <c r="A223" i="13"/>
  <c r="J223" i="13"/>
  <c r="I223" i="13"/>
  <c r="H223" i="13"/>
  <c r="G223" i="13"/>
  <c r="F223" i="13"/>
  <c r="E223" i="13"/>
  <c r="D223" i="13"/>
  <c r="C223" i="13"/>
  <c r="B222" i="13"/>
  <c r="A222" i="13"/>
  <c r="J222" i="13"/>
  <c r="I222" i="13"/>
  <c r="H222" i="13"/>
  <c r="G222" i="13"/>
  <c r="F222" i="13"/>
  <c r="E222" i="13"/>
  <c r="D222" i="13"/>
  <c r="C222" i="13"/>
  <c r="B221" i="13"/>
  <c r="A221" i="13"/>
  <c r="J221" i="13"/>
  <c r="I221" i="13"/>
  <c r="H221" i="13"/>
  <c r="G221" i="13"/>
  <c r="F221" i="13"/>
  <c r="E221" i="13"/>
  <c r="D221" i="13"/>
  <c r="C221" i="13"/>
  <c r="B220" i="13"/>
  <c r="A220" i="13"/>
  <c r="J220" i="13"/>
  <c r="I220" i="13"/>
  <c r="H220" i="13"/>
  <c r="G220" i="13"/>
  <c r="F220" i="13"/>
  <c r="E220" i="13"/>
  <c r="D220" i="13"/>
  <c r="C220" i="13"/>
  <c r="B219" i="13"/>
  <c r="A219" i="13"/>
  <c r="J219" i="13"/>
  <c r="I219" i="13"/>
  <c r="H219" i="13"/>
  <c r="G219" i="13"/>
  <c r="F219" i="13"/>
  <c r="E219" i="13"/>
  <c r="D219" i="13"/>
  <c r="C219" i="13"/>
  <c r="B218" i="13"/>
  <c r="A218" i="13"/>
  <c r="J218" i="13"/>
  <c r="I218" i="13"/>
  <c r="H218" i="13"/>
  <c r="G218" i="13"/>
  <c r="F218" i="13"/>
  <c r="E218" i="13"/>
  <c r="D218" i="13"/>
  <c r="C218" i="13"/>
  <c r="B217" i="13"/>
  <c r="A217" i="13"/>
  <c r="J217" i="13"/>
  <c r="I217" i="13"/>
  <c r="H217" i="13"/>
  <c r="G217" i="13"/>
  <c r="F217" i="13"/>
  <c r="E217" i="13"/>
  <c r="D217" i="13"/>
  <c r="C217" i="13"/>
  <c r="B216" i="13"/>
  <c r="A216" i="13"/>
  <c r="J216" i="13"/>
  <c r="I216" i="13"/>
  <c r="H216" i="13"/>
  <c r="G216" i="13"/>
  <c r="F216" i="13"/>
  <c r="E216" i="13"/>
  <c r="D216" i="13"/>
  <c r="C216" i="13"/>
  <c r="B215" i="13"/>
  <c r="A215" i="13"/>
  <c r="J215" i="13"/>
  <c r="I215" i="13"/>
  <c r="H215" i="13"/>
  <c r="G215" i="13"/>
  <c r="F215" i="13"/>
  <c r="E215" i="13"/>
  <c r="D215" i="13"/>
  <c r="C215" i="13"/>
  <c r="B214" i="13"/>
  <c r="A214" i="13"/>
  <c r="J214" i="13"/>
  <c r="I214" i="13"/>
  <c r="H214" i="13"/>
  <c r="G214" i="13"/>
  <c r="F214" i="13"/>
  <c r="E214" i="13"/>
  <c r="D214" i="13"/>
  <c r="C214" i="13"/>
  <c r="B213" i="13"/>
  <c r="A213" i="13"/>
  <c r="J213" i="13"/>
  <c r="I213" i="13"/>
  <c r="H213" i="13"/>
  <c r="G213" i="13"/>
  <c r="F213" i="13"/>
  <c r="E213" i="13"/>
  <c r="D213" i="13"/>
  <c r="C213" i="13"/>
  <c r="B212" i="13"/>
  <c r="A212" i="13"/>
  <c r="J212" i="13"/>
  <c r="I212" i="13"/>
  <c r="H212" i="13"/>
  <c r="G212" i="13"/>
  <c r="F212" i="13"/>
  <c r="E212" i="13"/>
  <c r="D212" i="13"/>
  <c r="C212" i="13"/>
  <c r="B211" i="13"/>
  <c r="A211" i="13"/>
  <c r="J211" i="13"/>
  <c r="I211" i="13"/>
  <c r="H211" i="13"/>
  <c r="G211" i="13"/>
  <c r="F211" i="13"/>
  <c r="E211" i="13"/>
  <c r="D211" i="13"/>
  <c r="C211" i="13"/>
  <c r="B210" i="13"/>
  <c r="A210" i="13"/>
  <c r="J210" i="13"/>
  <c r="I210" i="13"/>
  <c r="H210" i="13"/>
  <c r="G210" i="13"/>
  <c r="F210" i="13"/>
  <c r="E210" i="13"/>
  <c r="D210" i="13"/>
  <c r="C210" i="13"/>
  <c r="B209" i="13"/>
  <c r="A209" i="13"/>
  <c r="J209" i="13"/>
  <c r="I209" i="13"/>
  <c r="H209" i="13"/>
  <c r="G209" i="13"/>
  <c r="F209" i="13"/>
  <c r="E209" i="13"/>
  <c r="D209" i="13"/>
  <c r="C209" i="13"/>
  <c r="B208" i="13"/>
  <c r="A208" i="13"/>
  <c r="J208" i="13"/>
  <c r="I208" i="13"/>
  <c r="H208" i="13"/>
  <c r="G208" i="13"/>
  <c r="F208" i="13"/>
  <c r="E208" i="13"/>
  <c r="D208" i="13"/>
  <c r="C208" i="13"/>
  <c r="B207" i="13"/>
  <c r="A207" i="13"/>
  <c r="J207" i="13"/>
  <c r="I207" i="13"/>
  <c r="H207" i="13"/>
  <c r="G207" i="13"/>
  <c r="F207" i="13"/>
  <c r="E207" i="13"/>
  <c r="D207" i="13"/>
  <c r="C207" i="13"/>
  <c r="B206" i="13"/>
  <c r="A206" i="13"/>
  <c r="J206" i="13"/>
  <c r="I206" i="13"/>
  <c r="H206" i="13"/>
  <c r="G206" i="13"/>
  <c r="F206" i="13"/>
  <c r="E206" i="13"/>
  <c r="D206" i="13"/>
  <c r="C206" i="13"/>
  <c r="B205" i="13"/>
  <c r="A205" i="13"/>
  <c r="J205" i="13"/>
  <c r="I205" i="13"/>
  <c r="H205" i="13"/>
  <c r="G205" i="13"/>
  <c r="F205" i="13"/>
  <c r="E205" i="13"/>
  <c r="D205" i="13"/>
  <c r="C205" i="13"/>
  <c r="B204" i="13"/>
  <c r="A204" i="13"/>
  <c r="J204" i="13"/>
  <c r="I204" i="13"/>
  <c r="H204" i="13"/>
  <c r="G204" i="13"/>
  <c r="F204" i="13"/>
  <c r="E204" i="13"/>
  <c r="D204" i="13"/>
  <c r="C204" i="13"/>
  <c r="B203" i="13"/>
  <c r="A203" i="13"/>
  <c r="J203" i="13"/>
  <c r="I203" i="13"/>
  <c r="H203" i="13"/>
  <c r="G203" i="13"/>
  <c r="F203" i="13"/>
  <c r="E203" i="13"/>
  <c r="D203" i="13"/>
  <c r="C203" i="13"/>
  <c r="B202" i="13"/>
  <c r="A202" i="13"/>
  <c r="J202" i="13"/>
  <c r="I202" i="13"/>
  <c r="H202" i="13"/>
  <c r="G202" i="13"/>
  <c r="F202" i="13"/>
  <c r="E202" i="13"/>
  <c r="D202" i="13"/>
  <c r="C202" i="13"/>
  <c r="B201" i="13"/>
  <c r="A201" i="13"/>
  <c r="J201" i="13"/>
  <c r="I201" i="13"/>
  <c r="H201" i="13"/>
  <c r="G201" i="13"/>
  <c r="F201" i="13"/>
  <c r="E201" i="13"/>
  <c r="D201" i="13"/>
  <c r="C201" i="13"/>
  <c r="B200" i="13"/>
  <c r="A200" i="13"/>
  <c r="J200" i="13"/>
  <c r="I200" i="13"/>
  <c r="H200" i="13"/>
  <c r="G200" i="13"/>
  <c r="F200" i="13"/>
  <c r="E200" i="13"/>
  <c r="D200" i="13"/>
  <c r="C200" i="13"/>
  <c r="B199" i="13"/>
  <c r="A199" i="13"/>
  <c r="J199" i="13"/>
  <c r="I199" i="13"/>
  <c r="H199" i="13"/>
  <c r="G199" i="13"/>
  <c r="F199" i="13"/>
  <c r="E199" i="13"/>
  <c r="D199" i="13"/>
  <c r="C199" i="13"/>
  <c r="B198" i="13"/>
  <c r="A198" i="13"/>
  <c r="J198" i="13"/>
  <c r="I198" i="13"/>
  <c r="H198" i="13"/>
  <c r="G198" i="13"/>
  <c r="F198" i="13"/>
  <c r="E198" i="13"/>
  <c r="D198" i="13"/>
  <c r="C198" i="13"/>
  <c r="B197" i="13"/>
  <c r="A197" i="13"/>
  <c r="J197" i="13"/>
  <c r="I197" i="13"/>
  <c r="H197" i="13"/>
  <c r="G197" i="13"/>
  <c r="F197" i="13"/>
  <c r="E197" i="13"/>
  <c r="D197" i="13"/>
  <c r="C197" i="13"/>
  <c r="B196" i="13"/>
  <c r="A196" i="13"/>
  <c r="J196" i="13"/>
  <c r="I196" i="13"/>
  <c r="H196" i="13"/>
  <c r="G196" i="13"/>
  <c r="F196" i="13"/>
  <c r="E196" i="13"/>
  <c r="D196" i="13"/>
  <c r="C196" i="13"/>
  <c r="B195" i="13"/>
  <c r="A195" i="13"/>
  <c r="J195" i="13"/>
  <c r="I195" i="13"/>
  <c r="H195" i="13"/>
  <c r="G195" i="13"/>
  <c r="F195" i="13"/>
  <c r="E195" i="13"/>
  <c r="D195" i="13"/>
  <c r="C195" i="13"/>
  <c r="B194" i="13"/>
  <c r="A194" i="13"/>
  <c r="J194" i="13"/>
  <c r="I194" i="13"/>
  <c r="H194" i="13"/>
  <c r="G194" i="13"/>
  <c r="F194" i="13"/>
  <c r="E194" i="13"/>
  <c r="D194" i="13"/>
  <c r="C194" i="13"/>
  <c r="B193" i="13"/>
  <c r="A193" i="13"/>
  <c r="J193" i="13"/>
  <c r="I193" i="13"/>
  <c r="H193" i="13"/>
  <c r="G193" i="13"/>
  <c r="F193" i="13"/>
  <c r="E193" i="13"/>
  <c r="D193" i="13"/>
  <c r="C193" i="13"/>
  <c r="B192" i="13"/>
  <c r="A192" i="13"/>
  <c r="J192" i="13"/>
  <c r="I192" i="13"/>
  <c r="H192" i="13"/>
  <c r="G192" i="13"/>
  <c r="F192" i="13"/>
  <c r="E192" i="13"/>
  <c r="D192" i="13"/>
  <c r="C192" i="13"/>
  <c r="B191" i="13"/>
  <c r="A191" i="13"/>
  <c r="J191" i="13"/>
  <c r="I191" i="13"/>
  <c r="H191" i="13"/>
  <c r="G191" i="13"/>
  <c r="F191" i="13"/>
  <c r="E191" i="13"/>
  <c r="D191" i="13"/>
  <c r="C191" i="13"/>
  <c r="B190" i="13"/>
  <c r="A190" i="13"/>
  <c r="J190" i="13"/>
  <c r="I190" i="13"/>
  <c r="H190" i="13"/>
  <c r="G190" i="13"/>
  <c r="F190" i="13"/>
  <c r="E190" i="13"/>
  <c r="D190" i="13"/>
  <c r="C190" i="13"/>
  <c r="B189" i="13"/>
  <c r="A189" i="13"/>
  <c r="J189" i="13"/>
  <c r="I189" i="13"/>
  <c r="H189" i="13"/>
  <c r="G189" i="13"/>
  <c r="F189" i="13"/>
  <c r="E189" i="13"/>
  <c r="D189" i="13"/>
  <c r="C189" i="13"/>
  <c r="B188" i="13"/>
  <c r="A188" i="13"/>
  <c r="J188" i="13"/>
  <c r="I188" i="13"/>
  <c r="H188" i="13"/>
  <c r="G188" i="13"/>
  <c r="F188" i="13"/>
  <c r="E188" i="13"/>
  <c r="D188" i="13"/>
  <c r="C188" i="13"/>
  <c r="B187" i="13"/>
  <c r="A187" i="13"/>
  <c r="J187" i="13"/>
  <c r="I187" i="13"/>
  <c r="H187" i="13"/>
  <c r="G187" i="13"/>
  <c r="F187" i="13"/>
  <c r="E187" i="13"/>
  <c r="D187" i="13"/>
  <c r="C187" i="13"/>
  <c r="B186" i="13"/>
  <c r="A186" i="13"/>
  <c r="J186" i="13"/>
  <c r="I186" i="13"/>
  <c r="H186" i="13"/>
  <c r="G186" i="13"/>
  <c r="F186" i="13"/>
  <c r="E186" i="13"/>
  <c r="D186" i="13"/>
  <c r="C186" i="13"/>
  <c r="B185" i="13"/>
  <c r="A185" i="13"/>
  <c r="J185" i="13"/>
  <c r="I185" i="13"/>
  <c r="H185" i="13"/>
  <c r="G185" i="13"/>
  <c r="F185" i="13"/>
  <c r="E185" i="13"/>
  <c r="D185" i="13"/>
  <c r="C185" i="13"/>
  <c r="B184" i="13"/>
  <c r="A184" i="13"/>
  <c r="J184" i="13"/>
  <c r="I184" i="13"/>
  <c r="H184" i="13"/>
  <c r="G184" i="13"/>
  <c r="F184" i="13"/>
  <c r="E184" i="13"/>
  <c r="D184" i="13"/>
  <c r="C184" i="13"/>
  <c r="B183" i="13"/>
  <c r="A183" i="13"/>
  <c r="J183" i="13"/>
  <c r="I183" i="13"/>
  <c r="H183" i="13"/>
  <c r="G183" i="13"/>
  <c r="F183" i="13"/>
  <c r="E183" i="13"/>
  <c r="D183" i="13"/>
  <c r="C183" i="13"/>
  <c r="B182" i="13"/>
  <c r="A182" i="13"/>
  <c r="J182" i="13"/>
  <c r="I182" i="13"/>
  <c r="H182" i="13"/>
  <c r="G182" i="13"/>
  <c r="F182" i="13"/>
  <c r="E182" i="13"/>
  <c r="D182" i="13"/>
  <c r="C182" i="13"/>
  <c r="B181" i="13"/>
  <c r="A181" i="13"/>
  <c r="J181" i="13"/>
  <c r="I181" i="13"/>
  <c r="H181" i="13"/>
  <c r="G181" i="13"/>
  <c r="F181" i="13"/>
  <c r="E181" i="13"/>
  <c r="D181" i="13"/>
  <c r="C181" i="13"/>
  <c r="B180" i="13"/>
  <c r="A180" i="13"/>
  <c r="J180" i="13"/>
  <c r="I180" i="13"/>
  <c r="H180" i="13"/>
  <c r="G180" i="13"/>
  <c r="F180" i="13"/>
  <c r="E180" i="13"/>
  <c r="D180" i="13"/>
  <c r="C180" i="13"/>
  <c r="B179" i="13"/>
  <c r="A179" i="13"/>
  <c r="J179" i="13"/>
  <c r="I179" i="13"/>
  <c r="H179" i="13"/>
  <c r="G179" i="13"/>
  <c r="F179" i="13"/>
  <c r="E179" i="13"/>
  <c r="D179" i="13"/>
  <c r="C179" i="13"/>
  <c r="B178" i="13"/>
  <c r="A178" i="13"/>
  <c r="J178" i="13"/>
  <c r="I178" i="13"/>
  <c r="H178" i="13"/>
  <c r="G178" i="13"/>
  <c r="F178" i="13"/>
  <c r="E178" i="13"/>
  <c r="D178" i="13"/>
  <c r="C178" i="13"/>
  <c r="B177" i="13"/>
  <c r="A177" i="13"/>
  <c r="J177" i="13"/>
  <c r="I177" i="13"/>
  <c r="H177" i="13"/>
  <c r="G177" i="13"/>
  <c r="F177" i="13"/>
  <c r="E177" i="13"/>
  <c r="D177" i="13"/>
  <c r="C177" i="13"/>
  <c r="B176" i="13"/>
  <c r="A176" i="13"/>
  <c r="J176" i="13"/>
  <c r="I176" i="13"/>
  <c r="H176" i="13"/>
  <c r="G176" i="13"/>
  <c r="F176" i="13"/>
  <c r="E176" i="13"/>
  <c r="D176" i="13"/>
  <c r="C176" i="13"/>
  <c r="B175" i="13"/>
  <c r="A175" i="13"/>
  <c r="J175" i="13"/>
  <c r="I175" i="13"/>
  <c r="H175" i="13"/>
  <c r="G175" i="13"/>
  <c r="F175" i="13"/>
  <c r="E175" i="13"/>
  <c r="D175" i="13"/>
  <c r="C175" i="13"/>
  <c r="B174" i="13"/>
  <c r="A174" i="13"/>
  <c r="J174" i="13"/>
  <c r="I174" i="13"/>
  <c r="H174" i="13"/>
  <c r="G174" i="13"/>
  <c r="F174" i="13"/>
  <c r="E174" i="13"/>
  <c r="D174" i="13"/>
  <c r="C174" i="13"/>
  <c r="B173" i="13"/>
  <c r="A173" i="13"/>
  <c r="J173" i="13"/>
  <c r="I173" i="13"/>
  <c r="H173" i="13"/>
  <c r="G173" i="13"/>
  <c r="F173" i="13"/>
  <c r="E173" i="13"/>
  <c r="D173" i="13"/>
  <c r="C173" i="13"/>
  <c r="B172" i="13"/>
  <c r="A172" i="13"/>
  <c r="J172" i="13"/>
  <c r="I172" i="13"/>
  <c r="H172" i="13"/>
  <c r="G172" i="13"/>
  <c r="F172" i="13"/>
  <c r="E172" i="13"/>
  <c r="D172" i="13"/>
  <c r="C172" i="13"/>
  <c r="B171" i="13"/>
  <c r="A171" i="13"/>
  <c r="J171" i="13"/>
  <c r="I171" i="13"/>
  <c r="H171" i="13"/>
  <c r="G171" i="13"/>
  <c r="F171" i="13"/>
  <c r="E171" i="13"/>
  <c r="D171" i="13"/>
  <c r="C171" i="13"/>
  <c r="B170" i="13"/>
  <c r="A170" i="13"/>
  <c r="J170" i="13"/>
  <c r="I170" i="13"/>
  <c r="H170" i="13"/>
  <c r="G170" i="13"/>
  <c r="F170" i="13"/>
  <c r="E170" i="13"/>
  <c r="D170" i="13"/>
  <c r="C170" i="13"/>
  <c r="B169" i="13"/>
  <c r="A169" i="13"/>
  <c r="J169" i="13"/>
  <c r="I169" i="13"/>
  <c r="H169" i="13"/>
  <c r="G169" i="13"/>
  <c r="F169" i="13"/>
  <c r="E169" i="13"/>
  <c r="D169" i="13"/>
  <c r="C169" i="13"/>
  <c r="B168" i="13"/>
  <c r="A168" i="13"/>
  <c r="J168" i="13"/>
  <c r="I168" i="13"/>
  <c r="H168" i="13"/>
  <c r="G168" i="13"/>
  <c r="F168" i="13"/>
  <c r="E168" i="13"/>
  <c r="D168" i="13"/>
  <c r="C168" i="13"/>
  <c r="B167" i="13"/>
  <c r="A167" i="13"/>
  <c r="J167" i="13"/>
  <c r="I167" i="13"/>
  <c r="H167" i="13"/>
  <c r="G167" i="13"/>
  <c r="F167" i="13"/>
  <c r="E167" i="13"/>
  <c r="D167" i="13"/>
  <c r="C167" i="13"/>
  <c r="B166" i="13"/>
  <c r="A166" i="13"/>
  <c r="J166" i="13"/>
  <c r="I166" i="13"/>
  <c r="H166" i="13"/>
  <c r="G166" i="13"/>
  <c r="F166" i="13"/>
  <c r="E166" i="13"/>
  <c r="D166" i="13"/>
  <c r="C166" i="13"/>
  <c r="B165" i="13"/>
  <c r="A165" i="13"/>
  <c r="J165" i="13"/>
  <c r="I165" i="13"/>
  <c r="H165" i="13"/>
  <c r="G165" i="13"/>
  <c r="F165" i="13"/>
  <c r="E165" i="13"/>
  <c r="D165" i="13"/>
  <c r="C165" i="13"/>
  <c r="B164" i="13"/>
  <c r="A164" i="13"/>
  <c r="J164" i="13"/>
  <c r="I164" i="13"/>
  <c r="H164" i="13"/>
  <c r="G164" i="13"/>
  <c r="F164" i="13"/>
  <c r="E164" i="13"/>
  <c r="D164" i="13"/>
  <c r="C164" i="13"/>
  <c r="B163" i="13"/>
  <c r="A163" i="13"/>
  <c r="J163" i="13"/>
  <c r="I163" i="13"/>
  <c r="H163" i="13"/>
  <c r="G163" i="13"/>
  <c r="F163" i="13"/>
  <c r="E163" i="13"/>
  <c r="D163" i="13"/>
  <c r="C163" i="13"/>
  <c r="B162" i="13"/>
  <c r="A162" i="13"/>
  <c r="J162" i="13"/>
  <c r="I162" i="13"/>
  <c r="H162" i="13"/>
  <c r="G162" i="13"/>
  <c r="F162" i="13"/>
  <c r="E162" i="13"/>
  <c r="D162" i="13"/>
  <c r="C162" i="13"/>
  <c r="B161" i="13"/>
  <c r="A161" i="13"/>
  <c r="J161" i="13"/>
  <c r="I161" i="13"/>
  <c r="H161" i="13"/>
  <c r="G161" i="13"/>
  <c r="F161" i="13"/>
  <c r="E161" i="13"/>
  <c r="D161" i="13"/>
  <c r="C161" i="13"/>
  <c r="B160" i="13"/>
  <c r="A160" i="13"/>
  <c r="J160" i="13"/>
  <c r="I160" i="13"/>
  <c r="H160" i="13"/>
  <c r="G160" i="13"/>
  <c r="F160" i="13"/>
  <c r="E160" i="13"/>
  <c r="D160" i="13"/>
  <c r="C160" i="13"/>
  <c r="B159" i="13"/>
  <c r="A159" i="13"/>
  <c r="J159" i="13"/>
  <c r="I159" i="13"/>
  <c r="H159" i="13"/>
  <c r="G159" i="13"/>
  <c r="F159" i="13"/>
  <c r="E159" i="13"/>
  <c r="D159" i="13"/>
  <c r="C159" i="13"/>
  <c r="B158" i="13"/>
  <c r="A158" i="13"/>
  <c r="J158" i="13"/>
  <c r="I158" i="13"/>
  <c r="H158" i="13"/>
  <c r="G158" i="13"/>
  <c r="F158" i="13"/>
  <c r="E158" i="13"/>
  <c r="D158" i="13"/>
  <c r="C158" i="13"/>
  <c r="B157" i="13"/>
  <c r="A157" i="13"/>
  <c r="J157" i="13"/>
  <c r="I157" i="13"/>
  <c r="H157" i="13"/>
  <c r="G157" i="13"/>
  <c r="F157" i="13"/>
  <c r="E157" i="13"/>
  <c r="D157" i="13"/>
  <c r="C157" i="13"/>
  <c r="B156" i="13"/>
  <c r="A156" i="13"/>
  <c r="J156" i="13"/>
  <c r="I156" i="13"/>
  <c r="H156" i="13"/>
  <c r="G156" i="13"/>
  <c r="F156" i="13"/>
  <c r="E156" i="13"/>
  <c r="D156" i="13"/>
  <c r="C156" i="13"/>
  <c r="B155" i="13"/>
  <c r="A155" i="13"/>
  <c r="J155" i="13"/>
  <c r="I155" i="13"/>
  <c r="H155" i="13"/>
  <c r="G155" i="13"/>
  <c r="F155" i="13"/>
  <c r="E155" i="13"/>
  <c r="D155" i="13"/>
  <c r="C155" i="13"/>
  <c r="B154" i="13"/>
  <c r="A154" i="13"/>
  <c r="J154" i="13"/>
  <c r="I154" i="13"/>
  <c r="H154" i="13"/>
  <c r="G154" i="13"/>
  <c r="F154" i="13"/>
  <c r="E154" i="13"/>
  <c r="D154" i="13"/>
  <c r="C154" i="13"/>
  <c r="B153" i="13"/>
  <c r="A153" i="13"/>
  <c r="J153" i="13"/>
  <c r="I153" i="13"/>
  <c r="H153" i="13"/>
  <c r="G153" i="13"/>
  <c r="F153" i="13"/>
  <c r="E153" i="13"/>
  <c r="D153" i="13"/>
  <c r="C153" i="13"/>
  <c r="B152" i="13"/>
  <c r="A152" i="13"/>
  <c r="J152" i="13"/>
  <c r="I152" i="13"/>
  <c r="H152" i="13"/>
  <c r="G152" i="13"/>
  <c r="F152" i="13"/>
  <c r="E152" i="13"/>
  <c r="D152" i="13"/>
  <c r="C152" i="13"/>
  <c r="B151" i="13"/>
  <c r="A151" i="13"/>
  <c r="J151" i="13"/>
  <c r="I151" i="13"/>
  <c r="H151" i="13"/>
  <c r="G151" i="13"/>
  <c r="F151" i="13"/>
  <c r="E151" i="13"/>
  <c r="D151" i="13"/>
  <c r="C151" i="13"/>
  <c r="B150" i="13"/>
  <c r="A150" i="13"/>
  <c r="J150" i="13"/>
  <c r="I150" i="13"/>
  <c r="H150" i="13"/>
  <c r="G150" i="13"/>
  <c r="F150" i="13"/>
  <c r="E150" i="13"/>
  <c r="D150" i="13"/>
  <c r="C150" i="13"/>
  <c r="B149" i="13"/>
  <c r="A149" i="13"/>
  <c r="J149" i="13"/>
  <c r="I149" i="13"/>
  <c r="H149" i="13"/>
  <c r="G149" i="13"/>
  <c r="F149" i="13"/>
  <c r="E149" i="13"/>
  <c r="D149" i="13"/>
  <c r="C149" i="13"/>
  <c r="B148" i="13"/>
  <c r="A148" i="13"/>
  <c r="J148" i="13"/>
  <c r="I148" i="13"/>
  <c r="H148" i="13"/>
  <c r="G148" i="13"/>
  <c r="F148" i="13"/>
  <c r="E148" i="13"/>
  <c r="D148" i="13"/>
  <c r="C148" i="13"/>
  <c r="B147" i="13"/>
  <c r="A147" i="13"/>
  <c r="J147" i="13"/>
  <c r="I147" i="13"/>
  <c r="H147" i="13"/>
  <c r="G147" i="13"/>
  <c r="F147" i="13"/>
  <c r="E147" i="13"/>
  <c r="D147" i="13"/>
  <c r="C147" i="13"/>
  <c r="B146" i="13"/>
  <c r="A146" i="13"/>
  <c r="J146" i="13"/>
  <c r="I146" i="13"/>
  <c r="H146" i="13"/>
  <c r="G146" i="13"/>
  <c r="F146" i="13"/>
  <c r="E146" i="13"/>
  <c r="D146" i="13"/>
  <c r="C146" i="13"/>
  <c r="B145" i="13"/>
  <c r="A145" i="13"/>
  <c r="J145" i="13"/>
  <c r="I145" i="13"/>
  <c r="H145" i="13"/>
  <c r="G145" i="13"/>
  <c r="F145" i="13"/>
  <c r="E145" i="13"/>
  <c r="D145" i="13"/>
  <c r="C145" i="13"/>
  <c r="B144" i="13"/>
  <c r="A144" i="13"/>
  <c r="J144" i="13"/>
  <c r="I144" i="13"/>
  <c r="H144" i="13"/>
  <c r="G144" i="13"/>
  <c r="F144" i="13"/>
  <c r="E144" i="13"/>
  <c r="D144" i="13"/>
  <c r="C144" i="13"/>
  <c r="B143" i="13"/>
  <c r="A143" i="13"/>
  <c r="J143" i="13"/>
  <c r="I143" i="13"/>
  <c r="H143" i="13"/>
  <c r="G143" i="13"/>
  <c r="F143" i="13"/>
  <c r="E143" i="13"/>
  <c r="D143" i="13"/>
  <c r="C143" i="13"/>
  <c r="B142" i="13"/>
  <c r="A142" i="13"/>
  <c r="J142" i="13"/>
  <c r="I142" i="13"/>
  <c r="H142" i="13"/>
  <c r="G142" i="13"/>
  <c r="F142" i="13"/>
  <c r="E142" i="13"/>
  <c r="D142" i="13"/>
  <c r="C142" i="13"/>
  <c r="B141" i="13"/>
  <c r="A141" i="13"/>
  <c r="J141" i="13"/>
  <c r="I141" i="13"/>
  <c r="H141" i="13"/>
  <c r="G141" i="13"/>
  <c r="F141" i="13"/>
  <c r="E141" i="13"/>
  <c r="D141" i="13"/>
  <c r="C141" i="13"/>
  <c r="B140" i="13"/>
  <c r="A140" i="13"/>
  <c r="J140" i="13"/>
  <c r="I140" i="13"/>
  <c r="H140" i="13"/>
  <c r="G140" i="13"/>
  <c r="F140" i="13"/>
  <c r="E140" i="13"/>
  <c r="D140" i="13"/>
  <c r="C140" i="13"/>
  <c r="B139" i="13"/>
  <c r="A139" i="13"/>
  <c r="J139" i="13"/>
  <c r="I139" i="13"/>
  <c r="H139" i="13"/>
  <c r="G139" i="13"/>
  <c r="F139" i="13"/>
  <c r="E139" i="13"/>
  <c r="D139" i="13"/>
  <c r="C139" i="13"/>
  <c r="B138" i="13"/>
  <c r="A138" i="13"/>
  <c r="J138" i="13"/>
  <c r="I138" i="13"/>
  <c r="H138" i="13"/>
  <c r="G138" i="13"/>
  <c r="F138" i="13"/>
  <c r="E138" i="13"/>
  <c r="D138" i="13"/>
  <c r="C138" i="13"/>
  <c r="B137" i="13"/>
  <c r="A137" i="13"/>
  <c r="J137" i="13"/>
  <c r="I137" i="13"/>
  <c r="H137" i="13"/>
  <c r="G137" i="13"/>
  <c r="F137" i="13"/>
  <c r="E137" i="13"/>
  <c r="D137" i="13"/>
  <c r="C137" i="13"/>
  <c r="B136" i="13"/>
  <c r="A136" i="13"/>
  <c r="J136" i="13"/>
  <c r="I136" i="13"/>
  <c r="H136" i="13"/>
  <c r="G136" i="13"/>
  <c r="F136" i="13"/>
  <c r="E136" i="13"/>
  <c r="D136" i="13"/>
  <c r="C136" i="13"/>
  <c r="B135" i="13"/>
  <c r="A135" i="13"/>
  <c r="J135" i="13"/>
  <c r="I135" i="13"/>
  <c r="H135" i="13"/>
  <c r="G135" i="13"/>
  <c r="F135" i="13"/>
  <c r="E135" i="13"/>
  <c r="D135" i="13"/>
  <c r="C135" i="13"/>
  <c r="B134" i="13"/>
  <c r="A134" i="13"/>
  <c r="J134" i="13"/>
  <c r="I134" i="13"/>
  <c r="H134" i="13"/>
  <c r="G134" i="13"/>
  <c r="F134" i="13"/>
  <c r="E134" i="13"/>
  <c r="D134" i="13"/>
  <c r="C134" i="13"/>
  <c r="B133" i="13"/>
  <c r="A133" i="13"/>
  <c r="J133" i="13"/>
  <c r="I133" i="13"/>
  <c r="H133" i="13"/>
  <c r="G133" i="13"/>
  <c r="F133" i="13"/>
  <c r="E133" i="13"/>
  <c r="D133" i="13"/>
  <c r="C133" i="13"/>
  <c r="B132" i="13"/>
  <c r="A132" i="13"/>
  <c r="J132" i="13"/>
  <c r="I132" i="13"/>
  <c r="H132" i="13"/>
  <c r="G132" i="13"/>
  <c r="F132" i="13"/>
  <c r="E132" i="13"/>
  <c r="D132" i="13"/>
  <c r="C132" i="13"/>
  <c r="B131" i="13"/>
  <c r="A131" i="13"/>
  <c r="J131" i="13"/>
  <c r="I131" i="13"/>
  <c r="H131" i="13"/>
  <c r="G131" i="13"/>
  <c r="F131" i="13"/>
  <c r="E131" i="13"/>
  <c r="D131" i="13"/>
  <c r="C131" i="13"/>
  <c r="B130" i="13"/>
  <c r="A130" i="13"/>
  <c r="J130" i="13"/>
  <c r="I130" i="13"/>
  <c r="H130" i="13"/>
  <c r="G130" i="13"/>
  <c r="F130" i="13"/>
  <c r="E130" i="13"/>
  <c r="D130" i="13"/>
  <c r="C130" i="13"/>
  <c r="B129" i="13"/>
  <c r="A129" i="13"/>
  <c r="J129" i="13"/>
  <c r="I129" i="13"/>
  <c r="H129" i="13"/>
  <c r="G129" i="13"/>
  <c r="F129" i="13"/>
  <c r="E129" i="13"/>
  <c r="D129" i="13"/>
  <c r="C129" i="13"/>
  <c r="B128" i="13"/>
  <c r="A128" i="13"/>
  <c r="J128" i="13"/>
  <c r="I128" i="13"/>
  <c r="H128" i="13"/>
  <c r="G128" i="13"/>
  <c r="F128" i="13"/>
  <c r="E128" i="13"/>
  <c r="D128" i="13"/>
  <c r="C128" i="13"/>
  <c r="B127" i="13"/>
  <c r="A127" i="13"/>
  <c r="J127" i="13"/>
  <c r="I127" i="13"/>
  <c r="H127" i="13"/>
  <c r="G127" i="13"/>
  <c r="F127" i="13"/>
  <c r="E127" i="13"/>
  <c r="D127" i="13"/>
  <c r="C127" i="13"/>
  <c r="B126" i="13"/>
  <c r="A126" i="13"/>
  <c r="J126" i="13"/>
  <c r="I126" i="13"/>
  <c r="H126" i="13"/>
  <c r="G126" i="13"/>
  <c r="F126" i="13"/>
  <c r="E126" i="13"/>
  <c r="D126" i="13"/>
  <c r="C126" i="13"/>
  <c r="B125" i="13"/>
  <c r="A125" i="13"/>
  <c r="J125" i="13"/>
  <c r="I125" i="13"/>
  <c r="H125" i="13"/>
  <c r="G125" i="13"/>
  <c r="F125" i="13"/>
  <c r="E125" i="13"/>
  <c r="D125" i="13"/>
  <c r="C125" i="13"/>
  <c r="B124" i="13"/>
  <c r="A124" i="13"/>
  <c r="J124" i="13"/>
  <c r="I124" i="13"/>
  <c r="H124" i="13"/>
  <c r="G124" i="13"/>
  <c r="F124" i="13"/>
  <c r="E124" i="13"/>
  <c r="D124" i="13"/>
  <c r="C124" i="13"/>
  <c r="B123" i="13"/>
  <c r="A123" i="13"/>
  <c r="J123" i="13"/>
  <c r="I123" i="13"/>
  <c r="H123" i="13"/>
  <c r="G123" i="13"/>
  <c r="F123" i="13"/>
  <c r="E123" i="13"/>
  <c r="D123" i="13"/>
  <c r="C123" i="13"/>
  <c r="B122" i="13"/>
  <c r="A122" i="13"/>
  <c r="J122" i="13"/>
  <c r="I122" i="13"/>
  <c r="H122" i="13"/>
  <c r="G122" i="13"/>
  <c r="F122" i="13"/>
  <c r="E122" i="13"/>
  <c r="D122" i="13"/>
  <c r="C122" i="13"/>
  <c r="B121" i="13"/>
  <c r="A121" i="13"/>
  <c r="J121" i="13"/>
  <c r="I121" i="13"/>
  <c r="H121" i="13"/>
  <c r="G121" i="13"/>
  <c r="F121" i="13"/>
  <c r="E121" i="13"/>
  <c r="D121" i="13"/>
  <c r="C121" i="13"/>
  <c r="B120" i="13"/>
  <c r="A120" i="13"/>
  <c r="J120" i="13"/>
  <c r="I120" i="13"/>
  <c r="H120" i="13"/>
  <c r="G120" i="13"/>
  <c r="F120" i="13"/>
  <c r="E120" i="13"/>
  <c r="D120" i="13"/>
  <c r="C120" i="13"/>
  <c r="B119" i="13"/>
  <c r="A119" i="13"/>
  <c r="J119" i="13"/>
  <c r="I119" i="13"/>
  <c r="H119" i="13"/>
  <c r="G119" i="13"/>
  <c r="F119" i="13"/>
  <c r="E119" i="13"/>
  <c r="D119" i="13"/>
  <c r="C119" i="13"/>
  <c r="B118" i="13"/>
  <c r="A118" i="13"/>
  <c r="J118" i="13"/>
  <c r="I118" i="13"/>
  <c r="H118" i="13"/>
  <c r="G118" i="13"/>
  <c r="F118" i="13"/>
  <c r="E118" i="13"/>
  <c r="D118" i="13"/>
  <c r="C118" i="13"/>
  <c r="B117" i="13"/>
  <c r="A117" i="13"/>
  <c r="J117" i="13"/>
  <c r="I117" i="13"/>
  <c r="H117" i="13"/>
  <c r="G117" i="13"/>
  <c r="F117" i="13"/>
  <c r="E117" i="13"/>
  <c r="D117" i="13"/>
  <c r="C117" i="13"/>
  <c r="B116" i="13"/>
  <c r="A116" i="13"/>
  <c r="J116" i="13"/>
  <c r="I116" i="13"/>
  <c r="H116" i="13"/>
  <c r="G116" i="13"/>
  <c r="F116" i="13"/>
  <c r="E116" i="13"/>
  <c r="D116" i="13"/>
  <c r="C116" i="13"/>
  <c r="B115" i="13"/>
  <c r="A115" i="13"/>
  <c r="J115" i="13"/>
  <c r="I115" i="13"/>
  <c r="H115" i="13"/>
  <c r="G115" i="13"/>
  <c r="F115" i="13"/>
  <c r="E115" i="13"/>
  <c r="D115" i="13"/>
  <c r="C115" i="13"/>
  <c r="B114" i="13"/>
  <c r="A114" i="13"/>
  <c r="J114" i="13"/>
  <c r="I114" i="13"/>
  <c r="H114" i="13"/>
  <c r="G114" i="13"/>
  <c r="F114" i="13"/>
  <c r="E114" i="13"/>
  <c r="D114" i="13"/>
  <c r="C114" i="13"/>
  <c r="B113" i="13"/>
  <c r="A113" i="13"/>
  <c r="J113" i="13"/>
  <c r="I113" i="13"/>
  <c r="H113" i="13"/>
  <c r="G113" i="13"/>
  <c r="F113" i="13"/>
  <c r="E113" i="13"/>
  <c r="D113" i="13"/>
  <c r="C113" i="13"/>
  <c r="B112" i="13"/>
  <c r="A112" i="13"/>
  <c r="J112" i="13"/>
  <c r="I112" i="13"/>
  <c r="H112" i="13"/>
  <c r="G112" i="13"/>
  <c r="F112" i="13"/>
  <c r="E112" i="13"/>
  <c r="D112" i="13"/>
  <c r="C112" i="13"/>
  <c r="B111" i="13"/>
  <c r="A111" i="13"/>
  <c r="J111" i="13"/>
  <c r="I111" i="13"/>
  <c r="H111" i="13"/>
  <c r="G111" i="13"/>
  <c r="F111" i="13"/>
  <c r="E111" i="13"/>
  <c r="D111" i="13"/>
  <c r="C111" i="13"/>
  <c r="B110" i="13"/>
  <c r="A110" i="13"/>
  <c r="J110" i="13"/>
  <c r="I110" i="13"/>
  <c r="H110" i="13"/>
  <c r="G110" i="13"/>
  <c r="F110" i="13"/>
  <c r="E110" i="13"/>
  <c r="D110" i="13"/>
  <c r="C110" i="13"/>
  <c r="B109" i="13"/>
  <c r="A109" i="13"/>
  <c r="J109" i="13"/>
  <c r="I109" i="13"/>
  <c r="H109" i="13"/>
  <c r="G109" i="13"/>
  <c r="F109" i="13"/>
  <c r="E109" i="13"/>
  <c r="D109" i="13"/>
  <c r="C109" i="13"/>
  <c r="B108" i="13"/>
  <c r="A108" i="13"/>
  <c r="J108" i="13"/>
  <c r="I108" i="13"/>
  <c r="H108" i="13"/>
  <c r="G108" i="13"/>
  <c r="F108" i="13"/>
  <c r="E108" i="13"/>
  <c r="D108" i="13"/>
  <c r="C108" i="13"/>
  <c r="B107" i="13"/>
  <c r="A107" i="13"/>
  <c r="J107" i="13"/>
  <c r="I107" i="13"/>
  <c r="H107" i="13"/>
  <c r="G107" i="13"/>
  <c r="F107" i="13"/>
  <c r="E107" i="13"/>
  <c r="D107" i="13"/>
  <c r="C107" i="13"/>
  <c r="B106" i="13"/>
  <c r="A106" i="13"/>
  <c r="J106" i="13"/>
  <c r="I106" i="13"/>
  <c r="H106" i="13"/>
  <c r="G106" i="13"/>
  <c r="F106" i="13"/>
  <c r="E106" i="13"/>
  <c r="D106" i="13"/>
  <c r="C106" i="13"/>
  <c r="B105" i="13"/>
  <c r="A105" i="13"/>
  <c r="J105" i="13"/>
  <c r="I105" i="13"/>
  <c r="H105" i="13"/>
  <c r="G105" i="13"/>
  <c r="F105" i="13"/>
  <c r="E105" i="13"/>
  <c r="D105" i="13"/>
  <c r="C105" i="13"/>
  <c r="B104" i="13"/>
  <c r="A104" i="13"/>
  <c r="J104" i="13"/>
  <c r="I104" i="13"/>
  <c r="H104" i="13"/>
  <c r="G104" i="13"/>
  <c r="F104" i="13"/>
  <c r="E104" i="13"/>
  <c r="D104" i="13"/>
  <c r="C104" i="13"/>
  <c r="B103" i="13"/>
  <c r="A103" i="13"/>
  <c r="J103" i="13"/>
  <c r="I103" i="13"/>
  <c r="H103" i="13"/>
  <c r="G103" i="13"/>
  <c r="F103" i="13"/>
  <c r="E103" i="13"/>
  <c r="D103" i="13"/>
  <c r="C103" i="13"/>
  <c r="B102" i="13"/>
  <c r="A102" i="13"/>
  <c r="J102" i="13"/>
  <c r="I102" i="13"/>
  <c r="H102" i="13"/>
  <c r="G102" i="13"/>
  <c r="F102" i="13"/>
  <c r="E102" i="13"/>
  <c r="D102" i="13"/>
  <c r="C102" i="13"/>
  <c r="B101" i="13"/>
  <c r="A101" i="13"/>
  <c r="J101" i="13"/>
  <c r="I101" i="13"/>
  <c r="H101" i="13"/>
  <c r="G101" i="13"/>
  <c r="F101" i="13"/>
  <c r="E101" i="13"/>
  <c r="D101" i="13"/>
  <c r="C101" i="13"/>
  <c r="B100" i="13"/>
  <c r="A100" i="13"/>
  <c r="J100" i="13"/>
  <c r="I100" i="13"/>
  <c r="H100" i="13"/>
  <c r="G100" i="13"/>
  <c r="F100" i="13"/>
  <c r="E100" i="13"/>
  <c r="D100" i="13"/>
  <c r="C100" i="13"/>
  <c r="B99" i="13"/>
  <c r="A99" i="13"/>
  <c r="J99" i="13"/>
  <c r="I99" i="13"/>
  <c r="H99" i="13"/>
  <c r="G99" i="13"/>
  <c r="F99" i="13"/>
  <c r="E99" i="13"/>
  <c r="D99" i="13"/>
  <c r="C99" i="13"/>
  <c r="B98" i="13"/>
  <c r="A98" i="13"/>
  <c r="J98" i="13"/>
  <c r="I98" i="13"/>
  <c r="H98" i="13"/>
  <c r="G98" i="13"/>
  <c r="F98" i="13"/>
  <c r="E98" i="13"/>
  <c r="D98" i="13"/>
  <c r="C98" i="13"/>
  <c r="B97" i="13"/>
  <c r="A97" i="13"/>
  <c r="J97" i="13"/>
  <c r="I97" i="13"/>
  <c r="H97" i="13"/>
  <c r="G97" i="13"/>
  <c r="F97" i="13"/>
  <c r="E97" i="13"/>
  <c r="D97" i="13"/>
  <c r="C97" i="13"/>
  <c r="B96" i="13"/>
  <c r="A96" i="13"/>
  <c r="J96" i="13"/>
  <c r="I96" i="13"/>
  <c r="H96" i="13"/>
  <c r="G96" i="13"/>
  <c r="F96" i="13"/>
  <c r="E96" i="13"/>
  <c r="D96" i="13"/>
  <c r="C96" i="13"/>
  <c r="B95" i="13"/>
  <c r="A95" i="13"/>
  <c r="J95" i="13"/>
  <c r="I95" i="13"/>
  <c r="H95" i="13"/>
  <c r="G95" i="13"/>
  <c r="F95" i="13"/>
  <c r="E95" i="13"/>
  <c r="D95" i="13"/>
  <c r="C95" i="13"/>
  <c r="B94" i="13"/>
  <c r="A94" i="13"/>
  <c r="J94" i="13"/>
  <c r="I94" i="13"/>
  <c r="H94" i="13"/>
  <c r="G94" i="13"/>
  <c r="F94" i="13"/>
  <c r="E94" i="13"/>
  <c r="D94" i="13"/>
  <c r="C94" i="13"/>
  <c r="B93" i="13"/>
  <c r="A93" i="13"/>
  <c r="J93" i="13"/>
  <c r="I93" i="13"/>
  <c r="H93" i="13"/>
  <c r="G93" i="13"/>
  <c r="F93" i="13"/>
  <c r="E93" i="13"/>
  <c r="D93" i="13"/>
  <c r="C93" i="13"/>
  <c r="B92" i="13"/>
  <c r="A92" i="13"/>
  <c r="J92" i="13"/>
  <c r="I92" i="13"/>
  <c r="H92" i="13"/>
  <c r="G92" i="13"/>
  <c r="F92" i="13"/>
  <c r="E92" i="13"/>
  <c r="D92" i="13"/>
  <c r="C92" i="13"/>
  <c r="B91" i="13"/>
  <c r="A91" i="13"/>
  <c r="J91" i="13"/>
  <c r="I91" i="13"/>
  <c r="H91" i="13"/>
  <c r="G91" i="13"/>
  <c r="F91" i="13"/>
  <c r="E91" i="13"/>
  <c r="D91" i="13"/>
  <c r="C91" i="13"/>
  <c r="B90" i="13"/>
  <c r="A90" i="13"/>
  <c r="J90" i="13"/>
  <c r="I90" i="13"/>
  <c r="H90" i="13"/>
  <c r="G90" i="13"/>
  <c r="F90" i="13"/>
  <c r="E90" i="13"/>
  <c r="D90" i="13"/>
  <c r="C90" i="13"/>
  <c r="B89" i="13"/>
  <c r="A89" i="13"/>
  <c r="J89" i="13"/>
  <c r="I89" i="13"/>
  <c r="H89" i="13"/>
  <c r="G89" i="13"/>
  <c r="F89" i="13"/>
  <c r="E89" i="13"/>
  <c r="D89" i="13"/>
  <c r="C89" i="13"/>
  <c r="B88" i="13"/>
  <c r="A88" i="13"/>
  <c r="J88" i="13"/>
  <c r="I88" i="13"/>
  <c r="H88" i="13"/>
  <c r="G88" i="13"/>
  <c r="F88" i="13"/>
  <c r="E88" i="13"/>
  <c r="D88" i="13"/>
  <c r="C88" i="13"/>
  <c r="B87" i="13"/>
  <c r="A87" i="13"/>
  <c r="J87" i="13"/>
  <c r="I87" i="13"/>
  <c r="H87" i="13"/>
  <c r="G87" i="13"/>
  <c r="F87" i="13"/>
  <c r="E87" i="13"/>
  <c r="D87" i="13"/>
  <c r="C87" i="13"/>
  <c r="B86" i="13"/>
  <c r="A86" i="13"/>
  <c r="J86" i="13"/>
  <c r="I86" i="13"/>
  <c r="H86" i="13"/>
  <c r="G86" i="13"/>
  <c r="F86" i="13"/>
  <c r="E86" i="13"/>
  <c r="D86" i="13"/>
  <c r="C86" i="13"/>
  <c r="B85" i="13"/>
  <c r="A85" i="13"/>
  <c r="J85" i="13"/>
  <c r="I85" i="13"/>
  <c r="H85" i="13"/>
  <c r="G85" i="13"/>
  <c r="F85" i="13"/>
  <c r="E85" i="13"/>
  <c r="D85" i="13"/>
  <c r="C85" i="13"/>
  <c r="B84" i="13"/>
  <c r="A84" i="13"/>
  <c r="J84" i="13"/>
  <c r="I84" i="13"/>
  <c r="H84" i="13"/>
  <c r="G84" i="13"/>
  <c r="F84" i="13"/>
  <c r="E84" i="13"/>
  <c r="D84" i="13"/>
  <c r="C84" i="13"/>
  <c r="B83" i="13"/>
  <c r="A83" i="13"/>
  <c r="J83" i="13"/>
  <c r="I83" i="13"/>
  <c r="H83" i="13"/>
  <c r="G83" i="13"/>
  <c r="F83" i="13"/>
  <c r="E83" i="13"/>
  <c r="D83" i="13"/>
  <c r="C83" i="13"/>
  <c r="B82" i="13"/>
  <c r="A82" i="13"/>
  <c r="J82" i="13"/>
  <c r="I82" i="13"/>
  <c r="H82" i="13"/>
  <c r="G82" i="13"/>
  <c r="F82" i="13"/>
  <c r="E82" i="13"/>
  <c r="D82" i="13"/>
  <c r="C82" i="13"/>
  <c r="B81" i="13"/>
  <c r="A81" i="13"/>
  <c r="J81" i="13"/>
  <c r="I81" i="13"/>
  <c r="H81" i="13"/>
  <c r="G81" i="13"/>
  <c r="F81" i="13"/>
  <c r="E81" i="13"/>
  <c r="D81" i="13"/>
  <c r="C81" i="13"/>
  <c r="B80" i="13"/>
  <c r="A80" i="13"/>
  <c r="J80" i="13"/>
  <c r="I80" i="13"/>
  <c r="H80" i="13"/>
  <c r="G80" i="13"/>
  <c r="F80" i="13"/>
  <c r="E80" i="13"/>
  <c r="D80" i="13"/>
  <c r="C80" i="13"/>
  <c r="B79" i="13"/>
  <c r="A79" i="13"/>
  <c r="J79" i="13"/>
  <c r="I79" i="13"/>
  <c r="H79" i="13"/>
  <c r="G79" i="13"/>
  <c r="F79" i="13"/>
  <c r="E79" i="13"/>
  <c r="D79" i="13"/>
  <c r="C79" i="13"/>
  <c r="B78" i="13"/>
  <c r="A78" i="13"/>
  <c r="J78" i="13"/>
  <c r="I78" i="13"/>
  <c r="H78" i="13"/>
  <c r="G78" i="13"/>
  <c r="F78" i="13"/>
  <c r="E78" i="13"/>
  <c r="D78" i="13"/>
  <c r="C78" i="13"/>
  <c r="B77" i="13"/>
  <c r="A77" i="13"/>
  <c r="J77" i="13"/>
  <c r="I77" i="13"/>
  <c r="H77" i="13"/>
  <c r="G77" i="13"/>
  <c r="F77" i="13"/>
  <c r="E77" i="13"/>
  <c r="D77" i="13"/>
  <c r="C77" i="13"/>
  <c r="B76" i="13"/>
  <c r="A76" i="13"/>
  <c r="J76" i="13"/>
  <c r="I76" i="13"/>
  <c r="H76" i="13"/>
  <c r="G76" i="13"/>
  <c r="F76" i="13"/>
  <c r="E76" i="13"/>
  <c r="D76" i="13"/>
  <c r="C76" i="13"/>
  <c r="B75" i="13"/>
  <c r="A75" i="13"/>
  <c r="J75" i="13"/>
  <c r="I75" i="13"/>
  <c r="H75" i="13"/>
  <c r="G75" i="13"/>
  <c r="F75" i="13"/>
  <c r="E75" i="13"/>
  <c r="D75" i="13"/>
  <c r="C75" i="13"/>
  <c r="B74" i="13"/>
  <c r="A74" i="13"/>
  <c r="J74" i="13"/>
  <c r="I74" i="13"/>
  <c r="H74" i="13"/>
  <c r="G74" i="13"/>
  <c r="F74" i="13"/>
  <c r="E74" i="13"/>
  <c r="D74" i="13"/>
  <c r="C74" i="13"/>
  <c r="B73" i="13"/>
  <c r="A73" i="13"/>
  <c r="J73" i="13"/>
  <c r="I73" i="13"/>
  <c r="H73" i="13"/>
  <c r="G73" i="13"/>
  <c r="F73" i="13"/>
  <c r="E73" i="13"/>
  <c r="D73" i="13"/>
  <c r="C73" i="13"/>
  <c r="B72" i="13"/>
  <c r="A72" i="13"/>
  <c r="J72" i="13"/>
  <c r="I72" i="13"/>
  <c r="H72" i="13"/>
  <c r="G72" i="13"/>
  <c r="F72" i="13"/>
  <c r="E72" i="13"/>
  <c r="D72" i="13"/>
  <c r="C72" i="13"/>
  <c r="B71" i="13"/>
  <c r="A71" i="13"/>
  <c r="G71" i="13"/>
  <c r="F71" i="13"/>
  <c r="E71" i="13"/>
  <c r="D71" i="13"/>
  <c r="C71" i="13"/>
  <c r="C70" i="13"/>
  <c r="C69" i="13"/>
  <c r="C68" i="13"/>
  <c r="C67" i="13"/>
  <c r="C66" i="13"/>
  <c r="C65" i="13"/>
  <c r="C64" i="13"/>
  <c r="C63" i="13"/>
  <c r="C62" i="13"/>
  <c r="J333" i="12"/>
  <c r="I333" i="12"/>
  <c r="H333" i="12"/>
  <c r="G333" i="12"/>
  <c r="F333" i="12"/>
  <c r="E333" i="12"/>
  <c r="D333" i="12"/>
  <c r="C333" i="12"/>
  <c r="B332" i="12"/>
  <c r="A332" i="12"/>
  <c r="J332" i="12"/>
  <c r="I332" i="12"/>
  <c r="H332" i="12"/>
  <c r="G332" i="12"/>
  <c r="F332" i="12"/>
  <c r="E332" i="12"/>
  <c r="D332" i="12"/>
  <c r="C332" i="12"/>
  <c r="B331" i="12"/>
  <c r="A331" i="12"/>
  <c r="J331" i="12"/>
  <c r="I331" i="12"/>
  <c r="H331" i="12"/>
  <c r="G331" i="12"/>
  <c r="F331" i="12"/>
  <c r="E331" i="12"/>
  <c r="D331" i="12"/>
  <c r="C331" i="12"/>
  <c r="B330" i="12"/>
  <c r="A330" i="12"/>
  <c r="J330" i="12"/>
  <c r="I330" i="12"/>
  <c r="H330" i="12"/>
  <c r="G330" i="12"/>
  <c r="F330" i="12"/>
  <c r="E330" i="12"/>
  <c r="D330" i="12"/>
  <c r="C330" i="12"/>
  <c r="B329" i="12"/>
  <c r="A329" i="12"/>
  <c r="J329" i="12"/>
  <c r="I329" i="12"/>
  <c r="O54" i="12" s="1"/>
  <c r="B48" i="3" s="1"/>
  <c r="H329" i="12"/>
  <c r="G329" i="12"/>
  <c r="F329" i="12"/>
  <c r="E329" i="12"/>
  <c r="D329" i="12"/>
  <c r="C329" i="12"/>
  <c r="B328" i="12"/>
  <c r="A328" i="12"/>
  <c r="J328" i="12"/>
  <c r="I328" i="12"/>
  <c r="H328" i="12"/>
  <c r="G328" i="12"/>
  <c r="F328" i="12"/>
  <c r="E328" i="12"/>
  <c r="D328" i="12"/>
  <c r="C328" i="12"/>
  <c r="B327" i="12"/>
  <c r="A327" i="12"/>
  <c r="J327" i="12"/>
  <c r="I327" i="12"/>
  <c r="H327" i="12"/>
  <c r="G327" i="12"/>
  <c r="F327" i="12"/>
  <c r="E327" i="12"/>
  <c r="D327" i="12"/>
  <c r="C327" i="12"/>
  <c r="B326" i="12"/>
  <c r="A326" i="12"/>
  <c r="J326" i="12"/>
  <c r="I326" i="12"/>
  <c r="H326" i="12"/>
  <c r="G326" i="12"/>
  <c r="F326" i="12"/>
  <c r="E326" i="12"/>
  <c r="D326" i="12"/>
  <c r="C326" i="12"/>
  <c r="B325" i="12"/>
  <c r="A325" i="12"/>
  <c r="J325" i="12"/>
  <c r="I325" i="12"/>
  <c r="I54" i="12" s="1"/>
  <c r="H325" i="12"/>
  <c r="G325" i="12"/>
  <c r="F325" i="12"/>
  <c r="E325" i="12"/>
  <c r="D325" i="12"/>
  <c r="C325" i="12"/>
  <c r="B324" i="12"/>
  <c r="A324" i="12"/>
  <c r="J324" i="12"/>
  <c r="I324" i="12"/>
  <c r="K54" i="12" s="1"/>
  <c r="B46" i="3" s="1"/>
  <c r="H324" i="12"/>
  <c r="G324" i="12"/>
  <c r="F324" i="12"/>
  <c r="E324" i="12"/>
  <c r="D324" i="12"/>
  <c r="C324" i="12"/>
  <c r="B323" i="12"/>
  <c r="A323" i="12"/>
  <c r="J323" i="12"/>
  <c r="I323" i="12"/>
  <c r="H323" i="12"/>
  <c r="G323" i="12"/>
  <c r="F323" i="12"/>
  <c r="E323" i="12"/>
  <c r="D323" i="12"/>
  <c r="C323" i="12"/>
  <c r="B322" i="12"/>
  <c r="A322" i="12"/>
  <c r="J322" i="12"/>
  <c r="I322" i="12"/>
  <c r="H322" i="12"/>
  <c r="G322" i="12"/>
  <c r="F322" i="12"/>
  <c r="E322" i="12"/>
  <c r="D322" i="12"/>
  <c r="C322" i="12"/>
  <c r="B321" i="12"/>
  <c r="A321" i="12"/>
  <c r="J321" i="12"/>
  <c r="I321" i="12"/>
  <c r="H321" i="12"/>
  <c r="G321" i="12"/>
  <c r="F321" i="12"/>
  <c r="E321" i="12"/>
  <c r="D321" i="12"/>
  <c r="C321" i="12"/>
  <c r="B320" i="12"/>
  <c r="A320" i="12"/>
  <c r="J320" i="12"/>
  <c r="I320" i="12"/>
  <c r="H320" i="12"/>
  <c r="G320" i="12"/>
  <c r="F320" i="12"/>
  <c r="E320" i="12"/>
  <c r="D320" i="12"/>
  <c r="C320" i="12"/>
  <c r="B319" i="12"/>
  <c r="A319" i="12"/>
  <c r="J319" i="12"/>
  <c r="I319" i="12"/>
  <c r="H319" i="12"/>
  <c r="G319" i="12"/>
  <c r="F319" i="12"/>
  <c r="E319" i="12"/>
  <c r="D319" i="12"/>
  <c r="C319" i="12"/>
  <c r="B318" i="12"/>
  <c r="A318" i="12"/>
  <c r="J318" i="12"/>
  <c r="I318" i="12"/>
  <c r="H318" i="12"/>
  <c r="G318" i="12"/>
  <c r="F318" i="12"/>
  <c r="E318" i="12"/>
  <c r="D318" i="12"/>
  <c r="C318" i="12"/>
  <c r="B317" i="12"/>
  <c r="A317" i="12"/>
  <c r="J317" i="12"/>
  <c r="I317" i="12"/>
  <c r="H317" i="12"/>
  <c r="G317" i="12"/>
  <c r="F317" i="12"/>
  <c r="E317" i="12"/>
  <c r="D317" i="12"/>
  <c r="C317" i="12"/>
  <c r="B316" i="12"/>
  <c r="A316" i="12"/>
  <c r="J316" i="12"/>
  <c r="I316" i="12"/>
  <c r="H316" i="12"/>
  <c r="G316" i="12"/>
  <c r="F316" i="12"/>
  <c r="E316" i="12"/>
  <c r="D316" i="12"/>
  <c r="C316" i="12"/>
  <c r="B315" i="12"/>
  <c r="A315" i="12"/>
  <c r="J315" i="12"/>
  <c r="I315" i="12"/>
  <c r="H315" i="12"/>
  <c r="G315" i="12"/>
  <c r="F315" i="12"/>
  <c r="E315" i="12"/>
  <c r="D315" i="12"/>
  <c r="C315" i="12"/>
  <c r="B314" i="12"/>
  <c r="A314" i="12"/>
  <c r="J314" i="12"/>
  <c r="I314" i="12"/>
  <c r="H314" i="12"/>
  <c r="G314" i="12"/>
  <c r="F314" i="12"/>
  <c r="E314" i="12"/>
  <c r="D314" i="12"/>
  <c r="C314" i="12"/>
  <c r="B313" i="12"/>
  <c r="A313" i="12"/>
  <c r="J313" i="12"/>
  <c r="I313" i="12"/>
  <c r="H313" i="12"/>
  <c r="G313" i="12"/>
  <c r="F313" i="12"/>
  <c r="E313" i="12"/>
  <c r="D313" i="12"/>
  <c r="C313" i="12"/>
  <c r="B312" i="12"/>
  <c r="A312" i="12"/>
  <c r="J312" i="12"/>
  <c r="I312" i="12"/>
  <c r="H312" i="12"/>
  <c r="G312" i="12"/>
  <c r="F312" i="12"/>
  <c r="E312" i="12"/>
  <c r="D312" i="12"/>
  <c r="C312" i="12"/>
  <c r="B311" i="12"/>
  <c r="A311" i="12"/>
  <c r="J311" i="12"/>
  <c r="I311" i="12"/>
  <c r="H311" i="12"/>
  <c r="G311" i="12"/>
  <c r="F311" i="12"/>
  <c r="E311" i="12"/>
  <c r="D311" i="12"/>
  <c r="C311" i="12"/>
  <c r="B310" i="12"/>
  <c r="A310" i="12"/>
  <c r="J310" i="12"/>
  <c r="I310" i="12"/>
  <c r="H310" i="12"/>
  <c r="G310" i="12"/>
  <c r="F310" i="12"/>
  <c r="E310" i="12"/>
  <c r="D310" i="12"/>
  <c r="C310" i="12"/>
  <c r="B309" i="12"/>
  <c r="A309" i="12"/>
  <c r="J309" i="12"/>
  <c r="I309" i="12"/>
  <c r="H309" i="12"/>
  <c r="G309" i="12"/>
  <c r="F309" i="12"/>
  <c r="E309" i="12"/>
  <c r="D309" i="12"/>
  <c r="C309" i="12"/>
  <c r="B308" i="12"/>
  <c r="A308" i="12"/>
  <c r="J308" i="12"/>
  <c r="I308" i="12"/>
  <c r="H308" i="12"/>
  <c r="G308" i="12"/>
  <c r="F308" i="12"/>
  <c r="E308" i="12"/>
  <c r="D308" i="12"/>
  <c r="C308" i="12"/>
  <c r="B307" i="12"/>
  <c r="A307" i="12"/>
  <c r="J307" i="12"/>
  <c r="I307" i="12"/>
  <c r="H307" i="12"/>
  <c r="G307" i="12"/>
  <c r="F307" i="12"/>
  <c r="E307" i="12"/>
  <c r="D307" i="12"/>
  <c r="C307" i="12"/>
  <c r="B306" i="12"/>
  <c r="A306" i="12"/>
  <c r="J306" i="12"/>
  <c r="I306" i="12"/>
  <c r="H306" i="12"/>
  <c r="G306" i="12"/>
  <c r="F306" i="12"/>
  <c r="E306" i="12"/>
  <c r="D306" i="12"/>
  <c r="C306" i="12"/>
  <c r="B305" i="12"/>
  <c r="A305" i="12"/>
  <c r="J305" i="12"/>
  <c r="I305" i="12"/>
  <c r="H305" i="12"/>
  <c r="G305" i="12"/>
  <c r="F305" i="12"/>
  <c r="E305" i="12"/>
  <c r="D305" i="12"/>
  <c r="C305" i="12"/>
  <c r="B304" i="12"/>
  <c r="A304" i="12"/>
  <c r="J304" i="12"/>
  <c r="I304" i="12"/>
  <c r="H304" i="12"/>
  <c r="G304" i="12"/>
  <c r="F304" i="12"/>
  <c r="E304" i="12"/>
  <c r="D304" i="12"/>
  <c r="C304" i="12"/>
  <c r="B303" i="12"/>
  <c r="A303" i="12"/>
  <c r="J303" i="12"/>
  <c r="I303" i="12"/>
  <c r="H303" i="12"/>
  <c r="G303" i="12"/>
  <c r="F303" i="12"/>
  <c r="E303" i="12"/>
  <c r="D303" i="12"/>
  <c r="C303" i="12"/>
  <c r="B302" i="12"/>
  <c r="A302" i="12"/>
  <c r="J302" i="12"/>
  <c r="I302" i="12"/>
  <c r="H302" i="12"/>
  <c r="G302" i="12"/>
  <c r="F302" i="12"/>
  <c r="E302" i="12"/>
  <c r="D302" i="12"/>
  <c r="C302" i="12"/>
  <c r="B301" i="12"/>
  <c r="A301" i="12"/>
  <c r="J301" i="12"/>
  <c r="I301" i="12"/>
  <c r="H301" i="12"/>
  <c r="G301" i="12"/>
  <c r="F301" i="12"/>
  <c r="E301" i="12"/>
  <c r="D301" i="12"/>
  <c r="C301" i="12"/>
  <c r="B300" i="12"/>
  <c r="A300" i="12"/>
  <c r="J300" i="12"/>
  <c r="I300" i="12"/>
  <c r="H300" i="12"/>
  <c r="G300" i="12"/>
  <c r="F300" i="12"/>
  <c r="E300" i="12"/>
  <c r="D300" i="12"/>
  <c r="C300" i="12"/>
  <c r="B299" i="12"/>
  <c r="A299" i="12"/>
  <c r="J299" i="12"/>
  <c r="I299" i="12"/>
  <c r="H299" i="12"/>
  <c r="G299" i="12"/>
  <c r="F299" i="12"/>
  <c r="E299" i="12"/>
  <c r="D299" i="12"/>
  <c r="C299" i="12"/>
  <c r="B298" i="12"/>
  <c r="A298" i="12"/>
  <c r="J298" i="12"/>
  <c r="I298" i="12"/>
  <c r="H298" i="12"/>
  <c r="G298" i="12"/>
  <c r="F298" i="12"/>
  <c r="E298" i="12"/>
  <c r="D298" i="12"/>
  <c r="C298" i="12"/>
  <c r="B297" i="12"/>
  <c r="A297" i="12"/>
  <c r="J297" i="12"/>
  <c r="I297" i="12"/>
  <c r="H297" i="12"/>
  <c r="G297" i="12"/>
  <c r="F297" i="12"/>
  <c r="E297" i="12"/>
  <c r="D297" i="12"/>
  <c r="C297" i="12"/>
  <c r="B296" i="12"/>
  <c r="A296" i="12"/>
  <c r="J296" i="12"/>
  <c r="I296" i="12"/>
  <c r="H296" i="12"/>
  <c r="G296" i="12"/>
  <c r="F296" i="12"/>
  <c r="E296" i="12"/>
  <c r="D296" i="12"/>
  <c r="C296" i="12"/>
  <c r="B295" i="12"/>
  <c r="A295" i="12"/>
  <c r="J295" i="12"/>
  <c r="I295" i="12"/>
  <c r="H295" i="12"/>
  <c r="G295" i="12"/>
  <c r="F295" i="12"/>
  <c r="E295" i="12"/>
  <c r="D295" i="12"/>
  <c r="C295" i="12"/>
  <c r="B294" i="12"/>
  <c r="A294" i="12"/>
  <c r="J294" i="12"/>
  <c r="I294" i="12"/>
  <c r="H294" i="12"/>
  <c r="G294" i="12"/>
  <c r="F294" i="12"/>
  <c r="E294" i="12"/>
  <c r="D294" i="12"/>
  <c r="C294" i="12"/>
  <c r="B293" i="12"/>
  <c r="A293" i="12"/>
  <c r="J293" i="12"/>
  <c r="I293" i="12"/>
  <c r="H293" i="12"/>
  <c r="G293" i="12"/>
  <c r="F293" i="12"/>
  <c r="E293" i="12"/>
  <c r="D293" i="12"/>
  <c r="C293" i="12"/>
  <c r="B292" i="12"/>
  <c r="A292" i="12"/>
  <c r="J292" i="12"/>
  <c r="I292" i="12"/>
  <c r="H292" i="12"/>
  <c r="G292" i="12"/>
  <c r="F292" i="12"/>
  <c r="E292" i="12"/>
  <c r="D292" i="12"/>
  <c r="C292" i="12"/>
  <c r="B291" i="12"/>
  <c r="A291" i="12"/>
  <c r="J291" i="12"/>
  <c r="I291" i="12"/>
  <c r="H291" i="12"/>
  <c r="G291" i="12"/>
  <c r="F291" i="12"/>
  <c r="E291" i="12"/>
  <c r="D291" i="12"/>
  <c r="C291" i="12"/>
  <c r="B290" i="12"/>
  <c r="A290" i="12"/>
  <c r="J290" i="12"/>
  <c r="I290" i="12"/>
  <c r="H290" i="12"/>
  <c r="G290" i="12"/>
  <c r="F290" i="12"/>
  <c r="E290" i="12"/>
  <c r="D290" i="12"/>
  <c r="C290" i="12"/>
  <c r="B289" i="12"/>
  <c r="A289" i="12"/>
  <c r="J289" i="12"/>
  <c r="I289" i="12"/>
  <c r="H289" i="12"/>
  <c r="G289" i="12"/>
  <c r="F289" i="12"/>
  <c r="E289" i="12"/>
  <c r="D289" i="12"/>
  <c r="C289" i="12"/>
  <c r="B288" i="12"/>
  <c r="A288" i="12"/>
  <c r="J288" i="12"/>
  <c r="I288" i="12"/>
  <c r="H288" i="12"/>
  <c r="G288" i="12"/>
  <c r="F288" i="12"/>
  <c r="E288" i="12"/>
  <c r="D288" i="12"/>
  <c r="C288" i="12"/>
  <c r="B287" i="12"/>
  <c r="A287" i="12"/>
  <c r="J287" i="12"/>
  <c r="I287" i="12"/>
  <c r="H287" i="12"/>
  <c r="G287" i="12"/>
  <c r="F287" i="12"/>
  <c r="E287" i="12"/>
  <c r="D287" i="12"/>
  <c r="C287" i="12"/>
  <c r="B286" i="12"/>
  <c r="A286" i="12"/>
  <c r="J286" i="12"/>
  <c r="I286" i="12"/>
  <c r="H286" i="12"/>
  <c r="G286" i="12"/>
  <c r="F286" i="12"/>
  <c r="E286" i="12"/>
  <c r="D286" i="12"/>
  <c r="C286" i="12"/>
  <c r="B285" i="12"/>
  <c r="A285" i="12"/>
  <c r="J285" i="12"/>
  <c r="I285" i="12"/>
  <c r="H285" i="12"/>
  <c r="G285" i="12"/>
  <c r="F285" i="12"/>
  <c r="E285" i="12"/>
  <c r="D285" i="12"/>
  <c r="C285" i="12"/>
  <c r="B284" i="12"/>
  <c r="A284" i="12"/>
  <c r="J284" i="12"/>
  <c r="I284" i="12"/>
  <c r="H284" i="12"/>
  <c r="G284" i="12"/>
  <c r="F284" i="12"/>
  <c r="E284" i="12"/>
  <c r="D284" i="12"/>
  <c r="C284" i="12"/>
  <c r="B283" i="12"/>
  <c r="A283" i="12"/>
  <c r="J283" i="12"/>
  <c r="I283" i="12"/>
  <c r="H283" i="12"/>
  <c r="G283" i="12"/>
  <c r="F283" i="12"/>
  <c r="E283" i="12"/>
  <c r="D283" i="12"/>
  <c r="C283" i="12"/>
  <c r="B282" i="12"/>
  <c r="A282" i="12"/>
  <c r="J282" i="12"/>
  <c r="I282" i="12"/>
  <c r="H282" i="12"/>
  <c r="G282" i="12"/>
  <c r="F282" i="12"/>
  <c r="E282" i="12"/>
  <c r="D282" i="12"/>
  <c r="C282" i="12"/>
  <c r="B281" i="12"/>
  <c r="A281" i="12"/>
  <c r="J281" i="12"/>
  <c r="I281" i="12"/>
  <c r="H281" i="12"/>
  <c r="G281" i="12"/>
  <c r="F281" i="12"/>
  <c r="E281" i="12"/>
  <c r="D281" i="12"/>
  <c r="C281" i="12"/>
  <c r="B280" i="12"/>
  <c r="A280" i="12"/>
  <c r="J280" i="12"/>
  <c r="I280" i="12"/>
  <c r="H280" i="12"/>
  <c r="G280" i="12"/>
  <c r="F280" i="12"/>
  <c r="E280" i="12"/>
  <c r="D280" i="12"/>
  <c r="C280" i="12"/>
  <c r="B279" i="12"/>
  <c r="A279" i="12"/>
  <c r="J279" i="12"/>
  <c r="I279" i="12"/>
  <c r="H279" i="12"/>
  <c r="G279" i="12"/>
  <c r="F279" i="12"/>
  <c r="E279" i="12"/>
  <c r="D279" i="12"/>
  <c r="C279" i="12"/>
  <c r="B278" i="12"/>
  <c r="A278" i="12"/>
  <c r="J278" i="12"/>
  <c r="I278" i="12"/>
  <c r="H278" i="12"/>
  <c r="G278" i="12"/>
  <c r="F278" i="12"/>
  <c r="E278" i="12"/>
  <c r="D278" i="12"/>
  <c r="C278" i="12"/>
  <c r="B277" i="12"/>
  <c r="A277" i="12"/>
  <c r="J277" i="12"/>
  <c r="I277" i="12"/>
  <c r="H277" i="12"/>
  <c r="G277" i="12"/>
  <c r="F277" i="12"/>
  <c r="E277" i="12"/>
  <c r="D277" i="12"/>
  <c r="C277" i="12"/>
  <c r="B276" i="12"/>
  <c r="A276" i="12"/>
  <c r="J276" i="12"/>
  <c r="I276" i="12"/>
  <c r="H276" i="12"/>
  <c r="G276" i="12"/>
  <c r="F276" i="12"/>
  <c r="E276" i="12"/>
  <c r="D276" i="12"/>
  <c r="C276" i="12"/>
  <c r="B275" i="12"/>
  <c r="A275" i="12"/>
  <c r="J275" i="12"/>
  <c r="I275" i="12"/>
  <c r="H275" i="12"/>
  <c r="G275" i="12"/>
  <c r="F275" i="12"/>
  <c r="E275" i="12"/>
  <c r="D275" i="12"/>
  <c r="C275" i="12"/>
  <c r="B274" i="12"/>
  <c r="A274" i="12"/>
  <c r="J274" i="12"/>
  <c r="I274" i="12"/>
  <c r="H274" i="12"/>
  <c r="G274" i="12"/>
  <c r="F274" i="12"/>
  <c r="E274" i="12"/>
  <c r="D274" i="12"/>
  <c r="C274" i="12"/>
  <c r="B273" i="12"/>
  <c r="A273" i="12"/>
  <c r="J273" i="12"/>
  <c r="I273" i="12"/>
  <c r="H273" i="12"/>
  <c r="G273" i="12"/>
  <c r="F273" i="12"/>
  <c r="E273" i="12"/>
  <c r="D273" i="12"/>
  <c r="C273" i="12"/>
  <c r="B272" i="12"/>
  <c r="A272" i="12"/>
  <c r="J272" i="12"/>
  <c r="I272" i="12"/>
  <c r="H272" i="12"/>
  <c r="G272" i="12"/>
  <c r="F272" i="12"/>
  <c r="E272" i="12"/>
  <c r="D272" i="12"/>
  <c r="C272" i="12"/>
  <c r="B271" i="12"/>
  <c r="A271" i="12"/>
  <c r="J271" i="12"/>
  <c r="I271" i="12"/>
  <c r="H271" i="12"/>
  <c r="G271" i="12"/>
  <c r="F271" i="12"/>
  <c r="E271" i="12"/>
  <c r="D271" i="12"/>
  <c r="C271" i="12"/>
  <c r="B270" i="12"/>
  <c r="A270" i="12"/>
  <c r="J270" i="12"/>
  <c r="I270" i="12"/>
  <c r="H270" i="12"/>
  <c r="G270" i="12"/>
  <c r="F270" i="12"/>
  <c r="E270" i="12"/>
  <c r="D270" i="12"/>
  <c r="C270" i="12"/>
  <c r="B269" i="12"/>
  <c r="A269" i="12"/>
  <c r="J269" i="12"/>
  <c r="I269" i="12"/>
  <c r="H269" i="12"/>
  <c r="G269" i="12"/>
  <c r="F269" i="12"/>
  <c r="E269" i="12"/>
  <c r="D269" i="12"/>
  <c r="C269" i="12"/>
  <c r="B268" i="12"/>
  <c r="A268" i="12"/>
  <c r="J268" i="12"/>
  <c r="I268" i="12"/>
  <c r="H268" i="12"/>
  <c r="G268" i="12"/>
  <c r="F268" i="12"/>
  <c r="E268" i="12"/>
  <c r="D268" i="12"/>
  <c r="C268" i="12"/>
  <c r="B267" i="12"/>
  <c r="A267" i="12"/>
  <c r="J267" i="12"/>
  <c r="I267" i="12"/>
  <c r="H267" i="12"/>
  <c r="G267" i="12"/>
  <c r="F267" i="12"/>
  <c r="E267" i="12"/>
  <c r="D267" i="12"/>
  <c r="C267" i="12"/>
  <c r="B266" i="12"/>
  <c r="A266" i="12"/>
  <c r="J266" i="12"/>
  <c r="I266" i="12"/>
  <c r="H266" i="12"/>
  <c r="G266" i="12"/>
  <c r="F266" i="12"/>
  <c r="E266" i="12"/>
  <c r="D266" i="12"/>
  <c r="C266" i="12"/>
  <c r="B265" i="12"/>
  <c r="A265" i="12"/>
  <c r="J265" i="12"/>
  <c r="I265" i="12"/>
  <c r="H265" i="12"/>
  <c r="G265" i="12"/>
  <c r="F265" i="12"/>
  <c r="E265" i="12"/>
  <c r="D265" i="12"/>
  <c r="C265" i="12"/>
  <c r="B264" i="12"/>
  <c r="A264" i="12"/>
  <c r="J264" i="12"/>
  <c r="I264" i="12"/>
  <c r="H264" i="12"/>
  <c r="G264" i="12"/>
  <c r="F264" i="12"/>
  <c r="E264" i="12"/>
  <c r="D264" i="12"/>
  <c r="C264" i="12"/>
  <c r="B263" i="12"/>
  <c r="A263" i="12"/>
  <c r="J263" i="12"/>
  <c r="I263" i="12"/>
  <c r="H263" i="12"/>
  <c r="G263" i="12"/>
  <c r="F263" i="12"/>
  <c r="E263" i="12"/>
  <c r="D263" i="12"/>
  <c r="C263" i="12"/>
  <c r="B262" i="12"/>
  <c r="A262" i="12"/>
  <c r="J262" i="12"/>
  <c r="I262" i="12"/>
  <c r="H262" i="12"/>
  <c r="G262" i="12"/>
  <c r="F262" i="12"/>
  <c r="E262" i="12"/>
  <c r="D262" i="12"/>
  <c r="C262" i="12"/>
  <c r="B261" i="12"/>
  <c r="A261" i="12"/>
  <c r="J261" i="12"/>
  <c r="I261" i="12"/>
  <c r="H261" i="12"/>
  <c r="G261" i="12"/>
  <c r="F261" i="12"/>
  <c r="E261" i="12"/>
  <c r="D261" i="12"/>
  <c r="C261" i="12"/>
  <c r="B260" i="12"/>
  <c r="A260" i="12"/>
  <c r="J260" i="12"/>
  <c r="I260" i="12"/>
  <c r="H260" i="12"/>
  <c r="G260" i="12"/>
  <c r="F260" i="12"/>
  <c r="E260" i="12"/>
  <c r="D260" i="12"/>
  <c r="C260" i="12"/>
  <c r="B259" i="12"/>
  <c r="A259" i="12"/>
  <c r="J259" i="12"/>
  <c r="I259" i="12"/>
  <c r="H259" i="12"/>
  <c r="G259" i="12"/>
  <c r="F259" i="12"/>
  <c r="E259" i="12"/>
  <c r="D259" i="12"/>
  <c r="C259" i="12"/>
  <c r="B258" i="12"/>
  <c r="A258" i="12"/>
  <c r="J258" i="12"/>
  <c r="I258" i="12"/>
  <c r="H258" i="12"/>
  <c r="G258" i="12"/>
  <c r="F258" i="12"/>
  <c r="E258" i="12"/>
  <c r="D258" i="12"/>
  <c r="C258" i="12"/>
  <c r="B257" i="12"/>
  <c r="A257" i="12"/>
  <c r="J257" i="12"/>
  <c r="I257" i="12"/>
  <c r="H257" i="12"/>
  <c r="G257" i="12"/>
  <c r="F257" i="12"/>
  <c r="E257" i="12"/>
  <c r="D257" i="12"/>
  <c r="C257" i="12"/>
  <c r="B256" i="12"/>
  <c r="A256" i="12"/>
  <c r="J256" i="12"/>
  <c r="I256" i="12"/>
  <c r="H256" i="12"/>
  <c r="G256" i="12"/>
  <c r="F256" i="12"/>
  <c r="E256" i="12"/>
  <c r="D256" i="12"/>
  <c r="C256" i="12"/>
  <c r="B255" i="12"/>
  <c r="A255" i="12"/>
  <c r="J255" i="12"/>
  <c r="I255" i="12"/>
  <c r="H255" i="12"/>
  <c r="G255" i="12"/>
  <c r="F255" i="12"/>
  <c r="E255" i="12"/>
  <c r="D255" i="12"/>
  <c r="C255" i="12"/>
  <c r="B254" i="12"/>
  <c r="A254" i="12"/>
  <c r="J254" i="12"/>
  <c r="I254" i="12"/>
  <c r="H254" i="12"/>
  <c r="G254" i="12"/>
  <c r="F254" i="12"/>
  <c r="E254" i="12"/>
  <c r="D254" i="12"/>
  <c r="C254" i="12"/>
  <c r="B253" i="12"/>
  <c r="A253" i="12"/>
  <c r="J253" i="12"/>
  <c r="I253" i="12"/>
  <c r="H253" i="12"/>
  <c r="G253" i="12"/>
  <c r="F253" i="12"/>
  <c r="E253" i="12"/>
  <c r="D253" i="12"/>
  <c r="C253" i="12"/>
  <c r="B252" i="12"/>
  <c r="A252" i="12"/>
  <c r="J252" i="12"/>
  <c r="I252" i="12"/>
  <c r="H252" i="12"/>
  <c r="G252" i="12"/>
  <c r="F252" i="12"/>
  <c r="E252" i="12"/>
  <c r="D252" i="12"/>
  <c r="C252" i="12"/>
  <c r="B251" i="12"/>
  <c r="A251" i="12"/>
  <c r="J251" i="12"/>
  <c r="I251" i="12"/>
  <c r="H251" i="12"/>
  <c r="G251" i="12"/>
  <c r="F251" i="12"/>
  <c r="E251" i="12"/>
  <c r="D251" i="12"/>
  <c r="C251" i="12"/>
  <c r="B250" i="12"/>
  <c r="A250" i="12"/>
  <c r="J250" i="12"/>
  <c r="I250" i="12"/>
  <c r="H250" i="12"/>
  <c r="G250" i="12"/>
  <c r="F250" i="12"/>
  <c r="E250" i="12"/>
  <c r="D250" i="12"/>
  <c r="C250" i="12"/>
  <c r="B249" i="12"/>
  <c r="A249" i="12"/>
  <c r="J249" i="12"/>
  <c r="I249" i="12"/>
  <c r="H249" i="12"/>
  <c r="G249" i="12"/>
  <c r="F249" i="12"/>
  <c r="E249" i="12"/>
  <c r="D249" i="12"/>
  <c r="C249" i="12"/>
  <c r="B248" i="12"/>
  <c r="A248" i="12"/>
  <c r="J248" i="12"/>
  <c r="I248" i="12"/>
  <c r="H248" i="12"/>
  <c r="G248" i="12"/>
  <c r="F248" i="12"/>
  <c r="E248" i="12"/>
  <c r="D248" i="12"/>
  <c r="C248" i="12"/>
  <c r="B247" i="12"/>
  <c r="A247" i="12"/>
  <c r="J247" i="12"/>
  <c r="I247" i="12"/>
  <c r="H247" i="12"/>
  <c r="G247" i="12"/>
  <c r="F247" i="12"/>
  <c r="E247" i="12"/>
  <c r="D247" i="12"/>
  <c r="C247" i="12"/>
  <c r="B246" i="12"/>
  <c r="A246" i="12"/>
  <c r="J246" i="12"/>
  <c r="I246" i="12"/>
  <c r="H246" i="12"/>
  <c r="G246" i="12"/>
  <c r="F246" i="12"/>
  <c r="E246" i="12"/>
  <c r="D246" i="12"/>
  <c r="C246" i="12"/>
  <c r="B245" i="12"/>
  <c r="A245" i="12"/>
  <c r="J245" i="12"/>
  <c r="I245" i="12"/>
  <c r="H245" i="12"/>
  <c r="G245" i="12"/>
  <c r="F245" i="12"/>
  <c r="E245" i="12"/>
  <c r="D245" i="12"/>
  <c r="C245" i="12"/>
  <c r="B244" i="12"/>
  <c r="A244" i="12"/>
  <c r="J244" i="12"/>
  <c r="I244" i="12"/>
  <c r="H244" i="12"/>
  <c r="G244" i="12"/>
  <c r="F244" i="12"/>
  <c r="E244" i="12"/>
  <c r="D244" i="12"/>
  <c r="C244" i="12"/>
  <c r="B243" i="12"/>
  <c r="A243" i="12"/>
  <c r="J243" i="12"/>
  <c r="I243" i="12"/>
  <c r="H243" i="12"/>
  <c r="G243" i="12"/>
  <c r="F243" i="12"/>
  <c r="E243" i="12"/>
  <c r="D243" i="12"/>
  <c r="C243" i="12"/>
  <c r="B242" i="12"/>
  <c r="A242" i="12"/>
  <c r="J242" i="12"/>
  <c r="I242" i="12"/>
  <c r="H242" i="12"/>
  <c r="G242" i="12"/>
  <c r="F242" i="12"/>
  <c r="E242" i="12"/>
  <c r="D242" i="12"/>
  <c r="C242" i="12"/>
  <c r="B241" i="12"/>
  <c r="A241" i="12"/>
  <c r="J241" i="12"/>
  <c r="I241" i="12"/>
  <c r="H241" i="12"/>
  <c r="G241" i="12"/>
  <c r="F241" i="12"/>
  <c r="E241" i="12"/>
  <c r="D241" i="12"/>
  <c r="C241" i="12"/>
  <c r="B240" i="12"/>
  <c r="A240" i="12"/>
  <c r="J240" i="12"/>
  <c r="I240" i="12"/>
  <c r="H240" i="12"/>
  <c r="G240" i="12"/>
  <c r="F240" i="12"/>
  <c r="E240" i="12"/>
  <c r="D240" i="12"/>
  <c r="C240" i="12"/>
  <c r="B239" i="12"/>
  <c r="A239" i="12"/>
  <c r="J239" i="12"/>
  <c r="I239" i="12"/>
  <c r="H239" i="12"/>
  <c r="G239" i="12"/>
  <c r="F239" i="12"/>
  <c r="E239" i="12"/>
  <c r="D239" i="12"/>
  <c r="C239" i="12"/>
  <c r="B238" i="12"/>
  <c r="A238" i="12"/>
  <c r="J238" i="12"/>
  <c r="I238" i="12"/>
  <c r="H238" i="12"/>
  <c r="G238" i="12"/>
  <c r="F238" i="12"/>
  <c r="E238" i="12"/>
  <c r="D238" i="12"/>
  <c r="C238" i="12"/>
  <c r="B237" i="12"/>
  <c r="A237" i="12"/>
  <c r="J237" i="12"/>
  <c r="I237" i="12"/>
  <c r="H237" i="12"/>
  <c r="G237" i="12"/>
  <c r="F237" i="12"/>
  <c r="E237" i="12"/>
  <c r="D237" i="12"/>
  <c r="C237" i="12"/>
  <c r="B236" i="12"/>
  <c r="A236" i="12"/>
  <c r="J236" i="12"/>
  <c r="I236" i="12"/>
  <c r="H236" i="12"/>
  <c r="G236" i="12"/>
  <c r="F236" i="12"/>
  <c r="E236" i="12"/>
  <c r="D236" i="12"/>
  <c r="C236" i="12"/>
  <c r="B235" i="12"/>
  <c r="A235" i="12"/>
  <c r="J235" i="12"/>
  <c r="I235" i="12"/>
  <c r="H235" i="12"/>
  <c r="G235" i="12"/>
  <c r="F235" i="12"/>
  <c r="E235" i="12"/>
  <c r="D235" i="12"/>
  <c r="C235" i="12"/>
  <c r="B234" i="12"/>
  <c r="A234" i="12"/>
  <c r="J234" i="12"/>
  <c r="I234" i="12"/>
  <c r="H234" i="12"/>
  <c r="G234" i="12"/>
  <c r="F234" i="12"/>
  <c r="E234" i="12"/>
  <c r="D234" i="12"/>
  <c r="C234" i="12"/>
  <c r="B233" i="12"/>
  <c r="A233" i="12"/>
  <c r="J233" i="12"/>
  <c r="I233" i="12"/>
  <c r="H233" i="12"/>
  <c r="G233" i="12"/>
  <c r="F233" i="12"/>
  <c r="E233" i="12"/>
  <c r="D233" i="12"/>
  <c r="C233" i="12"/>
  <c r="B232" i="12"/>
  <c r="A232" i="12"/>
  <c r="J232" i="12"/>
  <c r="I232" i="12"/>
  <c r="H232" i="12"/>
  <c r="G232" i="12"/>
  <c r="F232" i="12"/>
  <c r="E232" i="12"/>
  <c r="D232" i="12"/>
  <c r="C232" i="12"/>
  <c r="B231" i="12"/>
  <c r="A231" i="12"/>
  <c r="J231" i="12"/>
  <c r="I231" i="12"/>
  <c r="H231" i="12"/>
  <c r="G231" i="12"/>
  <c r="F231" i="12"/>
  <c r="E231" i="12"/>
  <c r="D231" i="12"/>
  <c r="C231" i="12"/>
  <c r="B230" i="12"/>
  <c r="A230" i="12"/>
  <c r="J230" i="12"/>
  <c r="I230" i="12"/>
  <c r="H230" i="12"/>
  <c r="G230" i="12"/>
  <c r="F230" i="12"/>
  <c r="E230" i="12"/>
  <c r="D230" i="12"/>
  <c r="C230" i="12"/>
  <c r="B229" i="12"/>
  <c r="A229" i="12"/>
  <c r="J229" i="12"/>
  <c r="I229" i="12"/>
  <c r="H229" i="12"/>
  <c r="G229" i="12"/>
  <c r="F229" i="12"/>
  <c r="E229" i="12"/>
  <c r="D229" i="12"/>
  <c r="C229" i="12"/>
  <c r="B228" i="12"/>
  <c r="A228" i="12"/>
  <c r="J228" i="12"/>
  <c r="I228" i="12"/>
  <c r="H228" i="12"/>
  <c r="G228" i="12"/>
  <c r="F228" i="12"/>
  <c r="E228" i="12"/>
  <c r="D228" i="12"/>
  <c r="C228" i="12"/>
  <c r="B227" i="12"/>
  <c r="A227" i="12"/>
  <c r="J227" i="12"/>
  <c r="I227" i="12"/>
  <c r="H227" i="12"/>
  <c r="G227" i="12"/>
  <c r="F227" i="12"/>
  <c r="E227" i="12"/>
  <c r="D227" i="12"/>
  <c r="C227" i="12"/>
  <c r="B226" i="12"/>
  <c r="A226" i="12"/>
  <c r="J226" i="12"/>
  <c r="I226" i="12"/>
  <c r="H226" i="12"/>
  <c r="G226" i="12"/>
  <c r="F226" i="12"/>
  <c r="E226" i="12"/>
  <c r="D226" i="12"/>
  <c r="C226" i="12"/>
  <c r="B225" i="12"/>
  <c r="A225" i="12"/>
  <c r="J225" i="12"/>
  <c r="I225" i="12"/>
  <c r="H225" i="12"/>
  <c r="G225" i="12"/>
  <c r="F225" i="12"/>
  <c r="E225" i="12"/>
  <c r="D225" i="12"/>
  <c r="C225" i="12"/>
  <c r="B224" i="12"/>
  <c r="A224" i="12"/>
  <c r="J224" i="12"/>
  <c r="I224" i="12"/>
  <c r="H224" i="12"/>
  <c r="G224" i="12"/>
  <c r="F224" i="12"/>
  <c r="E224" i="12"/>
  <c r="D224" i="12"/>
  <c r="C224" i="12"/>
  <c r="B223" i="12"/>
  <c r="A223" i="12"/>
  <c r="J223" i="12"/>
  <c r="I223" i="12"/>
  <c r="H223" i="12"/>
  <c r="G223" i="12"/>
  <c r="F223" i="12"/>
  <c r="E223" i="12"/>
  <c r="D223" i="12"/>
  <c r="C223" i="12"/>
  <c r="B222" i="12"/>
  <c r="A222" i="12"/>
  <c r="J222" i="12"/>
  <c r="I222" i="12"/>
  <c r="H222" i="12"/>
  <c r="G222" i="12"/>
  <c r="F222" i="12"/>
  <c r="E222" i="12"/>
  <c r="D222" i="12"/>
  <c r="C222" i="12"/>
  <c r="B221" i="12"/>
  <c r="A221" i="12"/>
  <c r="J221" i="12"/>
  <c r="I221" i="12"/>
  <c r="H221" i="12"/>
  <c r="G221" i="12"/>
  <c r="F221" i="12"/>
  <c r="E221" i="12"/>
  <c r="D221" i="12"/>
  <c r="C221" i="12"/>
  <c r="B220" i="12"/>
  <c r="A220" i="12"/>
  <c r="J220" i="12"/>
  <c r="I220" i="12"/>
  <c r="H220" i="12"/>
  <c r="G220" i="12"/>
  <c r="F220" i="12"/>
  <c r="E220" i="12"/>
  <c r="D220" i="12"/>
  <c r="C220" i="12"/>
  <c r="B219" i="12"/>
  <c r="A219" i="12"/>
  <c r="J219" i="12"/>
  <c r="I219" i="12"/>
  <c r="H219" i="12"/>
  <c r="G219" i="12"/>
  <c r="F219" i="12"/>
  <c r="E219" i="12"/>
  <c r="D219" i="12"/>
  <c r="C219" i="12"/>
  <c r="B218" i="12"/>
  <c r="A218" i="12"/>
  <c r="J218" i="12"/>
  <c r="I218" i="12"/>
  <c r="H218" i="12"/>
  <c r="G218" i="12"/>
  <c r="F218" i="12"/>
  <c r="E218" i="12"/>
  <c r="D218" i="12"/>
  <c r="C218" i="12"/>
  <c r="B217" i="12"/>
  <c r="A217" i="12"/>
  <c r="J217" i="12"/>
  <c r="I217" i="12"/>
  <c r="H217" i="12"/>
  <c r="G217" i="12"/>
  <c r="F217" i="12"/>
  <c r="E217" i="12"/>
  <c r="D217" i="12"/>
  <c r="C217" i="12"/>
  <c r="B216" i="12"/>
  <c r="A216" i="12"/>
  <c r="J216" i="12"/>
  <c r="I216" i="12"/>
  <c r="H216" i="12"/>
  <c r="G216" i="12"/>
  <c r="F216" i="12"/>
  <c r="E216" i="12"/>
  <c r="D216" i="12"/>
  <c r="C216" i="12"/>
  <c r="B215" i="12"/>
  <c r="A215" i="12"/>
  <c r="J215" i="12"/>
  <c r="I215" i="12"/>
  <c r="H215" i="12"/>
  <c r="G215" i="12"/>
  <c r="F215" i="12"/>
  <c r="E215" i="12"/>
  <c r="D215" i="12"/>
  <c r="C215" i="12"/>
  <c r="B214" i="12"/>
  <c r="A214" i="12"/>
  <c r="J214" i="12"/>
  <c r="I214" i="12"/>
  <c r="H214" i="12"/>
  <c r="G214" i="12"/>
  <c r="F214" i="12"/>
  <c r="E214" i="12"/>
  <c r="D214" i="12"/>
  <c r="C214" i="12"/>
  <c r="B213" i="12"/>
  <c r="A213" i="12"/>
  <c r="J213" i="12"/>
  <c r="I213" i="12"/>
  <c r="H213" i="12"/>
  <c r="G213" i="12"/>
  <c r="F213" i="12"/>
  <c r="E213" i="12"/>
  <c r="D213" i="12"/>
  <c r="C213" i="12"/>
  <c r="B212" i="12"/>
  <c r="A212" i="12"/>
  <c r="J212" i="12"/>
  <c r="I212" i="12"/>
  <c r="H212" i="12"/>
  <c r="G212" i="12"/>
  <c r="F212" i="12"/>
  <c r="E212" i="12"/>
  <c r="D212" i="12"/>
  <c r="C212" i="12"/>
  <c r="B211" i="12"/>
  <c r="A211" i="12"/>
  <c r="J211" i="12"/>
  <c r="I211" i="12"/>
  <c r="H211" i="12"/>
  <c r="G211" i="12"/>
  <c r="F211" i="12"/>
  <c r="E211" i="12"/>
  <c r="D211" i="12"/>
  <c r="C211" i="12"/>
  <c r="B210" i="12"/>
  <c r="A210" i="12"/>
  <c r="J210" i="12"/>
  <c r="I210" i="12"/>
  <c r="H210" i="12"/>
  <c r="G210" i="12"/>
  <c r="F210" i="12"/>
  <c r="E210" i="12"/>
  <c r="D210" i="12"/>
  <c r="C210" i="12"/>
  <c r="B209" i="12"/>
  <c r="A209" i="12"/>
  <c r="J209" i="12"/>
  <c r="I209" i="12"/>
  <c r="H209" i="12"/>
  <c r="G209" i="12"/>
  <c r="F209" i="12"/>
  <c r="E209" i="12"/>
  <c r="D209" i="12"/>
  <c r="C209" i="12"/>
  <c r="B208" i="12"/>
  <c r="A208" i="12"/>
  <c r="J208" i="12"/>
  <c r="I208" i="12"/>
  <c r="H208" i="12"/>
  <c r="G208" i="12"/>
  <c r="F208" i="12"/>
  <c r="E208" i="12"/>
  <c r="D208" i="12"/>
  <c r="C208" i="12"/>
  <c r="B207" i="12"/>
  <c r="A207" i="12"/>
  <c r="J207" i="12"/>
  <c r="I207" i="12"/>
  <c r="H207" i="12"/>
  <c r="G207" i="12"/>
  <c r="F207" i="12"/>
  <c r="E207" i="12"/>
  <c r="D207" i="12"/>
  <c r="C207" i="12"/>
  <c r="B206" i="12"/>
  <c r="A206" i="12"/>
  <c r="J206" i="12"/>
  <c r="I206" i="12"/>
  <c r="H206" i="12"/>
  <c r="G206" i="12"/>
  <c r="F206" i="12"/>
  <c r="E206" i="12"/>
  <c r="D206" i="12"/>
  <c r="C206" i="12"/>
  <c r="B205" i="12"/>
  <c r="A205" i="12"/>
  <c r="J205" i="12"/>
  <c r="I205" i="12"/>
  <c r="H205" i="12"/>
  <c r="G205" i="12"/>
  <c r="F205" i="12"/>
  <c r="E205" i="12"/>
  <c r="D205" i="12"/>
  <c r="C205" i="12"/>
  <c r="B204" i="12"/>
  <c r="A204" i="12"/>
  <c r="J204" i="12"/>
  <c r="I204" i="12"/>
  <c r="H204" i="12"/>
  <c r="G204" i="12"/>
  <c r="F204" i="12"/>
  <c r="E204" i="12"/>
  <c r="D204" i="12"/>
  <c r="C204" i="12"/>
  <c r="B203" i="12"/>
  <c r="A203" i="12"/>
  <c r="J203" i="12"/>
  <c r="I203" i="12"/>
  <c r="H203" i="12"/>
  <c r="G203" i="12"/>
  <c r="F203" i="12"/>
  <c r="E203" i="12"/>
  <c r="D203" i="12"/>
  <c r="C203" i="12"/>
  <c r="B202" i="12"/>
  <c r="A202" i="12"/>
  <c r="J202" i="12"/>
  <c r="I202" i="12"/>
  <c r="H202" i="12"/>
  <c r="G202" i="12"/>
  <c r="F202" i="12"/>
  <c r="E202" i="12"/>
  <c r="D202" i="12"/>
  <c r="C202" i="12"/>
  <c r="B201" i="12"/>
  <c r="A201" i="12"/>
  <c r="J201" i="12"/>
  <c r="I201" i="12"/>
  <c r="H201" i="12"/>
  <c r="G201" i="12"/>
  <c r="F201" i="12"/>
  <c r="E201" i="12"/>
  <c r="D201" i="12"/>
  <c r="C201" i="12"/>
  <c r="B200" i="12"/>
  <c r="A200" i="12"/>
  <c r="J200" i="12"/>
  <c r="I200" i="12"/>
  <c r="H200" i="12"/>
  <c r="G200" i="12"/>
  <c r="F200" i="12"/>
  <c r="E200" i="12"/>
  <c r="D200" i="12"/>
  <c r="C200" i="12"/>
  <c r="B199" i="12"/>
  <c r="A199" i="12"/>
  <c r="J199" i="12"/>
  <c r="I199" i="12"/>
  <c r="H199" i="12"/>
  <c r="G199" i="12"/>
  <c r="F199" i="12"/>
  <c r="E199" i="12"/>
  <c r="D199" i="12"/>
  <c r="C199" i="12"/>
  <c r="B198" i="12"/>
  <c r="A198" i="12"/>
  <c r="J198" i="12"/>
  <c r="I198" i="12"/>
  <c r="H198" i="12"/>
  <c r="G198" i="12"/>
  <c r="F198" i="12"/>
  <c r="E198" i="12"/>
  <c r="D198" i="12"/>
  <c r="C198" i="12"/>
  <c r="B197" i="12"/>
  <c r="A197" i="12"/>
  <c r="J197" i="12"/>
  <c r="I197" i="12"/>
  <c r="H197" i="12"/>
  <c r="G197" i="12"/>
  <c r="F197" i="12"/>
  <c r="E197" i="12"/>
  <c r="D197" i="12"/>
  <c r="C197" i="12"/>
  <c r="B196" i="12"/>
  <c r="A196" i="12"/>
  <c r="J196" i="12"/>
  <c r="I196" i="12"/>
  <c r="H196" i="12"/>
  <c r="G196" i="12"/>
  <c r="F196" i="12"/>
  <c r="E196" i="12"/>
  <c r="D196" i="12"/>
  <c r="C196" i="12"/>
  <c r="B195" i="12"/>
  <c r="A195" i="12"/>
  <c r="J195" i="12"/>
  <c r="I195" i="12"/>
  <c r="H195" i="12"/>
  <c r="G195" i="12"/>
  <c r="F195" i="12"/>
  <c r="E195" i="12"/>
  <c r="D195" i="12"/>
  <c r="C195" i="12"/>
  <c r="B194" i="12"/>
  <c r="A194" i="12"/>
  <c r="J194" i="12"/>
  <c r="I194" i="12"/>
  <c r="H194" i="12"/>
  <c r="G194" i="12"/>
  <c r="F194" i="12"/>
  <c r="E194" i="12"/>
  <c r="D194" i="12"/>
  <c r="C194" i="12"/>
  <c r="B193" i="12"/>
  <c r="A193" i="12"/>
  <c r="J193" i="12"/>
  <c r="I193" i="12"/>
  <c r="H193" i="12"/>
  <c r="G193" i="12"/>
  <c r="F193" i="12"/>
  <c r="E193" i="12"/>
  <c r="D193" i="12"/>
  <c r="C193" i="12"/>
  <c r="B192" i="12"/>
  <c r="A192" i="12"/>
  <c r="J192" i="12"/>
  <c r="I192" i="12"/>
  <c r="H192" i="12"/>
  <c r="G192" i="12"/>
  <c r="F192" i="12"/>
  <c r="E192" i="12"/>
  <c r="D192" i="12"/>
  <c r="C192" i="12"/>
  <c r="B191" i="12"/>
  <c r="A191" i="12"/>
  <c r="J191" i="12"/>
  <c r="I191" i="12"/>
  <c r="H191" i="12"/>
  <c r="G191" i="12"/>
  <c r="F191" i="12"/>
  <c r="E191" i="12"/>
  <c r="D191" i="12"/>
  <c r="C191" i="12"/>
  <c r="B190" i="12"/>
  <c r="A190" i="12"/>
  <c r="J190" i="12"/>
  <c r="I190" i="12"/>
  <c r="H190" i="12"/>
  <c r="G190" i="12"/>
  <c r="F190" i="12"/>
  <c r="E190" i="12"/>
  <c r="D190" i="12"/>
  <c r="C190" i="12"/>
  <c r="B189" i="12"/>
  <c r="A189" i="12"/>
  <c r="J189" i="12"/>
  <c r="I189" i="12"/>
  <c r="H189" i="12"/>
  <c r="G189" i="12"/>
  <c r="F189" i="12"/>
  <c r="E189" i="12"/>
  <c r="D189" i="12"/>
  <c r="C189" i="12"/>
  <c r="B188" i="12"/>
  <c r="A188" i="12"/>
  <c r="J188" i="12"/>
  <c r="I188" i="12"/>
  <c r="H188" i="12"/>
  <c r="G188" i="12"/>
  <c r="F188" i="12"/>
  <c r="E188" i="12"/>
  <c r="D188" i="12"/>
  <c r="C188" i="12"/>
  <c r="B187" i="12"/>
  <c r="A187" i="12"/>
  <c r="J187" i="12"/>
  <c r="I187" i="12"/>
  <c r="H187" i="12"/>
  <c r="G187" i="12"/>
  <c r="F187" i="12"/>
  <c r="E187" i="12"/>
  <c r="D187" i="12"/>
  <c r="C187" i="12"/>
  <c r="B186" i="12"/>
  <c r="A186" i="12"/>
  <c r="J186" i="12"/>
  <c r="I186" i="12"/>
  <c r="H186" i="12"/>
  <c r="G186" i="12"/>
  <c r="F186" i="12"/>
  <c r="E186" i="12"/>
  <c r="D186" i="12"/>
  <c r="C186" i="12"/>
  <c r="B185" i="12"/>
  <c r="A185" i="12"/>
  <c r="J185" i="12"/>
  <c r="I185" i="12"/>
  <c r="H185" i="12"/>
  <c r="G185" i="12"/>
  <c r="F185" i="12"/>
  <c r="E185" i="12"/>
  <c r="D185" i="12"/>
  <c r="C185" i="12"/>
  <c r="B184" i="12"/>
  <c r="A184" i="12"/>
  <c r="J184" i="12"/>
  <c r="I184" i="12"/>
  <c r="H184" i="12"/>
  <c r="G184" i="12"/>
  <c r="F184" i="12"/>
  <c r="E184" i="12"/>
  <c r="D184" i="12"/>
  <c r="C184" i="12"/>
  <c r="B183" i="12"/>
  <c r="A183" i="12"/>
  <c r="J183" i="12"/>
  <c r="I183" i="12"/>
  <c r="H183" i="12"/>
  <c r="G183" i="12"/>
  <c r="F183" i="12"/>
  <c r="E183" i="12"/>
  <c r="D183" i="12"/>
  <c r="C183" i="12"/>
  <c r="B182" i="12"/>
  <c r="A182" i="12"/>
  <c r="J182" i="12"/>
  <c r="I182" i="12"/>
  <c r="H182" i="12"/>
  <c r="G182" i="12"/>
  <c r="F182" i="12"/>
  <c r="E182" i="12"/>
  <c r="D182" i="12"/>
  <c r="C182" i="12"/>
  <c r="B181" i="12"/>
  <c r="A181" i="12"/>
  <c r="J181" i="12"/>
  <c r="I181" i="12"/>
  <c r="H181" i="12"/>
  <c r="G181" i="12"/>
  <c r="F181" i="12"/>
  <c r="E181" i="12"/>
  <c r="D181" i="12"/>
  <c r="C181" i="12"/>
  <c r="B180" i="12"/>
  <c r="A180" i="12"/>
  <c r="J180" i="12"/>
  <c r="I180" i="12"/>
  <c r="H180" i="12"/>
  <c r="G180" i="12"/>
  <c r="F180" i="12"/>
  <c r="E180" i="12"/>
  <c r="D180" i="12"/>
  <c r="C180" i="12"/>
  <c r="B179" i="12"/>
  <c r="A179" i="12"/>
  <c r="J179" i="12"/>
  <c r="I179" i="12"/>
  <c r="H179" i="12"/>
  <c r="G179" i="12"/>
  <c r="F179" i="12"/>
  <c r="E179" i="12"/>
  <c r="D179" i="12"/>
  <c r="C179" i="12"/>
  <c r="B178" i="12"/>
  <c r="A178" i="12"/>
  <c r="J178" i="12"/>
  <c r="I178" i="12"/>
  <c r="H178" i="12"/>
  <c r="G178" i="12"/>
  <c r="F178" i="12"/>
  <c r="E178" i="12"/>
  <c r="D178" i="12"/>
  <c r="C178" i="12"/>
  <c r="B177" i="12"/>
  <c r="A177" i="12"/>
  <c r="J177" i="12"/>
  <c r="I177" i="12"/>
  <c r="H177" i="12"/>
  <c r="G177" i="12"/>
  <c r="F177" i="12"/>
  <c r="E177" i="12"/>
  <c r="D177" i="12"/>
  <c r="C177" i="12"/>
  <c r="B176" i="12"/>
  <c r="A176" i="12"/>
  <c r="J176" i="12"/>
  <c r="I176" i="12"/>
  <c r="H176" i="12"/>
  <c r="G176" i="12"/>
  <c r="F176" i="12"/>
  <c r="E176" i="12"/>
  <c r="D176" i="12"/>
  <c r="C176" i="12"/>
  <c r="B175" i="12"/>
  <c r="A175" i="12"/>
  <c r="J175" i="12"/>
  <c r="I175" i="12"/>
  <c r="H175" i="12"/>
  <c r="G175" i="12"/>
  <c r="F175" i="12"/>
  <c r="E175" i="12"/>
  <c r="D175" i="12"/>
  <c r="C175" i="12"/>
  <c r="B174" i="12"/>
  <c r="A174" i="12"/>
  <c r="J174" i="12"/>
  <c r="I174" i="12"/>
  <c r="H174" i="12"/>
  <c r="G174" i="12"/>
  <c r="F174" i="12"/>
  <c r="E174" i="12"/>
  <c r="D174" i="12"/>
  <c r="C174" i="12"/>
  <c r="B173" i="12"/>
  <c r="A173" i="12"/>
  <c r="J173" i="12"/>
  <c r="I173" i="12"/>
  <c r="H173" i="12"/>
  <c r="G173" i="12"/>
  <c r="F173" i="12"/>
  <c r="E173" i="12"/>
  <c r="D173" i="12"/>
  <c r="C173" i="12"/>
  <c r="B172" i="12"/>
  <c r="A172" i="12"/>
  <c r="J172" i="12"/>
  <c r="I172" i="12"/>
  <c r="H172" i="12"/>
  <c r="G172" i="12"/>
  <c r="F172" i="12"/>
  <c r="E172" i="12"/>
  <c r="D172" i="12"/>
  <c r="C172" i="12"/>
  <c r="B171" i="12"/>
  <c r="A171" i="12"/>
  <c r="J171" i="12"/>
  <c r="I171" i="12"/>
  <c r="H171" i="12"/>
  <c r="G171" i="12"/>
  <c r="F171" i="12"/>
  <c r="E171" i="12"/>
  <c r="D171" i="12"/>
  <c r="C171" i="12"/>
  <c r="B170" i="12"/>
  <c r="A170" i="12"/>
  <c r="J170" i="12"/>
  <c r="I170" i="12"/>
  <c r="H170" i="12"/>
  <c r="G170" i="12"/>
  <c r="F170" i="12"/>
  <c r="E170" i="12"/>
  <c r="D170" i="12"/>
  <c r="C170" i="12"/>
  <c r="B169" i="12"/>
  <c r="A169" i="12"/>
  <c r="J169" i="12"/>
  <c r="I169" i="12"/>
  <c r="H169" i="12"/>
  <c r="G169" i="12"/>
  <c r="F169" i="12"/>
  <c r="E169" i="12"/>
  <c r="D169" i="12"/>
  <c r="C169" i="12"/>
  <c r="B168" i="12"/>
  <c r="A168" i="12"/>
  <c r="J168" i="12"/>
  <c r="I168" i="12"/>
  <c r="H168" i="12"/>
  <c r="G168" i="12"/>
  <c r="F168" i="12"/>
  <c r="E168" i="12"/>
  <c r="D168" i="12"/>
  <c r="C168" i="12"/>
  <c r="B167" i="12"/>
  <c r="A167" i="12"/>
  <c r="J167" i="12"/>
  <c r="I167" i="12"/>
  <c r="H167" i="12"/>
  <c r="G167" i="12"/>
  <c r="F167" i="12"/>
  <c r="E167" i="12"/>
  <c r="D167" i="12"/>
  <c r="C167" i="12"/>
  <c r="B166" i="12"/>
  <c r="A166" i="12"/>
  <c r="J166" i="12"/>
  <c r="I166" i="12"/>
  <c r="H166" i="12"/>
  <c r="G166" i="12"/>
  <c r="F166" i="12"/>
  <c r="E166" i="12"/>
  <c r="D166" i="12"/>
  <c r="C166" i="12"/>
  <c r="B165" i="12"/>
  <c r="A165" i="12"/>
  <c r="J165" i="12"/>
  <c r="I165" i="12"/>
  <c r="H165" i="12"/>
  <c r="G165" i="12"/>
  <c r="F165" i="12"/>
  <c r="E165" i="12"/>
  <c r="D165" i="12"/>
  <c r="C165" i="12"/>
  <c r="B164" i="12"/>
  <c r="A164" i="12"/>
  <c r="J164" i="12"/>
  <c r="I164" i="12"/>
  <c r="H164" i="12"/>
  <c r="G164" i="12"/>
  <c r="F164" i="12"/>
  <c r="E164" i="12"/>
  <c r="D164" i="12"/>
  <c r="C164" i="12"/>
  <c r="B163" i="12"/>
  <c r="A163" i="12"/>
  <c r="J163" i="12"/>
  <c r="I163" i="12"/>
  <c r="H163" i="12"/>
  <c r="G163" i="12"/>
  <c r="F163" i="12"/>
  <c r="E163" i="12"/>
  <c r="D163" i="12"/>
  <c r="C163" i="12"/>
  <c r="B162" i="12"/>
  <c r="A162" i="12"/>
  <c r="J162" i="12"/>
  <c r="I162" i="12"/>
  <c r="H162" i="12"/>
  <c r="G162" i="12"/>
  <c r="F162" i="12"/>
  <c r="E162" i="12"/>
  <c r="D162" i="12"/>
  <c r="C162" i="12"/>
  <c r="B161" i="12"/>
  <c r="A161" i="12"/>
  <c r="J161" i="12"/>
  <c r="I161" i="12"/>
  <c r="H161" i="12"/>
  <c r="G161" i="12"/>
  <c r="F161" i="12"/>
  <c r="E161" i="12"/>
  <c r="D161" i="12"/>
  <c r="C161" i="12"/>
  <c r="B160" i="12"/>
  <c r="A160" i="12"/>
  <c r="J160" i="12"/>
  <c r="I160" i="12"/>
  <c r="H160" i="12"/>
  <c r="G160" i="12"/>
  <c r="F160" i="12"/>
  <c r="E160" i="12"/>
  <c r="D160" i="12"/>
  <c r="C160" i="12"/>
  <c r="B159" i="12"/>
  <c r="A159" i="12"/>
  <c r="J159" i="12"/>
  <c r="I159" i="12"/>
  <c r="H159" i="12"/>
  <c r="G159" i="12"/>
  <c r="F159" i="12"/>
  <c r="E159" i="12"/>
  <c r="D159" i="12"/>
  <c r="C159" i="12"/>
  <c r="B158" i="12"/>
  <c r="A158" i="12"/>
  <c r="J158" i="12"/>
  <c r="I158" i="12"/>
  <c r="H158" i="12"/>
  <c r="G158" i="12"/>
  <c r="F158" i="12"/>
  <c r="E158" i="12"/>
  <c r="D158" i="12"/>
  <c r="C158" i="12"/>
  <c r="B157" i="12"/>
  <c r="A157" i="12"/>
  <c r="J157" i="12"/>
  <c r="I157" i="12"/>
  <c r="H157" i="12"/>
  <c r="G157" i="12"/>
  <c r="F157" i="12"/>
  <c r="E157" i="12"/>
  <c r="D157" i="12"/>
  <c r="C157" i="12"/>
  <c r="B156" i="12"/>
  <c r="A156" i="12"/>
  <c r="J156" i="12"/>
  <c r="I156" i="12"/>
  <c r="H156" i="12"/>
  <c r="G156" i="12"/>
  <c r="F156" i="12"/>
  <c r="E156" i="12"/>
  <c r="D156" i="12"/>
  <c r="C156" i="12"/>
  <c r="B155" i="12"/>
  <c r="A155" i="12"/>
  <c r="J155" i="12"/>
  <c r="I155" i="12"/>
  <c r="H155" i="12"/>
  <c r="G155" i="12"/>
  <c r="F155" i="12"/>
  <c r="E155" i="12"/>
  <c r="D155" i="12"/>
  <c r="C155" i="12"/>
  <c r="B154" i="12"/>
  <c r="A154" i="12"/>
  <c r="J154" i="12"/>
  <c r="I154" i="12"/>
  <c r="H154" i="12"/>
  <c r="G154" i="12"/>
  <c r="F154" i="12"/>
  <c r="E154" i="12"/>
  <c r="D154" i="12"/>
  <c r="C154" i="12"/>
  <c r="B153" i="12"/>
  <c r="A153" i="12"/>
  <c r="J153" i="12"/>
  <c r="I153" i="12"/>
  <c r="H153" i="12"/>
  <c r="G153" i="12"/>
  <c r="F153" i="12"/>
  <c r="E153" i="12"/>
  <c r="D153" i="12"/>
  <c r="C153" i="12"/>
  <c r="B152" i="12"/>
  <c r="A152" i="12"/>
  <c r="J152" i="12"/>
  <c r="I152" i="12"/>
  <c r="H152" i="12"/>
  <c r="G152" i="12"/>
  <c r="F152" i="12"/>
  <c r="E152" i="12"/>
  <c r="D152" i="12"/>
  <c r="C152" i="12"/>
  <c r="B151" i="12"/>
  <c r="A151" i="12"/>
  <c r="J151" i="12"/>
  <c r="I151" i="12"/>
  <c r="H151" i="12"/>
  <c r="G151" i="12"/>
  <c r="F151" i="12"/>
  <c r="E151" i="12"/>
  <c r="D151" i="12"/>
  <c r="C151" i="12"/>
  <c r="B150" i="12"/>
  <c r="A150" i="12"/>
  <c r="J150" i="12"/>
  <c r="I150" i="12"/>
  <c r="H150" i="12"/>
  <c r="G150" i="12"/>
  <c r="F150" i="12"/>
  <c r="E150" i="12"/>
  <c r="D150" i="12"/>
  <c r="C150" i="12"/>
  <c r="B149" i="12"/>
  <c r="A149" i="12"/>
  <c r="J149" i="12"/>
  <c r="I149" i="12"/>
  <c r="H149" i="12"/>
  <c r="G149" i="12"/>
  <c r="F149" i="12"/>
  <c r="E149" i="12"/>
  <c r="D149" i="12"/>
  <c r="C149" i="12"/>
  <c r="B148" i="12"/>
  <c r="A148" i="12"/>
  <c r="J148" i="12"/>
  <c r="I148" i="12"/>
  <c r="H148" i="12"/>
  <c r="G148" i="12"/>
  <c r="F148" i="12"/>
  <c r="E148" i="12"/>
  <c r="D148" i="12"/>
  <c r="C148" i="12"/>
  <c r="B147" i="12"/>
  <c r="A147" i="12"/>
  <c r="J147" i="12"/>
  <c r="I147" i="12"/>
  <c r="H147" i="12"/>
  <c r="G147" i="12"/>
  <c r="F147" i="12"/>
  <c r="E147" i="12"/>
  <c r="D147" i="12"/>
  <c r="C147" i="12"/>
  <c r="B146" i="12"/>
  <c r="A146" i="12"/>
  <c r="J146" i="12"/>
  <c r="I146" i="12"/>
  <c r="H146" i="12"/>
  <c r="G146" i="12"/>
  <c r="F146" i="12"/>
  <c r="E146" i="12"/>
  <c r="D146" i="12"/>
  <c r="C146" i="12"/>
  <c r="B145" i="12"/>
  <c r="A145" i="12"/>
  <c r="J145" i="12"/>
  <c r="I145" i="12"/>
  <c r="H145" i="12"/>
  <c r="G145" i="12"/>
  <c r="F145" i="12"/>
  <c r="E145" i="12"/>
  <c r="D145" i="12"/>
  <c r="C145" i="12"/>
  <c r="B144" i="12"/>
  <c r="A144" i="12"/>
  <c r="J144" i="12"/>
  <c r="I144" i="12"/>
  <c r="H144" i="12"/>
  <c r="G144" i="12"/>
  <c r="F144" i="12"/>
  <c r="E144" i="12"/>
  <c r="D144" i="12"/>
  <c r="C144" i="12"/>
  <c r="B143" i="12"/>
  <c r="A143" i="12"/>
  <c r="J143" i="12"/>
  <c r="I143" i="12"/>
  <c r="H143" i="12"/>
  <c r="G143" i="12"/>
  <c r="F143" i="12"/>
  <c r="E143" i="12"/>
  <c r="D143" i="12"/>
  <c r="C143" i="12"/>
  <c r="B142" i="12"/>
  <c r="A142" i="12"/>
  <c r="J142" i="12"/>
  <c r="I142" i="12"/>
  <c r="H142" i="12"/>
  <c r="G142" i="12"/>
  <c r="F142" i="12"/>
  <c r="E142" i="12"/>
  <c r="D142" i="12"/>
  <c r="C142" i="12"/>
  <c r="B141" i="12"/>
  <c r="A141" i="12"/>
  <c r="J141" i="12"/>
  <c r="I141" i="12"/>
  <c r="H141" i="12"/>
  <c r="G141" i="12"/>
  <c r="F141" i="12"/>
  <c r="E141" i="12"/>
  <c r="D141" i="12"/>
  <c r="C141" i="12"/>
  <c r="B140" i="12"/>
  <c r="A140" i="12"/>
  <c r="J140" i="12"/>
  <c r="I140" i="12"/>
  <c r="H140" i="12"/>
  <c r="G140" i="12"/>
  <c r="F140" i="12"/>
  <c r="E140" i="12"/>
  <c r="D140" i="12"/>
  <c r="C140" i="12"/>
  <c r="B139" i="12"/>
  <c r="A139" i="12"/>
  <c r="J139" i="12"/>
  <c r="I139" i="12"/>
  <c r="H139" i="12"/>
  <c r="G139" i="12"/>
  <c r="F139" i="12"/>
  <c r="E139" i="12"/>
  <c r="D139" i="12"/>
  <c r="C139" i="12"/>
  <c r="B138" i="12"/>
  <c r="A138" i="12"/>
  <c r="J138" i="12"/>
  <c r="I138" i="12"/>
  <c r="H138" i="12"/>
  <c r="G138" i="12"/>
  <c r="F138" i="12"/>
  <c r="E138" i="12"/>
  <c r="D138" i="12"/>
  <c r="C138" i="12"/>
  <c r="B137" i="12"/>
  <c r="A137" i="12"/>
  <c r="J137" i="12"/>
  <c r="I137" i="12"/>
  <c r="H137" i="12"/>
  <c r="G137" i="12"/>
  <c r="F137" i="12"/>
  <c r="E137" i="12"/>
  <c r="D137" i="12"/>
  <c r="C137" i="12"/>
  <c r="B136" i="12"/>
  <c r="A136" i="12"/>
  <c r="J136" i="12"/>
  <c r="I136" i="12"/>
  <c r="H136" i="12"/>
  <c r="G136" i="12"/>
  <c r="F136" i="12"/>
  <c r="E136" i="12"/>
  <c r="D136" i="12"/>
  <c r="C136" i="12"/>
  <c r="B135" i="12"/>
  <c r="A135" i="12"/>
  <c r="J135" i="12"/>
  <c r="I135" i="12"/>
  <c r="H135" i="12"/>
  <c r="G135" i="12"/>
  <c r="F135" i="12"/>
  <c r="E135" i="12"/>
  <c r="D135" i="12"/>
  <c r="C135" i="12"/>
  <c r="B134" i="12"/>
  <c r="A134" i="12"/>
  <c r="J134" i="12"/>
  <c r="I134" i="12"/>
  <c r="H134" i="12"/>
  <c r="G134" i="12"/>
  <c r="F134" i="12"/>
  <c r="E134" i="12"/>
  <c r="D134" i="12"/>
  <c r="C134" i="12"/>
  <c r="B133" i="12"/>
  <c r="A133" i="12"/>
  <c r="J133" i="12"/>
  <c r="I133" i="12"/>
  <c r="H133" i="12"/>
  <c r="G133" i="12"/>
  <c r="F133" i="12"/>
  <c r="E133" i="12"/>
  <c r="D133" i="12"/>
  <c r="C133" i="12"/>
  <c r="B132" i="12"/>
  <c r="A132" i="12"/>
  <c r="J132" i="12"/>
  <c r="I132" i="12"/>
  <c r="H132" i="12"/>
  <c r="G132" i="12"/>
  <c r="F132" i="12"/>
  <c r="E132" i="12"/>
  <c r="D132" i="12"/>
  <c r="C132" i="12"/>
  <c r="B131" i="12"/>
  <c r="A131" i="12"/>
  <c r="J131" i="12"/>
  <c r="I131" i="12"/>
  <c r="H131" i="12"/>
  <c r="G131" i="12"/>
  <c r="F131" i="12"/>
  <c r="E131" i="12"/>
  <c r="D131" i="12"/>
  <c r="C131" i="12"/>
  <c r="B130" i="12"/>
  <c r="A130" i="12"/>
  <c r="J130" i="12"/>
  <c r="I130" i="12"/>
  <c r="H130" i="12"/>
  <c r="G130" i="12"/>
  <c r="F130" i="12"/>
  <c r="E130" i="12"/>
  <c r="D130" i="12"/>
  <c r="C130" i="12"/>
  <c r="B129" i="12"/>
  <c r="A129" i="12"/>
  <c r="J129" i="12"/>
  <c r="I129" i="12"/>
  <c r="H129" i="12"/>
  <c r="G129" i="12"/>
  <c r="F129" i="12"/>
  <c r="E129" i="12"/>
  <c r="D129" i="12"/>
  <c r="C129" i="12"/>
  <c r="B128" i="12"/>
  <c r="A128" i="12"/>
  <c r="J128" i="12"/>
  <c r="I128" i="12"/>
  <c r="H128" i="12"/>
  <c r="G128" i="12"/>
  <c r="F128" i="12"/>
  <c r="E128" i="12"/>
  <c r="D128" i="12"/>
  <c r="C128" i="12"/>
  <c r="B127" i="12"/>
  <c r="A127" i="12"/>
  <c r="J127" i="12"/>
  <c r="I127" i="12"/>
  <c r="H127" i="12"/>
  <c r="G127" i="12"/>
  <c r="F127" i="12"/>
  <c r="E127" i="12"/>
  <c r="D127" i="12"/>
  <c r="C127" i="12"/>
  <c r="B126" i="12"/>
  <c r="A126" i="12"/>
  <c r="J126" i="12"/>
  <c r="I126" i="12"/>
  <c r="H126" i="12"/>
  <c r="G126" i="12"/>
  <c r="F126" i="12"/>
  <c r="E126" i="12"/>
  <c r="D126" i="12"/>
  <c r="C126" i="12"/>
  <c r="B125" i="12"/>
  <c r="A125" i="12"/>
  <c r="J125" i="12"/>
  <c r="I125" i="12"/>
  <c r="H125" i="12"/>
  <c r="G125" i="12"/>
  <c r="F125" i="12"/>
  <c r="E125" i="12"/>
  <c r="D125" i="12"/>
  <c r="C125" i="12"/>
  <c r="B124" i="12"/>
  <c r="A124" i="12"/>
  <c r="J124" i="12"/>
  <c r="I124" i="12"/>
  <c r="H124" i="12"/>
  <c r="G124" i="12"/>
  <c r="F124" i="12"/>
  <c r="E124" i="12"/>
  <c r="D124" i="12"/>
  <c r="C124" i="12"/>
  <c r="B123" i="12"/>
  <c r="A123" i="12"/>
  <c r="J123" i="12"/>
  <c r="I123" i="12"/>
  <c r="H123" i="12"/>
  <c r="G123" i="12"/>
  <c r="F123" i="12"/>
  <c r="E123" i="12"/>
  <c r="D123" i="12"/>
  <c r="C123" i="12"/>
  <c r="B122" i="12"/>
  <c r="A122" i="12"/>
  <c r="J122" i="12"/>
  <c r="I122" i="12"/>
  <c r="H122" i="12"/>
  <c r="G122" i="12"/>
  <c r="F122" i="12"/>
  <c r="E122" i="12"/>
  <c r="D122" i="12"/>
  <c r="C122" i="12"/>
  <c r="B121" i="12"/>
  <c r="A121" i="12"/>
  <c r="J121" i="12"/>
  <c r="I121" i="12"/>
  <c r="H121" i="12"/>
  <c r="G121" i="12"/>
  <c r="F121" i="12"/>
  <c r="E121" i="12"/>
  <c r="D121" i="12"/>
  <c r="C121" i="12"/>
  <c r="B120" i="12"/>
  <c r="A120" i="12"/>
  <c r="J120" i="12"/>
  <c r="I120" i="12"/>
  <c r="H120" i="12"/>
  <c r="G120" i="12"/>
  <c r="F120" i="12"/>
  <c r="E120" i="12"/>
  <c r="D120" i="12"/>
  <c r="C120" i="12"/>
  <c r="B119" i="12"/>
  <c r="A119" i="12"/>
  <c r="J119" i="12"/>
  <c r="I119" i="12"/>
  <c r="H119" i="12"/>
  <c r="G119" i="12"/>
  <c r="F119" i="12"/>
  <c r="E119" i="12"/>
  <c r="D119" i="12"/>
  <c r="C119" i="12"/>
  <c r="B118" i="12"/>
  <c r="A118" i="12"/>
  <c r="J118" i="12"/>
  <c r="I118" i="12"/>
  <c r="H118" i="12"/>
  <c r="G118" i="12"/>
  <c r="F118" i="12"/>
  <c r="E118" i="12"/>
  <c r="D118" i="12"/>
  <c r="C118" i="12"/>
  <c r="B117" i="12"/>
  <c r="A117" i="12"/>
  <c r="J117" i="12"/>
  <c r="I117" i="12"/>
  <c r="H117" i="12"/>
  <c r="G117" i="12"/>
  <c r="F117" i="12"/>
  <c r="E117" i="12"/>
  <c r="D117" i="12"/>
  <c r="C117" i="12"/>
  <c r="B116" i="12"/>
  <c r="A116" i="12"/>
  <c r="J116" i="12"/>
  <c r="C51" i="3" s="1"/>
  <c r="I116" i="12"/>
  <c r="B51" i="3" s="1"/>
  <c r="H116" i="12"/>
  <c r="G116" i="12"/>
  <c r="F116" i="12"/>
  <c r="E116" i="12"/>
  <c r="D116" i="12"/>
  <c r="C116" i="12"/>
  <c r="B115" i="12"/>
  <c r="A115" i="12"/>
  <c r="J115" i="12"/>
  <c r="I115" i="12"/>
  <c r="H115" i="12"/>
  <c r="G115" i="12"/>
  <c r="F115" i="12"/>
  <c r="E115" i="12"/>
  <c r="D115" i="12"/>
  <c r="C115" i="12"/>
  <c r="B114" i="12"/>
  <c r="A114" i="12"/>
  <c r="J114" i="12"/>
  <c r="I114" i="12"/>
  <c r="H114" i="12"/>
  <c r="G114" i="12"/>
  <c r="F114" i="12"/>
  <c r="E114" i="12"/>
  <c r="D114" i="12"/>
  <c r="C114" i="12"/>
  <c r="B113" i="12"/>
  <c r="A113" i="12"/>
  <c r="J113" i="12"/>
  <c r="I113" i="12"/>
  <c r="H113" i="12"/>
  <c r="G113" i="12"/>
  <c r="F113" i="12"/>
  <c r="E113" i="12"/>
  <c r="D113" i="12"/>
  <c r="C113" i="12"/>
  <c r="B112" i="12"/>
  <c r="A112" i="12"/>
  <c r="J112" i="12"/>
  <c r="I112" i="12"/>
  <c r="H112" i="12"/>
  <c r="G112" i="12"/>
  <c r="F112" i="12"/>
  <c r="E112" i="12"/>
  <c r="D112" i="12"/>
  <c r="C112" i="12"/>
  <c r="B111" i="12"/>
  <c r="A111" i="12"/>
  <c r="J111" i="12"/>
  <c r="C45" i="3" s="1"/>
  <c r="I111" i="12"/>
  <c r="H111" i="12"/>
  <c r="G111" i="12"/>
  <c r="F111" i="12"/>
  <c r="E111" i="12"/>
  <c r="D111" i="12"/>
  <c r="C111" i="12"/>
  <c r="B110" i="12"/>
  <c r="A110" i="12"/>
  <c r="J110" i="12"/>
  <c r="I110" i="12"/>
  <c r="H110" i="12"/>
  <c r="G110" i="12"/>
  <c r="F110" i="12"/>
  <c r="E110" i="12"/>
  <c r="D110" i="12"/>
  <c r="C110" i="12"/>
  <c r="B109" i="12"/>
  <c r="A109" i="12"/>
  <c r="J109" i="12"/>
  <c r="I109" i="12"/>
  <c r="H109" i="12"/>
  <c r="G109" i="12"/>
  <c r="F109" i="12"/>
  <c r="E109" i="12"/>
  <c r="D109" i="12"/>
  <c r="C109" i="12"/>
  <c r="B108" i="12"/>
  <c r="A108" i="12"/>
  <c r="J108" i="12"/>
  <c r="I108" i="12"/>
  <c r="H108" i="12"/>
  <c r="G108" i="12"/>
  <c r="F108" i="12"/>
  <c r="E108" i="12"/>
  <c r="D108" i="12"/>
  <c r="C108" i="12"/>
  <c r="B107" i="12"/>
  <c r="A107" i="12"/>
  <c r="J107" i="12"/>
  <c r="I107" i="12"/>
  <c r="H107" i="12"/>
  <c r="G107" i="12"/>
  <c r="F107" i="12"/>
  <c r="E107" i="12"/>
  <c r="D107" i="12"/>
  <c r="C107" i="12"/>
  <c r="B106" i="12"/>
  <c r="A106" i="12"/>
  <c r="J106" i="12"/>
  <c r="I106" i="12"/>
  <c r="H106" i="12"/>
  <c r="G106" i="12"/>
  <c r="F106" i="12"/>
  <c r="E106" i="12"/>
  <c r="D106" i="12"/>
  <c r="C106" i="12"/>
  <c r="B105" i="12"/>
  <c r="A105" i="12"/>
  <c r="J105" i="12"/>
  <c r="I105" i="12"/>
  <c r="H105" i="12"/>
  <c r="G105" i="12"/>
  <c r="F105" i="12"/>
  <c r="E105" i="12"/>
  <c r="D105" i="12"/>
  <c r="C105" i="12"/>
  <c r="B104" i="12"/>
  <c r="A104" i="12"/>
  <c r="J104" i="12"/>
  <c r="I104" i="12"/>
  <c r="H104" i="12"/>
  <c r="G104" i="12"/>
  <c r="F104" i="12"/>
  <c r="E104" i="12"/>
  <c r="D104" i="12"/>
  <c r="C104" i="12"/>
  <c r="B103" i="12"/>
  <c r="A103" i="12"/>
  <c r="J103" i="12"/>
  <c r="I103" i="12"/>
  <c r="H103" i="12"/>
  <c r="G103" i="12"/>
  <c r="F103" i="12"/>
  <c r="E103" i="12"/>
  <c r="D103" i="12"/>
  <c r="C103" i="12"/>
  <c r="B102" i="12"/>
  <c r="A102" i="12"/>
  <c r="J102" i="12"/>
  <c r="I102" i="12"/>
  <c r="H102" i="12"/>
  <c r="G102" i="12"/>
  <c r="F102" i="12"/>
  <c r="E102" i="12"/>
  <c r="D102" i="12"/>
  <c r="C102" i="12"/>
  <c r="B101" i="12"/>
  <c r="A101" i="12"/>
  <c r="J101" i="12"/>
  <c r="I101" i="12"/>
  <c r="H101" i="12"/>
  <c r="G101" i="12"/>
  <c r="F101" i="12"/>
  <c r="E101" i="12"/>
  <c r="D101" i="12"/>
  <c r="C101" i="12"/>
  <c r="B100" i="12"/>
  <c r="A100" i="12"/>
  <c r="J100" i="12"/>
  <c r="I100" i="12"/>
  <c r="H100" i="12"/>
  <c r="G100" i="12"/>
  <c r="F100" i="12"/>
  <c r="E100" i="12"/>
  <c r="D100" i="12"/>
  <c r="C100" i="12"/>
  <c r="B99" i="12"/>
  <c r="A99" i="12"/>
  <c r="J99" i="12"/>
  <c r="I99" i="12"/>
  <c r="H99" i="12"/>
  <c r="G99" i="12"/>
  <c r="F99" i="12"/>
  <c r="E99" i="12"/>
  <c r="D99" i="12"/>
  <c r="C99" i="12"/>
  <c r="B98" i="12"/>
  <c r="A98" i="12"/>
  <c r="J98" i="12"/>
  <c r="I98" i="12"/>
  <c r="H98" i="12"/>
  <c r="G98" i="12"/>
  <c r="F98" i="12"/>
  <c r="E98" i="12"/>
  <c r="D98" i="12"/>
  <c r="C98" i="12"/>
  <c r="B97" i="12"/>
  <c r="A97" i="12"/>
  <c r="J97" i="12"/>
  <c r="I97" i="12"/>
  <c r="H97" i="12"/>
  <c r="G97" i="12"/>
  <c r="F97" i="12"/>
  <c r="E97" i="12"/>
  <c r="D97" i="12"/>
  <c r="C97" i="12"/>
  <c r="B96" i="12"/>
  <c r="A96" i="12"/>
  <c r="J96" i="12"/>
  <c r="I96" i="12"/>
  <c r="H96" i="12"/>
  <c r="G96" i="12"/>
  <c r="F96" i="12"/>
  <c r="E96" i="12"/>
  <c r="D96" i="12"/>
  <c r="C96" i="12"/>
  <c r="B95" i="12"/>
  <c r="A95" i="12"/>
  <c r="J95" i="12"/>
  <c r="I95" i="12"/>
  <c r="H95" i="12"/>
  <c r="G95" i="12"/>
  <c r="F95" i="12"/>
  <c r="E95" i="12"/>
  <c r="D95" i="12"/>
  <c r="C95" i="12"/>
  <c r="B94" i="12"/>
  <c r="A94" i="12"/>
  <c r="J94" i="12"/>
  <c r="I94" i="12"/>
  <c r="H94" i="12"/>
  <c r="G94" i="12"/>
  <c r="F94" i="12"/>
  <c r="E94" i="12"/>
  <c r="D94" i="12"/>
  <c r="C94" i="12"/>
  <c r="B93" i="12"/>
  <c r="A93" i="12"/>
  <c r="J93" i="12"/>
  <c r="I93" i="12"/>
  <c r="H93" i="12"/>
  <c r="G93" i="12"/>
  <c r="F93" i="12"/>
  <c r="E93" i="12"/>
  <c r="D93" i="12"/>
  <c r="C93" i="12"/>
  <c r="B92" i="12"/>
  <c r="A92" i="12"/>
  <c r="H92" i="12"/>
  <c r="G92" i="12"/>
  <c r="F92" i="12"/>
  <c r="E92" i="12"/>
  <c r="D92" i="12"/>
  <c r="C92" i="12"/>
  <c r="B91" i="12"/>
  <c r="A91" i="12"/>
  <c r="H91" i="12"/>
  <c r="G91" i="12"/>
  <c r="F91" i="12"/>
  <c r="E91" i="12"/>
  <c r="D91" i="12"/>
  <c r="C91" i="12"/>
  <c r="B90" i="12"/>
  <c r="A90" i="12"/>
  <c r="H90" i="12"/>
  <c r="G90" i="12"/>
  <c r="F90" i="12"/>
  <c r="E90" i="12"/>
  <c r="D90" i="12"/>
  <c r="C90" i="12"/>
  <c r="B89" i="12"/>
  <c r="A89" i="12"/>
  <c r="H89" i="12"/>
  <c r="G89" i="12"/>
  <c r="F89" i="12"/>
  <c r="E89" i="12"/>
  <c r="D89" i="12"/>
  <c r="C89" i="12"/>
  <c r="B88" i="12"/>
  <c r="A88" i="12"/>
  <c r="H88" i="12"/>
  <c r="G88" i="12"/>
  <c r="F88" i="12"/>
  <c r="E88" i="12"/>
  <c r="D88" i="12"/>
  <c r="C88" i="12"/>
  <c r="B87" i="12"/>
  <c r="A87" i="12"/>
  <c r="H87" i="12"/>
  <c r="G87" i="12"/>
  <c r="F87" i="12"/>
  <c r="E87" i="12"/>
  <c r="D87" i="12"/>
  <c r="C87" i="12"/>
  <c r="B86" i="12"/>
  <c r="A86" i="12"/>
  <c r="H86" i="12"/>
  <c r="G86" i="12"/>
  <c r="F86" i="12"/>
  <c r="E86" i="12"/>
  <c r="D86" i="12"/>
  <c r="C86" i="12"/>
  <c r="B85" i="12"/>
  <c r="A85" i="12"/>
  <c r="H85" i="12"/>
  <c r="G85" i="12"/>
  <c r="F85" i="12"/>
  <c r="E85" i="12"/>
  <c r="D85" i="12"/>
  <c r="C85" i="12"/>
  <c r="B84" i="12"/>
  <c r="A84" i="12"/>
  <c r="H84" i="12"/>
  <c r="G84" i="12"/>
  <c r="F84" i="12"/>
  <c r="E84" i="12"/>
  <c r="D84" i="12"/>
  <c r="C84" i="12"/>
  <c r="B83" i="12"/>
  <c r="A83" i="12"/>
  <c r="I83" i="12"/>
  <c r="H83" i="12"/>
  <c r="G83" i="12"/>
  <c r="F83" i="12"/>
  <c r="E83" i="12"/>
  <c r="D83" i="12"/>
  <c r="C83" i="12"/>
  <c r="B82" i="12"/>
  <c r="A82" i="12"/>
  <c r="H82" i="12"/>
  <c r="G82" i="12"/>
  <c r="F82" i="12"/>
  <c r="E82" i="12"/>
  <c r="D82" i="12"/>
  <c r="C82" i="12"/>
  <c r="B81" i="12"/>
  <c r="A81" i="12"/>
  <c r="H81" i="12"/>
  <c r="G81" i="12"/>
  <c r="F81" i="12"/>
  <c r="E81" i="12"/>
  <c r="D81" i="12"/>
  <c r="C81" i="12"/>
  <c r="B80" i="12"/>
  <c r="A80" i="12"/>
  <c r="H80" i="12"/>
  <c r="G80" i="12"/>
  <c r="F80" i="12"/>
  <c r="E80" i="12"/>
  <c r="D80" i="12"/>
  <c r="C80" i="12"/>
  <c r="B79" i="12"/>
  <c r="A79" i="12"/>
  <c r="H79" i="12"/>
  <c r="G79" i="12"/>
  <c r="F79" i="12"/>
  <c r="E79" i="12"/>
  <c r="D79" i="12"/>
  <c r="C79" i="12"/>
  <c r="B78" i="12"/>
  <c r="A78" i="12"/>
  <c r="H78" i="12"/>
  <c r="G78" i="12"/>
  <c r="F78" i="12"/>
  <c r="E78" i="12"/>
  <c r="D78" i="12"/>
  <c r="C78" i="12"/>
  <c r="B77" i="12"/>
  <c r="A77" i="12"/>
  <c r="H77" i="12"/>
  <c r="G77" i="12"/>
  <c r="F77" i="12"/>
  <c r="E77" i="12"/>
  <c r="D77" i="12"/>
  <c r="C77" i="12"/>
  <c r="B76" i="12"/>
  <c r="A76" i="12"/>
  <c r="H76" i="12"/>
  <c r="G76" i="12"/>
  <c r="F76" i="12"/>
  <c r="E76" i="12"/>
  <c r="D76" i="12"/>
  <c r="C76" i="12"/>
  <c r="B75" i="12"/>
  <c r="A75" i="12"/>
  <c r="H75" i="12"/>
  <c r="G75" i="12"/>
  <c r="F75" i="12"/>
  <c r="E75" i="12"/>
  <c r="D75" i="12"/>
  <c r="C75" i="12"/>
  <c r="B74" i="12"/>
  <c r="A74" i="12"/>
  <c r="H74" i="12"/>
  <c r="G74" i="12"/>
  <c r="F74" i="12"/>
  <c r="E74" i="12"/>
  <c r="D74" i="12"/>
  <c r="C74" i="12"/>
  <c r="B73" i="12"/>
  <c r="A73" i="12"/>
  <c r="H73" i="12"/>
  <c r="G73" i="12"/>
  <c r="F73" i="12"/>
  <c r="E73" i="12"/>
  <c r="D73" i="12"/>
  <c r="C73" i="12"/>
  <c r="B72" i="12"/>
  <c r="A72" i="12"/>
  <c r="H72" i="12"/>
  <c r="G72" i="12"/>
  <c r="F72" i="12"/>
  <c r="E72" i="12"/>
  <c r="D72" i="12"/>
  <c r="C72" i="12"/>
  <c r="B71" i="12"/>
  <c r="A71" i="12"/>
  <c r="H71" i="12"/>
  <c r="G71" i="12"/>
  <c r="F71" i="12"/>
  <c r="E71" i="12"/>
  <c r="D71" i="12"/>
  <c r="C71" i="12"/>
  <c r="B70" i="12"/>
  <c r="A70" i="12"/>
  <c r="H70" i="12"/>
  <c r="G70" i="12"/>
  <c r="F70" i="12"/>
  <c r="E70" i="12"/>
  <c r="D70" i="12"/>
  <c r="C70" i="12"/>
  <c r="B69" i="12"/>
  <c r="A69" i="12"/>
  <c r="H69" i="12"/>
  <c r="G69" i="12"/>
  <c r="F69" i="12"/>
  <c r="E69" i="12"/>
  <c r="D69" i="12"/>
  <c r="C69" i="12"/>
  <c r="B68" i="12"/>
  <c r="A68" i="12"/>
  <c r="I68" i="12"/>
  <c r="H68" i="12"/>
  <c r="G68" i="12"/>
  <c r="F68" i="12"/>
  <c r="E68" i="12"/>
  <c r="D68" i="12"/>
  <c r="C68" i="12"/>
  <c r="B67" i="12"/>
  <c r="A67" i="12"/>
  <c r="H67" i="12"/>
  <c r="G67" i="12"/>
  <c r="F67" i="12"/>
  <c r="E67" i="12"/>
  <c r="D67" i="12"/>
  <c r="C67" i="12"/>
  <c r="B66" i="12"/>
  <c r="A66" i="12"/>
  <c r="H66" i="12"/>
  <c r="G66" i="12"/>
  <c r="F66" i="12"/>
  <c r="E66" i="12"/>
  <c r="D66" i="12"/>
  <c r="C66" i="12"/>
  <c r="B65" i="12"/>
  <c r="A65" i="12"/>
  <c r="H65" i="12"/>
  <c r="G65" i="12"/>
  <c r="F65" i="12"/>
  <c r="E65" i="12"/>
  <c r="D65" i="12"/>
  <c r="C65" i="12"/>
  <c r="B64" i="12"/>
  <c r="A64" i="12"/>
  <c r="H64" i="12"/>
  <c r="G64" i="12"/>
  <c r="F64" i="12"/>
  <c r="E64" i="12"/>
  <c r="D64" i="12"/>
  <c r="C64" i="12"/>
  <c r="B63" i="12"/>
  <c r="A63" i="12"/>
  <c r="H63" i="12"/>
  <c r="G63" i="12"/>
  <c r="F63" i="12"/>
  <c r="E63" i="12"/>
  <c r="D63" i="12"/>
  <c r="C63" i="12"/>
  <c r="B62" i="12"/>
  <c r="A62" i="12"/>
  <c r="H62" i="12"/>
  <c r="G62" i="12"/>
  <c r="F62" i="12"/>
  <c r="E62" i="12"/>
  <c r="D62" i="12"/>
  <c r="C62" i="12"/>
  <c r="B61" i="12"/>
  <c r="A61" i="12"/>
  <c r="H61" i="12"/>
  <c r="G61" i="12"/>
  <c r="F61" i="12"/>
  <c r="E61" i="12"/>
  <c r="D61" i="12"/>
  <c r="C61" i="12"/>
  <c r="B60" i="12"/>
  <c r="A60" i="12"/>
  <c r="I60" i="12"/>
  <c r="H60" i="12"/>
  <c r="G60" i="12"/>
  <c r="F60" i="12"/>
  <c r="E60" i="12"/>
  <c r="D60" i="12"/>
  <c r="C60" i="12"/>
  <c r="H59" i="12"/>
  <c r="C59" i="12"/>
  <c r="H58" i="12"/>
  <c r="C58" i="12"/>
  <c r="H57" i="12"/>
  <c r="C57" i="12"/>
  <c r="H56" i="12"/>
  <c r="C56" i="12"/>
  <c r="H55" i="12"/>
  <c r="C55" i="12"/>
  <c r="H54" i="12"/>
  <c r="C54" i="12"/>
  <c r="H53" i="12"/>
  <c r="C53" i="12"/>
  <c r="I52" i="12"/>
  <c r="H52" i="12"/>
  <c r="C52" i="12"/>
  <c r="J284" i="11"/>
  <c r="I284" i="11"/>
  <c r="H284" i="11"/>
  <c r="G284" i="11"/>
  <c r="F284" i="11"/>
  <c r="E284" i="11"/>
  <c r="D284" i="11"/>
  <c r="C284" i="11"/>
  <c r="B283" i="11"/>
  <c r="A283" i="11"/>
  <c r="J283" i="11"/>
  <c r="I283" i="11"/>
  <c r="H283" i="11"/>
  <c r="G283" i="11"/>
  <c r="F283" i="11"/>
  <c r="E283" i="11"/>
  <c r="D283" i="11"/>
  <c r="C283" i="11"/>
  <c r="B282" i="11"/>
  <c r="A282" i="11"/>
  <c r="J282" i="11"/>
  <c r="I282" i="11"/>
  <c r="H282" i="11"/>
  <c r="G282" i="11"/>
  <c r="F282" i="11"/>
  <c r="E282" i="11"/>
  <c r="D282" i="11"/>
  <c r="C282" i="11"/>
  <c r="B281" i="11"/>
  <c r="A281" i="11"/>
  <c r="J281" i="11"/>
  <c r="I281" i="11"/>
  <c r="H281" i="11"/>
  <c r="G281" i="11"/>
  <c r="F281" i="11"/>
  <c r="E281" i="11"/>
  <c r="D281" i="11"/>
  <c r="C281" i="11"/>
  <c r="B280" i="11"/>
  <c r="A280" i="11"/>
  <c r="J280" i="11"/>
  <c r="I280" i="11"/>
  <c r="H280" i="11"/>
  <c r="G280" i="11"/>
  <c r="F280" i="11"/>
  <c r="E280" i="11"/>
  <c r="D280" i="11"/>
  <c r="C280" i="11"/>
  <c r="B279" i="11"/>
  <c r="A279" i="11"/>
  <c r="J279" i="11"/>
  <c r="I279" i="11"/>
  <c r="H279" i="11"/>
  <c r="G279" i="11"/>
  <c r="F279" i="11"/>
  <c r="E279" i="11"/>
  <c r="D279" i="11"/>
  <c r="C279" i="11"/>
  <c r="B278" i="11"/>
  <c r="A278" i="11"/>
  <c r="J278" i="11"/>
  <c r="I278" i="11"/>
  <c r="H278" i="11"/>
  <c r="G278" i="11"/>
  <c r="F278" i="11"/>
  <c r="E278" i="11"/>
  <c r="D278" i="11"/>
  <c r="C278" i="11"/>
  <c r="B277" i="11"/>
  <c r="A277" i="11"/>
  <c r="J277" i="11"/>
  <c r="I277" i="11"/>
  <c r="H277" i="11"/>
  <c r="G277" i="11"/>
  <c r="F277" i="11"/>
  <c r="E277" i="11"/>
  <c r="D277" i="11"/>
  <c r="C277" i="11"/>
  <c r="B276" i="11"/>
  <c r="A276" i="11"/>
  <c r="J276" i="11"/>
  <c r="I276" i="11"/>
  <c r="H276" i="11"/>
  <c r="G276" i="11"/>
  <c r="F276" i="11"/>
  <c r="E276" i="11"/>
  <c r="D276" i="11"/>
  <c r="C276" i="11"/>
  <c r="B275" i="11"/>
  <c r="A275" i="11"/>
  <c r="J275" i="11"/>
  <c r="I275" i="11"/>
  <c r="H275" i="11"/>
  <c r="G275" i="11"/>
  <c r="F275" i="11"/>
  <c r="E275" i="11"/>
  <c r="D275" i="11"/>
  <c r="C275" i="11"/>
  <c r="B274" i="11"/>
  <c r="A274" i="11"/>
  <c r="J274" i="11"/>
  <c r="I274" i="11"/>
  <c r="H274" i="11"/>
  <c r="G274" i="11"/>
  <c r="F274" i="11"/>
  <c r="E274" i="11"/>
  <c r="D274" i="11"/>
  <c r="C274" i="11"/>
  <c r="B273" i="11"/>
  <c r="A273" i="11"/>
  <c r="J273" i="11"/>
  <c r="I273" i="11"/>
  <c r="H273" i="11"/>
  <c r="G273" i="11"/>
  <c r="F273" i="11"/>
  <c r="E273" i="11"/>
  <c r="D273" i="11"/>
  <c r="C273" i="11"/>
  <c r="B272" i="11"/>
  <c r="A272" i="11"/>
  <c r="J272" i="11"/>
  <c r="I272" i="11"/>
  <c r="H272" i="11"/>
  <c r="G272" i="11"/>
  <c r="F272" i="11"/>
  <c r="E272" i="11"/>
  <c r="D272" i="11"/>
  <c r="C272" i="11"/>
  <c r="B271" i="11"/>
  <c r="A271" i="11"/>
  <c r="J271" i="11"/>
  <c r="I271" i="11"/>
  <c r="H271" i="11"/>
  <c r="G271" i="11"/>
  <c r="F271" i="11"/>
  <c r="E271" i="11"/>
  <c r="D271" i="11"/>
  <c r="C271" i="11"/>
  <c r="B270" i="11"/>
  <c r="A270" i="11"/>
  <c r="J270" i="11"/>
  <c r="I270" i="11"/>
  <c r="H270" i="11"/>
  <c r="G270" i="11"/>
  <c r="F270" i="11"/>
  <c r="E270" i="11"/>
  <c r="D270" i="11"/>
  <c r="C270" i="11"/>
  <c r="B269" i="11"/>
  <c r="A269" i="11"/>
  <c r="J269" i="11"/>
  <c r="I269" i="11"/>
  <c r="H269" i="11"/>
  <c r="G269" i="11"/>
  <c r="F269" i="11"/>
  <c r="E269" i="11"/>
  <c r="D269" i="11"/>
  <c r="C269" i="11"/>
  <c r="B268" i="11"/>
  <c r="A268" i="11"/>
  <c r="J268" i="11"/>
  <c r="I268" i="11"/>
  <c r="H268" i="11"/>
  <c r="G268" i="11"/>
  <c r="F268" i="11"/>
  <c r="E268" i="11"/>
  <c r="D268" i="11"/>
  <c r="C268" i="11"/>
  <c r="B267" i="11"/>
  <c r="A267" i="11"/>
  <c r="J267" i="11"/>
  <c r="I267" i="11"/>
  <c r="H267" i="11"/>
  <c r="G267" i="11"/>
  <c r="F267" i="11"/>
  <c r="E267" i="11"/>
  <c r="D267" i="11"/>
  <c r="C267" i="11"/>
  <c r="B266" i="11"/>
  <c r="A266" i="11"/>
  <c r="J266" i="11"/>
  <c r="I266" i="11"/>
  <c r="H266" i="11"/>
  <c r="G266" i="11"/>
  <c r="F266" i="11"/>
  <c r="E266" i="11"/>
  <c r="D266" i="11"/>
  <c r="C266" i="11"/>
  <c r="B265" i="11"/>
  <c r="A265" i="11"/>
  <c r="J265" i="11"/>
  <c r="I265" i="11"/>
  <c r="H265" i="11"/>
  <c r="G265" i="11"/>
  <c r="F265" i="11"/>
  <c r="E265" i="11"/>
  <c r="D265" i="11"/>
  <c r="C265" i="11"/>
  <c r="B264" i="11"/>
  <c r="A264" i="11"/>
  <c r="J264" i="11"/>
  <c r="I264" i="11"/>
  <c r="H264" i="11"/>
  <c r="G264" i="11"/>
  <c r="F264" i="11"/>
  <c r="E264" i="11"/>
  <c r="D264" i="11"/>
  <c r="C264" i="11"/>
  <c r="B263" i="11"/>
  <c r="A263" i="11"/>
  <c r="J263" i="11"/>
  <c r="I263" i="11"/>
  <c r="H263" i="11"/>
  <c r="G263" i="11"/>
  <c r="F263" i="11"/>
  <c r="E263" i="11"/>
  <c r="D263" i="11"/>
  <c r="C263" i="11"/>
  <c r="B262" i="11"/>
  <c r="A262" i="11"/>
  <c r="J262" i="11"/>
  <c r="I262" i="11"/>
  <c r="H262" i="11"/>
  <c r="G262" i="11"/>
  <c r="F262" i="11"/>
  <c r="E262" i="11"/>
  <c r="D262" i="11"/>
  <c r="C262" i="11"/>
  <c r="B261" i="11"/>
  <c r="A261" i="11"/>
  <c r="J261" i="11"/>
  <c r="I261" i="11"/>
  <c r="H261" i="11"/>
  <c r="G261" i="11"/>
  <c r="F261" i="11"/>
  <c r="E261" i="11"/>
  <c r="D261" i="11"/>
  <c r="C261" i="11"/>
  <c r="B260" i="11"/>
  <c r="A260" i="11"/>
  <c r="J260" i="11"/>
  <c r="I260" i="11"/>
  <c r="H260" i="11"/>
  <c r="G260" i="11"/>
  <c r="F260" i="11"/>
  <c r="E260" i="11"/>
  <c r="D260" i="11"/>
  <c r="C260" i="11"/>
  <c r="B259" i="11"/>
  <c r="A259" i="11"/>
  <c r="J259" i="11"/>
  <c r="I259" i="11"/>
  <c r="H259" i="11"/>
  <c r="G259" i="11"/>
  <c r="F259" i="11"/>
  <c r="E259" i="11"/>
  <c r="D259" i="11"/>
  <c r="C259" i="11"/>
  <c r="B258" i="11"/>
  <c r="A258" i="11"/>
  <c r="J258" i="11"/>
  <c r="I258" i="11"/>
  <c r="H258" i="11"/>
  <c r="G258" i="11"/>
  <c r="F258" i="11"/>
  <c r="E258" i="11"/>
  <c r="D258" i="11"/>
  <c r="C258" i="11"/>
  <c r="B257" i="11"/>
  <c r="A257" i="11"/>
  <c r="J257" i="11"/>
  <c r="I257" i="11"/>
  <c r="H257" i="11"/>
  <c r="G257" i="11"/>
  <c r="F257" i="11"/>
  <c r="E257" i="11"/>
  <c r="D257" i="11"/>
  <c r="C257" i="11"/>
  <c r="B256" i="11"/>
  <c r="A256" i="11"/>
  <c r="J256" i="11"/>
  <c r="I256" i="11"/>
  <c r="H256" i="11"/>
  <c r="G256" i="11"/>
  <c r="F256" i="11"/>
  <c r="E256" i="11"/>
  <c r="D256" i="11"/>
  <c r="C256" i="11"/>
  <c r="B255" i="11"/>
  <c r="A255" i="11"/>
  <c r="J255" i="11"/>
  <c r="I255" i="11"/>
  <c r="H255" i="11"/>
  <c r="G255" i="11"/>
  <c r="F255" i="11"/>
  <c r="E255" i="11"/>
  <c r="D255" i="11"/>
  <c r="C255" i="11"/>
  <c r="B254" i="11"/>
  <c r="A254" i="11"/>
  <c r="J254" i="11"/>
  <c r="I254" i="11"/>
  <c r="H254" i="11"/>
  <c r="G254" i="11"/>
  <c r="F254" i="11"/>
  <c r="E254" i="11"/>
  <c r="D254" i="11"/>
  <c r="C254" i="11"/>
  <c r="B253" i="11"/>
  <c r="A253" i="11"/>
  <c r="J253" i="11"/>
  <c r="I253" i="11"/>
  <c r="H253" i="11"/>
  <c r="G253" i="11"/>
  <c r="F253" i="11"/>
  <c r="E253" i="11"/>
  <c r="D253" i="11"/>
  <c r="C253" i="11"/>
  <c r="B252" i="11"/>
  <c r="A252" i="11"/>
  <c r="J252" i="11"/>
  <c r="I252" i="11"/>
  <c r="H252" i="11"/>
  <c r="G252" i="11"/>
  <c r="F252" i="11"/>
  <c r="E252" i="11"/>
  <c r="D252" i="11"/>
  <c r="C252" i="11"/>
  <c r="B251" i="11"/>
  <c r="A251" i="11"/>
  <c r="J251" i="11"/>
  <c r="I251" i="11"/>
  <c r="H251" i="11"/>
  <c r="G251" i="11"/>
  <c r="F251" i="11"/>
  <c r="E251" i="11"/>
  <c r="D251" i="11"/>
  <c r="C251" i="11"/>
  <c r="B250" i="11"/>
  <c r="A250" i="11"/>
  <c r="J250" i="11"/>
  <c r="I250" i="11"/>
  <c r="H250" i="11"/>
  <c r="G250" i="11"/>
  <c r="F250" i="11"/>
  <c r="E250" i="11"/>
  <c r="D250" i="11"/>
  <c r="C250" i="11"/>
  <c r="B249" i="11"/>
  <c r="A249" i="11"/>
  <c r="J249" i="11"/>
  <c r="I249" i="11"/>
  <c r="H249" i="11"/>
  <c r="G249" i="11"/>
  <c r="F249" i="11"/>
  <c r="E249" i="11"/>
  <c r="D249" i="11"/>
  <c r="C249" i="11"/>
  <c r="B248" i="11"/>
  <c r="A248" i="11"/>
  <c r="J248" i="11"/>
  <c r="I248" i="11"/>
  <c r="H248" i="11"/>
  <c r="G248" i="11"/>
  <c r="F248" i="11"/>
  <c r="E248" i="11"/>
  <c r="D248" i="11"/>
  <c r="C248" i="11"/>
  <c r="B247" i="11"/>
  <c r="A247" i="11"/>
  <c r="J247" i="11"/>
  <c r="I247" i="11"/>
  <c r="H247" i="11"/>
  <c r="G247" i="11"/>
  <c r="F247" i="11"/>
  <c r="E247" i="11"/>
  <c r="D247" i="11"/>
  <c r="C247" i="11"/>
  <c r="B246" i="11"/>
  <c r="A246" i="11"/>
  <c r="J246" i="11"/>
  <c r="I246" i="11"/>
  <c r="H246" i="11"/>
  <c r="G246" i="11"/>
  <c r="F246" i="11"/>
  <c r="E246" i="11"/>
  <c r="D246" i="11"/>
  <c r="C246" i="11"/>
  <c r="B245" i="11"/>
  <c r="A245" i="11"/>
  <c r="J245" i="11"/>
  <c r="I245" i="11"/>
  <c r="H245" i="11"/>
  <c r="G245" i="11"/>
  <c r="F245" i="11"/>
  <c r="E245" i="11"/>
  <c r="D245" i="11"/>
  <c r="C245" i="11"/>
  <c r="B244" i="11"/>
  <c r="A244" i="11"/>
  <c r="J244" i="11"/>
  <c r="I244" i="11"/>
  <c r="H244" i="11"/>
  <c r="G244" i="11"/>
  <c r="F244" i="11"/>
  <c r="E244" i="11"/>
  <c r="D244" i="11"/>
  <c r="C244" i="11"/>
  <c r="B243" i="11"/>
  <c r="A243" i="11"/>
  <c r="J243" i="11"/>
  <c r="I243" i="11"/>
  <c r="H243" i="11"/>
  <c r="G243" i="11"/>
  <c r="F243" i="11"/>
  <c r="E243" i="11"/>
  <c r="D243" i="11"/>
  <c r="C243" i="11"/>
  <c r="B242" i="11"/>
  <c r="A242" i="11"/>
  <c r="J242" i="11"/>
  <c r="I242" i="11"/>
  <c r="H242" i="11"/>
  <c r="G242" i="11"/>
  <c r="F242" i="11"/>
  <c r="E242" i="11"/>
  <c r="D242" i="11"/>
  <c r="C242" i="11"/>
  <c r="B241" i="11"/>
  <c r="A241" i="11"/>
  <c r="J241" i="11"/>
  <c r="I241" i="11"/>
  <c r="H241" i="11"/>
  <c r="G241" i="11"/>
  <c r="F241" i="11"/>
  <c r="E241" i="11"/>
  <c r="D241" i="11"/>
  <c r="C241" i="11"/>
  <c r="B240" i="11"/>
  <c r="A240" i="11"/>
  <c r="J240" i="11"/>
  <c r="I240" i="11"/>
  <c r="H240" i="11"/>
  <c r="G240" i="11"/>
  <c r="F240" i="11"/>
  <c r="E240" i="11"/>
  <c r="D240" i="11"/>
  <c r="C240" i="11"/>
  <c r="B239" i="11"/>
  <c r="A239" i="11"/>
  <c r="J239" i="11"/>
  <c r="I239" i="11"/>
  <c r="H239" i="11"/>
  <c r="G239" i="11"/>
  <c r="F239" i="11"/>
  <c r="E239" i="11"/>
  <c r="D239" i="11"/>
  <c r="C239" i="11"/>
  <c r="B238" i="11"/>
  <c r="A238" i="11"/>
  <c r="J238" i="11"/>
  <c r="I238" i="11"/>
  <c r="H238" i="11"/>
  <c r="G238" i="11"/>
  <c r="F238" i="11"/>
  <c r="E238" i="11"/>
  <c r="D238" i="11"/>
  <c r="C238" i="11"/>
  <c r="B237" i="11"/>
  <c r="A237" i="11"/>
  <c r="J237" i="11"/>
  <c r="I237" i="11"/>
  <c r="H237" i="11"/>
  <c r="G237" i="11"/>
  <c r="F237" i="11"/>
  <c r="E237" i="11"/>
  <c r="D237" i="11"/>
  <c r="C237" i="11"/>
  <c r="B236" i="11"/>
  <c r="A236" i="11"/>
  <c r="J236" i="11"/>
  <c r="I236" i="11"/>
  <c r="H236" i="11"/>
  <c r="G236" i="11"/>
  <c r="F236" i="11"/>
  <c r="E236" i="11"/>
  <c r="D236" i="11"/>
  <c r="C236" i="11"/>
  <c r="B235" i="11"/>
  <c r="A235" i="11"/>
  <c r="J235" i="11"/>
  <c r="I235" i="11"/>
  <c r="H235" i="11"/>
  <c r="G235" i="11"/>
  <c r="F235" i="11"/>
  <c r="E235" i="11"/>
  <c r="D235" i="11"/>
  <c r="C235" i="11"/>
  <c r="B234" i="11"/>
  <c r="A234" i="11"/>
  <c r="J234" i="11"/>
  <c r="I234" i="11"/>
  <c r="H234" i="11"/>
  <c r="G234" i="11"/>
  <c r="F234" i="11"/>
  <c r="E234" i="11"/>
  <c r="D234" i="11"/>
  <c r="C234" i="11"/>
  <c r="B233" i="11"/>
  <c r="A233" i="11"/>
  <c r="J233" i="11"/>
  <c r="I233" i="11"/>
  <c r="H233" i="11"/>
  <c r="G233" i="11"/>
  <c r="F233" i="11"/>
  <c r="E233" i="11"/>
  <c r="D233" i="11"/>
  <c r="C233" i="11"/>
  <c r="B232" i="11"/>
  <c r="A232" i="11"/>
  <c r="J232" i="11"/>
  <c r="I232" i="11"/>
  <c r="H232" i="11"/>
  <c r="G232" i="11"/>
  <c r="F232" i="11"/>
  <c r="E232" i="11"/>
  <c r="D232" i="11"/>
  <c r="C232" i="11"/>
  <c r="B231" i="11"/>
  <c r="A231" i="11"/>
  <c r="J231" i="11"/>
  <c r="I231" i="11"/>
  <c r="H231" i="11"/>
  <c r="G231" i="11"/>
  <c r="F231" i="11"/>
  <c r="E231" i="11"/>
  <c r="D231" i="11"/>
  <c r="C231" i="11"/>
  <c r="B230" i="11"/>
  <c r="A230" i="11"/>
  <c r="J230" i="11"/>
  <c r="I230" i="11"/>
  <c r="H230" i="11"/>
  <c r="G230" i="11"/>
  <c r="F230" i="11"/>
  <c r="E230" i="11"/>
  <c r="D230" i="11"/>
  <c r="C230" i="11"/>
  <c r="B229" i="11"/>
  <c r="A229" i="11"/>
  <c r="J229" i="11"/>
  <c r="I229" i="11"/>
  <c r="H229" i="11"/>
  <c r="G229" i="11"/>
  <c r="F229" i="11"/>
  <c r="E229" i="11"/>
  <c r="D229" i="11"/>
  <c r="C229" i="11"/>
  <c r="B228" i="11"/>
  <c r="A228" i="11"/>
  <c r="J228" i="11"/>
  <c r="I228" i="11"/>
  <c r="H228" i="11"/>
  <c r="G228" i="11"/>
  <c r="F228" i="11"/>
  <c r="E228" i="11"/>
  <c r="D228" i="11"/>
  <c r="C228" i="11"/>
  <c r="B227" i="11"/>
  <c r="A227" i="11"/>
  <c r="J227" i="11"/>
  <c r="I227" i="11"/>
  <c r="H227" i="11"/>
  <c r="G227" i="11"/>
  <c r="F227" i="11"/>
  <c r="E227" i="11"/>
  <c r="D227" i="11"/>
  <c r="C227" i="11"/>
  <c r="B226" i="11"/>
  <c r="A226" i="11"/>
  <c r="J226" i="11"/>
  <c r="I226" i="11"/>
  <c r="H226" i="11"/>
  <c r="G226" i="11"/>
  <c r="F226" i="11"/>
  <c r="E226" i="11"/>
  <c r="D226" i="11"/>
  <c r="C226" i="11"/>
  <c r="B225" i="11"/>
  <c r="A225" i="11"/>
  <c r="J225" i="11"/>
  <c r="I225" i="11"/>
  <c r="H225" i="11"/>
  <c r="G225" i="11"/>
  <c r="F225" i="11"/>
  <c r="E225" i="11"/>
  <c r="D225" i="11"/>
  <c r="C225" i="11"/>
  <c r="B224" i="11"/>
  <c r="A224" i="11"/>
  <c r="J224" i="11"/>
  <c r="I224" i="11"/>
  <c r="H224" i="11"/>
  <c r="G224" i="11"/>
  <c r="F224" i="11"/>
  <c r="E224" i="11"/>
  <c r="D224" i="11"/>
  <c r="C224" i="11"/>
  <c r="B223" i="11"/>
  <c r="A223" i="11"/>
  <c r="J223" i="11"/>
  <c r="I223" i="11"/>
  <c r="H223" i="11"/>
  <c r="G223" i="11"/>
  <c r="F223" i="11"/>
  <c r="E223" i="11"/>
  <c r="D223" i="11"/>
  <c r="C223" i="11"/>
  <c r="B222" i="11"/>
  <c r="A222" i="11"/>
  <c r="J222" i="11"/>
  <c r="I222" i="11"/>
  <c r="H222" i="11"/>
  <c r="G222" i="11"/>
  <c r="F222" i="11"/>
  <c r="E222" i="11"/>
  <c r="D222" i="11"/>
  <c r="C222" i="11"/>
  <c r="B221" i="11"/>
  <c r="A221" i="11"/>
  <c r="J221" i="11"/>
  <c r="I221" i="11"/>
  <c r="H221" i="11"/>
  <c r="G221" i="11"/>
  <c r="F221" i="11"/>
  <c r="E221" i="11"/>
  <c r="D221" i="11"/>
  <c r="C221" i="11"/>
  <c r="B220" i="11"/>
  <c r="A220" i="11"/>
  <c r="J220" i="11"/>
  <c r="I220" i="11"/>
  <c r="H220" i="11"/>
  <c r="G220" i="11"/>
  <c r="F220" i="11"/>
  <c r="E220" i="11"/>
  <c r="D220" i="11"/>
  <c r="C220" i="11"/>
  <c r="B219" i="11"/>
  <c r="A219" i="11"/>
  <c r="J219" i="11"/>
  <c r="I219" i="11"/>
  <c r="H219" i="11"/>
  <c r="G219" i="11"/>
  <c r="F219" i="11"/>
  <c r="E219" i="11"/>
  <c r="D219" i="11"/>
  <c r="C219" i="11"/>
  <c r="B218" i="11"/>
  <c r="A218" i="11"/>
  <c r="J218" i="11"/>
  <c r="I218" i="11"/>
  <c r="H218" i="11"/>
  <c r="G218" i="11"/>
  <c r="F218" i="11"/>
  <c r="E218" i="11"/>
  <c r="D218" i="11"/>
  <c r="C218" i="11"/>
  <c r="B217" i="11"/>
  <c r="A217" i="11"/>
  <c r="J217" i="11"/>
  <c r="I217" i="11"/>
  <c r="H217" i="11"/>
  <c r="G217" i="11"/>
  <c r="F217" i="11"/>
  <c r="E217" i="11"/>
  <c r="D217" i="11"/>
  <c r="C217" i="11"/>
  <c r="B216" i="11"/>
  <c r="A216" i="11"/>
  <c r="J216" i="11"/>
  <c r="I216" i="11"/>
  <c r="H216" i="11"/>
  <c r="G216" i="11"/>
  <c r="F216" i="11"/>
  <c r="E216" i="11"/>
  <c r="D216" i="11"/>
  <c r="C216" i="11"/>
  <c r="B215" i="11"/>
  <c r="A215" i="11"/>
  <c r="J215" i="11"/>
  <c r="I215" i="11"/>
  <c r="H215" i="11"/>
  <c r="G215" i="11"/>
  <c r="F215" i="11"/>
  <c r="E215" i="11"/>
  <c r="D215" i="11"/>
  <c r="C215" i="11"/>
  <c r="B214" i="11"/>
  <c r="A214" i="11"/>
  <c r="J214" i="11"/>
  <c r="I214" i="11"/>
  <c r="H214" i="11"/>
  <c r="G214" i="11"/>
  <c r="F214" i="11"/>
  <c r="E214" i="11"/>
  <c r="D214" i="11"/>
  <c r="C214" i="11"/>
  <c r="B213" i="11"/>
  <c r="A213" i="11"/>
  <c r="J213" i="11"/>
  <c r="I213" i="11"/>
  <c r="H213" i="11"/>
  <c r="G213" i="11"/>
  <c r="F213" i="11"/>
  <c r="E213" i="11"/>
  <c r="D213" i="11"/>
  <c r="C213" i="11"/>
  <c r="B212" i="11"/>
  <c r="A212" i="11"/>
  <c r="J212" i="11"/>
  <c r="I212" i="11"/>
  <c r="H212" i="11"/>
  <c r="G212" i="11"/>
  <c r="F212" i="11"/>
  <c r="E212" i="11"/>
  <c r="D212" i="11"/>
  <c r="C212" i="11"/>
  <c r="B211" i="11"/>
  <c r="A211" i="11"/>
  <c r="J211" i="11"/>
  <c r="I211" i="11"/>
  <c r="H211" i="11"/>
  <c r="G211" i="11"/>
  <c r="F211" i="11"/>
  <c r="E211" i="11"/>
  <c r="D211" i="11"/>
  <c r="C211" i="11"/>
  <c r="B210" i="11"/>
  <c r="A210" i="11"/>
  <c r="J210" i="11"/>
  <c r="I210" i="11"/>
  <c r="H210" i="11"/>
  <c r="G210" i="11"/>
  <c r="F210" i="11"/>
  <c r="E210" i="11"/>
  <c r="D210" i="11"/>
  <c r="C210" i="11"/>
  <c r="B209" i="11"/>
  <c r="A209" i="11"/>
  <c r="J209" i="11"/>
  <c r="I209" i="11"/>
  <c r="H209" i="11"/>
  <c r="G209" i="11"/>
  <c r="F209" i="11"/>
  <c r="E209" i="11"/>
  <c r="D209" i="11"/>
  <c r="C209" i="11"/>
  <c r="B208" i="11"/>
  <c r="A208" i="11"/>
  <c r="J208" i="11"/>
  <c r="I208" i="11"/>
  <c r="H208" i="11"/>
  <c r="G208" i="11"/>
  <c r="F208" i="11"/>
  <c r="E208" i="11"/>
  <c r="D208" i="11"/>
  <c r="C208" i="11"/>
  <c r="B207" i="11"/>
  <c r="A207" i="11"/>
  <c r="J207" i="11"/>
  <c r="I207" i="11"/>
  <c r="H207" i="11"/>
  <c r="G207" i="11"/>
  <c r="F207" i="11"/>
  <c r="E207" i="11"/>
  <c r="D207" i="11"/>
  <c r="C207" i="11"/>
  <c r="B206" i="11"/>
  <c r="A206" i="11"/>
  <c r="J206" i="11"/>
  <c r="I206" i="11"/>
  <c r="H206" i="11"/>
  <c r="G206" i="11"/>
  <c r="F206" i="11"/>
  <c r="E206" i="11"/>
  <c r="D206" i="11"/>
  <c r="C206" i="11"/>
  <c r="B205" i="11"/>
  <c r="A205" i="11"/>
  <c r="J205" i="11"/>
  <c r="I205" i="11"/>
  <c r="H205" i="11"/>
  <c r="G205" i="11"/>
  <c r="F205" i="11"/>
  <c r="E205" i="11"/>
  <c r="D205" i="11"/>
  <c r="C205" i="11"/>
  <c r="B204" i="11"/>
  <c r="A204" i="11"/>
  <c r="J204" i="11"/>
  <c r="I204" i="11"/>
  <c r="H204" i="11"/>
  <c r="G204" i="11"/>
  <c r="F204" i="11"/>
  <c r="E204" i="11"/>
  <c r="D204" i="11"/>
  <c r="C204" i="11"/>
  <c r="B203" i="11"/>
  <c r="A203" i="11"/>
  <c r="J203" i="11"/>
  <c r="I203" i="11"/>
  <c r="H203" i="11"/>
  <c r="G203" i="11"/>
  <c r="F203" i="11"/>
  <c r="E203" i="11"/>
  <c r="D203" i="11"/>
  <c r="C203" i="11"/>
  <c r="B202" i="11"/>
  <c r="A202" i="11"/>
  <c r="J202" i="11"/>
  <c r="I202" i="11"/>
  <c r="H202" i="11"/>
  <c r="G202" i="11"/>
  <c r="F202" i="11"/>
  <c r="E202" i="11"/>
  <c r="D202" i="11"/>
  <c r="C202" i="11"/>
  <c r="B201" i="11"/>
  <c r="A201" i="11"/>
  <c r="J201" i="11"/>
  <c r="I201" i="11"/>
  <c r="H201" i="11"/>
  <c r="G201" i="11"/>
  <c r="F201" i="11"/>
  <c r="E201" i="11"/>
  <c r="D201" i="11"/>
  <c r="C201" i="11"/>
  <c r="B200" i="11"/>
  <c r="A200" i="11"/>
  <c r="J200" i="11"/>
  <c r="I200" i="11"/>
  <c r="H200" i="11"/>
  <c r="G200" i="11"/>
  <c r="F200" i="11"/>
  <c r="E200" i="11"/>
  <c r="D200" i="11"/>
  <c r="C200" i="11"/>
  <c r="B199" i="11"/>
  <c r="A199" i="11"/>
  <c r="J199" i="11"/>
  <c r="I199" i="11"/>
  <c r="H199" i="11"/>
  <c r="G199" i="11"/>
  <c r="F199" i="11"/>
  <c r="E199" i="11"/>
  <c r="D199" i="11"/>
  <c r="C199" i="11"/>
  <c r="B198" i="11"/>
  <c r="A198" i="11"/>
  <c r="J198" i="11"/>
  <c r="I198" i="11"/>
  <c r="H198" i="11"/>
  <c r="G198" i="11"/>
  <c r="F198" i="11"/>
  <c r="E198" i="11"/>
  <c r="D198" i="11"/>
  <c r="C198" i="11"/>
  <c r="B197" i="11"/>
  <c r="A197" i="11"/>
  <c r="J197" i="11"/>
  <c r="I197" i="11"/>
  <c r="H197" i="11"/>
  <c r="G197" i="11"/>
  <c r="F197" i="11"/>
  <c r="E197" i="11"/>
  <c r="D197" i="11"/>
  <c r="C197" i="11"/>
  <c r="B196" i="11"/>
  <c r="A196" i="11"/>
  <c r="J196" i="11"/>
  <c r="I196" i="11"/>
  <c r="H196" i="11"/>
  <c r="G196" i="11"/>
  <c r="F196" i="11"/>
  <c r="E196" i="11"/>
  <c r="D196" i="11"/>
  <c r="C196" i="11"/>
  <c r="B195" i="11"/>
  <c r="A195" i="11"/>
  <c r="J195" i="11"/>
  <c r="I195" i="11"/>
  <c r="H195" i="11"/>
  <c r="G195" i="11"/>
  <c r="F195" i="11"/>
  <c r="E195" i="11"/>
  <c r="D195" i="11"/>
  <c r="C195" i="11"/>
  <c r="B194" i="11"/>
  <c r="A194" i="11"/>
  <c r="J194" i="11"/>
  <c r="I194" i="11"/>
  <c r="H194" i="11"/>
  <c r="G194" i="11"/>
  <c r="F194" i="11"/>
  <c r="E194" i="11"/>
  <c r="D194" i="11"/>
  <c r="C194" i="11"/>
  <c r="B193" i="11"/>
  <c r="A193" i="11"/>
  <c r="J193" i="11"/>
  <c r="I193" i="11"/>
  <c r="H193" i="11"/>
  <c r="G193" i="11"/>
  <c r="F193" i="11"/>
  <c r="E193" i="11"/>
  <c r="D193" i="11"/>
  <c r="C193" i="11"/>
  <c r="B192" i="11"/>
  <c r="A192" i="11"/>
  <c r="J192" i="11"/>
  <c r="I192" i="11"/>
  <c r="H192" i="11"/>
  <c r="G192" i="11"/>
  <c r="F192" i="11"/>
  <c r="E192" i="11"/>
  <c r="D192" i="11"/>
  <c r="C192" i="11"/>
  <c r="B191" i="11"/>
  <c r="A191" i="11"/>
  <c r="J191" i="11"/>
  <c r="I191" i="11"/>
  <c r="H191" i="11"/>
  <c r="G191" i="11"/>
  <c r="F191" i="11"/>
  <c r="E191" i="11"/>
  <c r="D191" i="11"/>
  <c r="C191" i="11"/>
  <c r="B190" i="11"/>
  <c r="A190" i="11"/>
  <c r="J190" i="11"/>
  <c r="I190" i="11"/>
  <c r="H190" i="11"/>
  <c r="G190" i="11"/>
  <c r="F190" i="11"/>
  <c r="E190" i="11"/>
  <c r="D190" i="11"/>
  <c r="C190" i="11"/>
  <c r="B189" i="11"/>
  <c r="A189" i="11"/>
  <c r="J189" i="11"/>
  <c r="I189" i="11"/>
  <c r="H189" i="11"/>
  <c r="G189" i="11"/>
  <c r="F189" i="11"/>
  <c r="E189" i="11"/>
  <c r="D189" i="11"/>
  <c r="C189" i="11"/>
  <c r="B188" i="11"/>
  <c r="A188" i="11"/>
  <c r="J188" i="11"/>
  <c r="I188" i="11"/>
  <c r="H188" i="11"/>
  <c r="G188" i="11"/>
  <c r="F188" i="11"/>
  <c r="E188" i="11"/>
  <c r="D188" i="11"/>
  <c r="C188" i="11"/>
  <c r="B187" i="11"/>
  <c r="A187" i="11"/>
  <c r="J187" i="11"/>
  <c r="I187" i="11"/>
  <c r="H187" i="11"/>
  <c r="G187" i="11"/>
  <c r="F187" i="11"/>
  <c r="E187" i="11"/>
  <c r="D187" i="11"/>
  <c r="C187" i="11"/>
  <c r="B186" i="11"/>
  <c r="A186" i="11"/>
  <c r="J186" i="11"/>
  <c r="I186" i="11"/>
  <c r="H186" i="11"/>
  <c r="G186" i="11"/>
  <c r="F186" i="11"/>
  <c r="E186" i="11"/>
  <c r="D186" i="11"/>
  <c r="C186" i="11"/>
  <c r="B185" i="11"/>
  <c r="A185" i="11"/>
  <c r="J185" i="11"/>
  <c r="I185" i="11"/>
  <c r="H185" i="11"/>
  <c r="G185" i="11"/>
  <c r="F185" i="11"/>
  <c r="E185" i="11"/>
  <c r="D185" i="11"/>
  <c r="C185" i="11"/>
  <c r="B184" i="11"/>
  <c r="A184" i="11"/>
  <c r="J184" i="11"/>
  <c r="I184" i="11"/>
  <c r="H184" i="11"/>
  <c r="G184" i="11"/>
  <c r="F184" i="11"/>
  <c r="E184" i="11"/>
  <c r="D184" i="11"/>
  <c r="C184" i="11"/>
  <c r="B183" i="11"/>
  <c r="A183" i="11"/>
  <c r="J183" i="11"/>
  <c r="I183" i="11"/>
  <c r="H183" i="11"/>
  <c r="G183" i="11"/>
  <c r="F183" i="11"/>
  <c r="E183" i="11"/>
  <c r="D183" i="11"/>
  <c r="C183" i="11"/>
  <c r="B182" i="11"/>
  <c r="A182" i="11"/>
  <c r="J182" i="11"/>
  <c r="I182" i="11"/>
  <c r="H182" i="11"/>
  <c r="G182" i="11"/>
  <c r="F182" i="11"/>
  <c r="E182" i="11"/>
  <c r="D182" i="11"/>
  <c r="C182" i="11"/>
  <c r="B181" i="11"/>
  <c r="A181" i="11"/>
  <c r="J181" i="11"/>
  <c r="I181" i="11"/>
  <c r="H181" i="11"/>
  <c r="G181" i="11"/>
  <c r="F181" i="11"/>
  <c r="E181" i="11"/>
  <c r="D181" i="11"/>
  <c r="C181" i="11"/>
  <c r="B180" i="11"/>
  <c r="A180" i="11"/>
  <c r="J180" i="11"/>
  <c r="I180" i="11"/>
  <c r="H180" i="11"/>
  <c r="G180" i="11"/>
  <c r="F180" i="11"/>
  <c r="E180" i="11"/>
  <c r="D180" i="11"/>
  <c r="C180" i="11"/>
  <c r="B179" i="11"/>
  <c r="A179" i="11"/>
  <c r="J179" i="11"/>
  <c r="I179" i="11"/>
  <c r="H179" i="11"/>
  <c r="G179" i="11"/>
  <c r="F179" i="11"/>
  <c r="E179" i="11"/>
  <c r="D179" i="11"/>
  <c r="C179" i="11"/>
  <c r="B178" i="11"/>
  <c r="A178" i="11"/>
  <c r="J178" i="11"/>
  <c r="I178" i="11"/>
  <c r="H178" i="11"/>
  <c r="G178" i="11"/>
  <c r="F178" i="11"/>
  <c r="E178" i="11"/>
  <c r="D178" i="11"/>
  <c r="C178" i="11"/>
  <c r="B177" i="11"/>
  <c r="A177" i="11"/>
  <c r="J177" i="11"/>
  <c r="I177" i="11"/>
  <c r="H177" i="11"/>
  <c r="G177" i="11"/>
  <c r="F177" i="11"/>
  <c r="E177" i="11"/>
  <c r="D177" i="11"/>
  <c r="C177" i="11"/>
  <c r="B176" i="11"/>
  <c r="A176" i="11"/>
  <c r="J176" i="11"/>
  <c r="I176" i="11"/>
  <c r="H176" i="11"/>
  <c r="G176" i="11"/>
  <c r="F176" i="11"/>
  <c r="E176" i="11"/>
  <c r="D176" i="11"/>
  <c r="C176" i="11"/>
  <c r="B175" i="11"/>
  <c r="A175" i="11"/>
  <c r="J175" i="11"/>
  <c r="I175" i="11"/>
  <c r="H175" i="11"/>
  <c r="G175" i="11"/>
  <c r="F175" i="11"/>
  <c r="E175" i="11"/>
  <c r="D175" i="11"/>
  <c r="C175" i="11"/>
  <c r="B174" i="11"/>
  <c r="A174" i="11"/>
  <c r="J174" i="11"/>
  <c r="I174" i="11"/>
  <c r="H174" i="11"/>
  <c r="G174" i="11"/>
  <c r="F174" i="11"/>
  <c r="E174" i="11"/>
  <c r="D174" i="11"/>
  <c r="C174" i="11"/>
  <c r="B173" i="11"/>
  <c r="A173" i="11"/>
  <c r="J173" i="11"/>
  <c r="I173" i="11"/>
  <c r="H173" i="11"/>
  <c r="G173" i="11"/>
  <c r="F173" i="11"/>
  <c r="E173" i="11"/>
  <c r="D173" i="11"/>
  <c r="C173" i="11"/>
  <c r="B172" i="11"/>
  <c r="A172" i="11"/>
  <c r="J172" i="11"/>
  <c r="I172" i="11"/>
  <c r="H172" i="11"/>
  <c r="G172" i="11"/>
  <c r="F172" i="11"/>
  <c r="E172" i="11"/>
  <c r="D172" i="11"/>
  <c r="C172" i="11"/>
  <c r="B171" i="11"/>
  <c r="A171" i="11"/>
  <c r="J171" i="11"/>
  <c r="I171" i="11"/>
  <c r="H171" i="11"/>
  <c r="G171" i="11"/>
  <c r="F171" i="11"/>
  <c r="E171" i="11"/>
  <c r="D171" i="11"/>
  <c r="C171" i="11"/>
  <c r="B170" i="11"/>
  <c r="A170" i="11"/>
  <c r="J170" i="11"/>
  <c r="I170" i="11"/>
  <c r="H170" i="11"/>
  <c r="G170" i="11"/>
  <c r="F170" i="11"/>
  <c r="E170" i="11"/>
  <c r="D170" i="11"/>
  <c r="C170" i="11"/>
  <c r="B169" i="11"/>
  <c r="A169" i="11"/>
  <c r="J169" i="11"/>
  <c r="I169" i="11"/>
  <c r="H169" i="11"/>
  <c r="G169" i="11"/>
  <c r="F169" i="11"/>
  <c r="E169" i="11"/>
  <c r="D169" i="11"/>
  <c r="C169" i="11"/>
  <c r="B168" i="11"/>
  <c r="A168" i="11"/>
  <c r="J168" i="11"/>
  <c r="I168" i="11"/>
  <c r="H168" i="11"/>
  <c r="G168" i="11"/>
  <c r="F168" i="11"/>
  <c r="E168" i="11"/>
  <c r="D168" i="11"/>
  <c r="C168" i="11"/>
  <c r="B167" i="11"/>
  <c r="A167" i="11"/>
  <c r="J167" i="11"/>
  <c r="I167" i="11"/>
  <c r="H167" i="11"/>
  <c r="G167" i="11"/>
  <c r="F167" i="11"/>
  <c r="E167" i="11"/>
  <c r="D167" i="11"/>
  <c r="C167" i="11"/>
  <c r="B166" i="11"/>
  <c r="A166" i="11"/>
  <c r="J166" i="11"/>
  <c r="I166" i="11"/>
  <c r="H166" i="11"/>
  <c r="G166" i="11"/>
  <c r="F166" i="11"/>
  <c r="E166" i="11"/>
  <c r="D166" i="11"/>
  <c r="C166" i="11"/>
  <c r="B165" i="11"/>
  <c r="A165" i="11"/>
  <c r="J165" i="11"/>
  <c r="I165" i="11"/>
  <c r="H165" i="11"/>
  <c r="G165" i="11"/>
  <c r="F165" i="11"/>
  <c r="E165" i="11"/>
  <c r="D165" i="11"/>
  <c r="C165" i="11"/>
  <c r="B164" i="11"/>
  <c r="A164" i="11"/>
  <c r="J164" i="11"/>
  <c r="I164" i="11"/>
  <c r="H164" i="11"/>
  <c r="G164" i="11"/>
  <c r="F164" i="11"/>
  <c r="E164" i="11"/>
  <c r="D164" i="11"/>
  <c r="C164" i="11"/>
  <c r="B163" i="11"/>
  <c r="A163" i="11"/>
  <c r="J163" i="11"/>
  <c r="I163" i="11"/>
  <c r="H163" i="11"/>
  <c r="G163" i="11"/>
  <c r="F163" i="11"/>
  <c r="E163" i="11"/>
  <c r="D163" i="11"/>
  <c r="C163" i="11"/>
  <c r="B162" i="11"/>
  <c r="A162" i="11"/>
  <c r="J162" i="11"/>
  <c r="I162" i="11"/>
  <c r="H162" i="11"/>
  <c r="G162" i="11"/>
  <c r="F162" i="11"/>
  <c r="E162" i="11"/>
  <c r="D162" i="11"/>
  <c r="C162" i="11"/>
  <c r="B161" i="11"/>
  <c r="A161" i="11"/>
  <c r="J161" i="11"/>
  <c r="I161" i="11"/>
  <c r="H161" i="11"/>
  <c r="G161" i="11"/>
  <c r="F161" i="11"/>
  <c r="E161" i="11"/>
  <c r="D161" i="11"/>
  <c r="C161" i="11"/>
  <c r="B160" i="11"/>
  <c r="A160" i="11"/>
  <c r="J160" i="11"/>
  <c r="I160" i="11"/>
  <c r="H160" i="11"/>
  <c r="G160" i="11"/>
  <c r="F160" i="11"/>
  <c r="E160" i="11"/>
  <c r="D160" i="11"/>
  <c r="C160" i="11"/>
  <c r="B159" i="11"/>
  <c r="A159" i="11"/>
  <c r="J159" i="11"/>
  <c r="I159" i="11"/>
  <c r="H159" i="11"/>
  <c r="G159" i="11"/>
  <c r="F159" i="11"/>
  <c r="E159" i="11"/>
  <c r="D159" i="11"/>
  <c r="C159" i="11"/>
  <c r="B158" i="11"/>
  <c r="A158" i="11"/>
  <c r="J158" i="11"/>
  <c r="I158" i="11"/>
  <c r="H158" i="11"/>
  <c r="G158" i="11"/>
  <c r="F158" i="11"/>
  <c r="E158" i="11"/>
  <c r="D158" i="11"/>
  <c r="C158" i="11"/>
  <c r="B157" i="11"/>
  <c r="A157" i="11"/>
  <c r="J157" i="11"/>
  <c r="I157" i="11"/>
  <c r="H157" i="11"/>
  <c r="G157" i="11"/>
  <c r="F157" i="11"/>
  <c r="E157" i="11"/>
  <c r="D157" i="11"/>
  <c r="C157" i="11"/>
  <c r="B156" i="11"/>
  <c r="A156" i="11"/>
  <c r="J156" i="11"/>
  <c r="I156" i="11"/>
  <c r="H156" i="11"/>
  <c r="G156" i="11"/>
  <c r="F156" i="11"/>
  <c r="E156" i="11"/>
  <c r="D156" i="11"/>
  <c r="C156" i="11"/>
  <c r="B155" i="11"/>
  <c r="A155" i="11"/>
  <c r="J155" i="11"/>
  <c r="I155" i="11"/>
  <c r="H155" i="11"/>
  <c r="G155" i="11"/>
  <c r="F155" i="11"/>
  <c r="E155" i="11"/>
  <c r="D155" i="11"/>
  <c r="C155" i="11"/>
  <c r="B154" i="11"/>
  <c r="A154" i="11"/>
  <c r="J154" i="11"/>
  <c r="I154" i="11"/>
  <c r="H154" i="11"/>
  <c r="G154" i="11"/>
  <c r="F154" i="11"/>
  <c r="E154" i="11"/>
  <c r="D154" i="11"/>
  <c r="C154" i="11"/>
  <c r="B153" i="11"/>
  <c r="A153" i="11"/>
  <c r="J153" i="11"/>
  <c r="I153" i="11"/>
  <c r="H153" i="11"/>
  <c r="G153" i="11"/>
  <c r="F153" i="11"/>
  <c r="E153" i="11"/>
  <c r="D153" i="11"/>
  <c r="C153" i="11"/>
  <c r="B152" i="11"/>
  <c r="A152" i="11"/>
  <c r="J152" i="11"/>
  <c r="I152" i="11"/>
  <c r="H152" i="11"/>
  <c r="G152" i="11"/>
  <c r="F152" i="11"/>
  <c r="E152" i="11"/>
  <c r="D152" i="11"/>
  <c r="C152" i="11"/>
  <c r="B151" i="11"/>
  <c r="A151" i="11"/>
  <c r="J151" i="11"/>
  <c r="I151" i="11"/>
  <c r="H151" i="11"/>
  <c r="G151" i="11"/>
  <c r="F151" i="11"/>
  <c r="E151" i="11"/>
  <c r="D151" i="11"/>
  <c r="C151" i="11"/>
  <c r="B150" i="11"/>
  <c r="A150" i="11"/>
  <c r="J150" i="11"/>
  <c r="I150" i="11"/>
  <c r="H150" i="11"/>
  <c r="G150" i="11"/>
  <c r="F150" i="11"/>
  <c r="E150" i="11"/>
  <c r="D150" i="11"/>
  <c r="C150" i="11"/>
  <c r="B149" i="11"/>
  <c r="A149" i="11"/>
  <c r="J149" i="11"/>
  <c r="I149" i="11"/>
  <c r="H149" i="11"/>
  <c r="G149" i="11"/>
  <c r="F149" i="11"/>
  <c r="E149" i="11"/>
  <c r="D149" i="11"/>
  <c r="C149" i="11"/>
  <c r="B148" i="11"/>
  <c r="A148" i="11"/>
  <c r="J148" i="11"/>
  <c r="I148" i="11"/>
  <c r="H148" i="11"/>
  <c r="G148" i="11"/>
  <c r="F148" i="11"/>
  <c r="E148" i="11"/>
  <c r="D148" i="11"/>
  <c r="C148" i="11"/>
  <c r="B147" i="11"/>
  <c r="A147" i="11"/>
  <c r="J147" i="11"/>
  <c r="I147" i="11"/>
  <c r="H147" i="11"/>
  <c r="G147" i="11"/>
  <c r="F147" i="11"/>
  <c r="E147" i="11"/>
  <c r="D147" i="11"/>
  <c r="C147" i="11"/>
  <c r="B146" i="11"/>
  <c r="A146" i="11"/>
  <c r="J146" i="11"/>
  <c r="I146" i="11"/>
  <c r="H146" i="11"/>
  <c r="G146" i="11"/>
  <c r="F146" i="11"/>
  <c r="E146" i="11"/>
  <c r="D146" i="11"/>
  <c r="C146" i="11"/>
  <c r="B145" i="11"/>
  <c r="A145" i="11"/>
  <c r="J145" i="11"/>
  <c r="I145" i="11"/>
  <c r="H145" i="11"/>
  <c r="G145" i="11"/>
  <c r="F145" i="11"/>
  <c r="E145" i="11"/>
  <c r="D145" i="11"/>
  <c r="C145" i="11"/>
  <c r="B144" i="11"/>
  <c r="A144" i="11"/>
  <c r="J144" i="11"/>
  <c r="I144" i="11"/>
  <c r="H144" i="11"/>
  <c r="G144" i="11"/>
  <c r="F144" i="11"/>
  <c r="E144" i="11"/>
  <c r="D144" i="11"/>
  <c r="C144" i="11"/>
  <c r="B143" i="11"/>
  <c r="A143" i="11"/>
  <c r="J143" i="11"/>
  <c r="I143" i="11"/>
  <c r="H143" i="11"/>
  <c r="G143" i="11"/>
  <c r="F143" i="11"/>
  <c r="E143" i="11"/>
  <c r="D143" i="11"/>
  <c r="C143" i="11"/>
  <c r="B142" i="11"/>
  <c r="A142" i="11"/>
  <c r="J142" i="11"/>
  <c r="I142" i="11"/>
  <c r="H142" i="11"/>
  <c r="G142" i="11"/>
  <c r="F142" i="11"/>
  <c r="E142" i="11"/>
  <c r="D142" i="11"/>
  <c r="C142" i="11"/>
  <c r="B141" i="11"/>
  <c r="A141" i="11"/>
  <c r="J141" i="11"/>
  <c r="I141" i="11"/>
  <c r="H141" i="11"/>
  <c r="G141" i="11"/>
  <c r="F141" i="11"/>
  <c r="E141" i="11"/>
  <c r="D141" i="11"/>
  <c r="C141" i="11"/>
  <c r="B140" i="11"/>
  <c r="A140" i="11"/>
  <c r="J140" i="11"/>
  <c r="I140" i="11"/>
  <c r="H140" i="11"/>
  <c r="G140" i="11"/>
  <c r="F140" i="11"/>
  <c r="E140" i="11"/>
  <c r="D140" i="11"/>
  <c r="C140" i="11"/>
  <c r="B139" i="11"/>
  <c r="A139" i="11"/>
  <c r="J139" i="11"/>
  <c r="I139" i="11"/>
  <c r="H139" i="11"/>
  <c r="G139" i="11"/>
  <c r="F139" i="11"/>
  <c r="E139" i="11"/>
  <c r="D139" i="11"/>
  <c r="C139" i="11"/>
  <c r="B138" i="11"/>
  <c r="A138" i="11"/>
  <c r="J138" i="11"/>
  <c r="I138" i="11"/>
  <c r="H138" i="11"/>
  <c r="G138" i="11"/>
  <c r="F138" i="11"/>
  <c r="E138" i="11"/>
  <c r="D138" i="11"/>
  <c r="C138" i="11"/>
  <c r="B137" i="11"/>
  <c r="A137" i="11"/>
  <c r="J137" i="11"/>
  <c r="I137" i="11"/>
  <c r="H137" i="11"/>
  <c r="G137" i="11"/>
  <c r="F137" i="11"/>
  <c r="E137" i="11"/>
  <c r="D137" i="11"/>
  <c r="C137" i="11"/>
  <c r="B136" i="11"/>
  <c r="A136" i="11"/>
  <c r="J136" i="11"/>
  <c r="I136" i="11"/>
  <c r="H136" i="11"/>
  <c r="G136" i="11"/>
  <c r="F136" i="11"/>
  <c r="E136" i="11"/>
  <c r="D136" i="11"/>
  <c r="C136" i="11"/>
  <c r="B135" i="11"/>
  <c r="A135" i="11"/>
  <c r="J135" i="11"/>
  <c r="I135" i="11"/>
  <c r="H135" i="11"/>
  <c r="G135" i="11"/>
  <c r="F135" i="11"/>
  <c r="E135" i="11"/>
  <c r="D135" i="11"/>
  <c r="C135" i="11"/>
  <c r="B134" i="11"/>
  <c r="A134" i="11"/>
  <c r="J134" i="11"/>
  <c r="I134" i="11"/>
  <c r="H134" i="11"/>
  <c r="G134" i="11"/>
  <c r="F134" i="11"/>
  <c r="E134" i="11"/>
  <c r="D134" i="11"/>
  <c r="C134" i="11"/>
  <c r="B133" i="11"/>
  <c r="A133" i="11"/>
  <c r="J133" i="11"/>
  <c r="I133" i="11"/>
  <c r="H133" i="11"/>
  <c r="G133" i="11"/>
  <c r="F133" i="11"/>
  <c r="E133" i="11"/>
  <c r="D133" i="11"/>
  <c r="C133" i="11"/>
  <c r="B132" i="11"/>
  <c r="A132" i="11"/>
  <c r="J132" i="11"/>
  <c r="I132" i="11"/>
  <c r="H132" i="11"/>
  <c r="G132" i="11"/>
  <c r="F132" i="11"/>
  <c r="E132" i="11"/>
  <c r="D132" i="11"/>
  <c r="C132" i="11"/>
  <c r="B131" i="11"/>
  <c r="A131" i="11"/>
  <c r="J131" i="11"/>
  <c r="I131" i="11"/>
  <c r="H131" i="11"/>
  <c r="G131" i="11"/>
  <c r="F131" i="11"/>
  <c r="E131" i="11"/>
  <c r="D131" i="11"/>
  <c r="C131" i="11"/>
  <c r="B130" i="11"/>
  <c r="A130" i="11"/>
  <c r="J130" i="11"/>
  <c r="I130" i="11"/>
  <c r="H130" i="11"/>
  <c r="G130" i="11"/>
  <c r="F130" i="11"/>
  <c r="E130" i="11"/>
  <c r="D130" i="11"/>
  <c r="C130" i="11"/>
  <c r="B129" i="11"/>
  <c r="A129" i="11"/>
  <c r="J129" i="11"/>
  <c r="I129" i="11"/>
  <c r="H129" i="11"/>
  <c r="G129" i="11"/>
  <c r="F129" i="11"/>
  <c r="E129" i="11"/>
  <c r="D129" i="11"/>
  <c r="C129" i="11"/>
  <c r="B128" i="11"/>
  <c r="A128" i="11"/>
  <c r="J128" i="11"/>
  <c r="I128" i="11"/>
  <c r="H128" i="11"/>
  <c r="G128" i="11"/>
  <c r="F128" i="11"/>
  <c r="E128" i="11"/>
  <c r="D128" i="11"/>
  <c r="C128" i="11"/>
  <c r="B127" i="11"/>
  <c r="A127" i="11"/>
  <c r="J127" i="11"/>
  <c r="I127" i="11"/>
  <c r="H127" i="11"/>
  <c r="G127" i="11"/>
  <c r="F127" i="11"/>
  <c r="E127" i="11"/>
  <c r="D127" i="11"/>
  <c r="C127" i="11"/>
  <c r="B126" i="11"/>
  <c r="A126" i="11"/>
  <c r="J126" i="11"/>
  <c r="I126" i="11"/>
  <c r="H126" i="11"/>
  <c r="G126" i="11"/>
  <c r="F126" i="11"/>
  <c r="E126" i="11"/>
  <c r="D126" i="11"/>
  <c r="C126" i="11"/>
  <c r="B125" i="11"/>
  <c r="A125" i="11"/>
  <c r="J125" i="11"/>
  <c r="I125" i="11"/>
  <c r="H125" i="11"/>
  <c r="G125" i="11"/>
  <c r="F125" i="11"/>
  <c r="E125" i="11"/>
  <c r="D125" i="11"/>
  <c r="C125" i="11"/>
  <c r="B124" i="11"/>
  <c r="A124" i="11"/>
  <c r="J124" i="11"/>
  <c r="I124" i="11"/>
  <c r="H124" i="11"/>
  <c r="G124" i="11"/>
  <c r="F124" i="11"/>
  <c r="E124" i="11"/>
  <c r="D124" i="11"/>
  <c r="C124" i="11"/>
  <c r="B123" i="11"/>
  <c r="A123" i="11"/>
  <c r="J123" i="11"/>
  <c r="I123" i="11"/>
  <c r="H123" i="11"/>
  <c r="G123" i="11"/>
  <c r="F123" i="11"/>
  <c r="E123" i="11"/>
  <c r="D123" i="11"/>
  <c r="C123" i="11"/>
  <c r="B122" i="11"/>
  <c r="A122" i="11"/>
  <c r="J122" i="11"/>
  <c r="I122" i="11"/>
  <c r="H122" i="11"/>
  <c r="G122" i="11"/>
  <c r="F122" i="11"/>
  <c r="E122" i="11"/>
  <c r="D122" i="11"/>
  <c r="C122" i="11"/>
  <c r="B121" i="11"/>
  <c r="A121" i="11"/>
  <c r="J121" i="11"/>
  <c r="I121" i="11"/>
  <c r="H121" i="11"/>
  <c r="G121" i="11"/>
  <c r="F121" i="11"/>
  <c r="E121" i="11"/>
  <c r="D121" i="11"/>
  <c r="C121" i="11"/>
  <c r="B120" i="11"/>
  <c r="A120" i="11"/>
  <c r="J120" i="11"/>
  <c r="I120" i="11"/>
  <c r="H120" i="11"/>
  <c r="G120" i="11"/>
  <c r="F120" i="11"/>
  <c r="E120" i="11"/>
  <c r="D120" i="11"/>
  <c r="C120" i="11"/>
  <c r="B119" i="11"/>
  <c r="A119" i="11"/>
  <c r="J119" i="11"/>
  <c r="I119" i="11"/>
  <c r="H119" i="11"/>
  <c r="G119" i="11"/>
  <c r="F119" i="11"/>
  <c r="E119" i="11"/>
  <c r="D119" i="11"/>
  <c r="C119" i="11"/>
  <c r="B118" i="11"/>
  <c r="A118" i="11"/>
  <c r="J118" i="11"/>
  <c r="I118" i="11"/>
  <c r="H118" i="11"/>
  <c r="G118" i="11"/>
  <c r="F118" i="11"/>
  <c r="E118" i="11"/>
  <c r="D118" i="11"/>
  <c r="C118" i="11"/>
  <c r="B117" i="11"/>
  <c r="A117" i="11"/>
  <c r="J117" i="11"/>
  <c r="I117" i="11"/>
  <c r="H117" i="11"/>
  <c r="G117" i="11"/>
  <c r="F117" i="11"/>
  <c r="E117" i="11"/>
  <c r="D117" i="11"/>
  <c r="C117" i="11"/>
  <c r="B116" i="11"/>
  <c r="A116" i="11"/>
  <c r="J116" i="11"/>
  <c r="I116" i="11"/>
  <c r="H116" i="11"/>
  <c r="G116" i="11"/>
  <c r="F116" i="11"/>
  <c r="E116" i="11"/>
  <c r="D116" i="11"/>
  <c r="C116" i="11"/>
  <c r="B115" i="11"/>
  <c r="A115" i="11"/>
  <c r="J115" i="11"/>
  <c r="I115" i="11"/>
  <c r="H115" i="11"/>
  <c r="G115" i="11"/>
  <c r="F115" i="11"/>
  <c r="E115" i="11"/>
  <c r="D115" i="11"/>
  <c r="C115" i="11"/>
  <c r="B114" i="11"/>
  <c r="A114" i="11"/>
  <c r="J114" i="11"/>
  <c r="I114" i="11"/>
  <c r="H114" i="11"/>
  <c r="G114" i="11"/>
  <c r="F114" i="11"/>
  <c r="E114" i="11"/>
  <c r="D114" i="11"/>
  <c r="C114" i="11"/>
  <c r="B113" i="11"/>
  <c r="A113" i="11"/>
  <c r="J113" i="11"/>
  <c r="I113" i="11"/>
  <c r="H113" i="11"/>
  <c r="G113" i="11"/>
  <c r="F113" i="11"/>
  <c r="E113" i="11"/>
  <c r="D113" i="11"/>
  <c r="C113" i="11"/>
  <c r="B112" i="11"/>
  <c r="A112" i="11"/>
  <c r="J112" i="11"/>
  <c r="I112" i="11"/>
  <c r="H112" i="11"/>
  <c r="G112" i="11"/>
  <c r="F112" i="11"/>
  <c r="E112" i="11"/>
  <c r="D112" i="11"/>
  <c r="C112" i="11"/>
  <c r="B111" i="11"/>
  <c r="A111" i="11"/>
  <c r="J111" i="11"/>
  <c r="I111" i="11"/>
  <c r="H111" i="11"/>
  <c r="G111" i="11"/>
  <c r="F111" i="11"/>
  <c r="E111" i="11"/>
  <c r="D111" i="11"/>
  <c r="C111" i="11"/>
  <c r="B110" i="11"/>
  <c r="A110" i="11"/>
  <c r="J110" i="11"/>
  <c r="I110" i="11"/>
  <c r="H110" i="11"/>
  <c r="G110" i="11"/>
  <c r="F110" i="11"/>
  <c r="E110" i="11"/>
  <c r="D110" i="11"/>
  <c r="C110" i="11"/>
  <c r="B109" i="11"/>
  <c r="A109" i="11"/>
  <c r="J109" i="11"/>
  <c r="I109" i="11"/>
  <c r="H109" i="11"/>
  <c r="G109" i="11"/>
  <c r="F109" i="11"/>
  <c r="E109" i="11"/>
  <c r="D109" i="11"/>
  <c r="C109" i="11"/>
  <c r="B108" i="11"/>
  <c r="A108" i="11"/>
  <c r="J108" i="11"/>
  <c r="I108" i="11"/>
  <c r="H108" i="11"/>
  <c r="G108" i="11"/>
  <c r="F108" i="11"/>
  <c r="E108" i="11"/>
  <c r="D108" i="11"/>
  <c r="C108" i="11"/>
  <c r="B107" i="11"/>
  <c r="A107" i="11"/>
  <c r="J107" i="11"/>
  <c r="I107" i="11"/>
  <c r="H107" i="11"/>
  <c r="G107" i="11"/>
  <c r="F107" i="11"/>
  <c r="E107" i="11"/>
  <c r="D107" i="11"/>
  <c r="C107" i="11"/>
  <c r="B106" i="11"/>
  <c r="A106" i="11"/>
  <c r="J106" i="11"/>
  <c r="I106" i="11"/>
  <c r="H106" i="11"/>
  <c r="G106" i="11"/>
  <c r="F106" i="11"/>
  <c r="E106" i="11"/>
  <c r="D106" i="11"/>
  <c r="C106" i="11"/>
  <c r="B105" i="11"/>
  <c r="A105" i="11"/>
  <c r="J105" i="11"/>
  <c r="I105" i="11"/>
  <c r="H105" i="11"/>
  <c r="G105" i="11"/>
  <c r="F105" i="11"/>
  <c r="E105" i="11"/>
  <c r="D105" i="11"/>
  <c r="C105" i="11"/>
  <c r="B104" i="11"/>
  <c r="A104" i="11"/>
  <c r="J104" i="11"/>
  <c r="I104" i="11"/>
  <c r="H104" i="11"/>
  <c r="G104" i="11"/>
  <c r="F104" i="11"/>
  <c r="E104" i="11"/>
  <c r="D104" i="11"/>
  <c r="C104" i="11"/>
  <c r="B103" i="11"/>
  <c r="A103" i="11"/>
  <c r="J103" i="11"/>
  <c r="I103" i="11"/>
  <c r="H103" i="11"/>
  <c r="G103" i="11"/>
  <c r="F103" i="11"/>
  <c r="E103" i="11"/>
  <c r="D103" i="11"/>
  <c r="C103" i="11"/>
  <c r="B102" i="11"/>
  <c r="A102" i="11"/>
  <c r="J102" i="11"/>
  <c r="I102" i="11"/>
  <c r="H102" i="11"/>
  <c r="G102" i="11"/>
  <c r="F102" i="11"/>
  <c r="E102" i="11"/>
  <c r="D102" i="11"/>
  <c r="C102" i="11"/>
  <c r="B101" i="11"/>
  <c r="A101" i="11"/>
  <c r="J101" i="11"/>
  <c r="I101" i="11"/>
  <c r="H101" i="11"/>
  <c r="G101" i="11"/>
  <c r="F101" i="11"/>
  <c r="E101" i="11"/>
  <c r="D101" i="11"/>
  <c r="C101" i="11"/>
  <c r="B100" i="11"/>
  <c r="A100" i="11"/>
  <c r="J100" i="11"/>
  <c r="I100" i="11"/>
  <c r="H100" i="11"/>
  <c r="G100" i="11"/>
  <c r="F100" i="11"/>
  <c r="E100" i="11"/>
  <c r="D100" i="11"/>
  <c r="C100" i="11"/>
  <c r="B99" i="11"/>
  <c r="A99" i="11"/>
  <c r="J99" i="11"/>
  <c r="I99" i="11"/>
  <c r="H99" i="11"/>
  <c r="G99" i="11"/>
  <c r="F99" i="11"/>
  <c r="E99" i="11"/>
  <c r="D99" i="11"/>
  <c r="C99" i="11"/>
  <c r="B98" i="11"/>
  <c r="A98" i="11"/>
  <c r="J98" i="11"/>
  <c r="I98" i="11"/>
  <c r="H98" i="11"/>
  <c r="G98" i="11"/>
  <c r="F98" i="11"/>
  <c r="E98" i="11"/>
  <c r="D98" i="11"/>
  <c r="C98" i="11"/>
  <c r="B97" i="11"/>
  <c r="A97" i="11"/>
  <c r="J97" i="11"/>
  <c r="I97" i="11"/>
  <c r="H97" i="11"/>
  <c r="G97" i="11"/>
  <c r="F97" i="11"/>
  <c r="E97" i="11"/>
  <c r="D97" i="11"/>
  <c r="C97" i="11"/>
  <c r="B96" i="11"/>
  <c r="A96" i="11"/>
  <c r="J96" i="11"/>
  <c r="I96" i="11"/>
  <c r="H96" i="11"/>
  <c r="G96" i="11"/>
  <c r="F96" i="11"/>
  <c r="E96" i="11"/>
  <c r="D96" i="11"/>
  <c r="C96" i="11"/>
  <c r="B95" i="11"/>
  <c r="A95" i="11"/>
  <c r="J95" i="11"/>
  <c r="I95" i="11"/>
  <c r="H95" i="11"/>
  <c r="G95" i="11"/>
  <c r="F95" i="11"/>
  <c r="E95" i="11"/>
  <c r="D95" i="11"/>
  <c r="C95" i="11"/>
  <c r="B94" i="11"/>
  <c r="A94" i="11"/>
  <c r="J94" i="11"/>
  <c r="I94" i="11"/>
  <c r="H94" i="11"/>
  <c r="G94" i="11"/>
  <c r="F94" i="11"/>
  <c r="E94" i="11"/>
  <c r="D94" i="11"/>
  <c r="C94" i="11"/>
  <c r="B93" i="11"/>
  <c r="A93" i="11"/>
  <c r="J93" i="11"/>
  <c r="I93" i="11"/>
  <c r="H93" i="11"/>
  <c r="G93" i="11"/>
  <c r="F93" i="11"/>
  <c r="E93" i="11"/>
  <c r="D93" i="11"/>
  <c r="C93" i="11"/>
  <c r="B92" i="11"/>
  <c r="A92" i="11"/>
  <c r="J92" i="11"/>
  <c r="I92" i="11"/>
  <c r="H92" i="11"/>
  <c r="G92" i="11"/>
  <c r="F92" i="11"/>
  <c r="E92" i="11"/>
  <c r="D92" i="11"/>
  <c r="C92" i="11"/>
  <c r="B91" i="11"/>
  <c r="A91" i="11"/>
  <c r="J91" i="11"/>
  <c r="I91" i="11"/>
  <c r="H91" i="11"/>
  <c r="G91" i="11"/>
  <c r="F91" i="11"/>
  <c r="E91" i="11"/>
  <c r="D91" i="11"/>
  <c r="C91" i="11"/>
  <c r="B90" i="11"/>
  <c r="A90" i="11"/>
  <c r="J90" i="11"/>
  <c r="I90" i="11"/>
  <c r="H90" i="11"/>
  <c r="G90" i="11"/>
  <c r="F90" i="11"/>
  <c r="E90" i="11"/>
  <c r="D90" i="11"/>
  <c r="C90" i="11"/>
  <c r="B89" i="11"/>
  <c r="A89" i="11"/>
  <c r="J89" i="11"/>
  <c r="I89" i="11"/>
  <c r="H89" i="11"/>
  <c r="G89" i="11"/>
  <c r="F89" i="11"/>
  <c r="E89" i="11"/>
  <c r="D89" i="11"/>
  <c r="C89" i="11"/>
  <c r="B88" i="11"/>
  <c r="A88" i="11"/>
  <c r="J88" i="11"/>
  <c r="I88" i="11"/>
  <c r="H88" i="11"/>
  <c r="G88" i="11"/>
  <c r="F88" i="11"/>
  <c r="E88" i="11"/>
  <c r="D88" i="11"/>
  <c r="C88" i="11"/>
  <c r="B87" i="11"/>
  <c r="A87" i="11"/>
  <c r="J87" i="11"/>
  <c r="I87" i="11"/>
  <c r="H87" i="11"/>
  <c r="G87" i="11"/>
  <c r="F87" i="11"/>
  <c r="E87" i="11"/>
  <c r="D87" i="11"/>
  <c r="C87" i="11"/>
  <c r="B86" i="11"/>
  <c r="A86" i="11"/>
  <c r="J86" i="11"/>
  <c r="I86" i="11"/>
  <c r="H86" i="11"/>
  <c r="G86" i="11"/>
  <c r="F86" i="11"/>
  <c r="E86" i="11"/>
  <c r="D86" i="11"/>
  <c r="C86" i="11"/>
  <c r="B85" i="11"/>
  <c r="A85" i="11"/>
  <c r="J85" i="11"/>
  <c r="I85" i="11"/>
  <c r="H85" i="11"/>
  <c r="G85" i="11"/>
  <c r="F85" i="11"/>
  <c r="E85" i="11"/>
  <c r="D85" i="11"/>
  <c r="C85" i="11"/>
  <c r="B84" i="11"/>
  <c r="A84" i="11"/>
  <c r="J84" i="11"/>
  <c r="I84" i="11"/>
  <c r="H84" i="11"/>
  <c r="G84" i="11"/>
  <c r="F84" i="11"/>
  <c r="E84" i="11"/>
  <c r="D84" i="11"/>
  <c r="C84" i="11"/>
  <c r="B83" i="11"/>
  <c r="A83" i="11"/>
  <c r="J83" i="11"/>
  <c r="I83" i="11"/>
  <c r="H83" i="11"/>
  <c r="G83" i="11"/>
  <c r="F83" i="11"/>
  <c r="E83" i="11"/>
  <c r="D83" i="11"/>
  <c r="C83" i="11"/>
  <c r="B82" i="11"/>
  <c r="A82" i="11"/>
  <c r="J82" i="11"/>
  <c r="I82" i="11"/>
  <c r="H82" i="11"/>
  <c r="G82" i="11"/>
  <c r="F82" i="11"/>
  <c r="E82" i="11"/>
  <c r="D82" i="11"/>
  <c r="C82" i="11"/>
  <c r="B81" i="11"/>
  <c r="A81" i="11"/>
  <c r="J81" i="11"/>
  <c r="I81" i="11"/>
  <c r="H81" i="11"/>
  <c r="G81" i="11"/>
  <c r="F81" i="11"/>
  <c r="E81" i="11"/>
  <c r="D81" i="11"/>
  <c r="C81" i="11"/>
  <c r="B80" i="11"/>
  <c r="A80" i="11"/>
  <c r="J80" i="11"/>
  <c r="I80" i="11"/>
  <c r="H80" i="11"/>
  <c r="G80" i="11"/>
  <c r="F80" i="11"/>
  <c r="E80" i="11"/>
  <c r="D80" i="11"/>
  <c r="C80" i="11"/>
  <c r="B79" i="11"/>
  <c r="A79" i="11"/>
  <c r="J79" i="11"/>
  <c r="I79" i="11"/>
  <c r="H79" i="11"/>
  <c r="G79" i="11"/>
  <c r="F79" i="11"/>
  <c r="E79" i="11"/>
  <c r="D79" i="11"/>
  <c r="C79" i="11"/>
  <c r="B78" i="11"/>
  <c r="A78" i="11"/>
  <c r="J78" i="11"/>
  <c r="I78" i="11"/>
  <c r="H78" i="11"/>
  <c r="G78" i="11"/>
  <c r="F78" i="11"/>
  <c r="E78" i="11"/>
  <c r="D78" i="11"/>
  <c r="C78" i="11"/>
  <c r="B77" i="11"/>
  <c r="A77" i="11"/>
  <c r="J77" i="11"/>
  <c r="I77" i="11"/>
  <c r="H77" i="11"/>
  <c r="G77" i="11"/>
  <c r="F77" i="11"/>
  <c r="E77" i="11"/>
  <c r="D77" i="11"/>
  <c r="C77" i="11"/>
  <c r="B76" i="11"/>
  <c r="A76" i="11"/>
  <c r="J76" i="11"/>
  <c r="I76" i="11"/>
  <c r="H76" i="11"/>
  <c r="G76" i="11"/>
  <c r="F76" i="11"/>
  <c r="E76" i="11"/>
  <c r="D76" i="11"/>
  <c r="C76" i="11"/>
  <c r="B75" i="11"/>
  <c r="A75" i="11"/>
  <c r="J75" i="11"/>
  <c r="I75" i="11"/>
  <c r="H75" i="11"/>
  <c r="G75" i="11"/>
  <c r="F75" i="11"/>
  <c r="E75" i="11"/>
  <c r="D75" i="11"/>
  <c r="C75" i="11"/>
  <c r="B74" i="11"/>
  <c r="A74" i="11"/>
  <c r="J74" i="11"/>
  <c r="I74" i="11"/>
  <c r="H74" i="11"/>
  <c r="G74" i="11"/>
  <c r="F74" i="11"/>
  <c r="E74" i="11"/>
  <c r="D74" i="11"/>
  <c r="C74" i="11"/>
  <c r="B73" i="11"/>
  <c r="A73" i="11"/>
  <c r="J73" i="11"/>
  <c r="I73" i="11"/>
  <c r="H73" i="11"/>
  <c r="G73" i="11"/>
  <c r="F73" i="11"/>
  <c r="E73" i="11"/>
  <c r="D73" i="11"/>
  <c r="C73" i="11"/>
  <c r="B72" i="11"/>
  <c r="A72" i="11"/>
  <c r="J72" i="11"/>
  <c r="I72" i="11"/>
  <c r="H72" i="11"/>
  <c r="G72" i="11"/>
  <c r="F72" i="11"/>
  <c r="E72" i="11"/>
  <c r="D72" i="11"/>
  <c r="C72" i="11"/>
  <c r="B71" i="11"/>
  <c r="A71" i="11"/>
  <c r="J71" i="11"/>
  <c r="I71" i="11"/>
  <c r="H71" i="11"/>
  <c r="G71" i="11"/>
  <c r="F71" i="11"/>
  <c r="E71" i="11"/>
  <c r="D71" i="11"/>
  <c r="C71" i="11"/>
  <c r="B70" i="11"/>
  <c r="A70" i="11"/>
  <c r="J70" i="11"/>
  <c r="I70" i="11"/>
  <c r="H70" i="11"/>
  <c r="G70" i="11"/>
  <c r="F70" i="11"/>
  <c r="E70" i="11"/>
  <c r="D70" i="11"/>
  <c r="C70" i="11"/>
  <c r="B69" i="11"/>
  <c r="A69" i="11"/>
  <c r="J69" i="11"/>
  <c r="I69" i="11"/>
  <c r="H69" i="11"/>
  <c r="G69" i="11"/>
  <c r="F69" i="11"/>
  <c r="E69" i="11"/>
  <c r="D69" i="11"/>
  <c r="C69" i="11"/>
  <c r="B68" i="11"/>
  <c r="A68" i="11"/>
  <c r="J68" i="11"/>
  <c r="I68" i="11"/>
  <c r="H68" i="11"/>
  <c r="G68" i="11"/>
  <c r="F68" i="11"/>
  <c r="E68" i="11"/>
  <c r="D68" i="11"/>
  <c r="C68" i="11"/>
  <c r="B67" i="11"/>
  <c r="A67" i="11"/>
  <c r="J67" i="11"/>
  <c r="I67" i="11"/>
  <c r="H67" i="11"/>
  <c r="G67" i="11"/>
  <c r="F67" i="11"/>
  <c r="E67" i="11"/>
  <c r="D67" i="11"/>
  <c r="C67" i="11"/>
  <c r="B66" i="11"/>
  <c r="A66" i="11"/>
  <c r="J66" i="11"/>
  <c r="I66" i="11"/>
  <c r="H66" i="11"/>
  <c r="G66" i="11"/>
  <c r="F66" i="11"/>
  <c r="E66" i="11"/>
  <c r="D66" i="11"/>
  <c r="C66" i="11"/>
  <c r="B65" i="11"/>
  <c r="A65" i="11"/>
  <c r="J65" i="11"/>
  <c r="I65" i="11"/>
  <c r="H65" i="11"/>
  <c r="G65" i="11"/>
  <c r="F65" i="11"/>
  <c r="E65" i="11"/>
  <c r="D65" i="11"/>
  <c r="C65" i="11"/>
  <c r="B64" i="11"/>
  <c r="A64" i="11"/>
  <c r="J64" i="11"/>
  <c r="I64" i="11"/>
  <c r="H64" i="11"/>
  <c r="G64" i="11"/>
  <c r="F64" i="11"/>
  <c r="E64" i="11"/>
  <c r="D64" i="11"/>
  <c r="C64" i="11"/>
  <c r="B63" i="11"/>
  <c r="A63" i="11"/>
  <c r="J63" i="11"/>
  <c r="I63" i="11"/>
  <c r="H63" i="11"/>
  <c r="G63" i="11"/>
  <c r="F63" i="11"/>
  <c r="E63" i="11"/>
  <c r="D63" i="11"/>
  <c r="C63" i="11"/>
  <c r="B62" i="11"/>
  <c r="A62" i="11"/>
  <c r="J62" i="11"/>
  <c r="I62" i="11"/>
  <c r="H62" i="11"/>
  <c r="G62" i="11"/>
  <c r="F62" i="11"/>
  <c r="E62" i="11"/>
  <c r="D62" i="11"/>
  <c r="C62" i="11"/>
  <c r="B61" i="11"/>
  <c r="A61" i="11"/>
  <c r="J61" i="11"/>
  <c r="I61" i="11"/>
  <c r="H61" i="11"/>
  <c r="G61" i="11"/>
  <c r="F61" i="11"/>
  <c r="E61" i="11"/>
  <c r="D61" i="11"/>
  <c r="C61" i="11"/>
  <c r="B60" i="11"/>
  <c r="A60" i="11"/>
  <c r="J60" i="11"/>
  <c r="I60" i="11"/>
  <c r="H60" i="11"/>
  <c r="G60" i="11"/>
  <c r="F60" i="11"/>
  <c r="E60" i="11"/>
  <c r="D60" i="11"/>
  <c r="C60" i="11"/>
  <c r="B59" i="11"/>
  <c r="A59" i="11"/>
  <c r="J59" i="11"/>
  <c r="I59" i="11"/>
  <c r="H59" i="11"/>
  <c r="G59" i="11"/>
  <c r="F59" i="11"/>
  <c r="E59" i="11"/>
  <c r="D59" i="11"/>
  <c r="C59" i="11"/>
  <c r="B58" i="11"/>
  <c r="A58" i="11"/>
  <c r="J58" i="11"/>
  <c r="I58" i="11"/>
  <c r="H58" i="11"/>
  <c r="G58" i="11"/>
  <c r="F58" i="11"/>
  <c r="E58" i="11"/>
  <c r="D58" i="11"/>
  <c r="C58" i="11"/>
  <c r="B57" i="11"/>
  <c r="A57" i="11"/>
  <c r="J57" i="11"/>
  <c r="I57" i="11"/>
  <c r="H57" i="11"/>
  <c r="G57" i="11"/>
  <c r="F57" i="11"/>
  <c r="E57" i="11"/>
  <c r="D57" i="11"/>
  <c r="C57" i="11"/>
  <c r="B56" i="11"/>
  <c r="A56" i="11"/>
  <c r="J56" i="11"/>
  <c r="I56" i="11"/>
  <c r="H56" i="11"/>
  <c r="G56" i="11"/>
  <c r="F56" i="11"/>
  <c r="E56" i="11"/>
  <c r="D56" i="11"/>
  <c r="C56" i="11"/>
  <c r="B55" i="11"/>
  <c r="A55" i="11"/>
  <c r="J55" i="11"/>
  <c r="I55" i="11"/>
  <c r="H55" i="11"/>
  <c r="G55" i="11"/>
  <c r="F55" i="11"/>
  <c r="E55" i="11"/>
  <c r="D55" i="11"/>
  <c r="C55" i="11"/>
  <c r="B54" i="11"/>
  <c r="A54" i="11"/>
  <c r="J54" i="11"/>
  <c r="I54" i="11"/>
  <c r="H54" i="11"/>
  <c r="G54" i="11"/>
  <c r="F54" i="11"/>
  <c r="E54" i="11"/>
  <c r="D54" i="11"/>
  <c r="C54" i="11"/>
  <c r="B53" i="11"/>
  <c r="A53" i="11"/>
  <c r="J53" i="11"/>
  <c r="I53" i="11"/>
  <c r="H53" i="11"/>
  <c r="G53" i="11"/>
  <c r="F53" i="11"/>
  <c r="E53" i="11"/>
  <c r="D53" i="11"/>
  <c r="C53" i="11"/>
  <c r="B52" i="11"/>
  <c r="A52" i="11"/>
  <c r="J52" i="11"/>
  <c r="I52" i="11"/>
  <c r="H52" i="11"/>
  <c r="G52" i="11"/>
  <c r="F52" i="11"/>
  <c r="E52" i="11"/>
  <c r="D52" i="11"/>
  <c r="C52" i="11"/>
  <c r="B51" i="11"/>
  <c r="A51" i="11"/>
  <c r="J51" i="11"/>
  <c r="I51" i="11"/>
  <c r="H51" i="11"/>
  <c r="G51" i="11"/>
  <c r="F51" i="11"/>
  <c r="E51" i="11"/>
  <c r="D51" i="11"/>
  <c r="C51" i="11"/>
  <c r="B50" i="11"/>
  <c r="A50" i="11"/>
  <c r="J50" i="11"/>
  <c r="I50" i="11"/>
  <c r="H50" i="11"/>
  <c r="G50" i="11"/>
  <c r="F50" i="11"/>
  <c r="E50" i="11"/>
  <c r="D50" i="11"/>
  <c r="C50" i="11"/>
  <c r="B49" i="11"/>
  <c r="A49" i="11"/>
  <c r="J49" i="11"/>
  <c r="I49" i="11"/>
  <c r="H49" i="11"/>
  <c r="G49" i="11"/>
  <c r="F49" i="11"/>
  <c r="E49" i="11"/>
  <c r="D49" i="11"/>
  <c r="C49" i="11"/>
  <c r="B48" i="11"/>
  <c r="A48" i="11"/>
  <c r="J48" i="11"/>
  <c r="I48" i="11"/>
  <c r="H48" i="11"/>
  <c r="G48" i="11"/>
  <c r="F48" i="11"/>
  <c r="E48" i="11"/>
  <c r="D48" i="11"/>
  <c r="C48" i="11"/>
  <c r="B47" i="11"/>
  <c r="A47" i="11"/>
  <c r="J47" i="11"/>
  <c r="I47" i="11"/>
  <c r="H47" i="11"/>
  <c r="G47" i="11"/>
  <c r="F47" i="11"/>
  <c r="E47" i="11"/>
  <c r="D47" i="11"/>
  <c r="C47" i="11"/>
  <c r="B46" i="11"/>
  <c r="A46" i="11"/>
  <c r="J46" i="11"/>
  <c r="I46" i="11"/>
  <c r="H46" i="11"/>
  <c r="G46" i="11"/>
  <c r="F46" i="11"/>
  <c r="E46" i="11"/>
  <c r="D46" i="11"/>
  <c r="C46" i="11"/>
  <c r="B45" i="11"/>
  <c r="A45" i="11"/>
  <c r="J45" i="11"/>
  <c r="I45" i="11"/>
  <c r="H45" i="11"/>
  <c r="G45" i="11"/>
  <c r="F45" i="11"/>
  <c r="E45" i="11"/>
  <c r="D45" i="11"/>
  <c r="C45" i="11"/>
  <c r="B44" i="11"/>
  <c r="A44" i="11"/>
  <c r="J44" i="11"/>
  <c r="I44" i="11"/>
  <c r="H44" i="11"/>
  <c r="G44" i="11"/>
  <c r="F44" i="11"/>
  <c r="E44" i="11"/>
  <c r="D44" i="11"/>
  <c r="C44" i="11"/>
  <c r="B43" i="11"/>
  <c r="A43" i="11"/>
  <c r="J43" i="11"/>
  <c r="I43" i="11"/>
  <c r="H43" i="11"/>
  <c r="G43" i="11"/>
  <c r="F43" i="11"/>
  <c r="E43" i="11"/>
  <c r="D43" i="11"/>
  <c r="C43" i="11"/>
  <c r="B42" i="11"/>
  <c r="A42" i="11"/>
  <c r="I42" i="11"/>
  <c r="H42" i="11"/>
  <c r="G42" i="11"/>
  <c r="F42" i="11"/>
  <c r="E42" i="11"/>
  <c r="D42" i="11"/>
  <c r="C42" i="11"/>
  <c r="I41" i="11"/>
  <c r="H41" i="11"/>
  <c r="C41" i="11"/>
  <c r="I40" i="11"/>
  <c r="H40" i="11"/>
  <c r="C40" i="11"/>
  <c r="I39" i="11"/>
  <c r="H39" i="11"/>
  <c r="C39" i="11"/>
  <c r="I38" i="11"/>
  <c r="H38" i="11"/>
  <c r="C38" i="11"/>
  <c r="I37" i="11"/>
  <c r="H37" i="11"/>
  <c r="C37" i="11"/>
  <c r="I36" i="11"/>
  <c r="H36" i="11"/>
  <c r="C36" i="11"/>
  <c r="I35" i="11"/>
  <c r="H35" i="11"/>
  <c r="C35" i="11"/>
  <c r="I34" i="11"/>
  <c r="H34" i="11"/>
  <c r="C34" i="11"/>
  <c r="H33" i="11"/>
  <c r="C33" i="11"/>
  <c r="J32" i="11"/>
  <c r="I32" i="11"/>
  <c r="H32" i="11"/>
  <c r="G32" i="11"/>
  <c r="F32" i="11"/>
  <c r="E32" i="11"/>
  <c r="D32" i="11"/>
  <c r="C32" i="11"/>
  <c r="B32" i="11"/>
  <c r="A32" i="11"/>
  <c r="J362" i="10"/>
  <c r="I362" i="10"/>
  <c r="H362" i="10"/>
  <c r="G362" i="10"/>
  <c r="F362" i="10"/>
  <c r="E362" i="10"/>
  <c r="D362" i="10"/>
  <c r="C362" i="10"/>
  <c r="B361" i="10"/>
  <c r="A361" i="10"/>
  <c r="J361" i="10"/>
  <c r="I361" i="10"/>
  <c r="H361" i="10"/>
  <c r="G361" i="10"/>
  <c r="F361" i="10"/>
  <c r="E361" i="10"/>
  <c r="D361" i="10"/>
  <c r="C361" i="10"/>
  <c r="B360" i="10"/>
  <c r="A360" i="10"/>
  <c r="J360" i="10"/>
  <c r="I360" i="10"/>
  <c r="H360" i="10"/>
  <c r="G360" i="10"/>
  <c r="F360" i="10"/>
  <c r="E360" i="10"/>
  <c r="D360" i="10"/>
  <c r="C360" i="10"/>
  <c r="B359" i="10"/>
  <c r="A359" i="10"/>
  <c r="J359" i="10"/>
  <c r="I359" i="10"/>
  <c r="H359" i="10"/>
  <c r="G359" i="10"/>
  <c r="F359" i="10"/>
  <c r="E359" i="10"/>
  <c r="D359" i="10"/>
  <c r="C359" i="10"/>
  <c r="B358" i="10"/>
  <c r="A358" i="10"/>
  <c r="J358" i="10"/>
  <c r="I358" i="10"/>
  <c r="H358" i="10"/>
  <c r="G358" i="10"/>
  <c r="F358" i="10"/>
  <c r="E358" i="10"/>
  <c r="D358" i="10"/>
  <c r="C358" i="10"/>
  <c r="B357" i="10"/>
  <c r="A357" i="10"/>
  <c r="J357" i="10"/>
  <c r="I357" i="10"/>
  <c r="H357" i="10"/>
  <c r="G357" i="10"/>
  <c r="F357" i="10"/>
  <c r="E357" i="10"/>
  <c r="D357" i="10"/>
  <c r="C357" i="10"/>
  <c r="B356" i="10"/>
  <c r="A356" i="10"/>
  <c r="J356" i="10"/>
  <c r="I356" i="10"/>
  <c r="H356" i="10"/>
  <c r="G356" i="10"/>
  <c r="F356" i="10"/>
  <c r="E356" i="10"/>
  <c r="D356" i="10"/>
  <c r="C356" i="10"/>
  <c r="B355" i="10"/>
  <c r="A355" i="10"/>
  <c r="J355" i="10"/>
  <c r="I355" i="10"/>
  <c r="H355" i="10"/>
  <c r="G355" i="10"/>
  <c r="F355" i="10"/>
  <c r="E355" i="10"/>
  <c r="D355" i="10"/>
  <c r="C355" i="10"/>
  <c r="B354" i="10"/>
  <c r="A354" i="10"/>
  <c r="J354" i="10"/>
  <c r="I354" i="10"/>
  <c r="H354" i="10"/>
  <c r="G354" i="10"/>
  <c r="F354" i="10"/>
  <c r="E354" i="10"/>
  <c r="D354" i="10"/>
  <c r="C354" i="10"/>
  <c r="B353" i="10"/>
  <c r="A353" i="10"/>
  <c r="J353" i="10"/>
  <c r="I353" i="10"/>
  <c r="H353" i="10"/>
  <c r="G353" i="10"/>
  <c r="F353" i="10"/>
  <c r="E353" i="10"/>
  <c r="D353" i="10"/>
  <c r="C353" i="10"/>
  <c r="B352" i="10"/>
  <c r="A352" i="10"/>
  <c r="J352" i="10"/>
  <c r="I352" i="10"/>
  <c r="H352" i="10"/>
  <c r="G352" i="10"/>
  <c r="F352" i="10"/>
  <c r="E352" i="10"/>
  <c r="D352" i="10"/>
  <c r="C352" i="10"/>
  <c r="B351" i="10"/>
  <c r="A351" i="10"/>
  <c r="J351" i="10"/>
  <c r="I351" i="10"/>
  <c r="H351" i="10"/>
  <c r="G351" i="10"/>
  <c r="F351" i="10"/>
  <c r="E351" i="10"/>
  <c r="D351" i="10"/>
  <c r="C351" i="10"/>
  <c r="B350" i="10"/>
  <c r="A350" i="10"/>
  <c r="J350" i="10"/>
  <c r="I350" i="10"/>
  <c r="H350" i="10"/>
  <c r="G350" i="10"/>
  <c r="F350" i="10"/>
  <c r="E350" i="10"/>
  <c r="D350" i="10"/>
  <c r="C350" i="10"/>
  <c r="B349" i="10"/>
  <c r="A349" i="10"/>
  <c r="J349" i="10"/>
  <c r="I349" i="10"/>
  <c r="H349" i="10"/>
  <c r="G349" i="10"/>
  <c r="F349" i="10"/>
  <c r="E349" i="10"/>
  <c r="D349" i="10"/>
  <c r="C349" i="10"/>
  <c r="B348" i="10"/>
  <c r="A348" i="10"/>
  <c r="J348" i="10"/>
  <c r="I348" i="10"/>
  <c r="H348" i="10"/>
  <c r="G348" i="10"/>
  <c r="F348" i="10"/>
  <c r="E348" i="10"/>
  <c r="D348" i="10"/>
  <c r="C348" i="10"/>
  <c r="B347" i="10"/>
  <c r="A347" i="10"/>
  <c r="J347" i="10"/>
  <c r="I347" i="10"/>
  <c r="H347" i="10"/>
  <c r="G347" i="10"/>
  <c r="F347" i="10"/>
  <c r="E347" i="10"/>
  <c r="D347" i="10"/>
  <c r="C347" i="10"/>
  <c r="B346" i="10"/>
  <c r="A346" i="10"/>
  <c r="J346" i="10"/>
  <c r="I346" i="10"/>
  <c r="H346" i="10"/>
  <c r="G346" i="10"/>
  <c r="F346" i="10"/>
  <c r="E346" i="10"/>
  <c r="D346" i="10"/>
  <c r="C346" i="10"/>
  <c r="B345" i="10"/>
  <c r="A345" i="10"/>
  <c r="J345" i="10"/>
  <c r="I345" i="10"/>
  <c r="H345" i="10"/>
  <c r="G345" i="10"/>
  <c r="F345" i="10"/>
  <c r="E345" i="10"/>
  <c r="D345" i="10"/>
  <c r="C345" i="10"/>
  <c r="B344" i="10"/>
  <c r="A344" i="10"/>
  <c r="J344" i="10"/>
  <c r="I344" i="10"/>
  <c r="H344" i="10"/>
  <c r="G344" i="10"/>
  <c r="F344" i="10"/>
  <c r="E344" i="10"/>
  <c r="D344" i="10"/>
  <c r="C344" i="10"/>
  <c r="B343" i="10"/>
  <c r="A343" i="10"/>
  <c r="J343" i="10"/>
  <c r="I343" i="10"/>
  <c r="H343" i="10"/>
  <c r="G343" i="10"/>
  <c r="F343" i="10"/>
  <c r="E343" i="10"/>
  <c r="D343" i="10"/>
  <c r="C343" i="10"/>
  <c r="B342" i="10"/>
  <c r="A342" i="10"/>
  <c r="J342" i="10"/>
  <c r="I342" i="10"/>
  <c r="H342" i="10"/>
  <c r="G342" i="10"/>
  <c r="F342" i="10"/>
  <c r="E342" i="10"/>
  <c r="D342" i="10"/>
  <c r="C342" i="10"/>
  <c r="B341" i="10"/>
  <c r="A341" i="10"/>
  <c r="J341" i="10"/>
  <c r="I341" i="10"/>
  <c r="H341" i="10"/>
  <c r="G341" i="10"/>
  <c r="F341" i="10"/>
  <c r="E341" i="10"/>
  <c r="D341" i="10"/>
  <c r="C341" i="10"/>
  <c r="B340" i="10"/>
  <c r="A340" i="10"/>
  <c r="J340" i="10"/>
  <c r="I340" i="10"/>
  <c r="H340" i="10"/>
  <c r="G340" i="10"/>
  <c r="F340" i="10"/>
  <c r="E340" i="10"/>
  <c r="D340" i="10"/>
  <c r="C340" i="10"/>
  <c r="B339" i="10"/>
  <c r="A339" i="10"/>
  <c r="J339" i="10"/>
  <c r="I339" i="10"/>
  <c r="H339" i="10"/>
  <c r="G339" i="10"/>
  <c r="F339" i="10"/>
  <c r="E339" i="10"/>
  <c r="D339" i="10"/>
  <c r="C339" i="10"/>
  <c r="B338" i="10"/>
  <c r="A338" i="10"/>
  <c r="J338" i="10"/>
  <c r="I338" i="10"/>
  <c r="H338" i="10"/>
  <c r="G338" i="10"/>
  <c r="F338" i="10"/>
  <c r="E338" i="10"/>
  <c r="D338" i="10"/>
  <c r="C338" i="10"/>
  <c r="B337" i="10"/>
  <c r="A337" i="10"/>
  <c r="J337" i="10"/>
  <c r="I337" i="10"/>
  <c r="H337" i="10"/>
  <c r="G337" i="10"/>
  <c r="F337" i="10"/>
  <c r="E337" i="10"/>
  <c r="D337" i="10"/>
  <c r="C337" i="10"/>
  <c r="B336" i="10"/>
  <c r="A336" i="10"/>
  <c r="J336" i="10"/>
  <c r="I336" i="10"/>
  <c r="H336" i="10"/>
  <c r="G336" i="10"/>
  <c r="F336" i="10"/>
  <c r="E336" i="10"/>
  <c r="D336" i="10"/>
  <c r="C336" i="10"/>
  <c r="B335" i="10"/>
  <c r="A335" i="10"/>
  <c r="J335" i="10"/>
  <c r="I335" i="10"/>
  <c r="H335" i="10"/>
  <c r="G335" i="10"/>
  <c r="F335" i="10"/>
  <c r="E335" i="10"/>
  <c r="D335" i="10"/>
  <c r="C335" i="10"/>
  <c r="B334" i="10"/>
  <c r="A334" i="10"/>
  <c r="J334" i="10"/>
  <c r="I334" i="10"/>
  <c r="H334" i="10"/>
  <c r="G334" i="10"/>
  <c r="F334" i="10"/>
  <c r="E334" i="10"/>
  <c r="D334" i="10"/>
  <c r="C334" i="10"/>
  <c r="B333" i="10"/>
  <c r="A333" i="10"/>
  <c r="J333" i="10"/>
  <c r="I333" i="10"/>
  <c r="H333" i="10"/>
  <c r="G333" i="10"/>
  <c r="F333" i="10"/>
  <c r="E333" i="10"/>
  <c r="D333" i="10"/>
  <c r="C333" i="10"/>
  <c r="B332" i="10"/>
  <c r="A332" i="10"/>
  <c r="J332" i="10"/>
  <c r="I332" i="10"/>
  <c r="H332" i="10"/>
  <c r="G332" i="10"/>
  <c r="F332" i="10"/>
  <c r="E332" i="10"/>
  <c r="D332" i="10"/>
  <c r="C332" i="10"/>
  <c r="B331" i="10"/>
  <c r="A331" i="10"/>
  <c r="J331" i="10"/>
  <c r="I331" i="10"/>
  <c r="H331" i="10"/>
  <c r="G331" i="10"/>
  <c r="F331" i="10"/>
  <c r="E331" i="10"/>
  <c r="D331" i="10"/>
  <c r="C331" i="10"/>
  <c r="B330" i="10"/>
  <c r="A330" i="10"/>
  <c r="J330" i="10"/>
  <c r="I330" i="10"/>
  <c r="H330" i="10"/>
  <c r="G330" i="10"/>
  <c r="F330" i="10"/>
  <c r="E330" i="10"/>
  <c r="D330" i="10"/>
  <c r="C330" i="10"/>
  <c r="B329" i="10"/>
  <c r="A329" i="10"/>
  <c r="J329" i="10"/>
  <c r="I329" i="10"/>
  <c r="H329" i="10"/>
  <c r="G329" i="10"/>
  <c r="F329" i="10"/>
  <c r="E329" i="10"/>
  <c r="D329" i="10"/>
  <c r="C329" i="10"/>
  <c r="B328" i="10"/>
  <c r="A328" i="10"/>
  <c r="J328" i="10"/>
  <c r="I328" i="10"/>
  <c r="H328" i="10"/>
  <c r="G328" i="10"/>
  <c r="F328" i="10"/>
  <c r="E328" i="10"/>
  <c r="D328" i="10"/>
  <c r="C328" i="10"/>
  <c r="B327" i="10"/>
  <c r="A327" i="10"/>
  <c r="J327" i="10"/>
  <c r="I327" i="10"/>
  <c r="H327" i="10"/>
  <c r="G327" i="10"/>
  <c r="F327" i="10"/>
  <c r="E327" i="10"/>
  <c r="D327" i="10"/>
  <c r="C327" i="10"/>
  <c r="B326" i="10"/>
  <c r="A326" i="10"/>
  <c r="J326" i="10"/>
  <c r="I326" i="10"/>
  <c r="H326" i="10"/>
  <c r="G326" i="10"/>
  <c r="F326" i="10"/>
  <c r="E326" i="10"/>
  <c r="D326" i="10"/>
  <c r="C326" i="10"/>
  <c r="B325" i="10"/>
  <c r="A325" i="10"/>
  <c r="J325" i="10"/>
  <c r="I325" i="10"/>
  <c r="H325" i="10"/>
  <c r="G325" i="10"/>
  <c r="F325" i="10"/>
  <c r="E325" i="10"/>
  <c r="D325" i="10"/>
  <c r="C325" i="10"/>
  <c r="B324" i="10"/>
  <c r="A324" i="10"/>
  <c r="J324" i="10"/>
  <c r="I324" i="10"/>
  <c r="H324" i="10"/>
  <c r="G324" i="10"/>
  <c r="F324" i="10"/>
  <c r="E324" i="10"/>
  <c r="D324" i="10"/>
  <c r="C324" i="10"/>
  <c r="B323" i="10"/>
  <c r="A323" i="10"/>
  <c r="J323" i="10"/>
  <c r="I323" i="10"/>
  <c r="H323" i="10"/>
  <c r="G323" i="10"/>
  <c r="F323" i="10"/>
  <c r="E323" i="10"/>
  <c r="D323" i="10"/>
  <c r="C323" i="10"/>
  <c r="B322" i="10"/>
  <c r="A322" i="10"/>
  <c r="J322" i="10"/>
  <c r="I322" i="10"/>
  <c r="H322" i="10"/>
  <c r="G322" i="10"/>
  <c r="F322" i="10"/>
  <c r="E322" i="10"/>
  <c r="D322" i="10"/>
  <c r="C322" i="10"/>
  <c r="B321" i="10"/>
  <c r="A321" i="10"/>
  <c r="J321" i="10"/>
  <c r="I321" i="10"/>
  <c r="H321" i="10"/>
  <c r="G321" i="10"/>
  <c r="F321" i="10"/>
  <c r="E321" i="10"/>
  <c r="D321" i="10"/>
  <c r="C321" i="10"/>
  <c r="B320" i="10"/>
  <c r="A320" i="10"/>
  <c r="J320" i="10"/>
  <c r="I320" i="10"/>
  <c r="H320" i="10"/>
  <c r="G320" i="10"/>
  <c r="F320" i="10"/>
  <c r="E320" i="10"/>
  <c r="D320" i="10"/>
  <c r="C320" i="10"/>
  <c r="B319" i="10"/>
  <c r="A319" i="10"/>
  <c r="J319" i="10"/>
  <c r="I319" i="10"/>
  <c r="H319" i="10"/>
  <c r="G319" i="10"/>
  <c r="F319" i="10"/>
  <c r="E319" i="10"/>
  <c r="D319" i="10"/>
  <c r="C319" i="10"/>
  <c r="B318" i="10"/>
  <c r="A318" i="10"/>
  <c r="J318" i="10"/>
  <c r="I318" i="10"/>
  <c r="H318" i="10"/>
  <c r="G318" i="10"/>
  <c r="F318" i="10"/>
  <c r="E318" i="10"/>
  <c r="D318" i="10"/>
  <c r="C318" i="10"/>
  <c r="B317" i="10"/>
  <c r="A317" i="10"/>
  <c r="J317" i="10"/>
  <c r="I317" i="10"/>
  <c r="H317" i="10"/>
  <c r="G317" i="10"/>
  <c r="F317" i="10"/>
  <c r="E317" i="10"/>
  <c r="D317" i="10"/>
  <c r="C317" i="10"/>
  <c r="B316" i="10"/>
  <c r="A316" i="10"/>
  <c r="J316" i="10"/>
  <c r="I316" i="10"/>
  <c r="H316" i="10"/>
  <c r="G316" i="10"/>
  <c r="F316" i="10"/>
  <c r="E316" i="10"/>
  <c r="D316" i="10"/>
  <c r="C316" i="10"/>
  <c r="B315" i="10"/>
  <c r="A315" i="10"/>
  <c r="J315" i="10"/>
  <c r="I315" i="10"/>
  <c r="H315" i="10"/>
  <c r="G315" i="10"/>
  <c r="F315" i="10"/>
  <c r="E315" i="10"/>
  <c r="D315" i="10"/>
  <c r="C315" i="10"/>
  <c r="B314" i="10"/>
  <c r="A314" i="10"/>
  <c r="J314" i="10"/>
  <c r="I314" i="10"/>
  <c r="H314" i="10"/>
  <c r="G314" i="10"/>
  <c r="F314" i="10"/>
  <c r="E314" i="10"/>
  <c r="D314" i="10"/>
  <c r="C314" i="10"/>
  <c r="B313" i="10"/>
  <c r="A313" i="10"/>
  <c r="J313" i="10"/>
  <c r="I313" i="10"/>
  <c r="H313" i="10"/>
  <c r="G313" i="10"/>
  <c r="F313" i="10"/>
  <c r="E313" i="10"/>
  <c r="D313" i="10"/>
  <c r="C313" i="10"/>
  <c r="B312" i="10"/>
  <c r="A312" i="10"/>
  <c r="J312" i="10"/>
  <c r="I312" i="10"/>
  <c r="H312" i="10"/>
  <c r="G312" i="10"/>
  <c r="F312" i="10"/>
  <c r="E312" i="10"/>
  <c r="D312" i="10"/>
  <c r="C312" i="10"/>
  <c r="B311" i="10"/>
  <c r="A311" i="10"/>
  <c r="J311" i="10"/>
  <c r="I311" i="10"/>
  <c r="H311" i="10"/>
  <c r="G311" i="10"/>
  <c r="F311" i="10"/>
  <c r="E311" i="10"/>
  <c r="D311" i="10"/>
  <c r="C311" i="10"/>
  <c r="B310" i="10"/>
  <c r="A310" i="10"/>
  <c r="J310" i="10"/>
  <c r="I310" i="10"/>
  <c r="H310" i="10"/>
  <c r="G310" i="10"/>
  <c r="F310" i="10"/>
  <c r="E310" i="10"/>
  <c r="D310" i="10"/>
  <c r="C310" i="10"/>
  <c r="B309" i="10"/>
  <c r="A309" i="10"/>
  <c r="J309" i="10"/>
  <c r="I309" i="10"/>
  <c r="H309" i="10"/>
  <c r="G309" i="10"/>
  <c r="F309" i="10"/>
  <c r="E309" i="10"/>
  <c r="D309" i="10"/>
  <c r="C309" i="10"/>
  <c r="B308" i="10"/>
  <c r="A308" i="10"/>
  <c r="J308" i="10"/>
  <c r="I308" i="10"/>
  <c r="H308" i="10"/>
  <c r="G308" i="10"/>
  <c r="F308" i="10"/>
  <c r="E308" i="10"/>
  <c r="D308" i="10"/>
  <c r="C308" i="10"/>
  <c r="B307" i="10"/>
  <c r="A307" i="10"/>
  <c r="J307" i="10"/>
  <c r="I307" i="10"/>
  <c r="H307" i="10"/>
  <c r="G307" i="10"/>
  <c r="F307" i="10"/>
  <c r="E307" i="10"/>
  <c r="D307" i="10"/>
  <c r="C307" i="10"/>
  <c r="B306" i="10"/>
  <c r="A306" i="10"/>
  <c r="J306" i="10"/>
  <c r="I306" i="10"/>
  <c r="H306" i="10"/>
  <c r="G306" i="10"/>
  <c r="F306" i="10"/>
  <c r="E306" i="10"/>
  <c r="D306" i="10"/>
  <c r="C306" i="10"/>
  <c r="B305" i="10"/>
  <c r="A305" i="10"/>
  <c r="J305" i="10"/>
  <c r="I305" i="10"/>
  <c r="H305" i="10"/>
  <c r="G305" i="10"/>
  <c r="F305" i="10"/>
  <c r="E305" i="10"/>
  <c r="D305" i="10"/>
  <c r="C305" i="10"/>
  <c r="B304" i="10"/>
  <c r="A304" i="10"/>
  <c r="J304" i="10"/>
  <c r="I304" i="10"/>
  <c r="H304" i="10"/>
  <c r="G304" i="10"/>
  <c r="F304" i="10"/>
  <c r="E304" i="10"/>
  <c r="D304" i="10"/>
  <c r="C304" i="10"/>
  <c r="B303" i="10"/>
  <c r="A303" i="10"/>
  <c r="J303" i="10"/>
  <c r="I303" i="10"/>
  <c r="H303" i="10"/>
  <c r="G303" i="10"/>
  <c r="F303" i="10"/>
  <c r="E303" i="10"/>
  <c r="D303" i="10"/>
  <c r="C303" i="10"/>
  <c r="B302" i="10"/>
  <c r="A302" i="10"/>
  <c r="J302" i="10"/>
  <c r="I302" i="10"/>
  <c r="H302" i="10"/>
  <c r="G302" i="10"/>
  <c r="F302" i="10"/>
  <c r="E302" i="10"/>
  <c r="D302" i="10"/>
  <c r="C302" i="10"/>
  <c r="B301" i="10"/>
  <c r="A301" i="10"/>
  <c r="J301" i="10"/>
  <c r="I301" i="10"/>
  <c r="H301" i="10"/>
  <c r="G301" i="10"/>
  <c r="F301" i="10"/>
  <c r="E301" i="10"/>
  <c r="D301" i="10"/>
  <c r="C301" i="10"/>
  <c r="B300" i="10"/>
  <c r="A300" i="10"/>
  <c r="J300" i="10"/>
  <c r="I300" i="10"/>
  <c r="H300" i="10"/>
  <c r="G300" i="10"/>
  <c r="F300" i="10"/>
  <c r="E300" i="10"/>
  <c r="D300" i="10"/>
  <c r="C300" i="10"/>
  <c r="B299" i="10"/>
  <c r="A299" i="10"/>
  <c r="J299" i="10"/>
  <c r="I299" i="10"/>
  <c r="H299" i="10"/>
  <c r="G299" i="10"/>
  <c r="F299" i="10"/>
  <c r="E299" i="10"/>
  <c r="D299" i="10"/>
  <c r="C299" i="10"/>
  <c r="B298" i="10"/>
  <c r="A298" i="10"/>
  <c r="J298" i="10"/>
  <c r="I298" i="10"/>
  <c r="H298" i="10"/>
  <c r="G298" i="10"/>
  <c r="F298" i="10"/>
  <c r="E298" i="10"/>
  <c r="D298" i="10"/>
  <c r="C298" i="10"/>
  <c r="B297" i="10"/>
  <c r="A297" i="10"/>
  <c r="J297" i="10"/>
  <c r="I297" i="10"/>
  <c r="H297" i="10"/>
  <c r="G297" i="10"/>
  <c r="F297" i="10"/>
  <c r="E297" i="10"/>
  <c r="D297" i="10"/>
  <c r="C297" i="10"/>
  <c r="B296" i="10"/>
  <c r="A296" i="10"/>
  <c r="J296" i="10"/>
  <c r="I296" i="10"/>
  <c r="H296" i="10"/>
  <c r="G296" i="10"/>
  <c r="F296" i="10"/>
  <c r="E296" i="10"/>
  <c r="D296" i="10"/>
  <c r="C296" i="10"/>
  <c r="B295" i="10"/>
  <c r="A295" i="10"/>
  <c r="J295" i="10"/>
  <c r="I295" i="10"/>
  <c r="H295" i="10"/>
  <c r="G295" i="10"/>
  <c r="F295" i="10"/>
  <c r="E295" i="10"/>
  <c r="D295" i="10"/>
  <c r="C295" i="10"/>
  <c r="B294" i="10"/>
  <c r="A294" i="10"/>
  <c r="J294" i="10"/>
  <c r="I294" i="10"/>
  <c r="H294" i="10"/>
  <c r="G294" i="10"/>
  <c r="F294" i="10"/>
  <c r="E294" i="10"/>
  <c r="D294" i="10"/>
  <c r="C294" i="10"/>
  <c r="B293" i="10"/>
  <c r="A293" i="10"/>
  <c r="J293" i="10"/>
  <c r="I293" i="10"/>
  <c r="H293" i="10"/>
  <c r="G293" i="10"/>
  <c r="F293" i="10"/>
  <c r="E293" i="10"/>
  <c r="D293" i="10"/>
  <c r="C293" i="10"/>
  <c r="B292" i="10"/>
  <c r="A292" i="10"/>
  <c r="J292" i="10"/>
  <c r="I292" i="10"/>
  <c r="H292" i="10"/>
  <c r="G292" i="10"/>
  <c r="F292" i="10"/>
  <c r="E292" i="10"/>
  <c r="D292" i="10"/>
  <c r="C292" i="10"/>
  <c r="B291" i="10"/>
  <c r="A291" i="10"/>
  <c r="J291" i="10"/>
  <c r="I291" i="10"/>
  <c r="H291" i="10"/>
  <c r="G291" i="10"/>
  <c r="F291" i="10"/>
  <c r="E291" i="10"/>
  <c r="D291" i="10"/>
  <c r="C291" i="10"/>
  <c r="B290" i="10"/>
  <c r="A290" i="10"/>
  <c r="J290" i="10"/>
  <c r="I290" i="10"/>
  <c r="H290" i="10"/>
  <c r="G290" i="10"/>
  <c r="F290" i="10"/>
  <c r="E290" i="10"/>
  <c r="D290" i="10"/>
  <c r="C290" i="10"/>
  <c r="B289" i="10"/>
  <c r="A289" i="10"/>
  <c r="J289" i="10"/>
  <c r="I289" i="10"/>
  <c r="H289" i="10"/>
  <c r="G289" i="10"/>
  <c r="F289" i="10"/>
  <c r="E289" i="10"/>
  <c r="D289" i="10"/>
  <c r="C289" i="10"/>
  <c r="B288" i="10"/>
  <c r="A288" i="10"/>
  <c r="J288" i="10"/>
  <c r="I288" i="10"/>
  <c r="H288" i="10"/>
  <c r="G288" i="10"/>
  <c r="F288" i="10"/>
  <c r="E288" i="10"/>
  <c r="D288" i="10"/>
  <c r="C288" i="10"/>
  <c r="B287" i="10"/>
  <c r="A287" i="10"/>
  <c r="J287" i="10"/>
  <c r="I287" i="10"/>
  <c r="H287" i="10"/>
  <c r="G287" i="10"/>
  <c r="F287" i="10"/>
  <c r="E287" i="10"/>
  <c r="D287" i="10"/>
  <c r="C287" i="10"/>
  <c r="B286" i="10"/>
  <c r="A286" i="10"/>
  <c r="J286" i="10"/>
  <c r="I286" i="10"/>
  <c r="H286" i="10"/>
  <c r="G286" i="10"/>
  <c r="F286" i="10"/>
  <c r="E286" i="10"/>
  <c r="D286" i="10"/>
  <c r="C286" i="10"/>
  <c r="B285" i="10"/>
  <c r="A285" i="10"/>
  <c r="J285" i="10"/>
  <c r="I285" i="10"/>
  <c r="H285" i="10"/>
  <c r="G285" i="10"/>
  <c r="F285" i="10"/>
  <c r="E285" i="10"/>
  <c r="D285" i="10"/>
  <c r="C285" i="10"/>
  <c r="B284" i="10"/>
  <c r="A284" i="10"/>
  <c r="J284" i="10"/>
  <c r="I284" i="10"/>
  <c r="H284" i="10"/>
  <c r="G284" i="10"/>
  <c r="F284" i="10"/>
  <c r="E284" i="10"/>
  <c r="D284" i="10"/>
  <c r="C284" i="10"/>
  <c r="B283" i="10"/>
  <c r="A283" i="10"/>
  <c r="J283" i="10"/>
  <c r="I283" i="10"/>
  <c r="H283" i="10"/>
  <c r="G283" i="10"/>
  <c r="F283" i="10"/>
  <c r="E283" i="10"/>
  <c r="D283" i="10"/>
  <c r="C283" i="10"/>
  <c r="B282" i="10"/>
  <c r="A282" i="10"/>
  <c r="J282" i="10"/>
  <c r="I282" i="10"/>
  <c r="H282" i="10"/>
  <c r="G282" i="10"/>
  <c r="F282" i="10"/>
  <c r="E282" i="10"/>
  <c r="D282" i="10"/>
  <c r="C282" i="10"/>
  <c r="B281" i="10"/>
  <c r="A281" i="10"/>
  <c r="J281" i="10"/>
  <c r="I281" i="10"/>
  <c r="H281" i="10"/>
  <c r="G281" i="10"/>
  <c r="F281" i="10"/>
  <c r="E281" i="10"/>
  <c r="D281" i="10"/>
  <c r="C281" i="10"/>
  <c r="B280" i="10"/>
  <c r="A280" i="10"/>
  <c r="J280" i="10"/>
  <c r="I280" i="10"/>
  <c r="H280" i="10"/>
  <c r="G280" i="10"/>
  <c r="F280" i="10"/>
  <c r="E280" i="10"/>
  <c r="D280" i="10"/>
  <c r="C280" i="10"/>
  <c r="B279" i="10"/>
  <c r="A279" i="10"/>
  <c r="J279" i="10"/>
  <c r="I279" i="10"/>
  <c r="H279" i="10"/>
  <c r="G279" i="10"/>
  <c r="F279" i="10"/>
  <c r="E279" i="10"/>
  <c r="D279" i="10"/>
  <c r="C279" i="10"/>
  <c r="B278" i="10"/>
  <c r="A278" i="10"/>
  <c r="J278" i="10"/>
  <c r="I278" i="10"/>
  <c r="H278" i="10"/>
  <c r="G278" i="10"/>
  <c r="F278" i="10"/>
  <c r="E278" i="10"/>
  <c r="D278" i="10"/>
  <c r="C278" i="10"/>
  <c r="B277" i="10"/>
  <c r="A277" i="10"/>
  <c r="J277" i="10"/>
  <c r="I277" i="10"/>
  <c r="H277" i="10"/>
  <c r="G277" i="10"/>
  <c r="F277" i="10"/>
  <c r="E277" i="10"/>
  <c r="D277" i="10"/>
  <c r="C277" i="10"/>
  <c r="B276" i="10"/>
  <c r="A276" i="10"/>
  <c r="J276" i="10"/>
  <c r="I276" i="10"/>
  <c r="H276" i="10"/>
  <c r="G276" i="10"/>
  <c r="F276" i="10"/>
  <c r="E276" i="10"/>
  <c r="D276" i="10"/>
  <c r="C276" i="10"/>
  <c r="B275" i="10"/>
  <c r="A275" i="10"/>
  <c r="J275" i="10"/>
  <c r="I275" i="10"/>
  <c r="H275" i="10"/>
  <c r="G275" i="10"/>
  <c r="F275" i="10"/>
  <c r="E275" i="10"/>
  <c r="D275" i="10"/>
  <c r="C275" i="10"/>
  <c r="B274" i="10"/>
  <c r="A274" i="10"/>
  <c r="J274" i="10"/>
  <c r="I274" i="10"/>
  <c r="H274" i="10"/>
  <c r="G274" i="10"/>
  <c r="F274" i="10"/>
  <c r="E274" i="10"/>
  <c r="D274" i="10"/>
  <c r="C274" i="10"/>
  <c r="B273" i="10"/>
  <c r="A273" i="10"/>
  <c r="J273" i="10"/>
  <c r="I273" i="10"/>
  <c r="H273" i="10"/>
  <c r="G273" i="10"/>
  <c r="F273" i="10"/>
  <c r="E273" i="10"/>
  <c r="D273" i="10"/>
  <c r="C273" i="10"/>
  <c r="B272" i="10"/>
  <c r="A272" i="10"/>
  <c r="J272" i="10"/>
  <c r="I272" i="10"/>
  <c r="H272" i="10"/>
  <c r="G272" i="10"/>
  <c r="F272" i="10"/>
  <c r="E272" i="10"/>
  <c r="D272" i="10"/>
  <c r="C272" i="10"/>
  <c r="B271" i="10"/>
  <c r="A271" i="10"/>
  <c r="J271" i="10"/>
  <c r="I271" i="10"/>
  <c r="H271" i="10"/>
  <c r="G271" i="10"/>
  <c r="F271" i="10"/>
  <c r="E271" i="10"/>
  <c r="D271" i="10"/>
  <c r="C271" i="10"/>
  <c r="B270" i="10"/>
  <c r="A270" i="10"/>
  <c r="J270" i="10"/>
  <c r="I270" i="10"/>
  <c r="H270" i="10"/>
  <c r="G270" i="10"/>
  <c r="F270" i="10"/>
  <c r="E270" i="10"/>
  <c r="D270" i="10"/>
  <c r="C270" i="10"/>
  <c r="B269" i="10"/>
  <c r="A269" i="10"/>
  <c r="J269" i="10"/>
  <c r="I269" i="10"/>
  <c r="H269" i="10"/>
  <c r="G269" i="10"/>
  <c r="F269" i="10"/>
  <c r="E269" i="10"/>
  <c r="D269" i="10"/>
  <c r="C269" i="10"/>
  <c r="B268" i="10"/>
  <c r="A268" i="10"/>
  <c r="J268" i="10"/>
  <c r="I268" i="10"/>
  <c r="H268" i="10"/>
  <c r="G268" i="10"/>
  <c r="F268" i="10"/>
  <c r="E268" i="10"/>
  <c r="D268" i="10"/>
  <c r="C268" i="10"/>
  <c r="B267" i="10"/>
  <c r="A267" i="10"/>
  <c r="J267" i="10"/>
  <c r="I267" i="10"/>
  <c r="H267" i="10"/>
  <c r="G267" i="10"/>
  <c r="F267" i="10"/>
  <c r="E267" i="10"/>
  <c r="D267" i="10"/>
  <c r="C267" i="10"/>
  <c r="B266" i="10"/>
  <c r="A266" i="10"/>
  <c r="J266" i="10"/>
  <c r="I266" i="10"/>
  <c r="H266" i="10"/>
  <c r="G266" i="10"/>
  <c r="F266" i="10"/>
  <c r="E266" i="10"/>
  <c r="D266" i="10"/>
  <c r="C266" i="10"/>
  <c r="B265" i="10"/>
  <c r="A265" i="10"/>
  <c r="J265" i="10"/>
  <c r="I265" i="10"/>
  <c r="H265" i="10"/>
  <c r="G265" i="10"/>
  <c r="F265" i="10"/>
  <c r="E265" i="10"/>
  <c r="D265" i="10"/>
  <c r="C265" i="10"/>
  <c r="B264" i="10"/>
  <c r="A264" i="10"/>
  <c r="J264" i="10"/>
  <c r="I264" i="10"/>
  <c r="H264" i="10"/>
  <c r="G264" i="10"/>
  <c r="F264" i="10"/>
  <c r="E264" i="10"/>
  <c r="D264" i="10"/>
  <c r="C264" i="10"/>
  <c r="B263" i="10"/>
  <c r="A263" i="10"/>
  <c r="J263" i="10"/>
  <c r="I263" i="10"/>
  <c r="H263" i="10"/>
  <c r="G263" i="10"/>
  <c r="F263" i="10"/>
  <c r="E263" i="10"/>
  <c r="D263" i="10"/>
  <c r="C263" i="10"/>
  <c r="B262" i="10"/>
  <c r="A262" i="10"/>
  <c r="J262" i="10"/>
  <c r="I262" i="10"/>
  <c r="H262" i="10"/>
  <c r="G262" i="10"/>
  <c r="F262" i="10"/>
  <c r="E262" i="10"/>
  <c r="D262" i="10"/>
  <c r="C262" i="10"/>
  <c r="B261" i="10"/>
  <c r="A261" i="10"/>
  <c r="J261" i="10"/>
  <c r="I261" i="10"/>
  <c r="H261" i="10"/>
  <c r="G261" i="10"/>
  <c r="F261" i="10"/>
  <c r="E261" i="10"/>
  <c r="D261" i="10"/>
  <c r="C261" i="10"/>
  <c r="B260" i="10"/>
  <c r="A260" i="10"/>
  <c r="J260" i="10"/>
  <c r="I260" i="10"/>
  <c r="H260" i="10"/>
  <c r="G260" i="10"/>
  <c r="F260" i="10"/>
  <c r="E260" i="10"/>
  <c r="D260" i="10"/>
  <c r="C260" i="10"/>
  <c r="B259" i="10"/>
  <c r="A259" i="10"/>
  <c r="J259" i="10"/>
  <c r="I259" i="10"/>
  <c r="H259" i="10"/>
  <c r="G259" i="10"/>
  <c r="F259" i="10"/>
  <c r="E259" i="10"/>
  <c r="D259" i="10"/>
  <c r="C259" i="10"/>
  <c r="B258" i="10"/>
  <c r="A258" i="10"/>
  <c r="J258" i="10"/>
  <c r="I258" i="10"/>
  <c r="H258" i="10"/>
  <c r="G258" i="10"/>
  <c r="F258" i="10"/>
  <c r="E258" i="10"/>
  <c r="D258" i="10"/>
  <c r="C258" i="10"/>
  <c r="B257" i="10"/>
  <c r="A257" i="10"/>
  <c r="J257" i="10"/>
  <c r="I257" i="10"/>
  <c r="H257" i="10"/>
  <c r="G257" i="10"/>
  <c r="F257" i="10"/>
  <c r="E257" i="10"/>
  <c r="D257" i="10"/>
  <c r="C257" i="10"/>
  <c r="B256" i="10"/>
  <c r="A256" i="10"/>
  <c r="J256" i="10"/>
  <c r="I256" i="10"/>
  <c r="H256" i="10"/>
  <c r="G256" i="10"/>
  <c r="F256" i="10"/>
  <c r="E256" i="10"/>
  <c r="D256" i="10"/>
  <c r="C256" i="10"/>
  <c r="B255" i="10"/>
  <c r="A255" i="10"/>
  <c r="J255" i="10"/>
  <c r="I255" i="10"/>
  <c r="H255" i="10"/>
  <c r="G255" i="10"/>
  <c r="F255" i="10"/>
  <c r="E255" i="10"/>
  <c r="D255" i="10"/>
  <c r="C255" i="10"/>
  <c r="B254" i="10"/>
  <c r="A254" i="10"/>
  <c r="J254" i="10"/>
  <c r="I254" i="10"/>
  <c r="H254" i="10"/>
  <c r="G254" i="10"/>
  <c r="F254" i="10"/>
  <c r="E254" i="10"/>
  <c r="D254" i="10"/>
  <c r="C254" i="10"/>
  <c r="B253" i="10"/>
  <c r="A253" i="10"/>
  <c r="J253" i="10"/>
  <c r="I253" i="10"/>
  <c r="H253" i="10"/>
  <c r="G253" i="10"/>
  <c r="F253" i="10"/>
  <c r="E253" i="10"/>
  <c r="D253" i="10"/>
  <c r="C253" i="10"/>
  <c r="B252" i="10"/>
  <c r="A252" i="10"/>
  <c r="J252" i="10"/>
  <c r="I252" i="10"/>
  <c r="H252" i="10"/>
  <c r="G252" i="10"/>
  <c r="F252" i="10"/>
  <c r="E252" i="10"/>
  <c r="D252" i="10"/>
  <c r="C252" i="10"/>
  <c r="B251" i="10"/>
  <c r="A251" i="10"/>
  <c r="J251" i="10"/>
  <c r="I251" i="10"/>
  <c r="H251" i="10"/>
  <c r="G251" i="10"/>
  <c r="F251" i="10"/>
  <c r="E251" i="10"/>
  <c r="D251" i="10"/>
  <c r="C251" i="10"/>
  <c r="B250" i="10"/>
  <c r="A250" i="10"/>
  <c r="J250" i="10"/>
  <c r="I250" i="10"/>
  <c r="H250" i="10"/>
  <c r="G250" i="10"/>
  <c r="F250" i="10"/>
  <c r="E250" i="10"/>
  <c r="D250" i="10"/>
  <c r="C250" i="10"/>
  <c r="B249" i="10"/>
  <c r="A249" i="10"/>
  <c r="J249" i="10"/>
  <c r="I249" i="10"/>
  <c r="H249" i="10"/>
  <c r="G249" i="10"/>
  <c r="F249" i="10"/>
  <c r="E249" i="10"/>
  <c r="D249" i="10"/>
  <c r="C249" i="10"/>
  <c r="B248" i="10"/>
  <c r="A248" i="10"/>
  <c r="J248" i="10"/>
  <c r="I248" i="10"/>
  <c r="H248" i="10"/>
  <c r="G248" i="10"/>
  <c r="F248" i="10"/>
  <c r="E248" i="10"/>
  <c r="D248" i="10"/>
  <c r="C248" i="10"/>
  <c r="B247" i="10"/>
  <c r="A247" i="10"/>
  <c r="J247" i="10"/>
  <c r="I247" i="10"/>
  <c r="H247" i="10"/>
  <c r="G247" i="10"/>
  <c r="F247" i="10"/>
  <c r="E247" i="10"/>
  <c r="D247" i="10"/>
  <c r="C247" i="10"/>
  <c r="B246" i="10"/>
  <c r="A246" i="10"/>
  <c r="J246" i="10"/>
  <c r="I246" i="10"/>
  <c r="H246" i="10"/>
  <c r="G246" i="10"/>
  <c r="F246" i="10"/>
  <c r="E246" i="10"/>
  <c r="D246" i="10"/>
  <c r="C246" i="10"/>
  <c r="B245" i="10"/>
  <c r="A245" i="10"/>
  <c r="J245" i="10"/>
  <c r="I245" i="10"/>
  <c r="H245" i="10"/>
  <c r="G245" i="10"/>
  <c r="F245" i="10"/>
  <c r="E245" i="10"/>
  <c r="D245" i="10"/>
  <c r="C245" i="10"/>
  <c r="B244" i="10"/>
  <c r="A244" i="10"/>
  <c r="J244" i="10"/>
  <c r="I244" i="10"/>
  <c r="H244" i="10"/>
  <c r="G244" i="10"/>
  <c r="F244" i="10"/>
  <c r="E244" i="10"/>
  <c r="D244" i="10"/>
  <c r="C244" i="10"/>
  <c r="B243" i="10"/>
  <c r="A243" i="10"/>
  <c r="J243" i="10"/>
  <c r="I243" i="10"/>
  <c r="H243" i="10"/>
  <c r="G243" i="10"/>
  <c r="F243" i="10"/>
  <c r="E243" i="10"/>
  <c r="D243" i="10"/>
  <c r="C243" i="10"/>
  <c r="B242" i="10"/>
  <c r="A242" i="10"/>
  <c r="J242" i="10"/>
  <c r="I242" i="10"/>
  <c r="H242" i="10"/>
  <c r="G242" i="10"/>
  <c r="F242" i="10"/>
  <c r="E242" i="10"/>
  <c r="D242" i="10"/>
  <c r="C242" i="10"/>
  <c r="B241" i="10"/>
  <c r="A241" i="10"/>
  <c r="J241" i="10"/>
  <c r="I241" i="10"/>
  <c r="H241" i="10"/>
  <c r="G241" i="10"/>
  <c r="F241" i="10"/>
  <c r="E241" i="10"/>
  <c r="D241" i="10"/>
  <c r="C241" i="10"/>
  <c r="B240" i="10"/>
  <c r="A240" i="10"/>
  <c r="J240" i="10"/>
  <c r="I240" i="10"/>
  <c r="H240" i="10"/>
  <c r="G240" i="10"/>
  <c r="F240" i="10"/>
  <c r="E240" i="10"/>
  <c r="D240" i="10"/>
  <c r="C240" i="10"/>
  <c r="B239" i="10"/>
  <c r="A239" i="10"/>
  <c r="J239" i="10"/>
  <c r="I239" i="10"/>
  <c r="H239" i="10"/>
  <c r="G239" i="10"/>
  <c r="F239" i="10"/>
  <c r="E239" i="10"/>
  <c r="D239" i="10"/>
  <c r="C239" i="10"/>
  <c r="B238" i="10"/>
  <c r="A238" i="10"/>
  <c r="J238" i="10"/>
  <c r="I238" i="10"/>
  <c r="H238" i="10"/>
  <c r="G238" i="10"/>
  <c r="F238" i="10"/>
  <c r="E238" i="10"/>
  <c r="D238" i="10"/>
  <c r="C238" i="10"/>
  <c r="B237" i="10"/>
  <c r="A237" i="10"/>
  <c r="J237" i="10"/>
  <c r="I237" i="10"/>
  <c r="H237" i="10"/>
  <c r="G237" i="10"/>
  <c r="F237" i="10"/>
  <c r="E237" i="10"/>
  <c r="D237" i="10"/>
  <c r="C237" i="10"/>
  <c r="B236" i="10"/>
  <c r="A236" i="10"/>
  <c r="J236" i="10"/>
  <c r="I236" i="10"/>
  <c r="H236" i="10"/>
  <c r="G236" i="10"/>
  <c r="F236" i="10"/>
  <c r="E236" i="10"/>
  <c r="D236" i="10"/>
  <c r="C236" i="10"/>
  <c r="B235" i="10"/>
  <c r="A235" i="10"/>
  <c r="J235" i="10"/>
  <c r="I235" i="10"/>
  <c r="H235" i="10"/>
  <c r="G235" i="10"/>
  <c r="F235" i="10"/>
  <c r="E235" i="10"/>
  <c r="D235" i="10"/>
  <c r="C235" i="10"/>
  <c r="B234" i="10"/>
  <c r="A234" i="10"/>
  <c r="J234" i="10"/>
  <c r="I234" i="10"/>
  <c r="H234" i="10"/>
  <c r="G234" i="10"/>
  <c r="F234" i="10"/>
  <c r="E234" i="10"/>
  <c r="D234" i="10"/>
  <c r="C234" i="10"/>
  <c r="B233" i="10"/>
  <c r="A233" i="10"/>
  <c r="J233" i="10"/>
  <c r="I233" i="10"/>
  <c r="H233" i="10"/>
  <c r="G233" i="10"/>
  <c r="F233" i="10"/>
  <c r="E233" i="10"/>
  <c r="D233" i="10"/>
  <c r="C233" i="10"/>
  <c r="B232" i="10"/>
  <c r="A232" i="10"/>
  <c r="J232" i="10"/>
  <c r="I232" i="10"/>
  <c r="H232" i="10"/>
  <c r="G232" i="10"/>
  <c r="F232" i="10"/>
  <c r="E232" i="10"/>
  <c r="D232" i="10"/>
  <c r="C232" i="10"/>
  <c r="B231" i="10"/>
  <c r="A231" i="10"/>
  <c r="J231" i="10"/>
  <c r="I231" i="10"/>
  <c r="H231" i="10"/>
  <c r="G231" i="10"/>
  <c r="F231" i="10"/>
  <c r="E231" i="10"/>
  <c r="D231" i="10"/>
  <c r="C231" i="10"/>
  <c r="B230" i="10"/>
  <c r="A230" i="10"/>
  <c r="J230" i="10"/>
  <c r="I230" i="10"/>
  <c r="H230" i="10"/>
  <c r="G230" i="10"/>
  <c r="F230" i="10"/>
  <c r="E230" i="10"/>
  <c r="D230" i="10"/>
  <c r="C230" i="10"/>
  <c r="B229" i="10"/>
  <c r="A229" i="10"/>
  <c r="J229" i="10"/>
  <c r="I229" i="10"/>
  <c r="H229" i="10"/>
  <c r="G229" i="10"/>
  <c r="F229" i="10"/>
  <c r="E229" i="10"/>
  <c r="D229" i="10"/>
  <c r="C229" i="10"/>
  <c r="B228" i="10"/>
  <c r="A228" i="10"/>
  <c r="J228" i="10"/>
  <c r="I228" i="10"/>
  <c r="H228" i="10"/>
  <c r="G228" i="10"/>
  <c r="F228" i="10"/>
  <c r="E228" i="10"/>
  <c r="D228" i="10"/>
  <c r="C228" i="10"/>
  <c r="B227" i="10"/>
  <c r="A227" i="10"/>
  <c r="J227" i="10"/>
  <c r="I227" i="10"/>
  <c r="H227" i="10"/>
  <c r="G227" i="10"/>
  <c r="F227" i="10"/>
  <c r="E227" i="10"/>
  <c r="D227" i="10"/>
  <c r="C227" i="10"/>
  <c r="B226" i="10"/>
  <c r="A226" i="10"/>
  <c r="J226" i="10"/>
  <c r="I226" i="10"/>
  <c r="H226" i="10"/>
  <c r="G226" i="10"/>
  <c r="F226" i="10"/>
  <c r="E226" i="10"/>
  <c r="D226" i="10"/>
  <c r="C226" i="10"/>
  <c r="B225" i="10"/>
  <c r="A225" i="10"/>
  <c r="J225" i="10"/>
  <c r="I225" i="10"/>
  <c r="H225" i="10"/>
  <c r="G225" i="10"/>
  <c r="F225" i="10"/>
  <c r="E225" i="10"/>
  <c r="D225" i="10"/>
  <c r="C225" i="10"/>
  <c r="B224" i="10"/>
  <c r="A224" i="10"/>
  <c r="J224" i="10"/>
  <c r="I224" i="10"/>
  <c r="H224" i="10"/>
  <c r="G224" i="10"/>
  <c r="F224" i="10"/>
  <c r="E224" i="10"/>
  <c r="D224" i="10"/>
  <c r="C224" i="10"/>
  <c r="B223" i="10"/>
  <c r="A223" i="10"/>
  <c r="J223" i="10"/>
  <c r="I223" i="10"/>
  <c r="H223" i="10"/>
  <c r="G223" i="10"/>
  <c r="F223" i="10"/>
  <c r="E223" i="10"/>
  <c r="D223" i="10"/>
  <c r="C223" i="10"/>
  <c r="B222" i="10"/>
  <c r="A222" i="10"/>
  <c r="J222" i="10"/>
  <c r="I222" i="10"/>
  <c r="H222" i="10"/>
  <c r="G222" i="10"/>
  <c r="F222" i="10"/>
  <c r="E222" i="10"/>
  <c r="D222" i="10"/>
  <c r="C222" i="10"/>
  <c r="B221" i="10"/>
  <c r="A221" i="10"/>
  <c r="J221" i="10"/>
  <c r="I221" i="10"/>
  <c r="H221" i="10"/>
  <c r="G221" i="10"/>
  <c r="F221" i="10"/>
  <c r="E221" i="10"/>
  <c r="D221" i="10"/>
  <c r="C221" i="10"/>
  <c r="B220" i="10"/>
  <c r="A220" i="10"/>
  <c r="J220" i="10"/>
  <c r="I220" i="10"/>
  <c r="H220" i="10"/>
  <c r="G220" i="10"/>
  <c r="F220" i="10"/>
  <c r="E220" i="10"/>
  <c r="D220" i="10"/>
  <c r="C220" i="10"/>
  <c r="B219" i="10"/>
  <c r="A219" i="10"/>
  <c r="J219" i="10"/>
  <c r="I219" i="10"/>
  <c r="H219" i="10"/>
  <c r="G219" i="10"/>
  <c r="F219" i="10"/>
  <c r="E219" i="10"/>
  <c r="D219" i="10"/>
  <c r="C219" i="10"/>
  <c r="B218" i="10"/>
  <c r="A218" i="10"/>
  <c r="J218" i="10"/>
  <c r="I218" i="10"/>
  <c r="H218" i="10"/>
  <c r="G218" i="10"/>
  <c r="F218" i="10"/>
  <c r="E218" i="10"/>
  <c r="D218" i="10"/>
  <c r="C218" i="10"/>
  <c r="B217" i="10"/>
  <c r="A217" i="10"/>
  <c r="J217" i="10"/>
  <c r="I217" i="10"/>
  <c r="H217" i="10"/>
  <c r="G217" i="10"/>
  <c r="F217" i="10"/>
  <c r="E217" i="10"/>
  <c r="D217" i="10"/>
  <c r="C217" i="10"/>
  <c r="B216" i="10"/>
  <c r="A216" i="10"/>
  <c r="J216" i="10"/>
  <c r="I216" i="10"/>
  <c r="H216" i="10"/>
  <c r="G216" i="10"/>
  <c r="F216" i="10"/>
  <c r="E216" i="10"/>
  <c r="D216" i="10"/>
  <c r="C216" i="10"/>
  <c r="B215" i="10"/>
  <c r="A215" i="10"/>
  <c r="J215" i="10"/>
  <c r="I215" i="10"/>
  <c r="H215" i="10"/>
  <c r="G215" i="10"/>
  <c r="F215" i="10"/>
  <c r="E215" i="10"/>
  <c r="D215" i="10"/>
  <c r="C215" i="10"/>
  <c r="B214" i="10"/>
  <c r="A214" i="10"/>
  <c r="J214" i="10"/>
  <c r="I214" i="10"/>
  <c r="H214" i="10"/>
  <c r="G214" i="10"/>
  <c r="F214" i="10"/>
  <c r="E214" i="10"/>
  <c r="D214" i="10"/>
  <c r="C214" i="10"/>
  <c r="B213" i="10"/>
  <c r="A213" i="10"/>
  <c r="J213" i="10"/>
  <c r="I213" i="10"/>
  <c r="H213" i="10"/>
  <c r="G213" i="10"/>
  <c r="F213" i="10"/>
  <c r="E213" i="10"/>
  <c r="D213" i="10"/>
  <c r="C213" i="10"/>
  <c r="B212" i="10"/>
  <c r="A212" i="10"/>
  <c r="J212" i="10"/>
  <c r="I212" i="10"/>
  <c r="H212" i="10"/>
  <c r="G212" i="10"/>
  <c r="F212" i="10"/>
  <c r="E212" i="10"/>
  <c r="D212" i="10"/>
  <c r="C212" i="10"/>
  <c r="B211" i="10"/>
  <c r="A211" i="10"/>
  <c r="J211" i="10"/>
  <c r="I211" i="10"/>
  <c r="H211" i="10"/>
  <c r="G211" i="10"/>
  <c r="F211" i="10"/>
  <c r="E211" i="10"/>
  <c r="D211" i="10"/>
  <c r="C211" i="10"/>
  <c r="B210" i="10"/>
  <c r="A210" i="10"/>
  <c r="J210" i="10"/>
  <c r="I210" i="10"/>
  <c r="H210" i="10"/>
  <c r="G210" i="10"/>
  <c r="F210" i="10"/>
  <c r="E210" i="10"/>
  <c r="D210" i="10"/>
  <c r="C210" i="10"/>
  <c r="B209" i="10"/>
  <c r="A209" i="10"/>
  <c r="J209" i="10"/>
  <c r="I209" i="10"/>
  <c r="H209" i="10"/>
  <c r="G209" i="10"/>
  <c r="F209" i="10"/>
  <c r="E209" i="10"/>
  <c r="D209" i="10"/>
  <c r="C209" i="10"/>
  <c r="B208" i="10"/>
  <c r="A208" i="10"/>
  <c r="J208" i="10"/>
  <c r="I208" i="10"/>
  <c r="H208" i="10"/>
  <c r="G208" i="10"/>
  <c r="F208" i="10"/>
  <c r="E208" i="10"/>
  <c r="D208" i="10"/>
  <c r="C208" i="10"/>
  <c r="B207" i="10"/>
  <c r="A207" i="10"/>
  <c r="J207" i="10"/>
  <c r="I207" i="10"/>
  <c r="H207" i="10"/>
  <c r="G207" i="10"/>
  <c r="F207" i="10"/>
  <c r="E207" i="10"/>
  <c r="D207" i="10"/>
  <c r="C207" i="10"/>
  <c r="B206" i="10"/>
  <c r="A206" i="10"/>
  <c r="J206" i="10"/>
  <c r="I206" i="10"/>
  <c r="H206" i="10"/>
  <c r="G206" i="10"/>
  <c r="F206" i="10"/>
  <c r="E206" i="10"/>
  <c r="D206" i="10"/>
  <c r="C206" i="10"/>
  <c r="B205" i="10"/>
  <c r="A205" i="10"/>
  <c r="J205" i="10"/>
  <c r="I205" i="10"/>
  <c r="H205" i="10"/>
  <c r="G205" i="10"/>
  <c r="F205" i="10"/>
  <c r="E205" i="10"/>
  <c r="D205" i="10"/>
  <c r="C205" i="10"/>
  <c r="B204" i="10"/>
  <c r="A204" i="10"/>
  <c r="J204" i="10"/>
  <c r="I204" i="10"/>
  <c r="H204" i="10"/>
  <c r="G204" i="10"/>
  <c r="F204" i="10"/>
  <c r="E204" i="10"/>
  <c r="D204" i="10"/>
  <c r="C204" i="10"/>
  <c r="B203" i="10"/>
  <c r="A203" i="10"/>
  <c r="J203" i="10"/>
  <c r="I203" i="10"/>
  <c r="H203" i="10"/>
  <c r="G203" i="10"/>
  <c r="F203" i="10"/>
  <c r="E203" i="10"/>
  <c r="D203" i="10"/>
  <c r="C203" i="10"/>
  <c r="B202" i="10"/>
  <c r="A202" i="10"/>
  <c r="J202" i="10"/>
  <c r="I202" i="10"/>
  <c r="H202" i="10"/>
  <c r="G202" i="10"/>
  <c r="F202" i="10"/>
  <c r="E202" i="10"/>
  <c r="D202" i="10"/>
  <c r="C202" i="10"/>
  <c r="B201" i="10"/>
  <c r="A201" i="10"/>
  <c r="J201" i="10"/>
  <c r="I201" i="10"/>
  <c r="H201" i="10"/>
  <c r="G201" i="10"/>
  <c r="F201" i="10"/>
  <c r="E201" i="10"/>
  <c r="D201" i="10"/>
  <c r="C201" i="10"/>
  <c r="B200" i="10"/>
  <c r="A200" i="10"/>
  <c r="J200" i="10"/>
  <c r="I200" i="10"/>
  <c r="H200" i="10"/>
  <c r="G200" i="10"/>
  <c r="F200" i="10"/>
  <c r="E200" i="10"/>
  <c r="D200" i="10"/>
  <c r="C200" i="10"/>
  <c r="B199" i="10"/>
  <c r="A199" i="10"/>
  <c r="J199" i="10"/>
  <c r="I199" i="10"/>
  <c r="H199" i="10"/>
  <c r="G199" i="10"/>
  <c r="F199" i="10"/>
  <c r="E199" i="10"/>
  <c r="D199" i="10"/>
  <c r="C199" i="10"/>
  <c r="B198" i="10"/>
  <c r="A198" i="10"/>
  <c r="J198" i="10"/>
  <c r="I198" i="10"/>
  <c r="H198" i="10"/>
  <c r="G198" i="10"/>
  <c r="F198" i="10"/>
  <c r="E198" i="10"/>
  <c r="D198" i="10"/>
  <c r="C198" i="10"/>
  <c r="B197" i="10"/>
  <c r="A197" i="10"/>
  <c r="J197" i="10"/>
  <c r="I197" i="10"/>
  <c r="H197" i="10"/>
  <c r="G197" i="10"/>
  <c r="F197" i="10"/>
  <c r="E197" i="10"/>
  <c r="D197" i="10"/>
  <c r="C197" i="10"/>
  <c r="B196" i="10"/>
  <c r="A196" i="10"/>
  <c r="J196" i="10"/>
  <c r="I196" i="10"/>
  <c r="H196" i="10"/>
  <c r="G196" i="10"/>
  <c r="F196" i="10"/>
  <c r="E196" i="10"/>
  <c r="D196" i="10"/>
  <c r="C196" i="10"/>
  <c r="B195" i="10"/>
  <c r="A195" i="10"/>
  <c r="J195" i="10"/>
  <c r="I195" i="10"/>
  <c r="H195" i="10"/>
  <c r="G195" i="10"/>
  <c r="F195" i="10"/>
  <c r="E195" i="10"/>
  <c r="D195" i="10"/>
  <c r="C195" i="10"/>
  <c r="B194" i="10"/>
  <c r="A194" i="10"/>
  <c r="J194" i="10"/>
  <c r="I194" i="10"/>
  <c r="H194" i="10"/>
  <c r="G194" i="10"/>
  <c r="F194" i="10"/>
  <c r="E194" i="10"/>
  <c r="D194" i="10"/>
  <c r="C194" i="10"/>
  <c r="B193" i="10"/>
  <c r="A193" i="10"/>
  <c r="J193" i="10"/>
  <c r="I193" i="10"/>
  <c r="H193" i="10"/>
  <c r="G193" i="10"/>
  <c r="F193" i="10"/>
  <c r="E193" i="10"/>
  <c r="D193" i="10"/>
  <c r="C193" i="10"/>
  <c r="B192" i="10"/>
  <c r="A192" i="10"/>
  <c r="J192" i="10"/>
  <c r="I192" i="10"/>
  <c r="H192" i="10"/>
  <c r="G192" i="10"/>
  <c r="F192" i="10"/>
  <c r="E192" i="10"/>
  <c r="D192" i="10"/>
  <c r="C192" i="10"/>
  <c r="B191" i="10"/>
  <c r="A191" i="10"/>
  <c r="J191" i="10"/>
  <c r="I191" i="10"/>
  <c r="H191" i="10"/>
  <c r="G191" i="10"/>
  <c r="F191" i="10"/>
  <c r="E191" i="10"/>
  <c r="D191" i="10"/>
  <c r="C191" i="10"/>
  <c r="B190" i="10"/>
  <c r="A190" i="10"/>
  <c r="J190" i="10"/>
  <c r="I190" i="10"/>
  <c r="H190" i="10"/>
  <c r="G190" i="10"/>
  <c r="F190" i="10"/>
  <c r="E190" i="10"/>
  <c r="D190" i="10"/>
  <c r="C190" i="10"/>
  <c r="B189" i="10"/>
  <c r="A189" i="10"/>
  <c r="J189" i="10"/>
  <c r="I189" i="10"/>
  <c r="H189" i="10"/>
  <c r="G189" i="10"/>
  <c r="F189" i="10"/>
  <c r="E189" i="10"/>
  <c r="D189" i="10"/>
  <c r="C189" i="10"/>
  <c r="B188" i="10"/>
  <c r="A188" i="10"/>
  <c r="J188" i="10"/>
  <c r="I188" i="10"/>
  <c r="H188" i="10"/>
  <c r="G188" i="10"/>
  <c r="F188" i="10"/>
  <c r="E188" i="10"/>
  <c r="D188" i="10"/>
  <c r="C188" i="10"/>
  <c r="B187" i="10"/>
  <c r="A187" i="10"/>
  <c r="J187" i="10"/>
  <c r="I187" i="10"/>
  <c r="H187" i="10"/>
  <c r="G187" i="10"/>
  <c r="F187" i="10"/>
  <c r="E187" i="10"/>
  <c r="D187" i="10"/>
  <c r="C187" i="10"/>
  <c r="B186" i="10"/>
  <c r="A186" i="10"/>
  <c r="J186" i="10"/>
  <c r="I186" i="10"/>
  <c r="H186" i="10"/>
  <c r="G186" i="10"/>
  <c r="F186" i="10"/>
  <c r="E186" i="10"/>
  <c r="D186" i="10"/>
  <c r="C186" i="10"/>
  <c r="B185" i="10"/>
  <c r="A185" i="10"/>
  <c r="J185" i="10"/>
  <c r="I185" i="10"/>
  <c r="H185" i="10"/>
  <c r="G185" i="10"/>
  <c r="F185" i="10"/>
  <c r="E185" i="10"/>
  <c r="D185" i="10"/>
  <c r="C185" i="10"/>
  <c r="B184" i="10"/>
  <c r="A184" i="10"/>
  <c r="J184" i="10"/>
  <c r="I184" i="10"/>
  <c r="H184" i="10"/>
  <c r="G184" i="10"/>
  <c r="F184" i="10"/>
  <c r="E184" i="10"/>
  <c r="D184" i="10"/>
  <c r="C184" i="10"/>
  <c r="B183" i="10"/>
  <c r="A183" i="10"/>
  <c r="J183" i="10"/>
  <c r="I183" i="10"/>
  <c r="H183" i="10"/>
  <c r="G183" i="10"/>
  <c r="F183" i="10"/>
  <c r="E183" i="10"/>
  <c r="D183" i="10"/>
  <c r="C183" i="10"/>
  <c r="B182" i="10"/>
  <c r="A182" i="10"/>
  <c r="J182" i="10"/>
  <c r="I182" i="10"/>
  <c r="H182" i="10"/>
  <c r="G182" i="10"/>
  <c r="F182" i="10"/>
  <c r="E182" i="10"/>
  <c r="D182" i="10"/>
  <c r="C182" i="10"/>
  <c r="B181" i="10"/>
  <c r="A181" i="10"/>
  <c r="J181" i="10"/>
  <c r="I181" i="10"/>
  <c r="H181" i="10"/>
  <c r="G181" i="10"/>
  <c r="F181" i="10"/>
  <c r="E181" i="10"/>
  <c r="D181" i="10"/>
  <c r="C181" i="10"/>
  <c r="B180" i="10"/>
  <c r="A180" i="10"/>
  <c r="J180" i="10"/>
  <c r="I180" i="10"/>
  <c r="H180" i="10"/>
  <c r="G180" i="10"/>
  <c r="F180" i="10"/>
  <c r="E180" i="10"/>
  <c r="D180" i="10"/>
  <c r="C180" i="10"/>
  <c r="B179" i="10"/>
  <c r="A179" i="10"/>
  <c r="J179" i="10"/>
  <c r="I179" i="10"/>
  <c r="H179" i="10"/>
  <c r="G179" i="10"/>
  <c r="F179" i="10"/>
  <c r="E179" i="10"/>
  <c r="D179" i="10"/>
  <c r="C179" i="10"/>
  <c r="B178" i="10"/>
  <c r="A178" i="10"/>
  <c r="J178" i="10"/>
  <c r="I178" i="10"/>
  <c r="H178" i="10"/>
  <c r="G178" i="10"/>
  <c r="F178" i="10"/>
  <c r="E178" i="10"/>
  <c r="D178" i="10"/>
  <c r="C178" i="10"/>
  <c r="B177" i="10"/>
  <c r="A177" i="10"/>
  <c r="J177" i="10"/>
  <c r="I177" i="10"/>
  <c r="H177" i="10"/>
  <c r="G177" i="10"/>
  <c r="F177" i="10"/>
  <c r="E177" i="10"/>
  <c r="D177" i="10"/>
  <c r="C177" i="10"/>
  <c r="B176" i="10"/>
  <c r="A176" i="10"/>
  <c r="J176" i="10"/>
  <c r="I176" i="10"/>
  <c r="H176" i="10"/>
  <c r="G176" i="10"/>
  <c r="F176" i="10"/>
  <c r="E176" i="10"/>
  <c r="D176" i="10"/>
  <c r="C176" i="10"/>
  <c r="B175" i="10"/>
  <c r="A175" i="10"/>
  <c r="J175" i="10"/>
  <c r="I175" i="10"/>
  <c r="H175" i="10"/>
  <c r="G175" i="10"/>
  <c r="F175" i="10"/>
  <c r="E175" i="10"/>
  <c r="D175" i="10"/>
  <c r="C175" i="10"/>
  <c r="B174" i="10"/>
  <c r="A174" i="10"/>
  <c r="J174" i="10"/>
  <c r="I174" i="10"/>
  <c r="H174" i="10"/>
  <c r="G174" i="10"/>
  <c r="F174" i="10"/>
  <c r="E174" i="10"/>
  <c r="D174" i="10"/>
  <c r="C174" i="10"/>
  <c r="B173" i="10"/>
  <c r="A173" i="10"/>
  <c r="J173" i="10"/>
  <c r="I173" i="10"/>
  <c r="H173" i="10"/>
  <c r="G173" i="10"/>
  <c r="F173" i="10"/>
  <c r="E173" i="10"/>
  <c r="D173" i="10"/>
  <c r="C173" i="10"/>
  <c r="B172" i="10"/>
  <c r="A172" i="10"/>
  <c r="J172" i="10"/>
  <c r="I172" i="10"/>
  <c r="H172" i="10"/>
  <c r="G172" i="10"/>
  <c r="F172" i="10"/>
  <c r="E172" i="10"/>
  <c r="D172" i="10"/>
  <c r="C172" i="10"/>
  <c r="B171" i="10"/>
  <c r="A171" i="10"/>
  <c r="J171" i="10"/>
  <c r="I171" i="10"/>
  <c r="H171" i="10"/>
  <c r="G171" i="10"/>
  <c r="F171" i="10"/>
  <c r="E171" i="10"/>
  <c r="D171" i="10"/>
  <c r="C171" i="10"/>
  <c r="B170" i="10"/>
  <c r="A170" i="10"/>
  <c r="J170" i="10"/>
  <c r="I170" i="10"/>
  <c r="H170" i="10"/>
  <c r="G170" i="10"/>
  <c r="F170" i="10"/>
  <c r="E170" i="10"/>
  <c r="D170" i="10"/>
  <c r="C170" i="10"/>
  <c r="B169" i="10"/>
  <c r="A169" i="10"/>
  <c r="J169" i="10"/>
  <c r="I169" i="10"/>
  <c r="H169" i="10"/>
  <c r="G169" i="10"/>
  <c r="F169" i="10"/>
  <c r="E169" i="10"/>
  <c r="D169" i="10"/>
  <c r="C169" i="10"/>
  <c r="B168" i="10"/>
  <c r="A168" i="10"/>
  <c r="J168" i="10"/>
  <c r="I168" i="10"/>
  <c r="H168" i="10"/>
  <c r="G168" i="10"/>
  <c r="F168" i="10"/>
  <c r="E168" i="10"/>
  <c r="D168" i="10"/>
  <c r="C168" i="10"/>
  <c r="B167" i="10"/>
  <c r="A167" i="10"/>
  <c r="J167" i="10"/>
  <c r="I167" i="10"/>
  <c r="H167" i="10"/>
  <c r="G167" i="10"/>
  <c r="F167" i="10"/>
  <c r="E167" i="10"/>
  <c r="D167" i="10"/>
  <c r="C167" i="10"/>
  <c r="B166" i="10"/>
  <c r="A166" i="10"/>
  <c r="J166" i="10"/>
  <c r="I166" i="10"/>
  <c r="H166" i="10"/>
  <c r="G166" i="10"/>
  <c r="F166" i="10"/>
  <c r="E166" i="10"/>
  <c r="D166" i="10"/>
  <c r="C166" i="10"/>
  <c r="B165" i="10"/>
  <c r="A165" i="10"/>
  <c r="J165" i="10"/>
  <c r="I165" i="10"/>
  <c r="H165" i="10"/>
  <c r="G165" i="10"/>
  <c r="F165" i="10"/>
  <c r="E165" i="10"/>
  <c r="D165" i="10"/>
  <c r="C165" i="10"/>
  <c r="B164" i="10"/>
  <c r="A164" i="10"/>
  <c r="J164" i="10"/>
  <c r="I164" i="10"/>
  <c r="H164" i="10"/>
  <c r="G164" i="10"/>
  <c r="F164" i="10"/>
  <c r="E164" i="10"/>
  <c r="D164" i="10"/>
  <c r="C164" i="10"/>
  <c r="B163" i="10"/>
  <c r="A163" i="10"/>
  <c r="J163" i="10"/>
  <c r="I163" i="10"/>
  <c r="H163" i="10"/>
  <c r="G163" i="10"/>
  <c r="F163" i="10"/>
  <c r="E163" i="10"/>
  <c r="D163" i="10"/>
  <c r="C163" i="10"/>
  <c r="B162" i="10"/>
  <c r="A162" i="10"/>
  <c r="J162" i="10"/>
  <c r="I162" i="10"/>
  <c r="H162" i="10"/>
  <c r="G162" i="10"/>
  <c r="F162" i="10"/>
  <c r="E162" i="10"/>
  <c r="D162" i="10"/>
  <c r="C162" i="10"/>
  <c r="B161" i="10"/>
  <c r="A161" i="10"/>
  <c r="J161" i="10"/>
  <c r="I161" i="10"/>
  <c r="H161" i="10"/>
  <c r="G161" i="10"/>
  <c r="F161" i="10"/>
  <c r="E161" i="10"/>
  <c r="D161" i="10"/>
  <c r="C161" i="10"/>
  <c r="B160" i="10"/>
  <c r="A160" i="10"/>
  <c r="J160" i="10"/>
  <c r="I160" i="10"/>
  <c r="H160" i="10"/>
  <c r="G160" i="10"/>
  <c r="F160" i="10"/>
  <c r="E160" i="10"/>
  <c r="D160" i="10"/>
  <c r="C160" i="10"/>
  <c r="B159" i="10"/>
  <c r="A159" i="10"/>
  <c r="J159" i="10"/>
  <c r="I159" i="10"/>
  <c r="H159" i="10"/>
  <c r="G159" i="10"/>
  <c r="F159" i="10"/>
  <c r="E159" i="10"/>
  <c r="D159" i="10"/>
  <c r="C159" i="10"/>
  <c r="B158" i="10"/>
  <c r="A158" i="10"/>
  <c r="J158" i="10"/>
  <c r="I158" i="10"/>
  <c r="H158" i="10"/>
  <c r="G158" i="10"/>
  <c r="F158" i="10"/>
  <c r="E158" i="10"/>
  <c r="D158" i="10"/>
  <c r="C158" i="10"/>
  <c r="B157" i="10"/>
  <c r="A157" i="10"/>
  <c r="J157" i="10"/>
  <c r="I157" i="10"/>
  <c r="H157" i="10"/>
  <c r="G157" i="10"/>
  <c r="F157" i="10"/>
  <c r="E157" i="10"/>
  <c r="D157" i="10"/>
  <c r="C157" i="10"/>
  <c r="B156" i="10"/>
  <c r="A156" i="10"/>
  <c r="J156" i="10"/>
  <c r="I156" i="10"/>
  <c r="H156" i="10"/>
  <c r="G156" i="10"/>
  <c r="F156" i="10"/>
  <c r="E156" i="10"/>
  <c r="D156" i="10"/>
  <c r="C156" i="10"/>
  <c r="B155" i="10"/>
  <c r="A155" i="10"/>
  <c r="J155" i="10"/>
  <c r="I155" i="10"/>
  <c r="H155" i="10"/>
  <c r="G155" i="10"/>
  <c r="F155" i="10"/>
  <c r="E155" i="10"/>
  <c r="D155" i="10"/>
  <c r="C155" i="10"/>
  <c r="B154" i="10"/>
  <c r="A154" i="10"/>
  <c r="J154" i="10"/>
  <c r="I154" i="10"/>
  <c r="H154" i="10"/>
  <c r="G154" i="10"/>
  <c r="F154" i="10"/>
  <c r="E154" i="10"/>
  <c r="D154" i="10"/>
  <c r="C154" i="10"/>
  <c r="B153" i="10"/>
  <c r="A153" i="10"/>
  <c r="J153" i="10"/>
  <c r="I153" i="10"/>
  <c r="H153" i="10"/>
  <c r="G153" i="10"/>
  <c r="F153" i="10"/>
  <c r="E153" i="10"/>
  <c r="D153" i="10"/>
  <c r="C153" i="10"/>
  <c r="B152" i="10"/>
  <c r="A152" i="10"/>
  <c r="J152" i="10"/>
  <c r="I152" i="10"/>
  <c r="H152" i="10"/>
  <c r="G152" i="10"/>
  <c r="F152" i="10"/>
  <c r="E152" i="10"/>
  <c r="D152" i="10"/>
  <c r="C152" i="10"/>
  <c r="B151" i="10"/>
  <c r="A151" i="10"/>
  <c r="J151" i="10"/>
  <c r="I151" i="10"/>
  <c r="H151" i="10"/>
  <c r="G151" i="10"/>
  <c r="F151" i="10"/>
  <c r="E151" i="10"/>
  <c r="D151" i="10"/>
  <c r="C151" i="10"/>
  <c r="B150" i="10"/>
  <c r="A150" i="10"/>
  <c r="J150" i="10"/>
  <c r="I150" i="10"/>
  <c r="H150" i="10"/>
  <c r="G150" i="10"/>
  <c r="F150" i="10"/>
  <c r="E150" i="10"/>
  <c r="D150" i="10"/>
  <c r="C150" i="10"/>
  <c r="B149" i="10"/>
  <c r="A149" i="10"/>
  <c r="J149" i="10"/>
  <c r="I149" i="10"/>
  <c r="H149" i="10"/>
  <c r="G149" i="10"/>
  <c r="F149" i="10"/>
  <c r="E149" i="10"/>
  <c r="D149" i="10"/>
  <c r="C149" i="10"/>
  <c r="B148" i="10"/>
  <c r="A148" i="10"/>
  <c r="J148" i="10"/>
  <c r="I148" i="10"/>
  <c r="H148" i="10"/>
  <c r="G148" i="10"/>
  <c r="F148" i="10"/>
  <c r="E148" i="10"/>
  <c r="D148" i="10"/>
  <c r="C148" i="10"/>
  <c r="B147" i="10"/>
  <c r="A147" i="10"/>
  <c r="J147" i="10"/>
  <c r="I147" i="10"/>
  <c r="H147" i="10"/>
  <c r="G147" i="10"/>
  <c r="F147" i="10"/>
  <c r="E147" i="10"/>
  <c r="D147" i="10"/>
  <c r="C147" i="10"/>
  <c r="B146" i="10"/>
  <c r="A146" i="10"/>
  <c r="J146" i="10"/>
  <c r="I146" i="10"/>
  <c r="H146" i="10"/>
  <c r="G146" i="10"/>
  <c r="F146" i="10"/>
  <c r="E146" i="10"/>
  <c r="D146" i="10"/>
  <c r="C146" i="10"/>
  <c r="B145" i="10"/>
  <c r="A145" i="10"/>
  <c r="J145" i="10"/>
  <c r="I145" i="10"/>
  <c r="H145" i="10"/>
  <c r="G145" i="10"/>
  <c r="F145" i="10"/>
  <c r="E145" i="10"/>
  <c r="D145" i="10"/>
  <c r="C145" i="10"/>
  <c r="B144" i="10"/>
  <c r="A144" i="10"/>
  <c r="J144" i="10"/>
  <c r="I144" i="10"/>
  <c r="H144" i="10"/>
  <c r="G144" i="10"/>
  <c r="F144" i="10"/>
  <c r="E144" i="10"/>
  <c r="D144" i="10"/>
  <c r="C144" i="10"/>
  <c r="B143" i="10"/>
  <c r="A143" i="10"/>
  <c r="J143" i="10"/>
  <c r="I143" i="10"/>
  <c r="H143" i="10"/>
  <c r="G143" i="10"/>
  <c r="F143" i="10"/>
  <c r="E143" i="10"/>
  <c r="D143" i="10"/>
  <c r="C143" i="10"/>
  <c r="B142" i="10"/>
  <c r="A142" i="10"/>
  <c r="J142" i="10"/>
  <c r="I142" i="10"/>
  <c r="H142" i="10"/>
  <c r="G142" i="10"/>
  <c r="F142" i="10"/>
  <c r="E142" i="10"/>
  <c r="D142" i="10"/>
  <c r="C142" i="10"/>
  <c r="B141" i="10"/>
  <c r="A141" i="10"/>
  <c r="J141" i="10"/>
  <c r="I141" i="10"/>
  <c r="H141" i="10"/>
  <c r="G141" i="10"/>
  <c r="F141" i="10"/>
  <c r="E141" i="10"/>
  <c r="D141" i="10"/>
  <c r="C141" i="10"/>
  <c r="B140" i="10"/>
  <c r="A140" i="10"/>
  <c r="J140" i="10"/>
  <c r="I140" i="10"/>
  <c r="H140" i="10"/>
  <c r="G140" i="10"/>
  <c r="F140" i="10"/>
  <c r="E140" i="10"/>
  <c r="D140" i="10"/>
  <c r="C140" i="10"/>
  <c r="B139" i="10"/>
  <c r="A139" i="10"/>
  <c r="J139" i="10"/>
  <c r="I139" i="10"/>
  <c r="H139" i="10"/>
  <c r="G139" i="10"/>
  <c r="F139" i="10"/>
  <c r="E139" i="10"/>
  <c r="D139" i="10"/>
  <c r="C139" i="10"/>
  <c r="B138" i="10"/>
  <c r="A138" i="10"/>
  <c r="J138" i="10"/>
  <c r="I138" i="10"/>
  <c r="H138" i="10"/>
  <c r="G138" i="10"/>
  <c r="F138" i="10"/>
  <c r="E138" i="10"/>
  <c r="D138" i="10"/>
  <c r="C138" i="10"/>
  <c r="B137" i="10"/>
  <c r="A137" i="10"/>
  <c r="J137" i="10"/>
  <c r="I137" i="10"/>
  <c r="H137" i="10"/>
  <c r="G137" i="10"/>
  <c r="F137" i="10"/>
  <c r="E137" i="10"/>
  <c r="D137" i="10"/>
  <c r="C137" i="10"/>
  <c r="B136" i="10"/>
  <c r="A136" i="10"/>
  <c r="J136" i="10"/>
  <c r="I136" i="10"/>
  <c r="H136" i="10"/>
  <c r="G136" i="10"/>
  <c r="F136" i="10"/>
  <c r="E136" i="10"/>
  <c r="D136" i="10"/>
  <c r="C136" i="10"/>
  <c r="B135" i="10"/>
  <c r="A135" i="10"/>
  <c r="J135" i="10"/>
  <c r="I135" i="10"/>
  <c r="H135" i="10"/>
  <c r="G135" i="10"/>
  <c r="F135" i="10"/>
  <c r="E135" i="10"/>
  <c r="D135" i="10"/>
  <c r="C135" i="10"/>
  <c r="B134" i="10"/>
  <c r="A134" i="10"/>
  <c r="J134" i="10"/>
  <c r="I134" i="10"/>
  <c r="H134" i="10"/>
  <c r="G134" i="10"/>
  <c r="F134" i="10"/>
  <c r="E134" i="10"/>
  <c r="D134" i="10"/>
  <c r="C134" i="10"/>
  <c r="B133" i="10"/>
  <c r="A133" i="10"/>
  <c r="J133" i="10"/>
  <c r="I133" i="10"/>
  <c r="H133" i="10"/>
  <c r="G133" i="10"/>
  <c r="F133" i="10"/>
  <c r="E133" i="10"/>
  <c r="D133" i="10"/>
  <c r="C133" i="10"/>
  <c r="B132" i="10"/>
  <c r="A132" i="10"/>
  <c r="J132" i="10"/>
  <c r="I132" i="10"/>
  <c r="H132" i="10"/>
  <c r="G132" i="10"/>
  <c r="F132" i="10"/>
  <c r="E132" i="10"/>
  <c r="D132" i="10"/>
  <c r="C132" i="10"/>
  <c r="B131" i="10"/>
  <c r="A131" i="10"/>
  <c r="J131" i="10"/>
  <c r="I131" i="10"/>
  <c r="H131" i="10"/>
  <c r="G131" i="10"/>
  <c r="F131" i="10"/>
  <c r="E131" i="10"/>
  <c r="D131" i="10"/>
  <c r="C131" i="10"/>
  <c r="B130" i="10"/>
  <c r="A130" i="10"/>
  <c r="J130" i="10"/>
  <c r="I130" i="10"/>
  <c r="H130" i="10"/>
  <c r="G130" i="10"/>
  <c r="F130" i="10"/>
  <c r="E130" i="10"/>
  <c r="D130" i="10"/>
  <c r="C130" i="10"/>
  <c r="B129" i="10"/>
  <c r="A129" i="10"/>
  <c r="J129" i="10"/>
  <c r="I129" i="10"/>
  <c r="H129" i="10"/>
  <c r="G129" i="10"/>
  <c r="F129" i="10"/>
  <c r="E129" i="10"/>
  <c r="D129" i="10"/>
  <c r="C129" i="10"/>
  <c r="B128" i="10"/>
  <c r="A128" i="10"/>
  <c r="J128" i="10"/>
  <c r="I128" i="10"/>
  <c r="H128" i="10"/>
  <c r="G128" i="10"/>
  <c r="F128" i="10"/>
  <c r="E128" i="10"/>
  <c r="D128" i="10"/>
  <c r="C128" i="10"/>
  <c r="B127" i="10"/>
  <c r="A127" i="10"/>
  <c r="J127" i="10"/>
  <c r="I127" i="10"/>
  <c r="H127" i="10"/>
  <c r="G127" i="10"/>
  <c r="F127" i="10"/>
  <c r="E127" i="10"/>
  <c r="D127" i="10"/>
  <c r="C127" i="10"/>
  <c r="B126" i="10"/>
  <c r="A126" i="10"/>
  <c r="J126" i="10"/>
  <c r="I126" i="10"/>
  <c r="H126" i="10"/>
  <c r="G126" i="10"/>
  <c r="F126" i="10"/>
  <c r="E126" i="10"/>
  <c r="D126" i="10"/>
  <c r="C126" i="10"/>
  <c r="B125" i="10"/>
  <c r="A125" i="10"/>
  <c r="J125" i="10"/>
  <c r="I125" i="10"/>
  <c r="H125" i="10"/>
  <c r="G125" i="10"/>
  <c r="F125" i="10"/>
  <c r="E125" i="10"/>
  <c r="D125" i="10"/>
  <c r="C125" i="10"/>
  <c r="B124" i="10"/>
  <c r="A124" i="10"/>
  <c r="J124" i="10"/>
  <c r="I124" i="10"/>
  <c r="H124" i="10"/>
  <c r="G124" i="10"/>
  <c r="F124" i="10"/>
  <c r="E124" i="10"/>
  <c r="D124" i="10"/>
  <c r="C124" i="10"/>
  <c r="B123" i="10"/>
  <c r="A123" i="10"/>
  <c r="J123" i="10"/>
  <c r="I123" i="10"/>
  <c r="H123" i="10"/>
  <c r="G123" i="10"/>
  <c r="F123" i="10"/>
  <c r="E123" i="10"/>
  <c r="D123" i="10"/>
  <c r="C123" i="10"/>
  <c r="B122" i="10"/>
  <c r="A122" i="10"/>
  <c r="J122" i="10"/>
  <c r="I122" i="10"/>
  <c r="H122" i="10"/>
  <c r="G122" i="10"/>
  <c r="F122" i="10"/>
  <c r="E122" i="10"/>
  <c r="D122" i="10"/>
  <c r="C122" i="10"/>
  <c r="B121" i="10"/>
  <c r="A121" i="10"/>
  <c r="J121" i="10"/>
  <c r="I121" i="10"/>
  <c r="H121" i="10"/>
  <c r="G121" i="10"/>
  <c r="F121" i="10"/>
  <c r="E121" i="10"/>
  <c r="D121" i="10"/>
  <c r="C121" i="10"/>
  <c r="B120" i="10"/>
  <c r="A120" i="10"/>
  <c r="J120" i="10"/>
  <c r="I120" i="10"/>
  <c r="H120" i="10"/>
  <c r="G120" i="10"/>
  <c r="F120" i="10"/>
  <c r="E120" i="10"/>
  <c r="D120" i="10"/>
  <c r="C120" i="10"/>
  <c r="B119" i="10"/>
  <c r="A119" i="10"/>
  <c r="J119" i="10"/>
  <c r="I119" i="10"/>
  <c r="H119" i="10"/>
  <c r="G119" i="10"/>
  <c r="F119" i="10"/>
  <c r="E119" i="10"/>
  <c r="D119" i="10"/>
  <c r="C119" i="10"/>
  <c r="B118" i="10"/>
  <c r="A118" i="10"/>
  <c r="J118" i="10"/>
  <c r="I118" i="10"/>
  <c r="H118" i="10"/>
  <c r="G118" i="10"/>
  <c r="F118" i="10"/>
  <c r="E118" i="10"/>
  <c r="D118" i="10"/>
  <c r="C118" i="10"/>
  <c r="B117" i="10"/>
  <c r="A117" i="10"/>
  <c r="J117" i="10"/>
  <c r="I117" i="10"/>
  <c r="H117" i="10"/>
  <c r="G117" i="10"/>
  <c r="F117" i="10"/>
  <c r="E117" i="10"/>
  <c r="D117" i="10"/>
  <c r="C117" i="10"/>
  <c r="B116" i="10"/>
  <c r="A116" i="10"/>
  <c r="J116" i="10"/>
  <c r="I116" i="10"/>
  <c r="H116" i="10"/>
  <c r="G116" i="10"/>
  <c r="F116" i="10"/>
  <c r="E116" i="10"/>
  <c r="D116" i="10"/>
  <c r="C116" i="10"/>
  <c r="B115" i="10"/>
  <c r="A115" i="10"/>
  <c r="J115" i="10"/>
  <c r="I115" i="10"/>
  <c r="H115" i="10"/>
  <c r="G115" i="10"/>
  <c r="F115" i="10"/>
  <c r="E115" i="10"/>
  <c r="D115" i="10"/>
  <c r="C115" i="10"/>
  <c r="B114" i="10"/>
  <c r="A114" i="10"/>
  <c r="J114" i="10"/>
  <c r="I114" i="10"/>
  <c r="H114" i="10"/>
  <c r="G114" i="10"/>
  <c r="F114" i="10"/>
  <c r="E114" i="10"/>
  <c r="D114" i="10"/>
  <c r="C114" i="10"/>
  <c r="B113" i="10"/>
  <c r="A113" i="10"/>
  <c r="J113" i="10"/>
  <c r="I113" i="10"/>
  <c r="H113" i="10"/>
  <c r="G113" i="10"/>
  <c r="F113" i="10"/>
  <c r="E113" i="10"/>
  <c r="D113" i="10"/>
  <c r="C113" i="10"/>
  <c r="B112" i="10"/>
  <c r="A112" i="10"/>
  <c r="J112" i="10"/>
  <c r="I112" i="10"/>
  <c r="H112" i="10"/>
  <c r="G112" i="10"/>
  <c r="F112" i="10"/>
  <c r="E112" i="10"/>
  <c r="D112" i="10"/>
  <c r="C112" i="10"/>
  <c r="B111" i="10"/>
  <c r="A111" i="10"/>
  <c r="J111" i="10"/>
  <c r="I111" i="10"/>
  <c r="H111" i="10"/>
  <c r="G111" i="10"/>
  <c r="F111" i="10"/>
  <c r="E111" i="10"/>
  <c r="D111" i="10"/>
  <c r="C111" i="10"/>
  <c r="B110" i="10"/>
  <c r="A110" i="10"/>
  <c r="J110" i="10"/>
  <c r="I110" i="10"/>
  <c r="H110" i="10"/>
  <c r="G110" i="10"/>
  <c r="F110" i="10"/>
  <c r="E110" i="10"/>
  <c r="D110" i="10"/>
  <c r="C110" i="10"/>
  <c r="B109" i="10"/>
  <c r="A109" i="10"/>
  <c r="J109" i="10"/>
  <c r="I109" i="10"/>
  <c r="H109" i="10"/>
  <c r="G109" i="10"/>
  <c r="F109" i="10"/>
  <c r="E109" i="10"/>
  <c r="D109" i="10"/>
  <c r="C109" i="10"/>
  <c r="B108" i="10"/>
  <c r="A108" i="10"/>
  <c r="J108" i="10"/>
  <c r="I108" i="10"/>
  <c r="H108" i="10"/>
  <c r="G108" i="10"/>
  <c r="F108" i="10"/>
  <c r="E108" i="10"/>
  <c r="D108" i="10"/>
  <c r="C108" i="10"/>
  <c r="B107" i="10"/>
  <c r="A107" i="10"/>
  <c r="J107" i="10"/>
  <c r="I107" i="10"/>
  <c r="H107" i="10"/>
  <c r="G107" i="10"/>
  <c r="F107" i="10"/>
  <c r="E107" i="10"/>
  <c r="D107" i="10"/>
  <c r="C107" i="10"/>
  <c r="B106" i="10"/>
  <c r="A106" i="10"/>
  <c r="J106" i="10"/>
  <c r="I106" i="10"/>
  <c r="H106" i="10"/>
  <c r="G106" i="10"/>
  <c r="F106" i="10"/>
  <c r="E106" i="10"/>
  <c r="D106" i="10"/>
  <c r="C106" i="10"/>
  <c r="B105" i="10"/>
  <c r="A105" i="10"/>
  <c r="J105" i="10"/>
  <c r="I105" i="10"/>
  <c r="H105" i="10"/>
  <c r="G105" i="10"/>
  <c r="F105" i="10"/>
  <c r="E105" i="10"/>
  <c r="D105" i="10"/>
  <c r="C105" i="10"/>
  <c r="B104" i="10"/>
  <c r="A104" i="10"/>
  <c r="J104" i="10"/>
  <c r="I104" i="10"/>
  <c r="H104" i="10"/>
  <c r="G104" i="10"/>
  <c r="F104" i="10"/>
  <c r="E104" i="10"/>
  <c r="D104" i="10"/>
  <c r="C104" i="10"/>
  <c r="B103" i="10"/>
  <c r="A103" i="10"/>
  <c r="J103" i="10"/>
  <c r="I103" i="10"/>
  <c r="H103" i="10"/>
  <c r="G103" i="10"/>
  <c r="F103" i="10"/>
  <c r="E103" i="10"/>
  <c r="D103" i="10"/>
  <c r="C103" i="10"/>
  <c r="B102" i="10"/>
  <c r="A102" i="10"/>
  <c r="J102" i="10"/>
  <c r="I102" i="10"/>
  <c r="H102" i="10"/>
  <c r="G102" i="10"/>
  <c r="F102" i="10"/>
  <c r="E102" i="10"/>
  <c r="D102" i="10"/>
  <c r="C102" i="10"/>
  <c r="B101" i="10"/>
  <c r="A101" i="10"/>
  <c r="J101" i="10"/>
  <c r="I101" i="10"/>
  <c r="H101" i="10"/>
  <c r="G101" i="10"/>
  <c r="F101" i="10"/>
  <c r="E101" i="10"/>
  <c r="D101" i="10"/>
  <c r="C101" i="10"/>
  <c r="B100" i="10"/>
  <c r="A100" i="10"/>
  <c r="J100" i="10"/>
  <c r="I100" i="10"/>
  <c r="H100" i="10"/>
  <c r="G100" i="10"/>
  <c r="F100" i="10"/>
  <c r="E100" i="10"/>
  <c r="D100" i="10"/>
  <c r="C100" i="10"/>
  <c r="B99" i="10"/>
  <c r="A99" i="10"/>
  <c r="J99" i="10"/>
  <c r="I99" i="10"/>
  <c r="H99" i="10"/>
  <c r="G99" i="10"/>
  <c r="F99" i="10"/>
  <c r="E99" i="10"/>
  <c r="D99" i="10"/>
  <c r="C99" i="10"/>
  <c r="B98" i="10"/>
  <c r="A98" i="10"/>
  <c r="J98" i="10"/>
  <c r="I98" i="10"/>
  <c r="H98" i="10"/>
  <c r="G98" i="10"/>
  <c r="F98" i="10"/>
  <c r="E98" i="10"/>
  <c r="D98" i="10"/>
  <c r="C98" i="10"/>
  <c r="B97" i="10"/>
  <c r="A97" i="10"/>
  <c r="J97" i="10"/>
  <c r="I97" i="10"/>
  <c r="H97" i="10"/>
  <c r="G97" i="10"/>
  <c r="F97" i="10"/>
  <c r="E97" i="10"/>
  <c r="D97" i="10"/>
  <c r="C97" i="10"/>
  <c r="B96" i="10"/>
  <c r="A96" i="10"/>
  <c r="J96" i="10"/>
  <c r="I96" i="10"/>
  <c r="H96" i="10"/>
  <c r="G96" i="10"/>
  <c r="F96" i="10"/>
  <c r="E96" i="10"/>
  <c r="D96" i="10"/>
  <c r="C96" i="10"/>
  <c r="B95" i="10"/>
  <c r="A95" i="10"/>
  <c r="J95" i="10"/>
  <c r="I95" i="10"/>
  <c r="H95" i="10"/>
  <c r="G95" i="10"/>
  <c r="F95" i="10"/>
  <c r="E95" i="10"/>
  <c r="D95" i="10"/>
  <c r="C95" i="10"/>
  <c r="B94" i="10"/>
  <c r="A94" i="10"/>
  <c r="J94" i="10"/>
  <c r="I94" i="10"/>
  <c r="H94" i="10"/>
  <c r="G94" i="10"/>
  <c r="F94" i="10"/>
  <c r="E94" i="10"/>
  <c r="D94" i="10"/>
  <c r="C94" i="10"/>
  <c r="B93" i="10"/>
  <c r="A93" i="10"/>
  <c r="J93" i="10"/>
  <c r="I93" i="10"/>
  <c r="H93" i="10"/>
  <c r="G93" i="10"/>
  <c r="F93" i="10"/>
  <c r="E93" i="10"/>
  <c r="D93" i="10"/>
  <c r="C93" i="10"/>
  <c r="B92" i="10"/>
  <c r="A92" i="10"/>
  <c r="J92" i="10"/>
  <c r="I92" i="10"/>
  <c r="H92" i="10"/>
  <c r="G92" i="10"/>
  <c r="F92" i="10"/>
  <c r="E92" i="10"/>
  <c r="D92" i="10"/>
  <c r="C92" i="10"/>
  <c r="B91" i="10"/>
  <c r="A91" i="10"/>
  <c r="J91" i="10"/>
  <c r="I91" i="10"/>
  <c r="H91" i="10"/>
  <c r="G91" i="10"/>
  <c r="F91" i="10"/>
  <c r="E91" i="10"/>
  <c r="D91" i="10"/>
  <c r="C91" i="10"/>
  <c r="B90" i="10"/>
  <c r="A90" i="10"/>
  <c r="J90" i="10"/>
  <c r="I90" i="10"/>
  <c r="H90" i="10"/>
  <c r="G90" i="10"/>
  <c r="F90" i="10"/>
  <c r="E90" i="10"/>
  <c r="D90" i="10"/>
  <c r="C90" i="10"/>
  <c r="B89" i="10"/>
  <c r="A89" i="10"/>
  <c r="J89" i="10"/>
  <c r="I89" i="10"/>
  <c r="H89" i="10"/>
  <c r="G89" i="10"/>
  <c r="F89" i="10"/>
  <c r="E89" i="10"/>
  <c r="D89" i="10"/>
  <c r="C89" i="10"/>
  <c r="B88" i="10"/>
  <c r="A88" i="10"/>
  <c r="J88" i="10"/>
  <c r="I88" i="10"/>
  <c r="H88" i="10"/>
  <c r="G88" i="10"/>
  <c r="F88" i="10"/>
  <c r="E88" i="10"/>
  <c r="D88" i="10"/>
  <c r="C88" i="10"/>
  <c r="B87" i="10"/>
  <c r="A87" i="10"/>
  <c r="J87" i="10"/>
  <c r="I87" i="10"/>
  <c r="H87" i="10"/>
  <c r="G87" i="10"/>
  <c r="F87" i="10"/>
  <c r="E87" i="10"/>
  <c r="D87" i="10"/>
  <c r="C87" i="10"/>
  <c r="B86" i="10"/>
  <c r="A86" i="10"/>
  <c r="J86" i="10"/>
  <c r="I86" i="10"/>
  <c r="H86" i="10"/>
  <c r="G86" i="10"/>
  <c r="F86" i="10"/>
  <c r="E86" i="10"/>
  <c r="D86" i="10"/>
  <c r="C86" i="10"/>
  <c r="B85" i="10"/>
  <c r="A85" i="10"/>
  <c r="J85" i="10"/>
  <c r="I85" i="10"/>
  <c r="H85" i="10"/>
  <c r="G85" i="10"/>
  <c r="F85" i="10"/>
  <c r="E85" i="10"/>
  <c r="D85" i="10"/>
  <c r="C85" i="10"/>
  <c r="B84" i="10"/>
  <c r="A84" i="10"/>
  <c r="J84" i="10"/>
  <c r="I84" i="10"/>
  <c r="H84" i="10"/>
  <c r="G84" i="10"/>
  <c r="F84" i="10"/>
  <c r="E84" i="10"/>
  <c r="D84" i="10"/>
  <c r="C84" i="10"/>
  <c r="B83" i="10"/>
  <c r="A83" i="10"/>
  <c r="J83" i="10"/>
  <c r="I83" i="10"/>
  <c r="H83" i="10"/>
  <c r="G83" i="10"/>
  <c r="F83" i="10"/>
  <c r="E83" i="10"/>
  <c r="D83" i="10"/>
  <c r="C83" i="10"/>
  <c r="B82" i="10"/>
  <c r="A82" i="10"/>
  <c r="J82" i="10"/>
  <c r="I82" i="10"/>
  <c r="H82" i="10"/>
  <c r="G82" i="10"/>
  <c r="F82" i="10"/>
  <c r="E82" i="10"/>
  <c r="D82" i="10"/>
  <c r="C82" i="10"/>
  <c r="B81" i="10"/>
  <c r="A81" i="10"/>
  <c r="J81" i="10"/>
  <c r="I81" i="10"/>
  <c r="H81" i="10"/>
  <c r="G81" i="10"/>
  <c r="F81" i="10"/>
  <c r="E81" i="10"/>
  <c r="D81" i="10"/>
  <c r="C81" i="10"/>
  <c r="B80" i="10"/>
  <c r="A80" i="10"/>
  <c r="J80" i="10"/>
  <c r="I80" i="10"/>
  <c r="H80" i="10"/>
  <c r="G80" i="10"/>
  <c r="F80" i="10"/>
  <c r="E80" i="10"/>
  <c r="D80" i="10"/>
  <c r="C80" i="10"/>
  <c r="B79" i="10"/>
  <c r="A79" i="10"/>
  <c r="J79" i="10"/>
  <c r="I79" i="10"/>
  <c r="H79" i="10"/>
  <c r="G79" i="10"/>
  <c r="F79" i="10"/>
  <c r="E79" i="10"/>
  <c r="D79" i="10"/>
  <c r="C79" i="10"/>
  <c r="B78" i="10"/>
  <c r="A78" i="10"/>
  <c r="J78" i="10"/>
  <c r="I78" i="10"/>
  <c r="H78" i="10"/>
  <c r="G78" i="10"/>
  <c r="F78" i="10"/>
  <c r="E78" i="10"/>
  <c r="D78" i="10"/>
  <c r="C78" i="10"/>
  <c r="B77" i="10"/>
  <c r="A77" i="10"/>
  <c r="J77" i="10"/>
  <c r="I77" i="10"/>
  <c r="H77" i="10"/>
  <c r="G77" i="10"/>
  <c r="F77" i="10"/>
  <c r="E77" i="10"/>
  <c r="D77" i="10"/>
  <c r="C77" i="10"/>
  <c r="B76" i="10"/>
  <c r="A76" i="10"/>
  <c r="J76" i="10"/>
  <c r="I76" i="10"/>
  <c r="H76" i="10"/>
  <c r="G76" i="10"/>
  <c r="F76" i="10"/>
  <c r="E76" i="10"/>
  <c r="D76" i="10"/>
  <c r="C76" i="10"/>
  <c r="B75" i="10"/>
  <c r="A75" i="10"/>
  <c r="J75" i="10"/>
  <c r="I75" i="10"/>
  <c r="H75" i="10"/>
  <c r="G75" i="10"/>
  <c r="F75" i="10"/>
  <c r="E75" i="10"/>
  <c r="D75" i="10"/>
  <c r="C75" i="10"/>
  <c r="B74" i="10"/>
  <c r="A74" i="10"/>
  <c r="J74" i="10"/>
  <c r="I74" i="10"/>
  <c r="H74" i="10"/>
  <c r="G74" i="10"/>
  <c r="F74" i="10"/>
  <c r="E74" i="10"/>
  <c r="D74" i="10"/>
  <c r="C74" i="10"/>
  <c r="B73" i="10"/>
  <c r="A73" i="10"/>
  <c r="J73" i="10"/>
  <c r="I73" i="10"/>
  <c r="H73" i="10"/>
  <c r="G73" i="10"/>
  <c r="F73" i="10"/>
  <c r="E73" i="10"/>
  <c r="D73" i="10"/>
  <c r="C73" i="10"/>
  <c r="B72" i="10"/>
  <c r="A72" i="10"/>
  <c r="J72" i="10"/>
  <c r="I72" i="10"/>
  <c r="H72" i="10"/>
  <c r="G72" i="10"/>
  <c r="F72" i="10"/>
  <c r="E72" i="10"/>
  <c r="D72" i="10"/>
  <c r="C72" i="10"/>
  <c r="B71" i="10"/>
  <c r="A71" i="10"/>
  <c r="J71" i="10"/>
  <c r="I71" i="10"/>
  <c r="H71" i="10"/>
  <c r="G71" i="10"/>
  <c r="F71" i="10"/>
  <c r="E71" i="10"/>
  <c r="D71" i="10"/>
  <c r="C71" i="10"/>
  <c r="B70" i="10"/>
  <c r="A70" i="10"/>
  <c r="J70" i="10"/>
  <c r="I70" i="10"/>
  <c r="H70" i="10"/>
  <c r="G70" i="10"/>
  <c r="F70" i="10"/>
  <c r="E70" i="10"/>
  <c r="D70" i="10"/>
  <c r="C70" i="10"/>
  <c r="B69" i="10"/>
  <c r="A69" i="10"/>
  <c r="J69" i="10"/>
  <c r="I69" i="10"/>
  <c r="H69" i="10"/>
  <c r="G69" i="10"/>
  <c r="F69" i="10"/>
  <c r="E69" i="10"/>
  <c r="D69" i="10"/>
  <c r="C69" i="10"/>
  <c r="B68" i="10"/>
  <c r="A68" i="10"/>
  <c r="J68" i="10"/>
  <c r="I68" i="10"/>
  <c r="H68" i="10"/>
  <c r="G68" i="10"/>
  <c r="F68" i="10"/>
  <c r="E68" i="10"/>
  <c r="D68" i="10"/>
  <c r="C68" i="10"/>
  <c r="B67" i="10"/>
  <c r="A67" i="10"/>
  <c r="J67" i="10"/>
  <c r="I67" i="10"/>
  <c r="H67" i="10"/>
  <c r="G67" i="10"/>
  <c r="F67" i="10"/>
  <c r="E67" i="10"/>
  <c r="D67" i="10"/>
  <c r="C67" i="10"/>
  <c r="B66" i="10"/>
  <c r="A66" i="10"/>
  <c r="J66" i="10"/>
  <c r="I66" i="10"/>
  <c r="H66" i="10"/>
  <c r="G66" i="10"/>
  <c r="F66" i="10"/>
  <c r="E66" i="10"/>
  <c r="D66" i="10"/>
  <c r="C66" i="10"/>
  <c r="B65" i="10"/>
  <c r="A65" i="10"/>
  <c r="J65" i="10"/>
  <c r="I65" i="10"/>
  <c r="H65" i="10"/>
  <c r="G65" i="10"/>
  <c r="F65" i="10"/>
  <c r="E65" i="10"/>
  <c r="D65" i="10"/>
  <c r="C65" i="10"/>
  <c r="B64" i="10"/>
  <c r="A64" i="10"/>
  <c r="J64" i="10"/>
  <c r="I64" i="10"/>
  <c r="H64" i="10"/>
  <c r="G64" i="10"/>
  <c r="F64" i="10"/>
  <c r="E64" i="10"/>
  <c r="D64" i="10"/>
  <c r="C64" i="10"/>
  <c r="B63" i="10"/>
  <c r="A63" i="10"/>
  <c r="J63" i="10"/>
  <c r="I63" i="10"/>
  <c r="H63" i="10"/>
  <c r="G63" i="10"/>
  <c r="F63" i="10"/>
  <c r="E63" i="10"/>
  <c r="D63" i="10"/>
  <c r="C63" i="10"/>
  <c r="B62" i="10"/>
  <c r="A62" i="10"/>
  <c r="J62" i="10"/>
  <c r="I62" i="10"/>
  <c r="H62" i="10"/>
  <c r="G62" i="10"/>
  <c r="F62" i="10"/>
  <c r="E62" i="10"/>
  <c r="D62" i="10"/>
  <c r="C62" i="10"/>
  <c r="B61" i="10"/>
  <c r="A61" i="10"/>
  <c r="J61" i="10"/>
  <c r="I61" i="10"/>
  <c r="H61" i="10"/>
  <c r="G61" i="10"/>
  <c r="F61" i="10"/>
  <c r="E61" i="10"/>
  <c r="D61" i="10"/>
  <c r="C61" i="10"/>
  <c r="B60" i="10"/>
  <c r="A60" i="10"/>
  <c r="J60" i="10"/>
  <c r="I60" i="10"/>
  <c r="H60" i="10"/>
  <c r="G60" i="10"/>
  <c r="F60" i="10"/>
  <c r="E60" i="10"/>
  <c r="D60" i="10"/>
  <c r="C60" i="10"/>
  <c r="B59" i="10"/>
  <c r="A59" i="10"/>
  <c r="J59" i="10"/>
  <c r="I59" i="10"/>
  <c r="H59" i="10"/>
  <c r="G59" i="10"/>
  <c r="F59" i="10"/>
  <c r="E59" i="10"/>
  <c r="D59" i="10"/>
  <c r="C59" i="10"/>
  <c r="B58" i="10"/>
  <c r="A58" i="10"/>
  <c r="J58" i="10"/>
  <c r="I58" i="10"/>
  <c r="H58" i="10"/>
  <c r="G58" i="10"/>
  <c r="F58" i="10"/>
  <c r="E58" i="10"/>
  <c r="D58" i="10"/>
  <c r="C58" i="10"/>
  <c r="B57" i="10"/>
  <c r="A57" i="10"/>
  <c r="J57" i="10"/>
  <c r="I57" i="10"/>
  <c r="H57" i="10"/>
  <c r="G57" i="10"/>
  <c r="F57" i="10"/>
  <c r="E57" i="10"/>
  <c r="D57" i="10"/>
  <c r="C57" i="10"/>
  <c r="B56" i="10"/>
  <c r="A56" i="10"/>
  <c r="J56" i="10"/>
  <c r="I56" i="10"/>
  <c r="H56" i="10"/>
  <c r="G56" i="10"/>
  <c r="F56" i="10"/>
  <c r="E56" i="10"/>
  <c r="D56" i="10"/>
  <c r="C56" i="10"/>
  <c r="B55" i="10"/>
  <c r="A55" i="10"/>
  <c r="J55" i="10"/>
  <c r="I55" i="10"/>
  <c r="H55" i="10"/>
  <c r="G55" i="10"/>
  <c r="F55" i="10"/>
  <c r="E55" i="10"/>
  <c r="D55" i="10"/>
  <c r="C55" i="10"/>
  <c r="B54" i="10"/>
  <c r="A54" i="10"/>
  <c r="J54" i="10"/>
  <c r="I54" i="10"/>
  <c r="H54" i="10"/>
  <c r="G54" i="10"/>
  <c r="F54" i="10"/>
  <c r="E54" i="10"/>
  <c r="D54" i="10"/>
  <c r="C54" i="10"/>
  <c r="B53" i="10"/>
  <c r="A53" i="10"/>
  <c r="J53" i="10"/>
  <c r="I53" i="10"/>
  <c r="H53" i="10"/>
  <c r="G53" i="10"/>
  <c r="F53" i="10"/>
  <c r="E53" i="10"/>
  <c r="D53" i="10"/>
  <c r="C53" i="10"/>
  <c r="B52" i="10"/>
  <c r="A52" i="10"/>
  <c r="J52" i="10"/>
  <c r="I52" i="10"/>
  <c r="H52" i="10"/>
  <c r="G52" i="10"/>
  <c r="F52" i="10"/>
  <c r="E52" i="10"/>
  <c r="D52" i="10"/>
  <c r="C52" i="10"/>
  <c r="B51" i="10"/>
  <c r="A51" i="10"/>
  <c r="J51" i="10"/>
  <c r="I51" i="10"/>
  <c r="H51" i="10"/>
  <c r="G51" i="10"/>
  <c r="F51" i="10"/>
  <c r="E51" i="10"/>
  <c r="D51" i="10"/>
  <c r="C51" i="10"/>
  <c r="B50" i="10"/>
  <c r="A50" i="10"/>
  <c r="J50" i="10"/>
  <c r="I50" i="10"/>
  <c r="H50" i="10"/>
  <c r="G50" i="10"/>
  <c r="F50" i="10"/>
  <c r="E50" i="10"/>
  <c r="D50" i="10"/>
  <c r="C50" i="10"/>
  <c r="B49" i="10"/>
  <c r="A49" i="10"/>
  <c r="J49" i="10"/>
  <c r="I49" i="10"/>
  <c r="H49" i="10"/>
  <c r="G49" i="10"/>
  <c r="F49" i="10"/>
  <c r="E49" i="10"/>
  <c r="D49" i="10"/>
  <c r="C49" i="10"/>
  <c r="B48" i="10"/>
  <c r="A48" i="10"/>
  <c r="J48" i="10"/>
  <c r="I48" i="10"/>
  <c r="H48" i="10"/>
  <c r="G48" i="10"/>
  <c r="F48" i="10"/>
  <c r="E48" i="10"/>
  <c r="D48" i="10"/>
  <c r="C48" i="10"/>
  <c r="B47" i="10"/>
  <c r="A47" i="10"/>
  <c r="J47" i="10"/>
  <c r="I47" i="10"/>
  <c r="H47" i="10"/>
  <c r="G47" i="10"/>
  <c r="F47" i="10"/>
  <c r="E47" i="10"/>
  <c r="D47" i="10"/>
  <c r="C47" i="10"/>
  <c r="B46" i="10"/>
  <c r="A46" i="10"/>
  <c r="J46" i="10"/>
  <c r="I46" i="10"/>
  <c r="H46" i="10"/>
  <c r="G46" i="10"/>
  <c r="F46" i="10"/>
  <c r="E46" i="10"/>
  <c r="D46" i="10"/>
  <c r="C46" i="10"/>
  <c r="B45" i="10"/>
  <c r="A45" i="10"/>
  <c r="J45" i="10"/>
  <c r="I45" i="10"/>
  <c r="H45" i="10"/>
  <c r="G45" i="10"/>
  <c r="F45" i="10"/>
  <c r="E45" i="10"/>
  <c r="D45" i="10"/>
  <c r="C45" i="10"/>
  <c r="B44" i="10"/>
  <c r="A44" i="10"/>
  <c r="J44" i="10"/>
  <c r="I44" i="10"/>
  <c r="H44" i="10"/>
  <c r="G44" i="10"/>
  <c r="F44" i="10"/>
  <c r="E44" i="10"/>
  <c r="D44" i="10"/>
  <c r="C44" i="10"/>
  <c r="B43" i="10"/>
  <c r="A43" i="10"/>
  <c r="J43" i="10"/>
  <c r="I43" i="10"/>
  <c r="H43" i="10"/>
  <c r="G43" i="10"/>
  <c r="F43" i="10"/>
  <c r="E43" i="10"/>
  <c r="D43" i="10"/>
  <c r="C43" i="10"/>
  <c r="B42" i="10"/>
  <c r="A42" i="10"/>
  <c r="J42" i="10"/>
  <c r="I42" i="10"/>
  <c r="H42" i="10"/>
  <c r="G42" i="10"/>
  <c r="F42" i="10"/>
  <c r="E42" i="10"/>
  <c r="D42" i="10"/>
  <c r="C42" i="10"/>
  <c r="B41" i="10"/>
  <c r="A41" i="10"/>
  <c r="J41" i="10"/>
  <c r="I41" i="10"/>
  <c r="H41" i="10"/>
  <c r="G41" i="10"/>
  <c r="F41" i="10"/>
  <c r="E41" i="10"/>
  <c r="D41" i="10"/>
  <c r="C41" i="10"/>
  <c r="B40" i="10"/>
  <c r="A40" i="10"/>
  <c r="J40" i="10"/>
  <c r="I40" i="10"/>
  <c r="H40" i="10"/>
  <c r="G40" i="10"/>
  <c r="F40" i="10"/>
  <c r="E40" i="10"/>
  <c r="D40" i="10"/>
  <c r="C40" i="10"/>
  <c r="B39" i="10"/>
  <c r="A39" i="10"/>
  <c r="J39" i="10"/>
  <c r="I39" i="10"/>
  <c r="H39" i="10"/>
  <c r="G39" i="10"/>
  <c r="F39" i="10"/>
  <c r="E39" i="10"/>
  <c r="D39" i="10"/>
  <c r="C39" i="10"/>
  <c r="B38" i="10"/>
  <c r="A38" i="10"/>
  <c r="H38" i="10"/>
  <c r="G38" i="10"/>
  <c r="F38" i="10"/>
  <c r="E38" i="10"/>
  <c r="D38" i="10"/>
  <c r="C38" i="10"/>
  <c r="H37" i="10"/>
  <c r="C37" i="10"/>
  <c r="H36" i="10"/>
  <c r="C36" i="10"/>
  <c r="H35" i="10"/>
  <c r="C35" i="10"/>
  <c r="H34" i="10"/>
  <c r="C34" i="10"/>
  <c r="H33" i="10"/>
  <c r="C33" i="10"/>
  <c r="H32" i="10"/>
  <c r="C32" i="10"/>
  <c r="H31" i="10"/>
  <c r="C31" i="10"/>
  <c r="H30" i="10"/>
  <c r="C30" i="10"/>
  <c r="H29" i="10"/>
  <c r="C29" i="10"/>
  <c r="J28" i="10"/>
  <c r="I28" i="10"/>
  <c r="H28" i="10"/>
  <c r="G28" i="10"/>
  <c r="F28" i="10"/>
  <c r="E28" i="10"/>
  <c r="D28" i="10"/>
  <c r="C28" i="10"/>
  <c r="B28" i="10"/>
  <c r="A28" i="10"/>
  <c r="J27" i="10"/>
  <c r="I27" i="10"/>
  <c r="H27" i="10"/>
  <c r="G27" i="10"/>
  <c r="F27" i="10"/>
  <c r="E27" i="10"/>
  <c r="D27" i="10"/>
  <c r="C27" i="10"/>
  <c r="B27" i="10"/>
  <c r="A27" i="10"/>
  <c r="J305" i="9"/>
  <c r="I305" i="9"/>
  <c r="H305" i="9"/>
  <c r="G305" i="9"/>
  <c r="F305" i="9"/>
  <c r="E305" i="9"/>
  <c r="D305" i="9"/>
  <c r="C305" i="9"/>
  <c r="B304" i="9"/>
  <c r="A304" i="9"/>
  <c r="J304" i="9"/>
  <c r="I304" i="9"/>
  <c r="H304" i="9"/>
  <c r="G304" i="9"/>
  <c r="F304" i="9"/>
  <c r="E304" i="9"/>
  <c r="D304" i="9"/>
  <c r="C304" i="9"/>
  <c r="B303" i="9"/>
  <c r="A303" i="9"/>
  <c r="J303" i="9"/>
  <c r="I303" i="9"/>
  <c r="H303" i="9"/>
  <c r="G303" i="9"/>
  <c r="F303" i="9"/>
  <c r="E303" i="9"/>
  <c r="D303" i="9"/>
  <c r="C303" i="9"/>
  <c r="B302" i="9"/>
  <c r="A302" i="9"/>
  <c r="J302" i="9"/>
  <c r="I302" i="9"/>
  <c r="H302" i="9"/>
  <c r="G302" i="9"/>
  <c r="F302" i="9"/>
  <c r="E302" i="9"/>
  <c r="D302" i="9"/>
  <c r="C302" i="9"/>
  <c r="B301" i="9"/>
  <c r="A301" i="9"/>
  <c r="J301" i="9"/>
  <c r="I301" i="9"/>
  <c r="H301" i="9"/>
  <c r="G301" i="9"/>
  <c r="F301" i="9"/>
  <c r="E301" i="9"/>
  <c r="D301" i="9"/>
  <c r="C301" i="9"/>
  <c r="B300" i="9"/>
  <c r="A300" i="9"/>
  <c r="J300" i="9"/>
  <c r="I300" i="9"/>
  <c r="H300" i="9"/>
  <c r="G300" i="9"/>
  <c r="F300" i="9"/>
  <c r="E300" i="9"/>
  <c r="D300" i="9"/>
  <c r="C300" i="9"/>
  <c r="B299" i="9"/>
  <c r="A299" i="9"/>
  <c r="J299" i="9"/>
  <c r="I299" i="9"/>
  <c r="H299" i="9"/>
  <c r="G299" i="9"/>
  <c r="F299" i="9"/>
  <c r="E299" i="9"/>
  <c r="D299" i="9"/>
  <c r="C299" i="9"/>
  <c r="B298" i="9"/>
  <c r="A298" i="9"/>
  <c r="J298" i="9"/>
  <c r="I298" i="9"/>
  <c r="H298" i="9"/>
  <c r="G298" i="9"/>
  <c r="F298" i="9"/>
  <c r="E298" i="9"/>
  <c r="D298" i="9"/>
  <c r="C298" i="9"/>
  <c r="B297" i="9"/>
  <c r="A297" i="9"/>
  <c r="J297" i="9"/>
  <c r="I297" i="9"/>
  <c r="H297" i="9"/>
  <c r="G297" i="9"/>
  <c r="F297" i="9"/>
  <c r="E297" i="9"/>
  <c r="D297" i="9"/>
  <c r="C297" i="9"/>
  <c r="B296" i="9"/>
  <c r="A296" i="9"/>
  <c r="J296" i="9"/>
  <c r="I296" i="9"/>
  <c r="H296" i="9"/>
  <c r="G296" i="9"/>
  <c r="F296" i="9"/>
  <c r="E296" i="9"/>
  <c r="D296" i="9"/>
  <c r="C296" i="9"/>
  <c r="B295" i="9"/>
  <c r="A295" i="9"/>
  <c r="J295" i="9"/>
  <c r="I295" i="9"/>
  <c r="H295" i="9"/>
  <c r="G295" i="9"/>
  <c r="F295" i="9"/>
  <c r="E295" i="9"/>
  <c r="D295" i="9"/>
  <c r="C295" i="9"/>
  <c r="B294" i="9"/>
  <c r="A294" i="9"/>
  <c r="J294" i="9"/>
  <c r="I294" i="9"/>
  <c r="H294" i="9"/>
  <c r="G294" i="9"/>
  <c r="F294" i="9"/>
  <c r="E294" i="9"/>
  <c r="D294" i="9"/>
  <c r="C294" i="9"/>
  <c r="B293" i="9"/>
  <c r="A293" i="9"/>
  <c r="J293" i="9"/>
  <c r="I293" i="9"/>
  <c r="H293" i="9"/>
  <c r="G293" i="9"/>
  <c r="F293" i="9"/>
  <c r="E293" i="9"/>
  <c r="D293" i="9"/>
  <c r="C293" i="9"/>
  <c r="B292" i="9"/>
  <c r="A292" i="9"/>
  <c r="J292" i="9"/>
  <c r="I292" i="9"/>
  <c r="H292" i="9"/>
  <c r="G292" i="9"/>
  <c r="F292" i="9"/>
  <c r="E292" i="9"/>
  <c r="D292" i="9"/>
  <c r="C292" i="9"/>
  <c r="B291" i="9"/>
  <c r="A291" i="9"/>
  <c r="J291" i="9"/>
  <c r="I291" i="9"/>
  <c r="H291" i="9"/>
  <c r="G291" i="9"/>
  <c r="F291" i="9"/>
  <c r="E291" i="9"/>
  <c r="D291" i="9"/>
  <c r="C291" i="9"/>
  <c r="B290" i="9"/>
  <c r="A290" i="9"/>
  <c r="J290" i="9"/>
  <c r="I290" i="9"/>
  <c r="H290" i="9"/>
  <c r="G290" i="9"/>
  <c r="F290" i="9"/>
  <c r="E290" i="9"/>
  <c r="D290" i="9"/>
  <c r="C290" i="9"/>
  <c r="B289" i="9"/>
  <c r="A289" i="9"/>
  <c r="J289" i="9"/>
  <c r="I289" i="9"/>
  <c r="H289" i="9"/>
  <c r="G289" i="9"/>
  <c r="F289" i="9"/>
  <c r="E289" i="9"/>
  <c r="D289" i="9"/>
  <c r="C289" i="9"/>
  <c r="B288" i="9"/>
  <c r="A288" i="9"/>
  <c r="J288" i="9"/>
  <c r="I288" i="9"/>
  <c r="H288" i="9"/>
  <c r="G288" i="9"/>
  <c r="F288" i="9"/>
  <c r="E288" i="9"/>
  <c r="D288" i="9"/>
  <c r="C288" i="9"/>
  <c r="B287" i="9"/>
  <c r="A287" i="9"/>
  <c r="J287" i="9"/>
  <c r="I287" i="9"/>
  <c r="H287" i="9"/>
  <c r="G287" i="9"/>
  <c r="F287" i="9"/>
  <c r="E287" i="9"/>
  <c r="D287" i="9"/>
  <c r="C287" i="9"/>
  <c r="B286" i="9"/>
  <c r="A286" i="9"/>
  <c r="J286" i="9"/>
  <c r="I286" i="9"/>
  <c r="H286" i="9"/>
  <c r="G286" i="9"/>
  <c r="F286" i="9"/>
  <c r="E286" i="9"/>
  <c r="D286" i="9"/>
  <c r="C286" i="9"/>
  <c r="B285" i="9"/>
  <c r="A285" i="9"/>
  <c r="J285" i="9"/>
  <c r="I285" i="9"/>
  <c r="H285" i="9"/>
  <c r="G285" i="9"/>
  <c r="F285" i="9"/>
  <c r="E285" i="9"/>
  <c r="D285" i="9"/>
  <c r="C285" i="9"/>
  <c r="B284" i="9"/>
  <c r="A284" i="9"/>
  <c r="J284" i="9"/>
  <c r="I284" i="9"/>
  <c r="H284" i="9"/>
  <c r="G284" i="9"/>
  <c r="F284" i="9"/>
  <c r="E284" i="9"/>
  <c r="D284" i="9"/>
  <c r="C284" i="9"/>
  <c r="B283" i="9"/>
  <c r="A283" i="9"/>
  <c r="J283" i="9"/>
  <c r="I283" i="9"/>
  <c r="H283" i="9"/>
  <c r="G283" i="9"/>
  <c r="F283" i="9"/>
  <c r="E283" i="9"/>
  <c r="D283" i="9"/>
  <c r="C283" i="9"/>
  <c r="B282" i="9"/>
  <c r="A282" i="9"/>
  <c r="J282" i="9"/>
  <c r="I282" i="9"/>
  <c r="H282" i="9"/>
  <c r="G282" i="9"/>
  <c r="F282" i="9"/>
  <c r="E282" i="9"/>
  <c r="D282" i="9"/>
  <c r="C282" i="9"/>
  <c r="B281" i="9"/>
  <c r="A281" i="9"/>
  <c r="J281" i="9"/>
  <c r="I281" i="9"/>
  <c r="H281" i="9"/>
  <c r="G281" i="9"/>
  <c r="F281" i="9"/>
  <c r="E281" i="9"/>
  <c r="D281" i="9"/>
  <c r="C281" i="9"/>
  <c r="B280" i="9"/>
  <c r="A280" i="9"/>
  <c r="J280" i="9"/>
  <c r="I280" i="9"/>
  <c r="H280" i="9"/>
  <c r="G280" i="9"/>
  <c r="F280" i="9"/>
  <c r="E280" i="9"/>
  <c r="D280" i="9"/>
  <c r="C280" i="9"/>
  <c r="B279" i="9"/>
  <c r="A279" i="9"/>
  <c r="J279" i="9"/>
  <c r="I279" i="9"/>
  <c r="H279" i="9"/>
  <c r="G279" i="9"/>
  <c r="F279" i="9"/>
  <c r="E279" i="9"/>
  <c r="D279" i="9"/>
  <c r="C279" i="9"/>
  <c r="B278" i="9"/>
  <c r="A278" i="9"/>
  <c r="J278" i="9"/>
  <c r="I278" i="9"/>
  <c r="H278" i="9"/>
  <c r="G278" i="9"/>
  <c r="F278" i="9"/>
  <c r="E278" i="9"/>
  <c r="D278" i="9"/>
  <c r="C278" i="9"/>
  <c r="B277" i="9"/>
  <c r="A277" i="9"/>
  <c r="J277" i="9"/>
  <c r="I277" i="9"/>
  <c r="H277" i="9"/>
  <c r="G277" i="9"/>
  <c r="F277" i="9"/>
  <c r="E277" i="9"/>
  <c r="D277" i="9"/>
  <c r="C277" i="9"/>
  <c r="B276" i="9"/>
  <c r="A276" i="9"/>
  <c r="J276" i="9"/>
  <c r="I276" i="9"/>
  <c r="H276" i="9"/>
  <c r="G276" i="9"/>
  <c r="F276" i="9"/>
  <c r="E276" i="9"/>
  <c r="D276" i="9"/>
  <c r="C276" i="9"/>
  <c r="B275" i="9"/>
  <c r="A275" i="9"/>
  <c r="J275" i="9"/>
  <c r="I275" i="9"/>
  <c r="H275" i="9"/>
  <c r="G275" i="9"/>
  <c r="F275" i="9"/>
  <c r="E275" i="9"/>
  <c r="D275" i="9"/>
  <c r="C275" i="9"/>
  <c r="B274" i="9"/>
  <c r="A274" i="9"/>
  <c r="J274" i="9"/>
  <c r="I274" i="9"/>
  <c r="H274" i="9"/>
  <c r="G274" i="9"/>
  <c r="F274" i="9"/>
  <c r="E274" i="9"/>
  <c r="D274" i="9"/>
  <c r="C274" i="9"/>
  <c r="B273" i="9"/>
  <c r="A273" i="9"/>
  <c r="J273" i="9"/>
  <c r="I273" i="9"/>
  <c r="H273" i="9"/>
  <c r="G273" i="9"/>
  <c r="F273" i="9"/>
  <c r="E273" i="9"/>
  <c r="D273" i="9"/>
  <c r="C273" i="9"/>
  <c r="B272" i="9"/>
  <c r="A272" i="9"/>
  <c r="J272" i="9"/>
  <c r="I272" i="9"/>
  <c r="H272" i="9"/>
  <c r="G272" i="9"/>
  <c r="F272" i="9"/>
  <c r="E272" i="9"/>
  <c r="D272" i="9"/>
  <c r="C272" i="9"/>
  <c r="B271" i="9"/>
  <c r="A271" i="9"/>
  <c r="J271" i="9"/>
  <c r="I271" i="9"/>
  <c r="H271" i="9"/>
  <c r="G271" i="9"/>
  <c r="F271" i="9"/>
  <c r="E271" i="9"/>
  <c r="D271" i="9"/>
  <c r="C271" i="9"/>
  <c r="B270" i="9"/>
  <c r="A270" i="9"/>
  <c r="J270" i="9"/>
  <c r="I270" i="9"/>
  <c r="H270" i="9"/>
  <c r="G270" i="9"/>
  <c r="F270" i="9"/>
  <c r="E270" i="9"/>
  <c r="D270" i="9"/>
  <c r="C270" i="9"/>
  <c r="B269" i="9"/>
  <c r="A269" i="9"/>
  <c r="J269" i="9"/>
  <c r="I269" i="9"/>
  <c r="H269" i="9"/>
  <c r="G269" i="9"/>
  <c r="F269" i="9"/>
  <c r="E269" i="9"/>
  <c r="D269" i="9"/>
  <c r="C269" i="9"/>
  <c r="B268" i="9"/>
  <c r="A268" i="9"/>
  <c r="J268" i="9"/>
  <c r="I268" i="9"/>
  <c r="H268" i="9"/>
  <c r="G268" i="9"/>
  <c r="F268" i="9"/>
  <c r="E268" i="9"/>
  <c r="D268" i="9"/>
  <c r="C268" i="9"/>
  <c r="B267" i="9"/>
  <c r="A267" i="9"/>
  <c r="J267" i="9"/>
  <c r="I267" i="9"/>
  <c r="H267" i="9"/>
  <c r="G267" i="9"/>
  <c r="F267" i="9"/>
  <c r="E267" i="9"/>
  <c r="D267" i="9"/>
  <c r="C267" i="9"/>
  <c r="B266" i="9"/>
  <c r="A266" i="9"/>
  <c r="J266" i="9"/>
  <c r="I266" i="9"/>
  <c r="H266" i="9"/>
  <c r="G266" i="9"/>
  <c r="F266" i="9"/>
  <c r="E266" i="9"/>
  <c r="D266" i="9"/>
  <c r="C266" i="9"/>
  <c r="B265" i="9"/>
  <c r="A265" i="9"/>
  <c r="J265" i="9"/>
  <c r="I265" i="9"/>
  <c r="H265" i="9"/>
  <c r="G265" i="9"/>
  <c r="F265" i="9"/>
  <c r="E265" i="9"/>
  <c r="D265" i="9"/>
  <c r="C265" i="9"/>
  <c r="B264" i="9"/>
  <c r="A264" i="9"/>
  <c r="J264" i="9"/>
  <c r="I264" i="9"/>
  <c r="H264" i="9"/>
  <c r="G264" i="9"/>
  <c r="F264" i="9"/>
  <c r="E264" i="9"/>
  <c r="D264" i="9"/>
  <c r="C264" i="9"/>
  <c r="B263" i="9"/>
  <c r="A263" i="9"/>
  <c r="J263" i="9"/>
  <c r="I263" i="9"/>
  <c r="H263" i="9"/>
  <c r="G263" i="9"/>
  <c r="F263" i="9"/>
  <c r="E263" i="9"/>
  <c r="D263" i="9"/>
  <c r="C263" i="9"/>
  <c r="B262" i="9"/>
  <c r="A262" i="9"/>
  <c r="J262" i="9"/>
  <c r="I262" i="9"/>
  <c r="H262" i="9"/>
  <c r="G262" i="9"/>
  <c r="F262" i="9"/>
  <c r="E262" i="9"/>
  <c r="D262" i="9"/>
  <c r="C262" i="9"/>
  <c r="B261" i="9"/>
  <c r="A261" i="9"/>
  <c r="J261" i="9"/>
  <c r="I261" i="9"/>
  <c r="H261" i="9"/>
  <c r="G261" i="9"/>
  <c r="F261" i="9"/>
  <c r="E261" i="9"/>
  <c r="D261" i="9"/>
  <c r="C261" i="9"/>
  <c r="B260" i="9"/>
  <c r="A260" i="9"/>
  <c r="J260" i="9"/>
  <c r="I260" i="9"/>
  <c r="H260" i="9"/>
  <c r="G260" i="9"/>
  <c r="F260" i="9"/>
  <c r="E260" i="9"/>
  <c r="D260" i="9"/>
  <c r="C260" i="9"/>
  <c r="B259" i="9"/>
  <c r="A259" i="9"/>
  <c r="J259" i="9"/>
  <c r="I259" i="9"/>
  <c r="H259" i="9"/>
  <c r="G259" i="9"/>
  <c r="F259" i="9"/>
  <c r="E259" i="9"/>
  <c r="D259" i="9"/>
  <c r="C259" i="9"/>
  <c r="B258" i="9"/>
  <c r="A258" i="9"/>
  <c r="J258" i="9"/>
  <c r="I258" i="9"/>
  <c r="H258" i="9"/>
  <c r="G258" i="9"/>
  <c r="F258" i="9"/>
  <c r="E258" i="9"/>
  <c r="D258" i="9"/>
  <c r="C258" i="9"/>
  <c r="B257" i="9"/>
  <c r="A257" i="9"/>
  <c r="J257" i="9"/>
  <c r="I257" i="9"/>
  <c r="H257" i="9"/>
  <c r="G257" i="9"/>
  <c r="F257" i="9"/>
  <c r="E257" i="9"/>
  <c r="D257" i="9"/>
  <c r="C257" i="9"/>
  <c r="B256" i="9"/>
  <c r="A256" i="9"/>
  <c r="J256" i="9"/>
  <c r="I256" i="9"/>
  <c r="H256" i="9"/>
  <c r="G256" i="9"/>
  <c r="F256" i="9"/>
  <c r="E256" i="9"/>
  <c r="D256" i="9"/>
  <c r="C256" i="9"/>
  <c r="B255" i="9"/>
  <c r="A255" i="9"/>
  <c r="J255" i="9"/>
  <c r="I255" i="9"/>
  <c r="H255" i="9"/>
  <c r="G255" i="9"/>
  <c r="F255" i="9"/>
  <c r="E255" i="9"/>
  <c r="D255" i="9"/>
  <c r="C255" i="9"/>
  <c r="B254" i="9"/>
  <c r="A254" i="9"/>
  <c r="J254" i="9"/>
  <c r="I254" i="9"/>
  <c r="H254" i="9"/>
  <c r="G254" i="9"/>
  <c r="F254" i="9"/>
  <c r="E254" i="9"/>
  <c r="D254" i="9"/>
  <c r="C254" i="9"/>
  <c r="B253" i="9"/>
  <c r="A253" i="9"/>
  <c r="J253" i="9"/>
  <c r="I253" i="9"/>
  <c r="H253" i="9"/>
  <c r="G253" i="9"/>
  <c r="F253" i="9"/>
  <c r="E253" i="9"/>
  <c r="D253" i="9"/>
  <c r="C253" i="9"/>
  <c r="B252" i="9"/>
  <c r="A252" i="9"/>
  <c r="J252" i="9"/>
  <c r="I252" i="9"/>
  <c r="H252" i="9"/>
  <c r="G252" i="9"/>
  <c r="F252" i="9"/>
  <c r="E252" i="9"/>
  <c r="D252" i="9"/>
  <c r="C252" i="9"/>
  <c r="B251" i="9"/>
  <c r="A251" i="9"/>
  <c r="J251" i="9"/>
  <c r="I251" i="9"/>
  <c r="H251" i="9"/>
  <c r="G251" i="9"/>
  <c r="F251" i="9"/>
  <c r="E251" i="9"/>
  <c r="D251" i="9"/>
  <c r="C251" i="9"/>
  <c r="B250" i="9"/>
  <c r="A250" i="9"/>
  <c r="J250" i="9"/>
  <c r="I250" i="9"/>
  <c r="H250" i="9"/>
  <c r="G250" i="9"/>
  <c r="F250" i="9"/>
  <c r="E250" i="9"/>
  <c r="D250" i="9"/>
  <c r="C250" i="9"/>
  <c r="B249" i="9"/>
  <c r="A249" i="9"/>
  <c r="J249" i="9"/>
  <c r="I249" i="9"/>
  <c r="H249" i="9"/>
  <c r="G249" i="9"/>
  <c r="F249" i="9"/>
  <c r="E249" i="9"/>
  <c r="D249" i="9"/>
  <c r="C249" i="9"/>
  <c r="B248" i="9"/>
  <c r="A248" i="9"/>
  <c r="J248" i="9"/>
  <c r="I248" i="9"/>
  <c r="H248" i="9"/>
  <c r="G248" i="9"/>
  <c r="F248" i="9"/>
  <c r="E248" i="9"/>
  <c r="D248" i="9"/>
  <c r="C248" i="9"/>
  <c r="B247" i="9"/>
  <c r="A247" i="9"/>
  <c r="J247" i="9"/>
  <c r="I247" i="9"/>
  <c r="H247" i="9"/>
  <c r="G247" i="9"/>
  <c r="F247" i="9"/>
  <c r="E247" i="9"/>
  <c r="D247" i="9"/>
  <c r="C247" i="9"/>
  <c r="B246" i="9"/>
  <c r="A246" i="9"/>
  <c r="J246" i="9"/>
  <c r="I246" i="9"/>
  <c r="H246" i="9"/>
  <c r="G246" i="9"/>
  <c r="F246" i="9"/>
  <c r="E246" i="9"/>
  <c r="D246" i="9"/>
  <c r="C246" i="9"/>
  <c r="B245" i="9"/>
  <c r="A245" i="9"/>
  <c r="J245" i="9"/>
  <c r="I245" i="9"/>
  <c r="H245" i="9"/>
  <c r="G245" i="9"/>
  <c r="F245" i="9"/>
  <c r="E245" i="9"/>
  <c r="D245" i="9"/>
  <c r="C245" i="9"/>
  <c r="B244" i="9"/>
  <c r="A244" i="9"/>
  <c r="J244" i="9"/>
  <c r="I244" i="9"/>
  <c r="H244" i="9"/>
  <c r="G244" i="9"/>
  <c r="F244" i="9"/>
  <c r="E244" i="9"/>
  <c r="D244" i="9"/>
  <c r="C244" i="9"/>
  <c r="B243" i="9"/>
  <c r="A243" i="9"/>
  <c r="J243" i="9"/>
  <c r="I243" i="9"/>
  <c r="H243" i="9"/>
  <c r="G243" i="9"/>
  <c r="F243" i="9"/>
  <c r="E243" i="9"/>
  <c r="D243" i="9"/>
  <c r="C243" i="9"/>
  <c r="B242" i="9"/>
  <c r="A242" i="9"/>
  <c r="J242" i="9"/>
  <c r="I242" i="9"/>
  <c r="H242" i="9"/>
  <c r="G242" i="9"/>
  <c r="F242" i="9"/>
  <c r="E242" i="9"/>
  <c r="D242" i="9"/>
  <c r="C242" i="9"/>
  <c r="B241" i="9"/>
  <c r="A241" i="9"/>
  <c r="J241" i="9"/>
  <c r="I241" i="9"/>
  <c r="H241" i="9"/>
  <c r="G241" i="9"/>
  <c r="F241" i="9"/>
  <c r="E241" i="9"/>
  <c r="D241" i="9"/>
  <c r="C241" i="9"/>
  <c r="B240" i="9"/>
  <c r="A240" i="9"/>
  <c r="J240" i="9"/>
  <c r="I240" i="9"/>
  <c r="H240" i="9"/>
  <c r="G240" i="9"/>
  <c r="F240" i="9"/>
  <c r="E240" i="9"/>
  <c r="D240" i="9"/>
  <c r="C240" i="9"/>
  <c r="B239" i="9"/>
  <c r="A239" i="9"/>
  <c r="J239" i="9"/>
  <c r="I239" i="9"/>
  <c r="H239" i="9"/>
  <c r="G239" i="9"/>
  <c r="F239" i="9"/>
  <c r="E239" i="9"/>
  <c r="D239" i="9"/>
  <c r="C239" i="9"/>
  <c r="B238" i="9"/>
  <c r="A238" i="9"/>
  <c r="J238" i="9"/>
  <c r="I238" i="9"/>
  <c r="H238" i="9"/>
  <c r="G238" i="9"/>
  <c r="F238" i="9"/>
  <c r="E238" i="9"/>
  <c r="D238" i="9"/>
  <c r="C238" i="9"/>
  <c r="B237" i="9"/>
  <c r="A237" i="9"/>
  <c r="J237" i="9"/>
  <c r="I237" i="9"/>
  <c r="H237" i="9"/>
  <c r="G237" i="9"/>
  <c r="F237" i="9"/>
  <c r="E237" i="9"/>
  <c r="D237" i="9"/>
  <c r="C237" i="9"/>
  <c r="B236" i="9"/>
  <c r="A236" i="9"/>
  <c r="J236" i="9"/>
  <c r="I236" i="9"/>
  <c r="H236" i="9"/>
  <c r="G236" i="9"/>
  <c r="F236" i="9"/>
  <c r="E236" i="9"/>
  <c r="D236" i="9"/>
  <c r="C236" i="9"/>
  <c r="B235" i="9"/>
  <c r="A235" i="9"/>
  <c r="J235" i="9"/>
  <c r="I235" i="9"/>
  <c r="H235" i="9"/>
  <c r="G235" i="9"/>
  <c r="F235" i="9"/>
  <c r="E235" i="9"/>
  <c r="D235" i="9"/>
  <c r="C235" i="9"/>
  <c r="B234" i="9"/>
  <c r="A234" i="9"/>
  <c r="J234" i="9"/>
  <c r="I234" i="9"/>
  <c r="H234" i="9"/>
  <c r="G234" i="9"/>
  <c r="F234" i="9"/>
  <c r="E234" i="9"/>
  <c r="D234" i="9"/>
  <c r="C234" i="9"/>
  <c r="B233" i="9"/>
  <c r="A233" i="9"/>
  <c r="J233" i="9"/>
  <c r="I233" i="9"/>
  <c r="H233" i="9"/>
  <c r="G233" i="9"/>
  <c r="F233" i="9"/>
  <c r="E233" i="9"/>
  <c r="D233" i="9"/>
  <c r="C233" i="9"/>
  <c r="B232" i="9"/>
  <c r="A232" i="9"/>
  <c r="J232" i="9"/>
  <c r="I232" i="9"/>
  <c r="H232" i="9"/>
  <c r="G232" i="9"/>
  <c r="F232" i="9"/>
  <c r="E232" i="9"/>
  <c r="D232" i="9"/>
  <c r="C232" i="9"/>
  <c r="B231" i="9"/>
  <c r="A231" i="9"/>
  <c r="J231" i="9"/>
  <c r="I231" i="9"/>
  <c r="H231" i="9"/>
  <c r="G231" i="9"/>
  <c r="F231" i="9"/>
  <c r="E231" i="9"/>
  <c r="D231" i="9"/>
  <c r="C231" i="9"/>
  <c r="B230" i="9"/>
  <c r="A230" i="9"/>
  <c r="J230" i="9"/>
  <c r="I230" i="9"/>
  <c r="H230" i="9"/>
  <c r="G230" i="9"/>
  <c r="F230" i="9"/>
  <c r="E230" i="9"/>
  <c r="D230" i="9"/>
  <c r="C230" i="9"/>
  <c r="B229" i="9"/>
  <c r="A229" i="9"/>
  <c r="J229" i="9"/>
  <c r="I229" i="9"/>
  <c r="H229" i="9"/>
  <c r="G229" i="9"/>
  <c r="F229" i="9"/>
  <c r="E229" i="9"/>
  <c r="D229" i="9"/>
  <c r="C229" i="9"/>
  <c r="B228" i="9"/>
  <c r="A228" i="9"/>
  <c r="J228" i="9"/>
  <c r="I228" i="9"/>
  <c r="H228" i="9"/>
  <c r="G228" i="9"/>
  <c r="F228" i="9"/>
  <c r="E228" i="9"/>
  <c r="D228" i="9"/>
  <c r="C228" i="9"/>
  <c r="B227" i="9"/>
  <c r="A227" i="9"/>
  <c r="J227" i="9"/>
  <c r="I227" i="9"/>
  <c r="H227" i="9"/>
  <c r="G227" i="9"/>
  <c r="F227" i="9"/>
  <c r="E227" i="9"/>
  <c r="D227" i="9"/>
  <c r="C227" i="9"/>
  <c r="B226" i="9"/>
  <c r="A226" i="9"/>
  <c r="J226" i="9"/>
  <c r="I226" i="9"/>
  <c r="H226" i="9"/>
  <c r="G226" i="9"/>
  <c r="F226" i="9"/>
  <c r="E226" i="9"/>
  <c r="D226" i="9"/>
  <c r="C226" i="9"/>
  <c r="B225" i="9"/>
  <c r="A225" i="9"/>
  <c r="J225" i="9"/>
  <c r="I225" i="9"/>
  <c r="H225" i="9"/>
  <c r="G225" i="9"/>
  <c r="F225" i="9"/>
  <c r="E225" i="9"/>
  <c r="D225" i="9"/>
  <c r="C225" i="9"/>
  <c r="B224" i="9"/>
  <c r="A224" i="9"/>
  <c r="J224" i="9"/>
  <c r="I224" i="9"/>
  <c r="H224" i="9"/>
  <c r="G224" i="9"/>
  <c r="F224" i="9"/>
  <c r="E224" i="9"/>
  <c r="D224" i="9"/>
  <c r="C224" i="9"/>
  <c r="B223" i="9"/>
  <c r="A223" i="9"/>
  <c r="J223" i="9"/>
  <c r="I223" i="9"/>
  <c r="H223" i="9"/>
  <c r="G223" i="9"/>
  <c r="F223" i="9"/>
  <c r="E223" i="9"/>
  <c r="D223" i="9"/>
  <c r="C223" i="9"/>
  <c r="B222" i="9"/>
  <c r="A222" i="9"/>
  <c r="J222" i="9"/>
  <c r="I222" i="9"/>
  <c r="H222" i="9"/>
  <c r="G222" i="9"/>
  <c r="F222" i="9"/>
  <c r="E222" i="9"/>
  <c r="D222" i="9"/>
  <c r="C222" i="9"/>
  <c r="B221" i="9"/>
  <c r="A221" i="9"/>
  <c r="J221" i="9"/>
  <c r="I221" i="9"/>
  <c r="H221" i="9"/>
  <c r="G221" i="9"/>
  <c r="F221" i="9"/>
  <c r="E221" i="9"/>
  <c r="D221" i="9"/>
  <c r="C221" i="9"/>
  <c r="B220" i="9"/>
  <c r="A220" i="9"/>
  <c r="J220" i="9"/>
  <c r="I220" i="9"/>
  <c r="H220" i="9"/>
  <c r="G220" i="9"/>
  <c r="F220" i="9"/>
  <c r="E220" i="9"/>
  <c r="D220" i="9"/>
  <c r="C220" i="9"/>
  <c r="B219" i="9"/>
  <c r="A219" i="9"/>
  <c r="J219" i="9"/>
  <c r="I219" i="9"/>
  <c r="H219" i="9"/>
  <c r="G219" i="9"/>
  <c r="F219" i="9"/>
  <c r="E219" i="9"/>
  <c r="D219" i="9"/>
  <c r="C219" i="9"/>
  <c r="B218" i="9"/>
  <c r="A218" i="9"/>
  <c r="J218" i="9"/>
  <c r="I218" i="9"/>
  <c r="H218" i="9"/>
  <c r="G218" i="9"/>
  <c r="F218" i="9"/>
  <c r="E218" i="9"/>
  <c r="D218" i="9"/>
  <c r="C218" i="9"/>
  <c r="B217" i="9"/>
  <c r="A217" i="9"/>
  <c r="J217" i="9"/>
  <c r="I217" i="9"/>
  <c r="H217" i="9"/>
  <c r="G217" i="9"/>
  <c r="F217" i="9"/>
  <c r="E217" i="9"/>
  <c r="D217" i="9"/>
  <c r="C217" i="9"/>
  <c r="B216" i="9"/>
  <c r="A216" i="9"/>
  <c r="J216" i="9"/>
  <c r="I216" i="9"/>
  <c r="H216" i="9"/>
  <c r="G216" i="9"/>
  <c r="F216" i="9"/>
  <c r="E216" i="9"/>
  <c r="D216" i="9"/>
  <c r="C216" i="9"/>
  <c r="B215" i="9"/>
  <c r="A215" i="9"/>
  <c r="J215" i="9"/>
  <c r="I215" i="9"/>
  <c r="H215" i="9"/>
  <c r="G215" i="9"/>
  <c r="F215" i="9"/>
  <c r="E215" i="9"/>
  <c r="D215" i="9"/>
  <c r="C215" i="9"/>
  <c r="B214" i="9"/>
  <c r="A214" i="9"/>
  <c r="J214" i="9"/>
  <c r="I214" i="9"/>
  <c r="H214" i="9"/>
  <c r="G214" i="9"/>
  <c r="F214" i="9"/>
  <c r="E214" i="9"/>
  <c r="D214" i="9"/>
  <c r="C214" i="9"/>
  <c r="B213" i="9"/>
  <c r="A213" i="9"/>
  <c r="J213" i="9"/>
  <c r="I213" i="9"/>
  <c r="H213" i="9"/>
  <c r="G213" i="9"/>
  <c r="F213" i="9"/>
  <c r="E213" i="9"/>
  <c r="D213" i="9"/>
  <c r="C213" i="9"/>
  <c r="B212" i="9"/>
  <c r="A212" i="9"/>
  <c r="J212" i="9"/>
  <c r="I212" i="9"/>
  <c r="H212" i="9"/>
  <c r="G212" i="9"/>
  <c r="F212" i="9"/>
  <c r="E212" i="9"/>
  <c r="D212" i="9"/>
  <c r="C212" i="9"/>
  <c r="B211" i="9"/>
  <c r="A211" i="9"/>
  <c r="J211" i="9"/>
  <c r="I211" i="9"/>
  <c r="H211" i="9"/>
  <c r="G211" i="9"/>
  <c r="F211" i="9"/>
  <c r="E211" i="9"/>
  <c r="D211" i="9"/>
  <c r="C211" i="9"/>
  <c r="B210" i="9"/>
  <c r="A210" i="9"/>
  <c r="J210" i="9"/>
  <c r="I210" i="9"/>
  <c r="H210" i="9"/>
  <c r="G210" i="9"/>
  <c r="F210" i="9"/>
  <c r="E210" i="9"/>
  <c r="D210" i="9"/>
  <c r="C210" i="9"/>
  <c r="B209" i="9"/>
  <c r="A209" i="9"/>
  <c r="J209" i="9"/>
  <c r="I209" i="9"/>
  <c r="H209" i="9"/>
  <c r="G209" i="9"/>
  <c r="F209" i="9"/>
  <c r="E209" i="9"/>
  <c r="D209" i="9"/>
  <c r="C209" i="9"/>
  <c r="B208" i="9"/>
  <c r="A208" i="9"/>
  <c r="J208" i="9"/>
  <c r="I208" i="9"/>
  <c r="H208" i="9"/>
  <c r="G208" i="9"/>
  <c r="F208" i="9"/>
  <c r="E208" i="9"/>
  <c r="D208" i="9"/>
  <c r="C208" i="9"/>
  <c r="B207" i="9"/>
  <c r="A207" i="9"/>
  <c r="J207" i="9"/>
  <c r="I207" i="9"/>
  <c r="H207" i="9"/>
  <c r="G207" i="9"/>
  <c r="F207" i="9"/>
  <c r="E207" i="9"/>
  <c r="D207" i="9"/>
  <c r="C207" i="9"/>
  <c r="B206" i="9"/>
  <c r="A206" i="9"/>
  <c r="J206" i="9"/>
  <c r="I206" i="9"/>
  <c r="H206" i="9"/>
  <c r="G206" i="9"/>
  <c r="F206" i="9"/>
  <c r="E206" i="9"/>
  <c r="D206" i="9"/>
  <c r="C206" i="9"/>
  <c r="B205" i="9"/>
  <c r="A205" i="9"/>
  <c r="J205" i="9"/>
  <c r="I205" i="9"/>
  <c r="H205" i="9"/>
  <c r="G205" i="9"/>
  <c r="F205" i="9"/>
  <c r="E205" i="9"/>
  <c r="D205" i="9"/>
  <c r="C205" i="9"/>
  <c r="B204" i="9"/>
  <c r="A204" i="9"/>
  <c r="J204" i="9"/>
  <c r="I204" i="9"/>
  <c r="H204" i="9"/>
  <c r="G204" i="9"/>
  <c r="F204" i="9"/>
  <c r="E204" i="9"/>
  <c r="D204" i="9"/>
  <c r="C204" i="9"/>
  <c r="B203" i="9"/>
  <c r="A203" i="9"/>
  <c r="J203" i="9"/>
  <c r="I203" i="9"/>
  <c r="H203" i="9"/>
  <c r="G203" i="9"/>
  <c r="F203" i="9"/>
  <c r="E203" i="9"/>
  <c r="D203" i="9"/>
  <c r="C203" i="9"/>
  <c r="B202" i="9"/>
  <c r="A202" i="9"/>
  <c r="J202" i="9"/>
  <c r="I202" i="9"/>
  <c r="H202" i="9"/>
  <c r="G202" i="9"/>
  <c r="F202" i="9"/>
  <c r="E202" i="9"/>
  <c r="D202" i="9"/>
  <c r="C202" i="9"/>
  <c r="B201" i="9"/>
  <c r="A201" i="9"/>
  <c r="J201" i="9"/>
  <c r="I201" i="9"/>
  <c r="H201" i="9"/>
  <c r="G201" i="9"/>
  <c r="F201" i="9"/>
  <c r="E201" i="9"/>
  <c r="D201" i="9"/>
  <c r="C201" i="9"/>
  <c r="B200" i="9"/>
  <c r="A200" i="9"/>
  <c r="J200" i="9"/>
  <c r="I200" i="9"/>
  <c r="H200" i="9"/>
  <c r="G200" i="9"/>
  <c r="F200" i="9"/>
  <c r="E200" i="9"/>
  <c r="D200" i="9"/>
  <c r="C200" i="9"/>
  <c r="B199" i="9"/>
  <c r="A199" i="9"/>
  <c r="J199" i="9"/>
  <c r="I199" i="9"/>
  <c r="H199" i="9"/>
  <c r="G199" i="9"/>
  <c r="F199" i="9"/>
  <c r="E199" i="9"/>
  <c r="D199" i="9"/>
  <c r="C199" i="9"/>
  <c r="B198" i="9"/>
  <c r="A198" i="9"/>
  <c r="J198" i="9"/>
  <c r="I198" i="9"/>
  <c r="H198" i="9"/>
  <c r="G198" i="9"/>
  <c r="F198" i="9"/>
  <c r="E198" i="9"/>
  <c r="D198" i="9"/>
  <c r="C198" i="9"/>
  <c r="B197" i="9"/>
  <c r="A197" i="9"/>
  <c r="J197" i="9"/>
  <c r="I197" i="9"/>
  <c r="H197" i="9"/>
  <c r="G197" i="9"/>
  <c r="F197" i="9"/>
  <c r="E197" i="9"/>
  <c r="D197" i="9"/>
  <c r="C197" i="9"/>
  <c r="B196" i="9"/>
  <c r="A196" i="9"/>
  <c r="J196" i="9"/>
  <c r="I196" i="9"/>
  <c r="H196" i="9"/>
  <c r="G196" i="9"/>
  <c r="F196" i="9"/>
  <c r="E196" i="9"/>
  <c r="D196" i="9"/>
  <c r="C196" i="9"/>
  <c r="B195" i="9"/>
  <c r="A195" i="9"/>
  <c r="J195" i="9"/>
  <c r="I195" i="9"/>
  <c r="H195" i="9"/>
  <c r="G195" i="9"/>
  <c r="F195" i="9"/>
  <c r="E195" i="9"/>
  <c r="D195" i="9"/>
  <c r="C195" i="9"/>
  <c r="B194" i="9"/>
  <c r="A194" i="9"/>
  <c r="J194" i="9"/>
  <c r="I194" i="9"/>
  <c r="H194" i="9"/>
  <c r="G194" i="9"/>
  <c r="F194" i="9"/>
  <c r="E194" i="9"/>
  <c r="D194" i="9"/>
  <c r="C194" i="9"/>
  <c r="B193" i="9"/>
  <c r="A193" i="9"/>
  <c r="J193" i="9"/>
  <c r="I193" i="9"/>
  <c r="H193" i="9"/>
  <c r="G193" i="9"/>
  <c r="F193" i="9"/>
  <c r="E193" i="9"/>
  <c r="D193" i="9"/>
  <c r="C193" i="9"/>
  <c r="B192" i="9"/>
  <c r="A192" i="9"/>
  <c r="J192" i="9"/>
  <c r="I192" i="9"/>
  <c r="H192" i="9"/>
  <c r="G192" i="9"/>
  <c r="F192" i="9"/>
  <c r="E192" i="9"/>
  <c r="D192" i="9"/>
  <c r="C192" i="9"/>
  <c r="B191" i="9"/>
  <c r="A191" i="9"/>
  <c r="J191" i="9"/>
  <c r="I191" i="9"/>
  <c r="H191" i="9"/>
  <c r="G191" i="9"/>
  <c r="F191" i="9"/>
  <c r="E191" i="9"/>
  <c r="D191" i="9"/>
  <c r="C191" i="9"/>
  <c r="B190" i="9"/>
  <c r="A190" i="9"/>
  <c r="J190" i="9"/>
  <c r="I190" i="9"/>
  <c r="H190" i="9"/>
  <c r="G190" i="9"/>
  <c r="F190" i="9"/>
  <c r="E190" i="9"/>
  <c r="D190" i="9"/>
  <c r="C190" i="9"/>
  <c r="B189" i="9"/>
  <c r="A189" i="9"/>
  <c r="J189" i="9"/>
  <c r="I189" i="9"/>
  <c r="H189" i="9"/>
  <c r="G189" i="9"/>
  <c r="F189" i="9"/>
  <c r="E189" i="9"/>
  <c r="D189" i="9"/>
  <c r="C189" i="9"/>
  <c r="B188" i="9"/>
  <c r="A188" i="9"/>
  <c r="J188" i="9"/>
  <c r="I188" i="9"/>
  <c r="H188" i="9"/>
  <c r="G188" i="9"/>
  <c r="F188" i="9"/>
  <c r="E188" i="9"/>
  <c r="D188" i="9"/>
  <c r="C188" i="9"/>
  <c r="B187" i="9"/>
  <c r="A187" i="9"/>
  <c r="J187" i="9"/>
  <c r="I187" i="9"/>
  <c r="H187" i="9"/>
  <c r="G187" i="9"/>
  <c r="F187" i="9"/>
  <c r="E187" i="9"/>
  <c r="D187" i="9"/>
  <c r="C187" i="9"/>
  <c r="B186" i="9"/>
  <c r="A186" i="9"/>
  <c r="J186" i="9"/>
  <c r="I186" i="9"/>
  <c r="H186" i="9"/>
  <c r="G186" i="9"/>
  <c r="F186" i="9"/>
  <c r="E186" i="9"/>
  <c r="D186" i="9"/>
  <c r="C186" i="9"/>
  <c r="B185" i="9"/>
  <c r="A185" i="9"/>
  <c r="J185" i="9"/>
  <c r="I185" i="9"/>
  <c r="H185" i="9"/>
  <c r="G185" i="9"/>
  <c r="F185" i="9"/>
  <c r="E185" i="9"/>
  <c r="D185" i="9"/>
  <c r="C185" i="9"/>
  <c r="B184" i="9"/>
  <c r="A184" i="9"/>
  <c r="J184" i="9"/>
  <c r="I184" i="9"/>
  <c r="H184" i="9"/>
  <c r="G184" i="9"/>
  <c r="F184" i="9"/>
  <c r="E184" i="9"/>
  <c r="D184" i="9"/>
  <c r="C184" i="9"/>
  <c r="B183" i="9"/>
  <c r="A183" i="9"/>
  <c r="J183" i="9"/>
  <c r="I183" i="9"/>
  <c r="H183" i="9"/>
  <c r="G183" i="9"/>
  <c r="F183" i="9"/>
  <c r="E183" i="9"/>
  <c r="D183" i="9"/>
  <c r="C183" i="9"/>
  <c r="B182" i="9"/>
  <c r="A182" i="9"/>
  <c r="J182" i="9"/>
  <c r="I182" i="9"/>
  <c r="H182" i="9"/>
  <c r="G182" i="9"/>
  <c r="F182" i="9"/>
  <c r="E182" i="9"/>
  <c r="D182" i="9"/>
  <c r="C182" i="9"/>
  <c r="B181" i="9"/>
  <c r="A181" i="9"/>
  <c r="J181" i="9"/>
  <c r="I181" i="9"/>
  <c r="H181" i="9"/>
  <c r="G181" i="9"/>
  <c r="F181" i="9"/>
  <c r="E181" i="9"/>
  <c r="D181" i="9"/>
  <c r="C181" i="9"/>
  <c r="B180" i="9"/>
  <c r="A180" i="9"/>
  <c r="J180" i="9"/>
  <c r="I180" i="9"/>
  <c r="H180" i="9"/>
  <c r="G180" i="9"/>
  <c r="F180" i="9"/>
  <c r="E180" i="9"/>
  <c r="D180" i="9"/>
  <c r="C180" i="9"/>
  <c r="B179" i="9"/>
  <c r="A179" i="9"/>
  <c r="J179" i="9"/>
  <c r="I179" i="9"/>
  <c r="H179" i="9"/>
  <c r="G179" i="9"/>
  <c r="F179" i="9"/>
  <c r="E179" i="9"/>
  <c r="D179" i="9"/>
  <c r="C179" i="9"/>
  <c r="B178" i="9"/>
  <c r="A178" i="9"/>
  <c r="J178" i="9"/>
  <c r="I178" i="9"/>
  <c r="H178" i="9"/>
  <c r="G178" i="9"/>
  <c r="F178" i="9"/>
  <c r="E178" i="9"/>
  <c r="D178" i="9"/>
  <c r="C178" i="9"/>
  <c r="B177" i="9"/>
  <c r="A177" i="9"/>
  <c r="J177" i="9"/>
  <c r="I177" i="9"/>
  <c r="H177" i="9"/>
  <c r="G177" i="9"/>
  <c r="F177" i="9"/>
  <c r="E177" i="9"/>
  <c r="D177" i="9"/>
  <c r="C177" i="9"/>
  <c r="B176" i="9"/>
  <c r="A176" i="9"/>
  <c r="J176" i="9"/>
  <c r="I176" i="9"/>
  <c r="H176" i="9"/>
  <c r="G176" i="9"/>
  <c r="F176" i="9"/>
  <c r="E176" i="9"/>
  <c r="D176" i="9"/>
  <c r="C176" i="9"/>
  <c r="B175" i="9"/>
  <c r="A175" i="9"/>
  <c r="J175" i="9"/>
  <c r="I175" i="9"/>
  <c r="H175" i="9"/>
  <c r="G175" i="9"/>
  <c r="F175" i="9"/>
  <c r="E175" i="9"/>
  <c r="D175" i="9"/>
  <c r="C175" i="9"/>
  <c r="B174" i="9"/>
  <c r="A174" i="9"/>
  <c r="J174" i="9"/>
  <c r="I174" i="9"/>
  <c r="H174" i="9"/>
  <c r="G174" i="9"/>
  <c r="F174" i="9"/>
  <c r="E174" i="9"/>
  <c r="D174" i="9"/>
  <c r="C174" i="9"/>
  <c r="B173" i="9"/>
  <c r="A173" i="9"/>
  <c r="J173" i="9"/>
  <c r="I173" i="9"/>
  <c r="H173" i="9"/>
  <c r="G173" i="9"/>
  <c r="F173" i="9"/>
  <c r="E173" i="9"/>
  <c r="D173" i="9"/>
  <c r="C173" i="9"/>
  <c r="B172" i="9"/>
  <c r="A172" i="9"/>
  <c r="J172" i="9"/>
  <c r="I172" i="9"/>
  <c r="H172" i="9"/>
  <c r="G172" i="9"/>
  <c r="F172" i="9"/>
  <c r="E172" i="9"/>
  <c r="D172" i="9"/>
  <c r="C172" i="9"/>
  <c r="B171" i="9"/>
  <c r="A171" i="9"/>
  <c r="J171" i="9"/>
  <c r="I171" i="9"/>
  <c r="H171" i="9"/>
  <c r="G171" i="9"/>
  <c r="F171" i="9"/>
  <c r="E171" i="9"/>
  <c r="D171" i="9"/>
  <c r="C171" i="9"/>
  <c r="B170" i="9"/>
  <c r="A170" i="9"/>
  <c r="J170" i="9"/>
  <c r="I170" i="9"/>
  <c r="H170" i="9"/>
  <c r="G170" i="9"/>
  <c r="F170" i="9"/>
  <c r="E170" i="9"/>
  <c r="D170" i="9"/>
  <c r="C170" i="9"/>
  <c r="B169" i="9"/>
  <c r="A169" i="9"/>
  <c r="J169" i="9"/>
  <c r="I169" i="9"/>
  <c r="H169" i="9"/>
  <c r="G169" i="9"/>
  <c r="F169" i="9"/>
  <c r="E169" i="9"/>
  <c r="D169" i="9"/>
  <c r="C169" i="9"/>
  <c r="B168" i="9"/>
  <c r="A168" i="9"/>
  <c r="J168" i="9"/>
  <c r="I168" i="9"/>
  <c r="H168" i="9"/>
  <c r="G168" i="9"/>
  <c r="F168" i="9"/>
  <c r="E168" i="9"/>
  <c r="D168" i="9"/>
  <c r="C168" i="9"/>
  <c r="B167" i="9"/>
  <c r="A167" i="9"/>
  <c r="J167" i="9"/>
  <c r="I167" i="9"/>
  <c r="H167" i="9"/>
  <c r="G167" i="9"/>
  <c r="F167" i="9"/>
  <c r="E167" i="9"/>
  <c r="D167" i="9"/>
  <c r="C167" i="9"/>
  <c r="B166" i="9"/>
  <c r="A166" i="9"/>
  <c r="J166" i="9"/>
  <c r="I166" i="9"/>
  <c r="H166" i="9"/>
  <c r="G166" i="9"/>
  <c r="F166" i="9"/>
  <c r="E166" i="9"/>
  <c r="D166" i="9"/>
  <c r="C166" i="9"/>
  <c r="B165" i="9"/>
  <c r="A165" i="9"/>
  <c r="J165" i="9"/>
  <c r="I165" i="9"/>
  <c r="H165" i="9"/>
  <c r="G165" i="9"/>
  <c r="F165" i="9"/>
  <c r="E165" i="9"/>
  <c r="D165" i="9"/>
  <c r="C165" i="9"/>
  <c r="B164" i="9"/>
  <c r="A164" i="9"/>
  <c r="J164" i="9"/>
  <c r="I164" i="9"/>
  <c r="H164" i="9"/>
  <c r="G164" i="9"/>
  <c r="F164" i="9"/>
  <c r="E164" i="9"/>
  <c r="D164" i="9"/>
  <c r="C164" i="9"/>
  <c r="B163" i="9"/>
  <c r="A163" i="9"/>
  <c r="J163" i="9"/>
  <c r="I163" i="9"/>
  <c r="H163" i="9"/>
  <c r="G163" i="9"/>
  <c r="F163" i="9"/>
  <c r="E163" i="9"/>
  <c r="D163" i="9"/>
  <c r="C163" i="9"/>
  <c r="B162" i="9"/>
  <c r="A162" i="9"/>
  <c r="J162" i="9"/>
  <c r="I162" i="9"/>
  <c r="H162" i="9"/>
  <c r="G162" i="9"/>
  <c r="F162" i="9"/>
  <c r="E162" i="9"/>
  <c r="D162" i="9"/>
  <c r="C162" i="9"/>
  <c r="B161" i="9"/>
  <c r="A161" i="9"/>
  <c r="J161" i="9"/>
  <c r="I161" i="9"/>
  <c r="H161" i="9"/>
  <c r="G161" i="9"/>
  <c r="F161" i="9"/>
  <c r="E161" i="9"/>
  <c r="D161" i="9"/>
  <c r="C161" i="9"/>
  <c r="B160" i="9"/>
  <c r="A160" i="9"/>
  <c r="J160" i="9"/>
  <c r="I160" i="9"/>
  <c r="H160" i="9"/>
  <c r="G160" i="9"/>
  <c r="F160" i="9"/>
  <c r="E160" i="9"/>
  <c r="D160" i="9"/>
  <c r="C160" i="9"/>
  <c r="B159" i="9"/>
  <c r="A159" i="9"/>
  <c r="J159" i="9"/>
  <c r="I159" i="9"/>
  <c r="H159" i="9"/>
  <c r="G159" i="9"/>
  <c r="F159" i="9"/>
  <c r="E159" i="9"/>
  <c r="D159" i="9"/>
  <c r="C159" i="9"/>
  <c r="B158" i="9"/>
  <c r="A158" i="9"/>
  <c r="J158" i="9"/>
  <c r="I158" i="9"/>
  <c r="H158" i="9"/>
  <c r="G158" i="9"/>
  <c r="F158" i="9"/>
  <c r="E158" i="9"/>
  <c r="D158" i="9"/>
  <c r="C158" i="9"/>
  <c r="B157" i="9"/>
  <c r="A157" i="9"/>
  <c r="J157" i="9"/>
  <c r="I157" i="9"/>
  <c r="H157" i="9"/>
  <c r="G157" i="9"/>
  <c r="F157" i="9"/>
  <c r="E157" i="9"/>
  <c r="D157" i="9"/>
  <c r="C157" i="9"/>
  <c r="B156" i="9"/>
  <c r="A156" i="9"/>
  <c r="J156" i="9"/>
  <c r="I156" i="9"/>
  <c r="H156" i="9"/>
  <c r="G156" i="9"/>
  <c r="F156" i="9"/>
  <c r="E156" i="9"/>
  <c r="D156" i="9"/>
  <c r="C156" i="9"/>
  <c r="B155" i="9"/>
  <c r="A155" i="9"/>
  <c r="J155" i="9"/>
  <c r="I155" i="9"/>
  <c r="H155" i="9"/>
  <c r="G155" i="9"/>
  <c r="F155" i="9"/>
  <c r="E155" i="9"/>
  <c r="D155" i="9"/>
  <c r="C155" i="9"/>
  <c r="B154" i="9"/>
  <c r="A154" i="9"/>
  <c r="J154" i="9"/>
  <c r="I154" i="9"/>
  <c r="H154" i="9"/>
  <c r="G154" i="9"/>
  <c r="F154" i="9"/>
  <c r="E154" i="9"/>
  <c r="D154" i="9"/>
  <c r="C154" i="9"/>
  <c r="B153" i="9"/>
  <c r="A153" i="9"/>
  <c r="J153" i="9"/>
  <c r="I153" i="9"/>
  <c r="H153" i="9"/>
  <c r="G153" i="9"/>
  <c r="F153" i="9"/>
  <c r="E153" i="9"/>
  <c r="D153" i="9"/>
  <c r="C153" i="9"/>
  <c r="B152" i="9"/>
  <c r="A152" i="9"/>
  <c r="J152" i="9"/>
  <c r="I152" i="9"/>
  <c r="H152" i="9"/>
  <c r="G152" i="9"/>
  <c r="F152" i="9"/>
  <c r="E152" i="9"/>
  <c r="D152" i="9"/>
  <c r="C152" i="9"/>
  <c r="B151" i="9"/>
  <c r="A151" i="9"/>
  <c r="J151" i="9"/>
  <c r="I151" i="9"/>
  <c r="H151" i="9"/>
  <c r="G151" i="9"/>
  <c r="F151" i="9"/>
  <c r="E151" i="9"/>
  <c r="D151" i="9"/>
  <c r="C151" i="9"/>
  <c r="B150" i="9"/>
  <c r="A150" i="9"/>
  <c r="J150" i="9"/>
  <c r="I150" i="9"/>
  <c r="H150" i="9"/>
  <c r="G150" i="9"/>
  <c r="F150" i="9"/>
  <c r="E150" i="9"/>
  <c r="D150" i="9"/>
  <c r="C150" i="9"/>
  <c r="B149" i="9"/>
  <c r="A149" i="9"/>
  <c r="J149" i="9"/>
  <c r="I149" i="9"/>
  <c r="H149" i="9"/>
  <c r="G149" i="9"/>
  <c r="F149" i="9"/>
  <c r="E149" i="9"/>
  <c r="D149" i="9"/>
  <c r="C149" i="9"/>
  <c r="B148" i="9"/>
  <c r="A148" i="9"/>
  <c r="J148" i="9"/>
  <c r="I148" i="9"/>
  <c r="H148" i="9"/>
  <c r="G148" i="9"/>
  <c r="F148" i="9"/>
  <c r="E148" i="9"/>
  <c r="D148" i="9"/>
  <c r="C148" i="9"/>
  <c r="B147" i="9"/>
  <c r="A147" i="9"/>
  <c r="J147" i="9"/>
  <c r="I147" i="9"/>
  <c r="H147" i="9"/>
  <c r="G147" i="9"/>
  <c r="F147" i="9"/>
  <c r="E147" i="9"/>
  <c r="D147" i="9"/>
  <c r="C147" i="9"/>
  <c r="B146" i="9"/>
  <c r="A146" i="9"/>
  <c r="J146" i="9"/>
  <c r="I146" i="9"/>
  <c r="H146" i="9"/>
  <c r="G146" i="9"/>
  <c r="F146" i="9"/>
  <c r="E146" i="9"/>
  <c r="D146" i="9"/>
  <c r="C146" i="9"/>
  <c r="B145" i="9"/>
  <c r="A145" i="9"/>
  <c r="J145" i="9"/>
  <c r="I145" i="9"/>
  <c r="H145" i="9"/>
  <c r="G145" i="9"/>
  <c r="F145" i="9"/>
  <c r="E145" i="9"/>
  <c r="D145" i="9"/>
  <c r="C145" i="9"/>
  <c r="B144" i="9"/>
  <c r="A144" i="9"/>
  <c r="J144" i="9"/>
  <c r="I144" i="9"/>
  <c r="H144" i="9"/>
  <c r="G144" i="9"/>
  <c r="F144" i="9"/>
  <c r="E144" i="9"/>
  <c r="D144" i="9"/>
  <c r="C144" i="9"/>
  <c r="B143" i="9"/>
  <c r="A143" i="9"/>
  <c r="J143" i="9"/>
  <c r="I143" i="9"/>
  <c r="H143" i="9"/>
  <c r="G143" i="9"/>
  <c r="F143" i="9"/>
  <c r="E143" i="9"/>
  <c r="D143" i="9"/>
  <c r="C143" i="9"/>
  <c r="B142" i="9"/>
  <c r="A142" i="9"/>
  <c r="J142" i="9"/>
  <c r="I142" i="9"/>
  <c r="H142" i="9"/>
  <c r="G142" i="9"/>
  <c r="F142" i="9"/>
  <c r="E142" i="9"/>
  <c r="D142" i="9"/>
  <c r="C142" i="9"/>
  <c r="B141" i="9"/>
  <c r="A141" i="9"/>
  <c r="J141" i="9"/>
  <c r="I141" i="9"/>
  <c r="H141" i="9"/>
  <c r="G141" i="9"/>
  <c r="F141" i="9"/>
  <c r="E141" i="9"/>
  <c r="D141" i="9"/>
  <c r="C141" i="9"/>
  <c r="B140" i="9"/>
  <c r="A140" i="9"/>
  <c r="J140" i="9"/>
  <c r="I140" i="9"/>
  <c r="H140" i="9"/>
  <c r="G140" i="9"/>
  <c r="F140" i="9"/>
  <c r="E140" i="9"/>
  <c r="D140" i="9"/>
  <c r="C140" i="9"/>
  <c r="B139" i="9"/>
  <c r="A139" i="9"/>
  <c r="J139" i="9"/>
  <c r="I139" i="9"/>
  <c r="H139" i="9"/>
  <c r="G139" i="9"/>
  <c r="F139" i="9"/>
  <c r="E139" i="9"/>
  <c r="D139" i="9"/>
  <c r="C139" i="9"/>
  <c r="B138" i="9"/>
  <c r="A138" i="9"/>
  <c r="J138" i="9"/>
  <c r="I138" i="9"/>
  <c r="H138" i="9"/>
  <c r="G138" i="9"/>
  <c r="F138" i="9"/>
  <c r="E138" i="9"/>
  <c r="D138" i="9"/>
  <c r="C138" i="9"/>
  <c r="B137" i="9"/>
  <c r="A137" i="9"/>
  <c r="J137" i="9"/>
  <c r="I137" i="9"/>
  <c r="H137" i="9"/>
  <c r="G137" i="9"/>
  <c r="F137" i="9"/>
  <c r="E137" i="9"/>
  <c r="D137" i="9"/>
  <c r="C137" i="9"/>
  <c r="B136" i="9"/>
  <c r="A136" i="9"/>
  <c r="J136" i="9"/>
  <c r="I136" i="9"/>
  <c r="H136" i="9"/>
  <c r="G136" i="9"/>
  <c r="F136" i="9"/>
  <c r="E136" i="9"/>
  <c r="D136" i="9"/>
  <c r="C136" i="9"/>
  <c r="B135" i="9"/>
  <c r="A135" i="9"/>
  <c r="J135" i="9"/>
  <c r="I135" i="9"/>
  <c r="H135" i="9"/>
  <c r="G135" i="9"/>
  <c r="F135" i="9"/>
  <c r="E135" i="9"/>
  <c r="D135" i="9"/>
  <c r="C135" i="9"/>
  <c r="B134" i="9"/>
  <c r="A134" i="9"/>
  <c r="J134" i="9"/>
  <c r="I134" i="9"/>
  <c r="H134" i="9"/>
  <c r="G134" i="9"/>
  <c r="F134" i="9"/>
  <c r="E134" i="9"/>
  <c r="D134" i="9"/>
  <c r="C134" i="9"/>
  <c r="B133" i="9"/>
  <c r="A133" i="9"/>
  <c r="J133" i="9"/>
  <c r="I133" i="9"/>
  <c r="H133" i="9"/>
  <c r="G133" i="9"/>
  <c r="F133" i="9"/>
  <c r="E133" i="9"/>
  <c r="D133" i="9"/>
  <c r="C133" i="9"/>
  <c r="B132" i="9"/>
  <c r="A132" i="9"/>
  <c r="J132" i="9"/>
  <c r="I132" i="9"/>
  <c r="H132" i="9"/>
  <c r="G132" i="9"/>
  <c r="F132" i="9"/>
  <c r="E132" i="9"/>
  <c r="D132" i="9"/>
  <c r="C132" i="9"/>
  <c r="B131" i="9"/>
  <c r="A131" i="9"/>
  <c r="J131" i="9"/>
  <c r="I131" i="9"/>
  <c r="H131" i="9"/>
  <c r="G131" i="9"/>
  <c r="F131" i="9"/>
  <c r="E131" i="9"/>
  <c r="D131" i="9"/>
  <c r="C131" i="9"/>
  <c r="B130" i="9"/>
  <c r="A130" i="9"/>
  <c r="J130" i="9"/>
  <c r="I130" i="9"/>
  <c r="H130" i="9"/>
  <c r="G130" i="9"/>
  <c r="F130" i="9"/>
  <c r="E130" i="9"/>
  <c r="D130" i="9"/>
  <c r="C130" i="9"/>
  <c r="B129" i="9"/>
  <c r="A129" i="9"/>
  <c r="J129" i="9"/>
  <c r="I129" i="9"/>
  <c r="H129" i="9"/>
  <c r="G129" i="9"/>
  <c r="F129" i="9"/>
  <c r="E129" i="9"/>
  <c r="D129" i="9"/>
  <c r="C129" i="9"/>
  <c r="B128" i="9"/>
  <c r="A128" i="9"/>
  <c r="J128" i="9"/>
  <c r="I128" i="9"/>
  <c r="H128" i="9"/>
  <c r="G128" i="9"/>
  <c r="F128" i="9"/>
  <c r="E128" i="9"/>
  <c r="D128" i="9"/>
  <c r="C128" i="9"/>
  <c r="B127" i="9"/>
  <c r="A127" i="9"/>
  <c r="J127" i="9"/>
  <c r="I127" i="9"/>
  <c r="H127" i="9"/>
  <c r="G127" i="9"/>
  <c r="F127" i="9"/>
  <c r="E127" i="9"/>
  <c r="D127" i="9"/>
  <c r="C127" i="9"/>
  <c r="B126" i="9"/>
  <c r="A126" i="9"/>
  <c r="J126" i="9"/>
  <c r="I126" i="9"/>
  <c r="H126" i="9"/>
  <c r="G126" i="9"/>
  <c r="F126" i="9"/>
  <c r="E126" i="9"/>
  <c r="D126" i="9"/>
  <c r="C126" i="9"/>
  <c r="B125" i="9"/>
  <c r="A125" i="9"/>
  <c r="J125" i="9"/>
  <c r="I125" i="9"/>
  <c r="H125" i="9"/>
  <c r="G125" i="9"/>
  <c r="F125" i="9"/>
  <c r="E125" i="9"/>
  <c r="D125" i="9"/>
  <c r="C125" i="9"/>
  <c r="B124" i="9"/>
  <c r="A124" i="9"/>
  <c r="J124" i="9"/>
  <c r="I124" i="9"/>
  <c r="H124" i="9"/>
  <c r="G124" i="9"/>
  <c r="F124" i="9"/>
  <c r="E124" i="9"/>
  <c r="D124" i="9"/>
  <c r="C124" i="9"/>
  <c r="B123" i="9"/>
  <c r="A123" i="9"/>
  <c r="J123" i="9"/>
  <c r="I123" i="9"/>
  <c r="H123" i="9"/>
  <c r="G123" i="9"/>
  <c r="F123" i="9"/>
  <c r="E123" i="9"/>
  <c r="D123" i="9"/>
  <c r="C123" i="9"/>
  <c r="B122" i="9"/>
  <c r="A122" i="9"/>
  <c r="J122" i="9"/>
  <c r="I122" i="9"/>
  <c r="H122" i="9"/>
  <c r="G122" i="9"/>
  <c r="F122" i="9"/>
  <c r="E122" i="9"/>
  <c r="D122" i="9"/>
  <c r="C122" i="9"/>
  <c r="B121" i="9"/>
  <c r="A121" i="9"/>
  <c r="J121" i="9"/>
  <c r="I121" i="9"/>
  <c r="H121" i="9"/>
  <c r="G121" i="9"/>
  <c r="F121" i="9"/>
  <c r="E121" i="9"/>
  <c r="D121" i="9"/>
  <c r="C121" i="9"/>
  <c r="B120" i="9"/>
  <c r="A120" i="9"/>
  <c r="J120" i="9"/>
  <c r="I120" i="9"/>
  <c r="H120" i="9"/>
  <c r="G120" i="9"/>
  <c r="F120" i="9"/>
  <c r="E120" i="9"/>
  <c r="D120" i="9"/>
  <c r="C120" i="9"/>
  <c r="B119" i="9"/>
  <c r="A119" i="9"/>
  <c r="J119" i="9"/>
  <c r="I119" i="9"/>
  <c r="H119" i="9"/>
  <c r="G119" i="9"/>
  <c r="F119" i="9"/>
  <c r="E119" i="9"/>
  <c r="D119" i="9"/>
  <c r="C119" i="9"/>
  <c r="B118" i="9"/>
  <c r="A118" i="9"/>
  <c r="J118" i="9"/>
  <c r="I118" i="9"/>
  <c r="H118" i="9"/>
  <c r="G118" i="9"/>
  <c r="F118" i="9"/>
  <c r="E118" i="9"/>
  <c r="D118" i="9"/>
  <c r="C118" i="9"/>
  <c r="B117" i="9"/>
  <c r="A117" i="9"/>
  <c r="J117" i="9"/>
  <c r="I117" i="9"/>
  <c r="H117" i="9"/>
  <c r="G117" i="9"/>
  <c r="F117" i="9"/>
  <c r="E117" i="9"/>
  <c r="D117" i="9"/>
  <c r="C117" i="9"/>
  <c r="B116" i="9"/>
  <c r="A116" i="9"/>
  <c r="J116" i="9"/>
  <c r="I116" i="9"/>
  <c r="H116" i="9"/>
  <c r="G116" i="9"/>
  <c r="F116" i="9"/>
  <c r="E116" i="9"/>
  <c r="D116" i="9"/>
  <c r="C116" i="9"/>
  <c r="B115" i="9"/>
  <c r="A115" i="9"/>
  <c r="J115" i="9"/>
  <c r="I115" i="9"/>
  <c r="H115" i="9"/>
  <c r="G115" i="9"/>
  <c r="F115" i="9"/>
  <c r="E115" i="9"/>
  <c r="D115" i="9"/>
  <c r="C115" i="9"/>
  <c r="B114" i="9"/>
  <c r="A114" i="9"/>
  <c r="J114" i="9"/>
  <c r="I114" i="9"/>
  <c r="H114" i="9"/>
  <c r="G114" i="9"/>
  <c r="F114" i="9"/>
  <c r="E114" i="9"/>
  <c r="D114" i="9"/>
  <c r="C114" i="9"/>
  <c r="B113" i="9"/>
  <c r="A113" i="9"/>
  <c r="J113" i="9"/>
  <c r="I113" i="9"/>
  <c r="H113" i="9"/>
  <c r="G113" i="9"/>
  <c r="F113" i="9"/>
  <c r="E113" i="9"/>
  <c r="D113" i="9"/>
  <c r="C113" i="9"/>
  <c r="B112" i="9"/>
  <c r="A112" i="9"/>
  <c r="J112" i="9"/>
  <c r="I112" i="9"/>
  <c r="H112" i="9"/>
  <c r="G112" i="9"/>
  <c r="F112" i="9"/>
  <c r="E112" i="9"/>
  <c r="D112" i="9"/>
  <c r="C112" i="9"/>
  <c r="B111" i="9"/>
  <c r="A111" i="9"/>
  <c r="J111" i="9"/>
  <c r="I111" i="9"/>
  <c r="H111" i="9"/>
  <c r="G111" i="9"/>
  <c r="F111" i="9"/>
  <c r="E111" i="9"/>
  <c r="D111" i="9"/>
  <c r="C111" i="9"/>
  <c r="B110" i="9"/>
  <c r="A110" i="9"/>
  <c r="J110" i="9"/>
  <c r="I110" i="9"/>
  <c r="H110" i="9"/>
  <c r="G110" i="9"/>
  <c r="F110" i="9"/>
  <c r="E110" i="9"/>
  <c r="D110" i="9"/>
  <c r="C110" i="9"/>
  <c r="B109" i="9"/>
  <c r="A109" i="9"/>
  <c r="J109" i="9"/>
  <c r="I109" i="9"/>
  <c r="H109" i="9"/>
  <c r="G109" i="9"/>
  <c r="F109" i="9"/>
  <c r="E109" i="9"/>
  <c r="D109" i="9"/>
  <c r="C109" i="9"/>
  <c r="B108" i="9"/>
  <c r="A108" i="9"/>
  <c r="J108" i="9"/>
  <c r="I108" i="9"/>
  <c r="H108" i="9"/>
  <c r="G108" i="9"/>
  <c r="F108" i="9"/>
  <c r="E108" i="9"/>
  <c r="D108" i="9"/>
  <c r="C108" i="9"/>
  <c r="B107" i="9"/>
  <c r="A107" i="9"/>
  <c r="J107" i="9"/>
  <c r="I107" i="9"/>
  <c r="H107" i="9"/>
  <c r="G107" i="9"/>
  <c r="F107" i="9"/>
  <c r="E107" i="9"/>
  <c r="D107" i="9"/>
  <c r="C107" i="9"/>
  <c r="B106" i="9"/>
  <c r="A106" i="9"/>
  <c r="J106" i="9"/>
  <c r="I106" i="9"/>
  <c r="H106" i="9"/>
  <c r="G106" i="9"/>
  <c r="F106" i="9"/>
  <c r="E106" i="9"/>
  <c r="D106" i="9"/>
  <c r="C106" i="9"/>
  <c r="B105" i="9"/>
  <c r="A105" i="9"/>
  <c r="J105" i="9"/>
  <c r="I105" i="9"/>
  <c r="H105" i="9"/>
  <c r="G105" i="9"/>
  <c r="F105" i="9"/>
  <c r="E105" i="9"/>
  <c r="D105" i="9"/>
  <c r="C105" i="9"/>
  <c r="B104" i="9"/>
  <c r="A104" i="9"/>
  <c r="J104" i="9"/>
  <c r="I104" i="9"/>
  <c r="H104" i="9"/>
  <c r="G104" i="9"/>
  <c r="F104" i="9"/>
  <c r="E104" i="9"/>
  <c r="D104" i="9"/>
  <c r="C104" i="9"/>
  <c r="B103" i="9"/>
  <c r="A103" i="9"/>
  <c r="J103" i="9"/>
  <c r="I103" i="9"/>
  <c r="H103" i="9"/>
  <c r="G103" i="9"/>
  <c r="F103" i="9"/>
  <c r="E103" i="9"/>
  <c r="D103" i="9"/>
  <c r="C103" i="9"/>
  <c r="B102" i="9"/>
  <c r="A102" i="9"/>
  <c r="J102" i="9"/>
  <c r="I102" i="9"/>
  <c r="H102" i="9"/>
  <c r="G102" i="9"/>
  <c r="F102" i="9"/>
  <c r="E102" i="9"/>
  <c r="D102" i="9"/>
  <c r="C102" i="9"/>
  <c r="B101" i="9"/>
  <c r="A101" i="9"/>
  <c r="J101" i="9"/>
  <c r="I101" i="9"/>
  <c r="H101" i="9"/>
  <c r="G101" i="9"/>
  <c r="F101" i="9"/>
  <c r="E101" i="9"/>
  <c r="D101" i="9"/>
  <c r="C101" i="9"/>
  <c r="B100" i="9"/>
  <c r="A100" i="9"/>
  <c r="J100" i="9"/>
  <c r="I100" i="9"/>
  <c r="H100" i="9"/>
  <c r="G100" i="9"/>
  <c r="F100" i="9"/>
  <c r="E100" i="9"/>
  <c r="D100" i="9"/>
  <c r="C100" i="9"/>
  <c r="B99" i="9"/>
  <c r="A99" i="9"/>
  <c r="J99" i="9"/>
  <c r="I99" i="9"/>
  <c r="H99" i="9"/>
  <c r="G99" i="9"/>
  <c r="F99" i="9"/>
  <c r="E99" i="9"/>
  <c r="D99" i="9"/>
  <c r="C99" i="9"/>
  <c r="B98" i="9"/>
  <c r="A98" i="9"/>
  <c r="J98" i="9"/>
  <c r="I98" i="9"/>
  <c r="H98" i="9"/>
  <c r="G98" i="9"/>
  <c r="F98" i="9"/>
  <c r="E98" i="9"/>
  <c r="D98" i="9"/>
  <c r="C98" i="9"/>
  <c r="B97" i="9"/>
  <c r="A97" i="9"/>
  <c r="J97" i="9"/>
  <c r="I97" i="9"/>
  <c r="H97" i="9"/>
  <c r="G97" i="9"/>
  <c r="F97" i="9"/>
  <c r="E97" i="9"/>
  <c r="D97" i="9"/>
  <c r="C97" i="9"/>
  <c r="B96" i="9"/>
  <c r="A96" i="9"/>
  <c r="J96" i="9"/>
  <c r="I96" i="9"/>
  <c r="H96" i="9"/>
  <c r="G96" i="9"/>
  <c r="F96" i="9"/>
  <c r="E96" i="9"/>
  <c r="D96" i="9"/>
  <c r="C96" i="9"/>
  <c r="B95" i="9"/>
  <c r="A95" i="9"/>
  <c r="J95" i="9"/>
  <c r="I95" i="9"/>
  <c r="H95" i="9"/>
  <c r="G95" i="9"/>
  <c r="F95" i="9"/>
  <c r="E95" i="9"/>
  <c r="D95" i="9"/>
  <c r="C95" i="9"/>
  <c r="B94" i="9"/>
  <c r="A94" i="9"/>
  <c r="J94" i="9"/>
  <c r="I94" i="9"/>
  <c r="H94" i="9"/>
  <c r="G94" i="9"/>
  <c r="F94" i="9"/>
  <c r="E94" i="9"/>
  <c r="D94" i="9"/>
  <c r="C94" i="9"/>
  <c r="B93" i="9"/>
  <c r="A93" i="9"/>
  <c r="J93" i="9"/>
  <c r="I93" i="9"/>
  <c r="H93" i="9"/>
  <c r="G93" i="9"/>
  <c r="F93" i="9"/>
  <c r="E93" i="9"/>
  <c r="D93" i="9"/>
  <c r="C93" i="9"/>
  <c r="B92" i="9"/>
  <c r="A92" i="9"/>
  <c r="J92" i="9"/>
  <c r="I92" i="9"/>
  <c r="H92" i="9"/>
  <c r="G92" i="9"/>
  <c r="F92" i="9"/>
  <c r="E92" i="9"/>
  <c r="D92" i="9"/>
  <c r="C92" i="9"/>
  <c r="B91" i="9"/>
  <c r="A91" i="9"/>
  <c r="J91" i="9"/>
  <c r="I91" i="9"/>
  <c r="H91" i="9"/>
  <c r="G91" i="9"/>
  <c r="F91" i="9"/>
  <c r="E91" i="9"/>
  <c r="D91" i="9"/>
  <c r="C91" i="9"/>
  <c r="B90" i="9"/>
  <c r="A90" i="9"/>
  <c r="J90" i="9"/>
  <c r="I90" i="9"/>
  <c r="H90" i="9"/>
  <c r="G90" i="9"/>
  <c r="F90" i="9"/>
  <c r="E90" i="9"/>
  <c r="D90" i="9"/>
  <c r="C90" i="9"/>
  <c r="B89" i="9"/>
  <c r="A89" i="9"/>
  <c r="J89" i="9"/>
  <c r="I89" i="9"/>
  <c r="H89" i="9"/>
  <c r="G89" i="9"/>
  <c r="F89" i="9"/>
  <c r="E89" i="9"/>
  <c r="D89" i="9"/>
  <c r="C89" i="9"/>
  <c r="B88" i="9"/>
  <c r="A88" i="9"/>
  <c r="J88" i="9"/>
  <c r="I88" i="9"/>
  <c r="H88" i="9"/>
  <c r="G88" i="9"/>
  <c r="F88" i="9"/>
  <c r="E88" i="9"/>
  <c r="D88" i="9"/>
  <c r="C88" i="9"/>
  <c r="B87" i="9"/>
  <c r="A87" i="9"/>
  <c r="J87" i="9"/>
  <c r="I87" i="9"/>
  <c r="H87" i="9"/>
  <c r="G87" i="9"/>
  <c r="F87" i="9"/>
  <c r="E87" i="9"/>
  <c r="D87" i="9"/>
  <c r="C87" i="9"/>
  <c r="B86" i="9"/>
  <c r="A86" i="9"/>
  <c r="J86" i="9"/>
  <c r="I86" i="9"/>
  <c r="H86" i="9"/>
  <c r="G86" i="9"/>
  <c r="F86" i="9"/>
  <c r="E86" i="9"/>
  <c r="D86" i="9"/>
  <c r="C86" i="9"/>
  <c r="B85" i="9"/>
  <c r="A85" i="9"/>
  <c r="J85" i="9"/>
  <c r="I85" i="9"/>
  <c r="H85" i="9"/>
  <c r="G85" i="9"/>
  <c r="F85" i="9"/>
  <c r="E85" i="9"/>
  <c r="D85" i="9"/>
  <c r="C85" i="9"/>
  <c r="B84" i="9"/>
  <c r="A84" i="9"/>
  <c r="J84" i="9"/>
  <c r="I84" i="9"/>
  <c r="H84" i="9"/>
  <c r="G84" i="9"/>
  <c r="F84" i="9"/>
  <c r="E84" i="9"/>
  <c r="D84" i="9"/>
  <c r="C84" i="9"/>
  <c r="B83" i="9"/>
  <c r="A83" i="9"/>
  <c r="J83" i="9"/>
  <c r="I83" i="9"/>
  <c r="H83" i="9"/>
  <c r="G83" i="9"/>
  <c r="F83" i="9"/>
  <c r="E83" i="9"/>
  <c r="D83" i="9"/>
  <c r="C83" i="9"/>
  <c r="B82" i="9"/>
  <c r="A82" i="9"/>
  <c r="J82" i="9"/>
  <c r="I82" i="9"/>
  <c r="H82" i="9"/>
  <c r="G82" i="9"/>
  <c r="F82" i="9"/>
  <c r="E82" i="9"/>
  <c r="D82" i="9"/>
  <c r="C82" i="9"/>
  <c r="B81" i="9"/>
  <c r="A81" i="9"/>
  <c r="F81" i="9"/>
  <c r="E81" i="9"/>
  <c r="D81" i="9"/>
  <c r="C81" i="9"/>
  <c r="B80" i="9"/>
  <c r="A80" i="9"/>
  <c r="F80" i="9"/>
  <c r="E80" i="9"/>
  <c r="D80" i="9"/>
  <c r="C80" i="9"/>
  <c r="C79" i="9"/>
  <c r="C78" i="9"/>
  <c r="C77" i="9"/>
  <c r="C76" i="9"/>
  <c r="C75" i="9"/>
  <c r="C74" i="9"/>
  <c r="C73" i="9"/>
  <c r="C72" i="9"/>
  <c r="C71" i="9"/>
  <c r="J297" i="8"/>
  <c r="I297" i="8"/>
  <c r="H297" i="8"/>
  <c r="G297" i="8"/>
  <c r="F297" i="8"/>
  <c r="E297" i="8"/>
  <c r="D297" i="8"/>
  <c r="C297" i="8"/>
  <c r="B296" i="8"/>
  <c r="A296" i="8"/>
  <c r="J296" i="8"/>
  <c r="I296" i="8"/>
  <c r="H296" i="8"/>
  <c r="G296" i="8"/>
  <c r="F296" i="8"/>
  <c r="E296" i="8"/>
  <c r="D296" i="8"/>
  <c r="C296" i="8"/>
  <c r="B295" i="8"/>
  <c r="A295" i="8"/>
  <c r="J295" i="8"/>
  <c r="I295" i="8"/>
  <c r="H295" i="8"/>
  <c r="G295" i="8"/>
  <c r="F295" i="8"/>
  <c r="E295" i="8"/>
  <c r="D295" i="8"/>
  <c r="C295" i="8"/>
  <c r="B294" i="8"/>
  <c r="A294" i="8"/>
  <c r="J294" i="8"/>
  <c r="I294" i="8"/>
  <c r="H294" i="8"/>
  <c r="G294" i="8"/>
  <c r="F294" i="8"/>
  <c r="E294" i="8"/>
  <c r="D294" i="8"/>
  <c r="C294" i="8"/>
  <c r="B293" i="8"/>
  <c r="A293" i="8"/>
  <c r="J293" i="8"/>
  <c r="I293" i="8"/>
  <c r="H293" i="8"/>
  <c r="G293" i="8"/>
  <c r="F293" i="8"/>
  <c r="E293" i="8"/>
  <c r="D293" i="8"/>
  <c r="C293" i="8"/>
  <c r="B292" i="8"/>
  <c r="A292" i="8"/>
  <c r="J292" i="8"/>
  <c r="I292" i="8"/>
  <c r="H292" i="8"/>
  <c r="G292" i="8"/>
  <c r="F292" i="8"/>
  <c r="E292" i="8"/>
  <c r="D292" i="8"/>
  <c r="C292" i="8"/>
  <c r="B291" i="8"/>
  <c r="A291" i="8"/>
  <c r="J291" i="8"/>
  <c r="I291" i="8"/>
  <c r="H291" i="8"/>
  <c r="G291" i="8"/>
  <c r="F291" i="8"/>
  <c r="E291" i="8"/>
  <c r="D291" i="8"/>
  <c r="C291" i="8"/>
  <c r="B290" i="8"/>
  <c r="A290" i="8"/>
  <c r="J290" i="8"/>
  <c r="I290" i="8"/>
  <c r="H290" i="8"/>
  <c r="G290" i="8"/>
  <c r="F290" i="8"/>
  <c r="E290" i="8"/>
  <c r="D290" i="8"/>
  <c r="C290" i="8"/>
  <c r="B289" i="8"/>
  <c r="A289" i="8"/>
  <c r="J289" i="8"/>
  <c r="I289" i="8"/>
  <c r="H289" i="8"/>
  <c r="G289" i="8"/>
  <c r="F289" i="8"/>
  <c r="E289" i="8"/>
  <c r="D289" i="8"/>
  <c r="C289" i="8"/>
  <c r="B288" i="8"/>
  <c r="A288" i="8"/>
  <c r="J288" i="8"/>
  <c r="I288" i="8"/>
  <c r="H288" i="8"/>
  <c r="G288" i="8"/>
  <c r="F288" i="8"/>
  <c r="E288" i="8"/>
  <c r="D288" i="8"/>
  <c r="C288" i="8"/>
  <c r="B287" i="8"/>
  <c r="A287" i="8"/>
  <c r="J287" i="8"/>
  <c r="I287" i="8"/>
  <c r="H287" i="8"/>
  <c r="G287" i="8"/>
  <c r="F287" i="8"/>
  <c r="E287" i="8"/>
  <c r="D287" i="8"/>
  <c r="C287" i="8"/>
  <c r="B286" i="8"/>
  <c r="A286" i="8"/>
  <c r="J286" i="8"/>
  <c r="I286" i="8"/>
  <c r="H286" i="8"/>
  <c r="G286" i="8"/>
  <c r="F286" i="8"/>
  <c r="E286" i="8"/>
  <c r="D286" i="8"/>
  <c r="C286" i="8"/>
  <c r="B285" i="8"/>
  <c r="A285" i="8"/>
  <c r="J285" i="8"/>
  <c r="I285" i="8"/>
  <c r="H285" i="8"/>
  <c r="G285" i="8"/>
  <c r="F285" i="8"/>
  <c r="E285" i="8"/>
  <c r="D285" i="8"/>
  <c r="C285" i="8"/>
  <c r="B284" i="8"/>
  <c r="A284" i="8"/>
  <c r="J284" i="8"/>
  <c r="I284" i="8"/>
  <c r="H284" i="8"/>
  <c r="G284" i="8"/>
  <c r="F284" i="8"/>
  <c r="E284" i="8"/>
  <c r="D284" i="8"/>
  <c r="C284" i="8"/>
  <c r="B283" i="8"/>
  <c r="A283" i="8"/>
  <c r="J283" i="8"/>
  <c r="I283" i="8"/>
  <c r="H283" i="8"/>
  <c r="G283" i="8"/>
  <c r="F283" i="8"/>
  <c r="E283" i="8"/>
  <c r="D283" i="8"/>
  <c r="C283" i="8"/>
  <c r="B282" i="8"/>
  <c r="A282" i="8"/>
  <c r="J282" i="8"/>
  <c r="I282" i="8"/>
  <c r="H282" i="8"/>
  <c r="G282" i="8"/>
  <c r="F282" i="8"/>
  <c r="E282" i="8"/>
  <c r="D282" i="8"/>
  <c r="C282" i="8"/>
  <c r="B281" i="8"/>
  <c r="A281" i="8"/>
  <c r="J281" i="8"/>
  <c r="I281" i="8"/>
  <c r="H281" i="8"/>
  <c r="G281" i="8"/>
  <c r="F281" i="8"/>
  <c r="E281" i="8"/>
  <c r="D281" i="8"/>
  <c r="C281" i="8"/>
  <c r="B280" i="8"/>
  <c r="A280" i="8"/>
  <c r="J280" i="8"/>
  <c r="I280" i="8"/>
  <c r="H280" i="8"/>
  <c r="G280" i="8"/>
  <c r="F280" i="8"/>
  <c r="E280" i="8"/>
  <c r="D280" i="8"/>
  <c r="C280" i="8"/>
  <c r="B279" i="8"/>
  <c r="A279" i="8"/>
  <c r="J279" i="8"/>
  <c r="I279" i="8"/>
  <c r="H279" i="8"/>
  <c r="G279" i="8"/>
  <c r="F279" i="8"/>
  <c r="E279" i="8"/>
  <c r="D279" i="8"/>
  <c r="C279" i="8"/>
  <c r="B278" i="8"/>
  <c r="A278" i="8"/>
  <c r="J278" i="8"/>
  <c r="I278" i="8"/>
  <c r="H278" i="8"/>
  <c r="G278" i="8"/>
  <c r="F278" i="8"/>
  <c r="E278" i="8"/>
  <c r="D278" i="8"/>
  <c r="C278" i="8"/>
  <c r="B277" i="8"/>
  <c r="A277" i="8"/>
  <c r="J277" i="8"/>
  <c r="I277" i="8"/>
  <c r="H277" i="8"/>
  <c r="G277" i="8"/>
  <c r="F277" i="8"/>
  <c r="E277" i="8"/>
  <c r="D277" i="8"/>
  <c r="C277" i="8"/>
  <c r="B276" i="8"/>
  <c r="A276" i="8"/>
  <c r="J276" i="8"/>
  <c r="I276" i="8"/>
  <c r="H276" i="8"/>
  <c r="G276" i="8"/>
  <c r="F276" i="8"/>
  <c r="E276" i="8"/>
  <c r="D276" i="8"/>
  <c r="C276" i="8"/>
  <c r="B275" i="8"/>
  <c r="A275" i="8"/>
  <c r="J275" i="8"/>
  <c r="I275" i="8"/>
  <c r="H275" i="8"/>
  <c r="G275" i="8"/>
  <c r="F275" i="8"/>
  <c r="E275" i="8"/>
  <c r="D275" i="8"/>
  <c r="C275" i="8"/>
  <c r="B274" i="8"/>
  <c r="A274" i="8"/>
  <c r="J274" i="8"/>
  <c r="I274" i="8"/>
  <c r="H274" i="8"/>
  <c r="G274" i="8"/>
  <c r="F274" i="8"/>
  <c r="E274" i="8"/>
  <c r="D274" i="8"/>
  <c r="C274" i="8"/>
  <c r="B273" i="8"/>
  <c r="A273" i="8"/>
  <c r="J273" i="8"/>
  <c r="I273" i="8"/>
  <c r="H273" i="8"/>
  <c r="G273" i="8"/>
  <c r="F273" i="8"/>
  <c r="E273" i="8"/>
  <c r="D273" i="8"/>
  <c r="C273" i="8"/>
  <c r="B272" i="8"/>
  <c r="A272" i="8"/>
  <c r="J272" i="8"/>
  <c r="I272" i="8"/>
  <c r="H272" i="8"/>
  <c r="G272" i="8"/>
  <c r="F272" i="8"/>
  <c r="E272" i="8"/>
  <c r="D272" i="8"/>
  <c r="C272" i="8"/>
  <c r="B271" i="8"/>
  <c r="A271" i="8"/>
  <c r="J271" i="8"/>
  <c r="I271" i="8"/>
  <c r="H271" i="8"/>
  <c r="G271" i="8"/>
  <c r="F271" i="8"/>
  <c r="E271" i="8"/>
  <c r="D271" i="8"/>
  <c r="C271" i="8"/>
  <c r="B270" i="8"/>
  <c r="A270" i="8"/>
  <c r="J270" i="8"/>
  <c r="I270" i="8"/>
  <c r="H270" i="8"/>
  <c r="G270" i="8"/>
  <c r="F270" i="8"/>
  <c r="E270" i="8"/>
  <c r="D270" i="8"/>
  <c r="C270" i="8"/>
  <c r="B269" i="8"/>
  <c r="A269" i="8"/>
  <c r="J269" i="8"/>
  <c r="I269" i="8"/>
  <c r="H269" i="8"/>
  <c r="G269" i="8"/>
  <c r="F269" i="8"/>
  <c r="E269" i="8"/>
  <c r="D269" i="8"/>
  <c r="C269" i="8"/>
  <c r="B268" i="8"/>
  <c r="A268" i="8"/>
  <c r="J268" i="8"/>
  <c r="I268" i="8"/>
  <c r="H268" i="8"/>
  <c r="G268" i="8"/>
  <c r="F268" i="8"/>
  <c r="E268" i="8"/>
  <c r="D268" i="8"/>
  <c r="C268" i="8"/>
  <c r="B267" i="8"/>
  <c r="A267" i="8"/>
  <c r="J267" i="8"/>
  <c r="I267" i="8"/>
  <c r="H267" i="8"/>
  <c r="G267" i="8"/>
  <c r="F267" i="8"/>
  <c r="E267" i="8"/>
  <c r="D267" i="8"/>
  <c r="C267" i="8"/>
  <c r="B266" i="8"/>
  <c r="A266" i="8"/>
  <c r="J266" i="8"/>
  <c r="I266" i="8"/>
  <c r="H266" i="8"/>
  <c r="G266" i="8"/>
  <c r="F266" i="8"/>
  <c r="E266" i="8"/>
  <c r="D266" i="8"/>
  <c r="C266" i="8"/>
  <c r="B265" i="8"/>
  <c r="A265" i="8"/>
  <c r="J265" i="8"/>
  <c r="I265" i="8"/>
  <c r="H265" i="8"/>
  <c r="G265" i="8"/>
  <c r="F265" i="8"/>
  <c r="E265" i="8"/>
  <c r="D265" i="8"/>
  <c r="C265" i="8"/>
  <c r="B264" i="8"/>
  <c r="A264" i="8"/>
  <c r="J264" i="8"/>
  <c r="I264" i="8"/>
  <c r="H264" i="8"/>
  <c r="G264" i="8"/>
  <c r="F264" i="8"/>
  <c r="E264" i="8"/>
  <c r="D264" i="8"/>
  <c r="C264" i="8"/>
  <c r="B263" i="8"/>
  <c r="A263" i="8"/>
  <c r="J263" i="8"/>
  <c r="I263" i="8"/>
  <c r="H263" i="8"/>
  <c r="G263" i="8"/>
  <c r="F263" i="8"/>
  <c r="E263" i="8"/>
  <c r="D263" i="8"/>
  <c r="C263" i="8"/>
  <c r="B262" i="8"/>
  <c r="A262" i="8"/>
  <c r="J262" i="8"/>
  <c r="I262" i="8"/>
  <c r="H262" i="8"/>
  <c r="G262" i="8"/>
  <c r="F262" i="8"/>
  <c r="E262" i="8"/>
  <c r="D262" i="8"/>
  <c r="C262" i="8"/>
  <c r="B261" i="8"/>
  <c r="A261" i="8"/>
  <c r="J261" i="8"/>
  <c r="I261" i="8"/>
  <c r="H261" i="8"/>
  <c r="G261" i="8"/>
  <c r="F261" i="8"/>
  <c r="E261" i="8"/>
  <c r="D261" i="8"/>
  <c r="C261" i="8"/>
  <c r="B260" i="8"/>
  <c r="A260" i="8"/>
  <c r="J260" i="8"/>
  <c r="I260" i="8"/>
  <c r="H260" i="8"/>
  <c r="G260" i="8"/>
  <c r="F260" i="8"/>
  <c r="E260" i="8"/>
  <c r="D260" i="8"/>
  <c r="C260" i="8"/>
  <c r="B259" i="8"/>
  <c r="A259" i="8"/>
  <c r="J259" i="8"/>
  <c r="I259" i="8"/>
  <c r="H259" i="8"/>
  <c r="G259" i="8"/>
  <c r="F259" i="8"/>
  <c r="E259" i="8"/>
  <c r="D259" i="8"/>
  <c r="C259" i="8"/>
  <c r="B258" i="8"/>
  <c r="A258" i="8"/>
  <c r="J258" i="8"/>
  <c r="I258" i="8"/>
  <c r="H258" i="8"/>
  <c r="G258" i="8"/>
  <c r="F258" i="8"/>
  <c r="E258" i="8"/>
  <c r="D258" i="8"/>
  <c r="C258" i="8"/>
  <c r="B257" i="8"/>
  <c r="A257" i="8"/>
  <c r="J257" i="8"/>
  <c r="I257" i="8"/>
  <c r="H257" i="8"/>
  <c r="G257" i="8"/>
  <c r="F257" i="8"/>
  <c r="E257" i="8"/>
  <c r="D257" i="8"/>
  <c r="C257" i="8"/>
  <c r="B256" i="8"/>
  <c r="A256" i="8"/>
  <c r="J256" i="8"/>
  <c r="I256" i="8"/>
  <c r="H256" i="8"/>
  <c r="G256" i="8"/>
  <c r="F256" i="8"/>
  <c r="E256" i="8"/>
  <c r="D256" i="8"/>
  <c r="C256" i="8"/>
  <c r="B255" i="8"/>
  <c r="A255" i="8"/>
  <c r="J255" i="8"/>
  <c r="I255" i="8"/>
  <c r="H255" i="8"/>
  <c r="G255" i="8"/>
  <c r="F255" i="8"/>
  <c r="E255" i="8"/>
  <c r="D255" i="8"/>
  <c r="C255" i="8"/>
  <c r="B254" i="8"/>
  <c r="A254" i="8"/>
  <c r="J254" i="8"/>
  <c r="I254" i="8"/>
  <c r="H254" i="8"/>
  <c r="G254" i="8"/>
  <c r="F254" i="8"/>
  <c r="E254" i="8"/>
  <c r="D254" i="8"/>
  <c r="C254" i="8"/>
  <c r="B253" i="8"/>
  <c r="A253" i="8"/>
  <c r="J253" i="8"/>
  <c r="I253" i="8"/>
  <c r="H253" i="8"/>
  <c r="G253" i="8"/>
  <c r="F253" i="8"/>
  <c r="E253" i="8"/>
  <c r="D253" i="8"/>
  <c r="C253" i="8"/>
  <c r="B252" i="8"/>
  <c r="A252" i="8"/>
  <c r="J252" i="8"/>
  <c r="I252" i="8"/>
  <c r="H252" i="8"/>
  <c r="G252" i="8"/>
  <c r="F252" i="8"/>
  <c r="E252" i="8"/>
  <c r="D252" i="8"/>
  <c r="C252" i="8"/>
  <c r="B251" i="8"/>
  <c r="A251" i="8"/>
  <c r="J251" i="8"/>
  <c r="I251" i="8"/>
  <c r="H251" i="8"/>
  <c r="G251" i="8"/>
  <c r="F251" i="8"/>
  <c r="E251" i="8"/>
  <c r="D251" i="8"/>
  <c r="C251" i="8"/>
  <c r="B250" i="8"/>
  <c r="A250" i="8"/>
  <c r="J250" i="8"/>
  <c r="I250" i="8"/>
  <c r="H250" i="8"/>
  <c r="G250" i="8"/>
  <c r="F250" i="8"/>
  <c r="E250" i="8"/>
  <c r="D250" i="8"/>
  <c r="C250" i="8"/>
  <c r="B249" i="8"/>
  <c r="A249" i="8"/>
  <c r="J249" i="8"/>
  <c r="I249" i="8"/>
  <c r="H249" i="8"/>
  <c r="G249" i="8"/>
  <c r="F249" i="8"/>
  <c r="E249" i="8"/>
  <c r="D249" i="8"/>
  <c r="C249" i="8"/>
  <c r="B248" i="8"/>
  <c r="A248" i="8"/>
  <c r="J248" i="8"/>
  <c r="I248" i="8"/>
  <c r="H248" i="8"/>
  <c r="G248" i="8"/>
  <c r="F248" i="8"/>
  <c r="E248" i="8"/>
  <c r="D248" i="8"/>
  <c r="C248" i="8"/>
  <c r="B247" i="8"/>
  <c r="A247" i="8"/>
  <c r="J247" i="8"/>
  <c r="I247" i="8"/>
  <c r="H247" i="8"/>
  <c r="G247" i="8"/>
  <c r="F247" i="8"/>
  <c r="E247" i="8"/>
  <c r="D247" i="8"/>
  <c r="C247" i="8"/>
  <c r="B246" i="8"/>
  <c r="A246" i="8"/>
  <c r="J246" i="8"/>
  <c r="I246" i="8"/>
  <c r="H246" i="8"/>
  <c r="G246" i="8"/>
  <c r="F246" i="8"/>
  <c r="E246" i="8"/>
  <c r="D246" i="8"/>
  <c r="C246" i="8"/>
  <c r="B245" i="8"/>
  <c r="A245" i="8"/>
  <c r="J245" i="8"/>
  <c r="I245" i="8"/>
  <c r="H245" i="8"/>
  <c r="G245" i="8"/>
  <c r="F245" i="8"/>
  <c r="E245" i="8"/>
  <c r="D245" i="8"/>
  <c r="C245" i="8"/>
  <c r="B244" i="8"/>
  <c r="A244" i="8"/>
  <c r="J244" i="8"/>
  <c r="I244" i="8"/>
  <c r="H244" i="8"/>
  <c r="G244" i="8"/>
  <c r="F244" i="8"/>
  <c r="E244" i="8"/>
  <c r="D244" i="8"/>
  <c r="C244" i="8"/>
  <c r="B243" i="8"/>
  <c r="A243" i="8"/>
  <c r="J243" i="8"/>
  <c r="I243" i="8"/>
  <c r="H243" i="8"/>
  <c r="G243" i="8"/>
  <c r="F243" i="8"/>
  <c r="E243" i="8"/>
  <c r="D243" i="8"/>
  <c r="C243" i="8"/>
  <c r="B242" i="8"/>
  <c r="A242" i="8"/>
  <c r="J242" i="8"/>
  <c r="I242" i="8"/>
  <c r="H242" i="8"/>
  <c r="G242" i="8"/>
  <c r="F242" i="8"/>
  <c r="E242" i="8"/>
  <c r="D242" i="8"/>
  <c r="C242" i="8"/>
  <c r="B241" i="8"/>
  <c r="A241" i="8"/>
  <c r="J241" i="8"/>
  <c r="I241" i="8"/>
  <c r="H241" i="8"/>
  <c r="G241" i="8"/>
  <c r="F241" i="8"/>
  <c r="E241" i="8"/>
  <c r="D241" i="8"/>
  <c r="C241" i="8"/>
  <c r="B240" i="8"/>
  <c r="A240" i="8"/>
  <c r="J240" i="8"/>
  <c r="I240" i="8"/>
  <c r="H240" i="8"/>
  <c r="G240" i="8"/>
  <c r="F240" i="8"/>
  <c r="E240" i="8"/>
  <c r="D240" i="8"/>
  <c r="C240" i="8"/>
  <c r="B239" i="8"/>
  <c r="A239" i="8"/>
  <c r="J239" i="8"/>
  <c r="I239" i="8"/>
  <c r="H239" i="8"/>
  <c r="G239" i="8"/>
  <c r="F239" i="8"/>
  <c r="E239" i="8"/>
  <c r="D239" i="8"/>
  <c r="C239" i="8"/>
  <c r="B238" i="8"/>
  <c r="A238" i="8"/>
  <c r="J238" i="8"/>
  <c r="I238" i="8"/>
  <c r="H238" i="8"/>
  <c r="G238" i="8"/>
  <c r="F238" i="8"/>
  <c r="E238" i="8"/>
  <c r="D238" i="8"/>
  <c r="C238" i="8"/>
  <c r="B237" i="8"/>
  <c r="A237" i="8"/>
  <c r="J237" i="8"/>
  <c r="I237" i="8"/>
  <c r="H237" i="8"/>
  <c r="G237" i="8"/>
  <c r="F237" i="8"/>
  <c r="E237" i="8"/>
  <c r="D237" i="8"/>
  <c r="C237" i="8"/>
  <c r="B236" i="8"/>
  <c r="A236" i="8"/>
  <c r="J236" i="8"/>
  <c r="I236" i="8"/>
  <c r="H236" i="8"/>
  <c r="G236" i="8"/>
  <c r="F236" i="8"/>
  <c r="E236" i="8"/>
  <c r="D236" i="8"/>
  <c r="C236" i="8"/>
  <c r="B235" i="8"/>
  <c r="A235" i="8"/>
  <c r="J235" i="8"/>
  <c r="I235" i="8"/>
  <c r="H235" i="8"/>
  <c r="G235" i="8"/>
  <c r="F235" i="8"/>
  <c r="E235" i="8"/>
  <c r="D235" i="8"/>
  <c r="C235" i="8"/>
  <c r="B234" i="8"/>
  <c r="A234" i="8"/>
  <c r="J234" i="8"/>
  <c r="I234" i="8"/>
  <c r="H234" i="8"/>
  <c r="G234" i="8"/>
  <c r="F234" i="8"/>
  <c r="E234" i="8"/>
  <c r="D234" i="8"/>
  <c r="C234" i="8"/>
  <c r="B233" i="8"/>
  <c r="A233" i="8"/>
  <c r="J233" i="8"/>
  <c r="I233" i="8"/>
  <c r="H233" i="8"/>
  <c r="G233" i="8"/>
  <c r="F233" i="8"/>
  <c r="E233" i="8"/>
  <c r="D233" i="8"/>
  <c r="C233" i="8"/>
  <c r="B232" i="8"/>
  <c r="A232" i="8"/>
  <c r="J232" i="8"/>
  <c r="I232" i="8"/>
  <c r="H232" i="8"/>
  <c r="G232" i="8"/>
  <c r="F232" i="8"/>
  <c r="E232" i="8"/>
  <c r="D232" i="8"/>
  <c r="C232" i="8"/>
  <c r="B231" i="8"/>
  <c r="A231" i="8"/>
  <c r="J231" i="8"/>
  <c r="I231" i="8"/>
  <c r="H231" i="8"/>
  <c r="G231" i="8"/>
  <c r="F231" i="8"/>
  <c r="E231" i="8"/>
  <c r="D231" i="8"/>
  <c r="C231" i="8"/>
  <c r="B230" i="8"/>
  <c r="A230" i="8"/>
  <c r="J230" i="8"/>
  <c r="I230" i="8"/>
  <c r="H230" i="8"/>
  <c r="G230" i="8"/>
  <c r="F230" i="8"/>
  <c r="E230" i="8"/>
  <c r="D230" i="8"/>
  <c r="C230" i="8"/>
  <c r="B229" i="8"/>
  <c r="A229" i="8"/>
  <c r="J229" i="8"/>
  <c r="I229" i="8"/>
  <c r="H229" i="8"/>
  <c r="G229" i="8"/>
  <c r="F229" i="8"/>
  <c r="E229" i="8"/>
  <c r="D229" i="8"/>
  <c r="C229" i="8"/>
  <c r="B228" i="8"/>
  <c r="A228" i="8"/>
  <c r="J228" i="8"/>
  <c r="I228" i="8"/>
  <c r="H228" i="8"/>
  <c r="G228" i="8"/>
  <c r="F228" i="8"/>
  <c r="E228" i="8"/>
  <c r="D228" i="8"/>
  <c r="C228" i="8"/>
  <c r="B227" i="8"/>
  <c r="A227" i="8"/>
  <c r="J227" i="8"/>
  <c r="I227" i="8"/>
  <c r="H227" i="8"/>
  <c r="G227" i="8"/>
  <c r="F227" i="8"/>
  <c r="E227" i="8"/>
  <c r="D227" i="8"/>
  <c r="C227" i="8"/>
  <c r="B226" i="8"/>
  <c r="A226" i="8"/>
  <c r="J226" i="8"/>
  <c r="I226" i="8"/>
  <c r="H226" i="8"/>
  <c r="G226" i="8"/>
  <c r="F226" i="8"/>
  <c r="E226" i="8"/>
  <c r="D226" i="8"/>
  <c r="C226" i="8"/>
  <c r="B225" i="8"/>
  <c r="A225" i="8"/>
  <c r="J225" i="8"/>
  <c r="I225" i="8"/>
  <c r="H225" i="8"/>
  <c r="G225" i="8"/>
  <c r="F225" i="8"/>
  <c r="E225" i="8"/>
  <c r="D225" i="8"/>
  <c r="C225" i="8"/>
  <c r="B224" i="8"/>
  <c r="A224" i="8"/>
  <c r="J224" i="8"/>
  <c r="I224" i="8"/>
  <c r="H224" i="8"/>
  <c r="G224" i="8"/>
  <c r="F224" i="8"/>
  <c r="E224" i="8"/>
  <c r="D224" i="8"/>
  <c r="C224" i="8"/>
  <c r="B223" i="8"/>
  <c r="A223" i="8"/>
  <c r="J223" i="8"/>
  <c r="I223" i="8"/>
  <c r="H223" i="8"/>
  <c r="G223" i="8"/>
  <c r="F223" i="8"/>
  <c r="E223" i="8"/>
  <c r="D223" i="8"/>
  <c r="C223" i="8"/>
  <c r="B222" i="8"/>
  <c r="A222" i="8"/>
  <c r="J222" i="8"/>
  <c r="I222" i="8"/>
  <c r="H222" i="8"/>
  <c r="G222" i="8"/>
  <c r="F222" i="8"/>
  <c r="E222" i="8"/>
  <c r="D222" i="8"/>
  <c r="C222" i="8"/>
  <c r="B221" i="8"/>
  <c r="A221" i="8"/>
  <c r="J221" i="8"/>
  <c r="I221" i="8"/>
  <c r="H221" i="8"/>
  <c r="G221" i="8"/>
  <c r="F221" i="8"/>
  <c r="E221" i="8"/>
  <c r="D221" i="8"/>
  <c r="C221" i="8"/>
  <c r="B220" i="8"/>
  <c r="A220" i="8"/>
  <c r="J220" i="8"/>
  <c r="I220" i="8"/>
  <c r="H220" i="8"/>
  <c r="G220" i="8"/>
  <c r="F220" i="8"/>
  <c r="E220" i="8"/>
  <c r="D220" i="8"/>
  <c r="C220" i="8"/>
  <c r="B219" i="8"/>
  <c r="A219" i="8"/>
  <c r="J219" i="8"/>
  <c r="I219" i="8"/>
  <c r="H219" i="8"/>
  <c r="G219" i="8"/>
  <c r="F219" i="8"/>
  <c r="E219" i="8"/>
  <c r="D219" i="8"/>
  <c r="C219" i="8"/>
  <c r="B218" i="8"/>
  <c r="A218" i="8"/>
  <c r="J218" i="8"/>
  <c r="I218" i="8"/>
  <c r="H218" i="8"/>
  <c r="G218" i="8"/>
  <c r="F218" i="8"/>
  <c r="E218" i="8"/>
  <c r="D218" i="8"/>
  <c r="C218" i="8"/>
  <c r="B217" i="8"/>
  <c r="A217" i="8"/>
  <c r="J217" i="8"/>
  <c r="I217" i="8"/>
  <c r="H217" i="8"/>
  <c r="G217" i="8"/>
  <c r="F217" i="8"/>
  <c r="E217" i="8"/>
  <c r="D217" i="8"/>
  <c r="C217" i="8"/>
  <c r="B216" i="8"/>
  <c r="A216" i="8"/>
  <c r="J216" i="8"/>
  <c r="I216" i="8"/>
  <c r="H216" i="8"/>
  <c r="G216" i="8"/>
  <c r="F216" i="8"/>
  <c r="E216" i="8"/>
  <c r="D216" i="8"/>
  <c r="C216" i="8"/>
  <c r="B215" i="8"/>
  <c r="A215" i="8"/>
  <c r="J215" i="8"/>
  <c r="I215" i="8"/>
  <c r="H215" i="8"/>
  <c r="G215" i="8"/>
  <c r="F215" i="8"/>
  <c r="E215" i="8"/>
  <c r="D215" i="8"/>
  <c r="C215" i="8"/>
  <c r="B214" i="8"/>
  <c r="A214" i="8"/>
  <c r="J214" i="8"/>
  <c r="I214" i="8"/>
  <c r="H214" i="8"/>
  <c r="G214" i="8"/>
  <c r="F214" i="8"/>
  <c r="E214" i="8"/>
  <c r="D214" i="8"/>
  <c r="C214" i="8"/>
  <c r="B213" i="8"/>
  <c r="A213" i="8"/>
  <c r="J213" i="8"/>
  <c r="I213" i="8"/>
  <c r="H213" i="8"/>
  <c r="G213" i="8"/>
  <c r="F213" i="8"/>
  <c r="E213" i="8"/>
  <c r="D213" i="8"/>
  <c r="C213" i="8"/>
  <c r="B212" i="8"/>
  <c r="A212" i="8"/>
  <c r="J212" i="8"/>
  <c r="I212" i="8"/>
  <c r="H212" i="8"/>
  <c r="G212" i="8"/>
  <c r="F212" i="8"/>
  <c r="E212" i="8"/>
  <c r="D212" i="8"/>
  <c r="C212" i="8"/>
  <c r="B211" i="8"/>
  <c r="A211" i="8"/>
  <c r="J211" i="8"/>
  <c r="I211" i="8"/>
  <c r="H211" i="8"/>
  <c r="G211" i="8"/>
  <c r="F211" i="8"/>
  <c r="E211" i="8"/>
  <c r="D211" i="8"/>
  <c r="C211" i="8"/>
  <c r="B210" i="8"/>
  <c r="A210" i="8"/>
  <c r="J210" i="8"/>
  <c r="I210" i="8"/>
  <c r="H210" i="8"/>
  <c r="G210" i="8"/>
  <c r="F210" i="8"/>
  <c r="E210" i="8"/>
  <c r="D210" i="8"/>
  <c r="C210" i="8"/>
  <c r="B209" i="8"/>
  <c r="A209" i="8"/>
  <c r="J209" i="8"/>
  <c r="I209" i="8"/>
  <c r="H209" i="8"/>
  <c r="G209" i="8"/>
  <c r="F209" i="8"/>
  <c r="E209" i="8"/>
  <c r="D209" i="8"/>
  <c r="C209" i="8"/>
  <c r="B208" i="8"/>
  <c r="A208" i="8"/>
  <c r="J208" i="8"/>
  <c r="I208" i="8"/>
  <c r="H208" i="8"/>
  <c r="G208" i="8"/>
  <c r="F208" i="8"/>
  <c r="E208" i="8"/>
  <c r="D208" i="8"/>
  <c r="C208" i="8"/>
  <c r="B207" i="8"/>
  <c r="A207" i="8"/>
  <c r="J207" i="8"/>
  <c r="I207" i="8"/>
  <c r="H207" i="8"/>
  <c r="G207" i="8"/>
  <c r="F207" i="8"/>
  <c r="E207" i="8"/>
  <c r="D207" i="8"/>
  <c r="C207" i="8"/>
  <c r="B206" i="8"/>
  <c r="A206" i="8"/>
  <c r="J206" i="8"/>
  <c r="I206" i="8"/>
  <c r="H206" i="8"/>
  <c r="G206" i="8"/>
  <c r="F206" i="8"/>
  <c r="E206" i="8"/>
  <c r="D206" i="8"/>
  <c r="C206" i="8"/>
  <c r="B205" i="8"/>
  <c r="A205" i="8"/>
  <c r="J205" i="8"/>
  <c r="I205" i="8"/>
  <c r="H205" i="8"/>
  <c r="G205" i="8"/>
  <c r="F205" i="8"/>
  <c r="E205" i="8"/>
  <c r="D205" i="8"/>
  <c r="C205" i="8"/>
  <c r="B204" i="8"/>
  <c r="A204" i="8"/>
  <c r="J204" i="8"/>
  <c r="I204" i="8"/>
  <c r="H204" i="8"/>
  <c r="G204" i="8"/>
  <c r="F204" i="8"/>
  <c r="E204" i="8"/>
  <c r="D204" i="8"/>
  <c r="C204" i="8"/>
  <c r="B203" i="8"/>
  <c r="A203" i="8"/>
  <c r="J203" i="8"/>
  <c r="I203" i="8"/>
  <c r="H203" i="8"/>
  <c r="G203" i="8"/>
  <c r="F203" i="8"/>
  <c r="E203" i="8"/>
  <c r="D203" i="8"/>
  <c r="C203" i="8"/>
  <c r="B202" i="8"/>
  <c r="A202" i="8"/>
  <c r="J202" i="8"/>
  <c r="I202" i="8"/>
  <c r="H202" i="8"/>
  <c r="G202" i="8"/>
  <c r="F202" i="8"/>
  <c r="E202" i="8"/>
  <c r="D202" i="8"/>
  <c r="C202" i="8"/>
  <c r="B201" i="8"/>
  <c r="A201" i="8"/>
  <c r="J201" i="8"/>
  <c r="I201" i="8"/>
  <c r="H201" i="8"/>
  <c r="G201" i="8"/>
  <c r="F201" i="8"/>
  <c r="E201" i="8"/>
  <c r="D201" i="8"/>
  <c r="C201" i="8"/>
  <c r="B200" i="8"/>
  <c r="A200" i="8"/>
  <c r="J200" i="8"/>
  <c r="I200" i="8"/>
  <c r="H200" i="8"/>
  <c r="G200" i="8"/>
  <c r="F200" i="8"/>
  <c r="E200" i="8"/>
  <c r="D200" i="8"/>
  <c r="C200" i="8"/>
  <c r="B199" i="8"/>
  <c r="A199" i="8"/>
  <c r="J199" i="8"/>
  <c r="I199" i="8"/>
  <c r="H199" i="8"/>
  <c r="G199" i="8"/>
  <c r="F199" i="8"/>
  <c r="E199" i="8"/>
  <c r="D199" i="8"/>
  <c r="C199" i="8"/>
  <c r="B198" i="8"/>
  <c r="A198" i="8"/>
  <c r="J198" i="8"/>
  <c r="I198" i="8"/>
  <c r="H198" i="8"/>
  <c r="G198" i="8"/>
  <c r="F198" i="8"/>
  <c r="E198" i="8"/>
  <c r="D198" i="8"/>
  <c r="C198" i="8"/>
  <c r="B197" i="8"/>
  <c r="A197" i="8"/>
  <c r="J197" i="8"/>
  <c r="I197" i="8"/>
  <c r="H197" i="8"/>
  <c r="G197" i="8"/>
  <c r="F197" i="8"/>
  <c r="E197" i="8"/>
  <c r="D197" i="8"/>
  <c r="C197" i="8"/>
  <c r="B196" i="8"/>
  <c r="A196" i="8"/>
  <c r="J196" i="8"/>
  <c r="I196" i="8"/>
  <c r="H196" i="8"/>
  <c r="G196" i="8"/>
  <c r="F196" i="8"/>
  <c r="E196" i="8"/>
  <c r="D196" i="8"/>
  <c r="C196" i="8"/>
  <c r="B195" i="8"/>
  <c r="A195" i="8"/>
  <c r="J195" i="8"/>
  <c r="I195" i="8"/>
  <c r="H195" i="8"/>
  <c r="G195" i="8"/>
  <c r="F195" i="8"/>
  <c r="E195" i="8"/>
  <c r="D195" i="8"/>
  <c r="C195" i="8"/>
  <c r="B194" i="8"/>
  <c r="A194" i="8"/>
  <c r="J194" i="8"/>
  <c r="I194" i="8"/>
  <c r="H194" i="8"/>
  <c r="G194" i="8"/>
  <c r="F194" i="8"/>
  <c r="E194" i="8"/>
  <c r="D194" i="8"/>
  <c r="C194" i="8"/>
  <c r="B193" i="8"/>
  <c r="A193" i="8"/>
  <c r="J193" i="8"/>
  <c r="I193" i="8"/>
  <c r="H193" i="8"/>
  <c r="G193" i="8"/>
  <c r="F193" i="8"/>
  <c r="E193" i="8"/>
  <c r="D193" i="8"/>
  <c r="C193" i="8"/>
  <c r="B192" i="8"/>
  <c r="A192" i="8"/>
  <c r="J192" i="8"/>
  <c r="I192" i="8"/>
  <c r="H192" i="8"/>
  <c r="G192" i="8"/>
  <c r="F192" i="8"/>
  <c r="E192" i="8"/>
  <c r="D192" i="8"/>
  <c r="C192" i="8"/>
  <c r="B191" i="8"/>
  <c r="A191" i="8"/>
  <c r="J191" i="8"/>
  <c r="I191" i="8"/>
  <c r="H191" i="8"/>
  <c r="G191" i="8"/>
  <c r="F191" i="8"/>
  <c r="E191" i="8"/>
  <c r="D191" i="8"/>
  <c r="C191" i="8"/>
  <c r="B190" i="8"/>
  <c r="A190" i="8"/>
  <c r="J190" i="8"/>
  <c r="I190" i="8"/>
  <c r="H190" i="8"/>
  <c r="G190" i="8"/>
  <c r="F190" i="8"/>
  <c r="E190" i="8"/>
  <c r="D190" i="8"/>
  <c r="C190" i="8"/>
  <c r="B189" i="8"/>
  <c r="A189" i="8"/>
  <c r="J189" i="8"/>
  <c r="I189" i="8"/>
  <c r="H189" i="8"/>
  <c r="G189" i="8"/>
  <c r="F189" i="8"/>
  <c r="E189" i="8"/>
  <c r="D189" i="8"/>
  <c r="C189" i="8"/>
  <c r="B188" i="8"/>
  <c r="A188" i="8"/>
  <c r="J188" i="8"/>
  <c r="I188" i="8"/>
  <c r="H188" i="8"/>
  <c r="G188" i="8"/>
  <c r="F188" i="8"/>
  <c r="E188" i="8"/>
  <c r="D188" i="8"/>
  <c r="C188" i="8"/>
  <c r="B187" i="8"/>
  <c r="A187" i="8"/>
  <c r="J187" i="8"/>
  <c r="I187" i="8"/>
  <c r="H187" i="8"/>
  <c r="G187" i="8"/>
  <c r="F187" i="8"/>
  <c r="E187" i="8"/>
  <c r="D187" i="8"/>
  <c r="C187" i="8"/>
  <c r="B186" i="8"/>
  <c r="A186" i="8"/>
  <c r="J186" i="8"/>
  <c r="I186" i="8"/>
  <c r="H186" i="8"/>
  <c r="G186" i="8"/>
  <c r="F186" i="8"/>
  <c r="E186" i="8"/>
  <c r="D186" i="8"/>
  <c r="C186" i="8"/>
  <c r="B185" i="8"/>
  <c r="A185" i="8"/>
  <c r="J185" i="8"/>
  <c r="I185" i="8"/>
  <c r="H185" i="8"/>
  <c r="G185" i="8"/>
  <c r="F185" i="8"/>
  <c r="E185" i="8"/>
  <c r="D185" i="8"/>
  <c r="C185" i="8"/>
  <c r="B184" i="8"/>
  <c r="A184" i="8"/>
  <c r="J184" i="8"/>
  <c r="I184" i="8"/>
  <c r="H184" i="8"/>
  <c r="G184" i="8"/>
  <c r="F184" i="8"/>
  <c r="E184" i="8"/>
  <c r="D184" i="8"/>
  <c r="C184" i="8"/>
  <c r="B183" i="8"/>
  <c r="A183" i="8"/>
  <c r="J183" i="8"/>
  <c r="I183" i="8"/>
  <c r="H183" i="8"/>
  <c r="G183" i="8"/>
  <c r="F183" i="8"/>
  <c r="E183" i="8"/>
  <c r="D183" i="8"/>
  <c r="C183" i="8"/>
  <c r="B182" i="8"/>
  <c r="A182" i="8"/>
  <c r="J182" i="8"/>
  <c r="I182" i="8"/>
  <c r="H182" i="8"/>
  <c r="G182" i="8"/>
  <c r="F182" i="8"/>
  <c r="E182" i="8"/>
  <c r="D182" i="8"/>
  <c r="C182" i="8"/>
  <c r="B181" i="8"/>
  <c r="A181" i="8"/>
  <c r="J181" i="8"/>
  <c r="I181" i="8"/>
  <c r="H181" i="8"/>
  <c r="G181" i="8"/>
  <c r="F181" i="8"/>
  <c r="E181" i="8"/>
  <c r="D181" i="8"/>
  <c r="C181" i="8"/>
  <c r="B180" i="8"/>
  <c r="A180" i="8"/>
  <c r="J180" i="8"/>
  <c r="I180" i="8"/>
  <c r="H180" i="8"/>
  <c r="G180" i="8"/>
  <c r="F180" i="8"/>
  <c r="E180" i="8"/>
  <c r="D180" i="8"/>
  <c r="C180" i="8"/>
  <c r="B179" i="8"/>
  <c r="A179" i="8"/>
  <c r="J179" i="8"/>
  <c r="I179" i="8"/>
  <c r="H179" i="8"/>
  <c r="G179" i="8"/>
  <c r="F179" i="8"/>
  <c r="E179" i="8"/>
  <c r="D179" i="8"/>
  <c r="C179" i="8"/>
  <c r="B178" i="8"/>
  <c r="A178" i="8"/>
  <c r="J178" i="8"/>
  <c r="I178" i="8"/>
  <c r="H178" i="8"/>
  <c r="G178" i="8"/>
  <c r="F178" i="8"/>
  <c r="E178" i="8"/>
  <c r="D178" i="8"/>
  <c r="C178" i="8"/>
  <c r="B177" i="8"/>
  <c r="A177" i="8"/>
  <c r="J177" i="8"/>
  <c r="I177" i="8"/>
  <c r="H177" i="8"/>
  <c r="G177" i="8"/>
  <c r="F177" i="8"/>
  <c r="E177" i="8"/>
  <c r="D177" i="8"/>
  <c r="C177" i="8"/>
  <c r="B176" i="8"/>
  <c r="A176" i="8"/>
  <c r="J176" i="8"/>
  <c r="I176" i="8"/>
  <c r="H176" i="8"/>
  <c r="G176" i="8"/>
  <c r="F176" i="8"/>
  <c r="E176" i="8"/>
  <c r="D176" i="8"/>
  <c r="C176" i="8"/>
  <c r="B175" i="8"/>
  <c r="A175" i="8"/>
  <c r="J175" i="8"/>
  <c r="I175" i="8"/>
  <c r="H175" i="8"/>
  <c r="G175" i="8"/>
  <c r="F175" i="8"/>
  <c r="E175" i="8"/>
  <c r="D175" i="8"/>
  <c r="C175" i="8"/>
  <c r="B174" i="8"/>
  <c r="A174" i="8"/>
  <c r="J174" i="8"/>
  <c r="I174" i="8"/>
  <c r="H174" i="8"/>
  <c r="G174" i="8"/>
  <c r="F174" i="8"/>
  <c r="E174" i="8"/>
  <c r="D174" i="8"/>
  <c r="C174" i="8"/>
  <c r="B173" i="8"/>
  <c r="A173" i="8"/>
  <c r="J173" i="8"/>
  <c r="I173" i="8"/>
  <c r="H173" i="8"/>
  <c r="G173" i="8"/>
  <c r="F173" i="8"/>
  <c r="E173" i="8"/>
  <c r="D173" i="8"/>
  <c r="C173" i="8"/>
  <c r="B172" i="8"/>
  <c r="A172" i="8"/>
  <c r="J172" i="8"/>
  <c r="I172" i="8"/>
  <c r="H172" i="8"/>
  <c r="G172" i="8"/>
  <c r="F172" i="8"/>
  <c r="E172" i="8"/>
  <c r="D172" i="8"/>
  <c r="C172" i="8"/>
  <c r="B171" i="8"/>
  <c r="A171" i="8"/>
  <c r="J171" i="8"/>
  <c r="I171" i="8"/>
  <c r="H171" i="8"/>
  <c r="G171" i="8"/>
  <c r="F171" i="8"/>
  <c r="E171" i="8"/>
  <c r="D171" i="8"/>
  <c r="C171" i="8"/>
  <c r="B170" i="8"/>
  <c r="A170" i="8"/>
  <c r="J170" i="8"/>
  <c r="I170" i="8"/>
  <c r="H170" i="8"/>
  <c r="G170" i="8"/>
  <c r="F170" i="8"/>
  <c r="E170" i="8"/>
  <c r="D170" i="8"/>
  <c r="C170" i="8"/>
  <c r="B169" i="8"/>
  <c r="A169" i="8"/>
  <c r="J169" i="8"/>
  <c r="I169" i="8"/>
  <c r="H169" i="8"/>
  <c r="G169" i="8"/>
  <c r="F169" i="8"/>
  <c r="E169" i="8"/>
  <c r="D169" i="8"/>
  <c r="C169" i="8"/>
  <c r="B168" i="8"/>
  <c r="A168" i="8"/>
  <c r="J168" i="8"/>
  <c r="I168" i="8"/>
  <c r="H168" i="8"/>
  <c r="G168" i="8"/>
  <c r="F168" i="8"/>
  <c r="E168" i="8"/>
  <c r="D168" i="8"/>
  <c r="C168" i="8"/>
  <c r="B167" i="8"/>
  <c r="A167" i="8"/>
  <c r="J167" i="8"/>
  <c r="I167" i="8"/>
  <c r="H167" i="8"/>
  <c r="G167" i="8"/>
  <c r="F167" i="8"/>
  <c r="E167" i="8"/>
  <c r="D167" i="8"/>
  <c r="C167" i="8"/>
  <c r="B166" i="8"/>
  <c r="A166" i="8"/>
  <c r="J166" i="8"/>
  <c r="I166" i="8"/>
  <c r="H166" i="8"/>
  <c r="G166" i="8"/>
  <c r="F166" i="8"/>
  <c r="E166" i="8"/>
  <c r="D166" i="8"/>
  <c r="C166" i="8"/>
  <c r="B165" i="8"/>
  <c r="A165" i="8"/>
  <c r="J165" i="8"/>
  <c r="I165" i="8"/>
  <c r="H165" i="8"/>
  <c r="G165" i="8"/>
  <c r="F165" i="8"/>
  <c r="E165" i="8"/>
  <c r="D165" i="8"/>
  <c r="C165" i="8"/>
  <c r="B164" i="8"/>
  <c r="A164" i="8"/>
  <c r="J164" i="8"/>
  <c r="I164" i="8"/>
  <c r="H164" i="8"/>
  <c r="G164" i="8"/>
  <c r="F164" i="8"/>
  <c r="E164" i="8"/>
  <c r="D164" i="8"/>
  <c r="C164" i="8"/>
  <c r="B163" i="8"/>
  <c r="A163" i="8"/>
  <c r="J163" i="8"/>
  <c r="I163" i="8"/>
  <c r="H163" i="8"/>
  <c r="G163" i="8"/>
  <c r="F163" i="8"/>
  <c r="E163" i="8"/>
  <c r="D163" i="8"/>
  <c r="C163" i="8"/>
  <c r="B162" i="8"/>
  <c r="A162" i="8"/>
  <c r="J162" i="8"/>
  <c r="I162" i="8"/>
  <c r="H162" i="8"/>
  <c r="G162" i="8"/>
  <c r="F162" i="8"/>
  <c r="E162" i="8"/>
  <c r="D162" i="8"/>
  <c r="C162" i="8"/>
  <c r="B161" i="8"/>
  <c r="A161" i="8"/>
  <c r="J161" i="8"/>
  <c r="I161" i="8"/>
  <c r="H161" i="8"/>
  <c r="G161" i="8"/>
  <c r="F161" i="8"/>
  <c r="E161" i="8"/>
  <c r="D161" i="8"/>
  <c r="C161" i="8"/>
  <c r="B160" i="8"/>
  <c r="A160" i="8"/>
  <c r="J160" i="8"/>
  <c r="I160" i="8"/>
  <c r="H160" i="8"/>
  <c r="G160" i="8"/>
  <c r="F160" i="8"/>
  <c r="E160" i="8"/>
  <c r="D160" i="8"/>
  <c r="C160" i="8"/>
  <c r="B159" i="8"/>
  <c r="A159" i="8"/>
  <c r="J159" i="8"/>
  <c r="I159" i="8"/>
  <c r="H159" i="8"/>
  <c r="G159" i="8"/>
  <c r="F159" i="8"/>
  <c r="E159" i="8"/>
  <c r="D159" i="8"/>
  <c r="C159" i="8"/>
  <c r="B158" i="8"/>
  <c r="A158" i="8"/>
  <c r="J158" i="8"/>
  <c r="I158" i="8"/>
  <c r="H158" i="8"/>
  <c r="G158" i="8"/>
  <c r="F158" i="8"/>
  <c r="E158" i="8"/>
  <c r="D158" i="8"/>
  <c r="C158" i="8"/>
  <c r="B157" i="8"/>
  <c r="A157" i="8"/>
  <c r="J157" i="8"/>
  <c r="I157" i="8"/>
  <c r="H157" i="8"/>
  <c r="G157" i="8"/>
  <c r="F157" i="8"/>
  <c r="E157" i="8"/>
  <c r="D157" i="8"/>
  <c r="C157" i="8"/>
  <c r="B156" i="8"/>
  <c r="A156" i="8"/>
  <c r="J156" i="8"/>
  <c r="I156" i="8"/>
  <c r="H156" i="8"/>
  <c r="G156" i="8"/>
  <c r="F156" i="8"/>
  <c r="E156" i="8"/>
  <c r="D156" i="8"/>
  <c r="C156" i="8"/>
  <c r="B155" i="8"/>
  <c r="A155" i="8"/>
  <c r="J155" i="8"/>
  <c r="I155" i="8"/>
  <c r="H155" i="8"/>
  <c r="G155" i="8"/>
  <c r="F155" i="8"/>
  <c r="E155" i="8"/>
  <c r="D155" i="8"/>
  <c r="C155" i="8"/>
  <c r="B154" i="8"/>
  <c r="A154" i="8"/>
  <c r="J154" i="8"/>
  <c r="I154" i="8"/>
  <c r="H154" i="8"/>
  <c r="G154" i="8"/>
  <c r="F154" i="8"/>
  <c r="E154" i="8"/>
  <c r="D154" i="8"/>
  <c r="C154" i="8"/>
  <c r="B153" i="8"/>
  <c r="A153" i="8"/>
  <c r="J153" i="8"/>
  <c r="I153" i="8"/>
  <c r="H153" i="8"/>
  <c r="G153" i="8"/>
  <c r="F153" i="8"/>
  <c r="E153" i="8"/>
  <c r="D153" i="8"/>
  <c r="C153" i="8"/>
  <c r="B152" i="8"/>
  <c r="A152" i="8"/>
  <c r="J152" i="8"/>
  <c r="I152" i="8"/>
  <c r="H152" i="8"/>
  <c r="G152" i="8"/>
  <c r="F152" i="8"/>
  <c r="E152" i="8"/>
  <c r="D152" i="8"/>
  <c r="C152" i="8"/>
  <c r="B151" i="8"/>
  <c r="A151" i="8"/>
  <c r="J151" i="8"/>
  <c r="I151" i="8"/>
  <c r="H151" i="8"/>
  <c r="G151" i="8"/>
  <c r="F151" i="8"/>
  <c r="E151" i="8"/>
  <c r="D151" i="8"/>
  <c r="C151" i="8"/>
  <c r="B150" i="8"/>
  <c r="A150" i="8"/>
  <c r="J150" i="8"/>
  <c r="I150" i="8"/>
  <c r="H150" i="8"/>
  <c r="G150" i="8"/>
  <c r="F150" i="8"/>
  <c r="E150" i="8"/>
  <c r="D150" i="8"/>
  <c r="C150" i="8"/>
  <c r="B149" i="8"/>
  <c r="A149" i="8"/>
  <c r="J149" i="8"/>
  <c r="I149" i="8"/>
  <c r="H149" i="8"/>
  <c r="G149" i="8"/>
  <c r="F149" i="8"/>
  <c r="E149" i="8"/>
  <c r="D149" i="8"/>
  <c r="C149" i="8"/>
  <c r="B148" i="8"/>
  <c r="A148" i="8"/>
  <c r="J148" i="8"/>
  <c r="I148" i="8"/>
  <c r="H148" i="8"/>
  <c r="G148" i="8"/>
  <c r="F148" i="8"/>
  <c r="E148" i="8"/>
  <c r="D148" i="8"/>
  <c r="C148" i="8"/>
  <c r="B147" i="8"/>
  <c r="A147" i="8"/>
  <c r="J147" i="8"/>
  <c r="I147" i="8"/>
  <c r="H147" i="8"/>
  <c r="G147" i="8"/>
  <c r="F147" i="8"/>
  <c r="E147" i="8"/>
  <c r="D147" i="8"/>
  <c r="C147" i="8"/>
  <c r="B146" i="8"/>
  <c r="A146" i="8"/>
  <c r="J146" i="8"/>
  <c r="I146" i="8"/>
  <c r="H146" i="8"/>
  <c r="G146" i="8"/>
  <c r="F146" i="8"/>
  <c r="E146" i="8"/>
  <c r="D146" i="8"/>
  <c r="C146" i="8"/>
  <c r="B145" i="8"/>
  <c r="A145" i="8"/>
  <c r="J145" i="8"/>
  <c r="I145" i="8"/>
  <c r="H145" i="8"/>
  <c r="G145" i="8"/>
  <c r="F145" i="8"/>
  <c r="E145" i="8"/>
  <c r="D145" i="8"/>
  <c r="C145" i="8"/>
  <c r="B144" i="8"/>
  <c r="A144" i="8"/>
  <c r="J144" i="8"/>
  <c r="I144" i="8"/>
  <c r="H144" i="8"/>
  <c r="G144" i="8"/>
  <c r="F144" i="8"/>
  <c r="E144" i="8"/>
  <c r="D144" i="8"/>
  <c r="C144" i="8"/>
  <c r="B143" i="8"/>
  <c r="A143" i="8"/>
  <c r="J143" i="8"/>
  <c r="I143" i="8"/>
  <c r="H143" i="8"/>
  <c r="G143" i="8"/>
  <c r="F143" i="8"/>
  <c r="E143" i="8"/>
  <c r="D143" i="8"/>
  <c r="C143" i="8"/>
  <c r="B142" i="8"/>
  <c r="A142" i="8"/>
  <c r="J142" i="8"/>
  <c r="I142" i="8"/>
  <c r="H142" i="8"/>
  <c r="G142" i="8"/>
  <c r="F142" i="8"/>
  <c r="E142" i="8"/>
  <c r="D142" i="8"/>
  <c r="C142" i="8"/>
  <c r="B141" i="8"/>
  <c r="A141" i="8"/>
  <c r="J141" i="8"/>
  <c r="I141" i="8"/>
  <c r="H141" i="8"/>
  <c r="G141" i="8"/>
  <c r="F141" i="8"/>
  <c r="E141" i="8"/>
  <c r="D141" i="8"/>
  <c r="C141" i="8"/>
  <c r="B140" i="8"/>
  <c r="A140" i="8"/>
  <c r="J140" i="8"/>
  <c r="I140" i="8"/>
  <c r="H140" i="8"/>
  <c r="G140" i="8"/>
  <c r="F140" i="8"/>
  <c r="E140" i="8"/>
  <c r="D140" i="8"/>
  <c r="C140" i="8"/>
  <c r="B139" i="8"/>
  <c r="A139" i="8"/>
  <c r="J139" i="8"/>
  <c r="I139" i="8"/>
  <c r="H139" i="8"/>
  <c r="G139" i="8"/>
  <c r="F139" i="8"/>
  <c r="E139" i="8"/>
  <c r="D139" i="8"/>
  <c r="C139" i="8"/>
  <c r="B138" i="8"/>
  <c r="A138" i="8"/>
  <c r="J138" i="8"/>
  <c r="I138" i="8"/>
  <c r="H138" i="8"/>
  <c r="G138" i="8"/>
  <c r="F138" i="8"/>
  <c r="E138" i="8"/>
  <c r="D138" i="8"/>
  <c r="C138" i="8"/>
  <c r="B137" i="8"/>
  <c r="A137" i="8"/>
  <c r="J137" i="8"/>
  <c r="I137" i="8"/>
  <c r="H137" i="8"/>
  <c r="G137" i="8"/>
  <c r="F137" i="8"/>
  <c r="E137" i="8"/>
  <c r="D137" i="8"/>
  <c r="C137" i="8"/>
  <c r="B136" i="8"/>
  <c r="A136" i="8"/>
  <c r="J136" i="8"/>
  <c r="I136" i="8"/>
  <c r="H136" i="8"/>
  <c r="G136" i="8"/>
  <c r="F136" i="8"/>
  <c r="E136" i="8"/>
  <c r="D136" i="8"/>
  <c r="C136" i="8"/>
  <c r="B135" i="8"/>
  <c r="A135" i="8"/>
  <c r="J135" i="8"/>
  <c r="I135" i="8"/>
  <c r="H135" i="8"/>
  <c r="G135" i="8"/>
  <c r="F135" i="8"/>
  <c r="E135" i="8"/>
  <c r="D135" i="8"/>
  <c r="C135" i="8"/>
  <c r="B134" i="8"/>
  <c r="A134" i="8"/>
  <c r="J134" i="8"/>
  <c r="I134" i="8"/>
  <c r="H134" i="8"/>
  <c r="G134" i="8"/>
  <c r="F134" i="8"/>
  <c r="E134" i="8"/>
  <c r="D134" i="8"/>
  <c r="C134" i="8"/>
  <c r="B133" i="8"/>
  <c r="A133" i="8"/>
  <c r="J133" i="8"/>
  <c r="I133" i="8"/>
  <c r="H133" i="8"/>
  <c r="G133" i="8"/>
  <c r="F133" i="8"/>
  <c r="E133" i="8"/>
  <c r="D133" i="8"/>
  <c r="C133" i="8"/>
  <c r="B132" i="8"/>
  <c r="A132" i="8"/>
  <c r="J132" i="8"/>
  <c r="I132" i="8"/>
  <c r="H132" i="8"/>
  <c r="G132" i="8"/>
  <c r="F132" i="8"/>
  <c r="E132" i="8"/>
  <c r="D132" i="8"/>
  <c r="C132" i="8"/>
  <c r="B131" i="8"/>
  <c r="A131" i="8"/>
  <c r="J131" i="8"/>
  <c r="I131" i="8"/>
  <c r="H131" i="8"/>
  <c r="G131" i="8"/>
  <c r="F131" i="8"/>
  <c r="E131" i="8"/>
  <c r="D131" i="8"/>
  <c r="C131" i="8"/>
  <c r="B130" i="8"/>
  <c r="A130" i="8"/>
  <c r="J130" i="8"/>
  <c r="I130" i="8"/>
  <c r="H130" i="8"/>
  <c r="G130" i="8"/>
  <c r="F130" i="8"/>
  <c r="E130" i="8"/>
  <c r="D130" i="8"/>
  <c r="C130" i="8"/>
  <c r="B129" i="8"/>
  <c r="A129" i="8"/>
  <c r="J129" i="8"/>
  <c r="I129" i="8"/>
  <c r="H129" i="8"/>
  <c r="G129" i="8"/>
  <c r="F129" i="8"/>
  <c r="E129" i="8"/>
  <c r="D129" i="8"/>
  <c r="C129" i="8"/>
  <c r="B128" i="8"/>
  <c r="A128" i="8"/>
  <c r="J128" i="8"/>
  <c r="I128" i="8"/>
  <c r="H128" i="8"/>
  <c r="G128" i="8"/>
  <c r="F128" i="8"/>
  <c r="E128" i="8"/>
  <c r="D128" i="8"/>
  <c r="C128" i="8"/>
  <c r="B127" i="8"/>
  <c r="A127" i="8"/>
  <c r="J127" i="8"/>
  <c r="I127" i="8"/>
  <c r="H127" i="8"/>
  <c r="G127" i="8"/>
  <c r="F127" i="8"/>
  <c r="E127" i="8"/>
  <c r="D127" i="8"/>
  <c r="C127" i="8"/>
  <c r="B126" i="8"/>
  <c r="A126" i="8"/>
  <c r="J126" i="8"/>
  <c r="I126" i="8"/>
  <c r="H126" i="8"/>
  <c r="G126" i="8"/>
  <c r="F126" i="8"/>
  <c r="E126" i="8"/>
  <c r="D126" i="8"/>
  <c r="C126" i="8"/>
  <c r="B125" i="8"/>
  <c r="A125" i="8"/>
  <c r="J125" i="8"/>
  <c r="I125" i="8"/>
  <c r="H125" i="8"/>
  <c r="G125" i="8"/>
  <c r="F125" i="8"/>
  <c r="E125" i="8"/>
  <c r="D125" i="8"/>
  <c r="C125" i="8"/>
  <c r="B124" i="8"/>
  <c r="A124" i="8"/>
  <c r="J124" i="8"/>
  <c r="I124" i="8"/>
  <c r="H124" i="8"/>
  <c r="G124" i="8"/>
  <c r="F124" i="8"/>
  <c r="E124" i="8"/>
  <c r="D124" i="8"/>
  <c r="C124" i="8"/>
  <c r="B123" i="8"/>
  <c r="A123" i="8"/>
  <c r="E123" i="8"/>
  <c r="D123" i="8"/>
  <c r="C123" i="8"/>
  <c r="C122" i="8"/>
  <c r="C121" i="8"/>
  <c r="C120" i="8"/>
  <c r="C119" i="8"/>
  <c r="C118" i="8"/>
  <c r="C117" i="8"/>
  <c r="C116" i="8"/>
  <c r="C115" i="8"/>
  <c r="H114" i="8"/>
  <c r="C114" i="8"/>
  <c r="J113" i="8"/>
  <c r="I113" i="8"/>
  <c r="H113" i="8"/>
  <c r="G113" i="8"/>
  <c r="F113" i="8"/>
  <c r="E113" i="8"/>
  <c r="D113" i="8"/>
  <c r="C113" i="8"/>
  <c r="B113" i="8"/>
  <c r="A113" i="8"/>
  <c r="J112" i="8"/>
  <c r="I112" i="8"/>
  <c r="H112" i="8"/>
  <c r="G112" i="8"/>
  <c r="F112" i="8"/>
  <c r="E112" i="8"/>
  <c r="D112" i="8"/>
  <c r="C112" i="8"/>
  <c r="B112" i="8"/>
  <c r="A112" i="8"/>
  <c r="J381" i="7"/>
  <c r="I381" i="7"/>
  <c r="H381" i="7"/>
  <c r="G381" i="7"/>
  <c r="F381" i="7"/>
  <c r="E381" i="7"/>
  <c r="D381" i="7"/>
  <c r="C381" i="7"/>
  <c r="B380" i="7"/>
  <c r="A380" i="7"/>
  <c r="J380" i="7"/>
  <c r="I380" i="7"/>
  <c r="H380" i="7"/>
  <c r="G380" i="7"/>
  <c r="F380" i="7"/>
  <c r="E380" i="7"/>
  <c r="D380" i="7"/>
  <c r="C380" i="7"/>
  <c r="B379" i="7"/>
  <c r="A379" i="7"/>
  <c r="J379" i="7"/>
  <c r="I379" i="7"/>
  <c r="H379" i="7"/>
  <c r="G379" i="7"/>
  <c r="F379" i="7"/>
  <c r="E379" i="7"/>
  <c r="D379" i="7"/>
  <c r="C379" i="7"/>
  <c r="B378" i="7"/>
  <c r="A378" i="7"/>
  <c r="J378" i="7"/>
  <c r="I378" i="7"/>
  <c r="H378" i="7"/>
  <c r="G378" i="7"/>
  <c r="F378" i="7"/>
  <c r="E378" i="7"/>
  <c r="D378" i="7"/>
  <c r="C378" i="7"/>
  <c r="B377" i="7"/>
  <c r="A377" i="7"/>
  <c r="J377" i="7"/>
  <c r="I377" i="7"/>
  <c r="H377" i="7"/>
  <c r="G377" i="7"/>
  <c r="F377" i="7"/>
  <c r="E377" i="7"/>
  <c r="D377" i="7"/>
  <c r="C377" i="7"/>
  <c r="B376" i="7"/>
  <c r="A376" i="7"/>
  <c r="J376" i="7"/>
  <c r="I376" i="7"/>
  <c r="H376" i="7"/>
  <c r="G376" i="7"/>
  <c r="F376" i="7"/>
  <c r="E376" i="7"/>
  <c r="D376" i="7"/>
  <c r="C376" i="7"/>
  <c r="B375" i="7"/>
  <c r="A375" i="7"/>
  <c r="J375" i="7"/>
  <c r="I375" i="7"/>
  <c r="H375" i="7"/>
  <c r="G375" i="7"/>
  <c r="F375" i="7"/>
  <c r="E375" i="7"/>
  <c r="D375" i="7"/>
  <c r="C375" i="7"/>
  <c r="B374" i="7"/>
  <c r="A374" i="7"/>
  <c r="J374" i="7"/>
  <c r="I374" i="7"/>
  <c r="H374" i="7"/>
  <c r="G374" i="7"/>
  <c r="F374" i="7"/>
  <c r="E374" i="7"/>
  <c r="D374" i="7"/>
  <c r="C374" i="7"/>
  <c r="B373" i="7"/>
  <c r="A373" i="7"/>
  <c r="J373" i="7"/>
  <c r="I373" i="7"/>
  <c r="H373" i="7"/>
  <c r="G373" i="7"/>
  <c r="F373" i="7"/>
  <c r="E373" i="7"/>
  <c r="D373" i="7"/>
  <c r="C373" i="7"/>
  <c r="B372" i="7"/>
  <c r="A372" i="7"/>
  <c r="J372" i="7"/>
  <c r="I372" i="7"/>
  <c r="H372" i="7"/>
  <c r="G372" i="7"/>
  <c r="F372" i="7"/>
  <c r="E372" i="7"/>
  <c r="D372" i="7"/>
  <c r="C372" i="7"/>
  <c r="B371" i="7"/>
  <c r="A371" i="7"/>
  <c r="J371" i="7"/>
  <c r="I371" i="7"/>
  <c r="H371" i="7"/>
  <c r="G371" i="7"/>
  <c r="F371" i="7"/>
  <c r="E371" i="7"/>
  <c r="D371" i="7"/>
  <c r="C371" i="7"/>
  <c r="B370" i="7"/>
  <c r="A370" i="7"/>
  <c r="J370" i="7"/>
  <c r="I370" i="7"/>
  <c r="H370" i="7"/>
  <c r="G370" i="7"/>
  <c r="F370" i="7"/>
  <c r="E370" i="7"/>
  <c r="D370" i="7"/>
  <c r="C370" i="7"/>
  <c r="B369" i="7"/>
  <c r="A369" i="7"/>
  <c r="J369" i="7"/>
  <c r="I369" i="7"/>
  <c r="H369" i="7"/>
  <c r="G369" i="7"/>
  <c r="F369" i="7"/>
  <c r="E369" i="7"/>
  <c r="D369" i="7"/>
  <c r="C369" i="7"/>
  <c r="B368" i="7"/>
  <c r="A368" i="7"/>
  <c r="J368" i="7"/>
  <c r="I368" i="7"/>
  <c r="H368" i="7"/>
  <c r="G368" i="7"/>
  <c r="F368" i="7"/>
  <c r="E368" i="7"/>
  <c r="D368" i="7"/>
  <c r="C368" i="7"/>
  <c r="B367" i="7"/>
  <c r="A367" i="7"/>
  <c r="J367" i="7"/>
  <c r="I367" i="7"/>
  <c r="H367" i="7"/>
  <c r="G367" i="7"/>
  <c r="F367" i="7"/>
  <c r="E367" i="7"/>
  <c r="D367" i="7"/>
  <c r="C367" i="7"/>
  <c r="B366" i="7"/>
  <c r="A366" i="7"/>
  <c r="J366" i="7"/>
  <c r="I366" i="7"/>
  <c r="H366" i="7"/>
  <c r="G366" i="7"/>
  <c r="F366" i="7"/>
  <c r="E366" i="7"/>
  <c r="D366" i="7"/>
  <c r="C366" i="7"/>
  <c r="B365" i="7"/>
  <c r="A365" i="7"/>
  <c r="J365" i="7"/>
  <c r="I365" i="7"/>
  <c r="H365" i="7"/>
  <c r="G365" i="7"/>
  <c r="F365" i="7"/>
  <c r="E365" i="7"/>
  <c r="D365" i="7"/>
  <c r="C365" i="7"/>
  <c r="B364" i="7"/>
  <c r="A364" i="7"/>
  <c r="J364" i="7"/>
  <c r="I364" i="7"/>
  <c r="H364" i="7"/>
  <c r="G364" i="7"/>
  <c r="F364" i="7"/>
  <c r="E364" i="7"/>
  <c r="D364" i="7"/>
  <c r="C364" i="7"/>
  <c r="B363" i="7"/>
  <c r="A363" i="7"/>
  <c r="J363" i="7"/>
  <c r="I363" i="7"/>
  <c r="H363" i="7"/>
  <c r="G363" i="7"/>
  <c r="F363" i="7"/>
  <c r="E363" i="7"/>
  <c r="D363" i="7"/>
  <c r="C363" i="7"/>
  <c r="B362" i="7"/>
  <c r="A362" i="7"/>
  <c r="J362" i="7"/>
  <c r="I362" i="7"/>
  <c r="H362" i="7"/>
  <c r="G362" i="7"/>
  <c r="F362" i="7"/>
  <c r="E362" i="7"/>
  <c r="D362" i="7"/>
  <c r="C362" i="7"/>
  <c r="B361" i="7"/>
  <c r="A361" i="7"/>
  <c r="J361" i="7"/>
  <c r="I361" i="7"/>
  <c r="H361" i="7"/>
  <c r="G361" i="7"/>
  <c r="F361" i="7"/>
  <c r="E361" i="7"/>
  <c r="D361" i="7"/>
  <c r="C361" i="7"/>
  <c r="B360" i="7"/>
  <c r="A360" i="7"/>
  <c r="J360" i="7"/>
  <c r="I360" i="7"/>
  <c r="H360" i="7"/>
  <c r="G360" i="7"/>
  <c r="F360" i="7"/>
  <c r="E360" i="7"/>
  <c r="D360" i="7"/>
  <c r="C360" i="7"/>
  <c r="B359" i="7"/>
  <c r="A359" i="7"/>
  <c r="J359" i="7"/>
  <c r="I359" i="7"/>
  <c r="H359" i="7"/>
  <c r="G359" i="7"/>
  <c r="F359" i="7"/>
  <c r="E359" i="7"/>
  <c r="D359" i="7"/>
  <c r="C359" i="7"/>
  <c r="B358" i="7"/>
  <c r="A358" i="7"/>
  <c r="J358" i="7"/>
  <c r="I358" i="7"/>
  <c r="H358" i="7"/>
  <c r="G358" i="7"/>
  <c r="F358" i="7"/>
  <c r="E358" i="7"/>
  <c r="D358" i="7"/>
  <c r="C358" i="7"/>
  <c r="B357" i="7"/>
  <c r="A357" i="7"/>
  <c r="J357" i="7"/>
  <c r="I357" i="7"/>
  <c r="H357" i="7"/>
  <c r="G357" i="7"/>
  <c r="F357" i="7"/>
  <c r="E357" i="7"/>
  <c r="D357" i="7"/>
  <c r="C357" i="7"/>
  <c r="B356" i="7"/>
  <c r="A356" i="7"/>
  <c r="J356" i="7"/>
  <c r="I356" i="7"/>
  <c r="H356" i="7"/>
  <c r="G356" i="7"/>
  <c r="F356" i="7"/>
  <c r="E356" i="7"/>
  <c r="D356" i="7"/>
  <c r="C356" i="7"/>
  <c r="B355" i="7"/>
  <c r="A355" i="7"/>
  <c r="J355" i="7"/>
  <c r="I355" i="7"/>
  <c r="H355" i="7"/>
  <c r="G355" i="7"/>
  <c r="F355" i="7"/>
  <c r="E355" i="7"/>
  <c r="D355" i="7"/>
  <c r="C355" i="7"/>
  <c r="B354" i="7"/>
  <c r="A354" i="7"/>
  <c r="J354" i="7"/>
  <c r="I354" i="7"/>
  <c r="H354" i="7"/>
  <c r="G354" i="7"/>
  <c r="F354" i="7"/>
  <c r="E354" i="7"/>
  <c r="D354" i="7"/>
  <c r="C354" i="7"/>
  <c r="B353" i="7"/>
  <c r="A353" i="7"/>
  <c r="J353" i="7"/>
  <c r="I353" i="7"/>
  <c r="H353" i="7"/>
  <c r="G353" i="7"/>
  <c r="F353" i="7"/>
  <c r="E353" i="7"/>
  <c r="D353" i="7"/>
  <c r="C353" i="7"/>
  <c r="B352" i="7"/>
  <c r="A352" i="7"/>
  <c r="J352" i="7"/>
  <c r="I352" i="7"/>
  <c r="H352" i="7"/>
  <c r="G352" i="7"/>
  <c r="F352" i="7"/>
  <c r="E352" i="7"/>
  <c r="D352" i="7"/>
  <c r="C352" i="7"/>
  <c r="B351" i="7"/>
  <c r="A351" i="7"/>
  <c r="J351" i="7"/>
  <c r="I351" i="7"/>
  <c r="H351" i="7"/>
  <c r="G351" i="7"/>
  <c r="F351" i="7"/>
  <c r="E351" i="7"/>
  <c r="D351" i="7"/>
  <c r="C351" i="7"/>
  <c r="B350" i="7"/>
  <c r="A350" i="7"/>
  <c r="J350" i="7"/>
  <c r="I350" i="7"/>
  <c r="H350" i="7"/>
  <c r="G350" i="7"/>
  <c r="F350" i="7"/>
  <c r="E350" i="7"/>
  <c r="D350" i="7"/>
  <c r="C350" i="7"/>
  <c r="B349" i="7"/>
  <c r="A349" i="7"/>
  <c r="J349" i="7"/>
  <c r="I349" i="7"/>
  <c r="H349" i="7"/>
  <c r="G349" i="7"/>
  <c r="F349" i="7"/>
  <c r="E349" i="7"/>
  <c r="D349" i="7"/>
  <c r="C349" i="7"/>
  <c r="B348" i="7"/>
  <c r="A348" i="7"/>
  <c r="J348" i="7"/>
  <c r="I348" i="7"/>
  <c r="H348" i="7"/>
  <c r="G348" i="7"/>
  <c r="F348" i="7"/>
  <c r="E348" i="7"/>
  <c r="D348" i="7"/>
  <c r="C348" i="7"/>
  <c r="B347" i="7"/>
  <c r="A347" i="7"/>
  <c r="J347" i="7"/>
  <c r="I347" i="7"/>
  <c r="H347" i="7"/>
  <c r="G347" i="7"/>
  <c r="F347" i="7"/>
  <c r="E347" i="7"/>
  <c r="D347" i="7"/>
  <c r="C347" i="7"/>
  <c r="B346" i="7"/>
  <c r="A346" i="7"/>
  <c r="J346" i="7"/>
  <c r="I346" i="7"/>
  <c r="H346" i="7"/>
  <c r="G346" i="7"/>
  <c r="F346" i="7"/>
  <c r="E346" i="7"/>
  <c r="D346" i="7"/>
  <c r="C346" i="7"/>
  <c r="B345" i="7"/>
  <c r="A345" i="7"/>
  <c r="J345" i="7"/>
  <c r="I345" i="7"/>
  <c r="H345" i="7"/>
  <c r="G345" i="7"/>
  <c r="F345" i="7"/>
  <c r="E345" i="7"/>
  <c r="D345" i="7"/>
  <c r="C345" i="7"/>
  <c r="B344" i="7"/>
  <c r="A344" i="7"/>
  <c r="J344" i="7"/>
  <c r="I344" i="7"/>
  <c r="H344" i="7"/>
  <c r="G344" i="7"/>
  <c r="F344" i="7"/>
  <c r="E344" i="7"/>
  <c r="D344" i="7"/>
  <c r="C344" i="7"/>
  <c r="B343" i="7"/>
  <c r="A343" i="7"/>
  <c r="J343" i="7"/>
  <c r="I343" i="7"/>
  <c r="H343" i="7"/>
  <c r="G343" i="7"/>
  <c r="F343" i="7"/>
  <c r="E343" i="7"/>
  <c r="D343" i="7"/>
  <c r="C343" i="7"/>
  <c r="B342" i="7"/>
  <c r="A342" i="7"/>
  <c r="J342" i="7"/>
  <c r="I342" i="7"/>
  <c r="H342" i="7"/>
  <c r="G342" i="7"/>
  <c r="F342" i="7"/>
  <c r="E342" i="7"/>
  <c r="D342" i="7"/>
  <c r="C342" i="7"/>
  <c r="B341" i="7"/>
  <c r="A341" i="7"/>
  <c r="J341" i="7"/>
  <c r="I341" i="7"/>
  <c r="H341" i="7"/>
  <c r="G341" i="7"/>
  <c r="F341" i="7"/>
  <c r="E341" i="7"/>
  <c r="D341" i="7"/>
  <c r="C341" i="7"/>
  <c r="B340" i="7"/>
  <c r="A340" i="7"/>
  <c r="J340" i="7"/>
  <c r="I340" i="7"/>
  <c r="H340" i="7"/>
  <c r="G340" i="7"/>
  <c r="F340" i="7"/>
  <c r="E340" i="7"/>
  <c r="D340" i="7"/>
  <c r="C340" i="7"/>
  <c r="B339" i="7"/>
  <c r="A339" i="7"/>
  <c r="J339" i="7"/>
  <c r="I339" i="7"/>
  <c r="H339" i="7"/>
  <c r="G339" i="7"/>
  <c r="F339" i="7"/>
  <c r="E339" i="7"/>
  <c r="D339" i="7"/>
  <c r="C339" i="7"/>
  <c r="B338" i="7"/>
  <c r="A338" i="7"/>
  <c r="J338" i="7"/>
  <c r="I338" i="7"/>
  <c r="H338" i="7"/>
  <c r="G338" i="7"/>
  <c r="F338" i="7"/>
  <c r="E338" i="7"/>
  <c r="D338" i="7"/>
  <c r="C338" i="7"/>
  <c r="B337" i="7"/>
  <c r="A337" i="7"/>
  <c r="J337" i="7"/>
  <c r="I337" i="7"/>
  <c r="H337" i="7"/>
  <c r="G337" i="7"/>
  <c r="F337" i="7"/>
  <c r="E337" i="7"/>
  <c r="D337" i="7"/>
  <c r="C337" i="7"/>
  <c r="B336" i="7"/>
  <c r="A336" i="7"/>
  <c r="J336" i="7"/>
  <c r="I336" i="7"/>
  <c r="H336" i="7"/>
  <c r="G336" i="7"/>
  <c r="F336" i="7"/>
  <c r="E336" i="7"/>
  <c r="D336" i="7"/>
  <c r="C336" i="7"/>
  <c r="B335" i="7"/>
  <c r="A335" i="7"/>
  <c r="J335" i="7"/>
  <c r="I335" i="7"/>
  <c r="H335" i="7"/>
  <c r="G335" i="7"/>
  <c r="F335" i="7"/>
  <c r="E335" i="7"/>
  <c r="D335" i="7"/>
  <c r="C335" i="7"/>
  <c r="B334" i="7"/>
  <c r="A334" i="7"/>
  <c r="J334" i="7"/>
  <c r="I334" i="7"/>
  <c r="H334" i="7"/>
  <c r="G334" i="7"/>
  <c r="F334" i="7"/>
  <c r="E334" i="7"/>
  <c r="D334" i="7"/>
  <c r="C334" i="7"/>
  <c r="B333" i="7"/>
  <c r="A333" i="7"/>
  <c r="J333" i="7"/>
  <c r="I333" i="7"/>
  <c r="H333" i="7"/>
  <c r="G333" i="7"/>
  <c r="F333" i="7"/>
  <c r="E333" i="7"/>
  <c r="D333" i="7"/>
  <c r="C333" i="7"/>
  <c r="B332" i="7"/>
  <c r="A332" i="7"/>
  <c r="J332" i="7"/>
  <c r="I332" i="7"/>
  <c r="H332" i="7"/>
  <c r="G332" i="7"/>
  <c r="F332" i="7"/>
  <c r="E332" i="7"/>
  <c r="D332" i="7"/>
  <c r="C332" i="7"/>
  <c r="B331" i="7"/>
  <c r="A331" i="7"/>
  <c r="J331" i="7"/>
  <c r="I331" i="7"/>
  <c r="H331" i="7"/>
  <c r="G331" i="7"/>
  <c r="F331" i="7"/>
  <c r="E331" i="7"/>
  <c r="D331" i="7"/>
  <c r="C331" i="7"/>
  <c r="B330" i="7"/>
  <c r="A330" i="7"/>
  <c r="J330" i="7"/>
  <c r="I330" i="7"/>
  <c r="H330" i="7"/>
  <c r="G330" i="7"/>
  <c r="F330" i="7"/>
  <c r="E330" i="7"/>
  <c r="D330" i="7"/>
  <c r="C330" i="7"/>
  <c r="B329" i="7"/>
  <c r="A329" i="7"/>
  <c r="J329" i="7"/>
  <c r="I329" i="7"/>
  <c r="H329" i="7"/>
  <c r="G329" i="7"/>
  <c r="F329" i="7"/>
  <c r="E329" i="7"/>
  <c r="D329" i="7"/>
  <c r="C329" i="7"/>
  <c r="B328" i="7"/>
  <c r="A328" i="7"/>
  <c r="J328" i="7"/>
  <c r="I328" i="7"/>
  <c r="H328" i="7"/>
  <c r="G328" i="7"/>
  <c r="F328" i="7"/>
  <c r="E328" i="7"/>
  <c r="D328" i="7"/>
  <c r="C328" i="7"/>
  <c r="B327" i="7"/>
  <c r="A327" i="7"/>
  <c r="J327" i="7"/>
  <c r="I327" i="7"/>
  <c r="H327" i="7"/>
  <c r="G327" i="7"/>
  <c r="F327" i="7"/>
  <c r="E327" i="7"/>
  <c r="D327" i="7"/>
  <c r="C327" i="7"/>
  <c r="B326" i="7"/>
  <c r="A326" i="7"/>
  <c r="J326" i="7"/>
  <c r="I326" i="7"/>
  <c r="H326" i="7"/>
  <c r="G326" i="7"/>
  <c r="F326" i="7"/>
  <c r="E326" i="7"/>
  <c r="D326" i="7"/>
  <c r="C326" i="7"/>
  <c r="B325" i="7"/>
  <c r="A325" i="7"/>
  <c r="J325" i="7"/>
  <c r="I325" i="7"/>
  <c r="H325" i="7"/>
  <c r="G325" i="7"/>
  <c r="F325" i="7"/>
  <c r="E325" i="7"/>
  <c r="D325" i="7"/>
  <c r="C325" i="7"/>
  <c r="B324" i="7"/>
  <c r="A324" i="7"/>
  <c r="J324" i="7"/>
  <c r="I324" i="7"/>
  <c r="H324" i="7"/>
  <c r="G324" i="7"/>
  <c r="F324" i="7"/>
  <c r="E324" i="7"/>
  <c r="D324" i="7"/>
  <c r="C324" i="7"/>
  <c r="B323" i="7"/>
  <c r="A323" i="7"/>
  <c r="J323" i="7"/>
  <c r="I323" i="7"/>
  <c r="H323" i="7"/>
  <c r="G323" i="7"/>
  <c r="F323" i="7"/>
  <c r="E323" i="7"/>
  <c r="D323" i="7"/>
  <c r="C323" i="7"/>
  <c r="B322" i="7"/>
  <c r="A322" i="7"/>
  <c r="J322" i="7"/>
  <c r="I322" i="7"/>
  <c r="H322" i="7"/>
  <c r="G322" i="7"/>
  <c r="F322" i="7"/>
  <c r="E322" i="7"/>
  <c r="D322" i="7"/>
  <c r="C322" i="7"/>
  <c r="B321" i="7"/>
  <c r="A321" i="7"/>
  <c r="J321" i="7"/>
  <c r="I321" i="7"/>
  <c r="H321" i="7"/>
  <c r="G321" i="7"/>
  <c r="F321" i="7"/>
  <c r="E321" i="7"/>
  <c r="D321" i="7"/>
  <c r="C321" i="7"/>
  <c r="B320" i="7"/>
  <c r="A320" i="7"/>
  <c r="J320" i="7"/>
  <c r="I320" i="7"/>
  <c r="H320" i="7"/>
  <c r="G320" i="7"/>
  <c r="F320" i="7"/>
  <c r="E320" i="7"/>
  <c r="D320" i="7"/>
  <c r="C320" i="7"/>
  <c r="B319" i="7"/>
  <c r="A319" i="7"/>
  <c r="J319" i="7"/>
  <c r="I319" i="7"/>
  <c r="H319" i="7"/>
  <c r="G319" i="7"/>
  <c r="F319" i="7"/>
  <c r="E319" i="7"/>
  <c r="D319" i="7"/>
  <c r="C319" i="7"/>
  <c r="B318" i="7"/>
  <c r="A318" i="7"/>
  <c r="J318" i="7"/>
  <c r="I318" i="7"/>
  <c r="H318" i="7"/>
  <c r="G318" i="7"/>
  <c r="F318" i="7"/>
  <c r="E318" i="7"/>
  <c r="D318" i="7"/>
  <c r="C318" i="7"/>
  <c r="B317" i="7"/>
  <c r="A317" i="7"/>
  <c r="J317" i="7"/>
  <c r="I317" i="7"/>
  <c r="H317" i="7"/>
  <c r="G317" i="7"/>
  <c r="F317" i="7"/>
  <c r="E317" i="7"/>
  <c r="D317" i="7"/>
  <c r="C317" i="7"/>
  <c r="B316" i="7"/>
  <c r="A316" i="7"/>
  <c r="J316" i="7"/>
  <c r="I316" i="7"/>
  <c r="H316" i="7"/>
  <c r="G316" i="7"/>
  <c r="F316" i="7"/>
  <c r="E316" i="7"/>
  <c r="D316" i="7"/>
  <c r="C316" i="7"/>
  <c r="B315" i="7"/>
  <c r="A315" i="7"/>
  <c r="J315" i="7"/>
  <c r="I315" i="7"/>
  <c r="H315" i="7"/>
  <c r="G315" i="7"/>
  <c r="F315" i="7"/>
  <c r="E315" i="7"/>
  <c r="D315" i="7"/>
  <c r="C315" i="7"/>
  <c r="B314" i="7"/>
  <c r="A314" i="7"/>
  <c r="J314" i="7"/>
  <c r="I314" i="7"/>
  <c r="H314" i="7"/>
  <c r="G314" i="7"/>
  <c r="F314" i="7"/>
  <c r="E314" i="7"/>
  <c r="D314" i="7"/>
  <c r="C314" i="7"/>
  <c r="B313" i="7"/>
  <c r="A313" i="7"/>
  <c r="J313" i="7"/>
  <c r="I313" i="7"/>
  <c r="H313" i="7"/>
  <c r="G313" i="7"/>
  <c r="F313" i="7"/>
  <c r="E313" i="7"/>
  <c r="D313" i="7"/>
  <c r="C313" i="7"/>
  <c r="B312" i="7"/>
  <c r="A312" i="7"/>
  <c r="J312" i="7"/>
  <c r="I312" i="7"/>
  <c r="H312" i="7"/>
  <c r="G312" i="7"/>
  <c r="F312" i="7"/>
  <c r="E312" i="7"/>
  <c r="D312" i="7"/>
  <c r="C312" i="7"/>
  <c r="B311" i="7"/>
  <c r="A311" i="7"/>
  <c r="J311" i="7"/>
  <c r="I311" i="7"/>
  <c r="H311" i="7"/>
  <c r="G311" i="7"/>
  <c r="F311" i="7"/>
  <c r="E311" i="7"/>
  <c r="D311" i="7"/>
  <c r="C311" i="7"/>
  <c r="B310" i="7"/>
  <c r="A310" i="7"/>
  <c r="J310" i="7"/>
  <c r="I310" i="7"/>
  <c r="H310" i="7"/>
  <c r="G310" i="7"/>
  <c r="F310" i="7"/>
  <c r="E310" i="7"/>
  <c r="D310" i="7"/>
  <c r="C310" i="7"/>
  <c r="B309" i="7"/>
  <c r="A309" i="7"/>
  <c r="J309" i="7"/>
  <c r="I309" i="7"/>
  <c r="H309" i="7"/>
  <c r="G309" i="7"/>
  <c r="F309" i="7"/>
  <c r="E309" i="7"/>
  <c r="D309" i="7"/>
  <c r="C309" i="7"/>
  <c r="B308" i="7"/>
  <c r="A308" i="7"/>
  <c r="J308" i="7"/>
  <c r="I308" i="7"/>
  <c r="H308" i="7"/>
  <c r="G308" i="7"/>
  <c r="F308" i="7"/>
  <c r="E308" i="7"/>
  <c r="D308" i="7"/>
  <c r="C308" i="7"/>
  <c r="B307" i="7"/>
  <c r="A307" i="7"/>
  <c r="J307" i="7"/>
  <c r="I307" i="7"/>
  <c r="H307" i="7"/>
  <c r="G307" i="7"/>
  <c r="F307" i="7"/>
  <c r="E307" i="7"/>
  <c r="D307" i="7"/>
  <c r="C307" i="7"/>
  <c r="B306" i="7"/>
  <c r="A306" i="7"/>
  <c r="J306" i="7"/>
  <c r="I306" i="7"/>
  <c r="H306" i="7"/>
  <c r="G306" i="7"/>
  <c r="F306" i="7"/>
  <c r="E306" i="7"/>
  <c r="D306" i="7"/>
  <c r="C306" i="7"/>
  <c r="B305" i="7"/>
  <c r="A305" i="7"/>
  <c r="J305" i="7"/>
  <c r="I305" i="7"/>
  <c r="H305" i="7"/>
  <c r="G305" i="7"/>
  <c r="F305" i="7"/>
  <c r="E305" i="7"/>
  <c r="D305" i="7"/>
  <c r="C305" i="7"/>
  <c r="B304" i="7"/>
  <c r="A304" i="7"/>
  <c r="J304" i="7"/>
  <c r="I304" i="7"/>
  <c r="H304" i="7"/>
  <c r="G304" i="7"/>
  <c r="F304" i="7"/>
  <c r="E304" i="7"/>
  <c r="D304" i="7"/>
  <c r="C304" i="7"/>
  <c r="B303" i="7"/>
  <c r="A303" i="7"/>
  <c r="J303" i="7"/>
  <c r="I303" i="7"/>
  <c r="H303" i="7"/>
  <c r="G303" i="7"/>
  <c r="F303" i="7"/>
  <c r="E303" i="7"/>
  <c r="D303" i="7"/>
  <c r="C303" i="7"/>
  <c r="B302" i="7"/>
  <c r="A302" i="7"/>
  <c r="J302" i="7"/>
  <c r="I302" i="7"/>
  <c r="H302" i="7"/>
  <c r="G302" i="7"/>
  <c r="F302" i="7"/>
  <c r="E302" i="7"/>
  <c r="D302" i="7"/>
  <c r="C302" i="7"/>
  <c r="B301" i="7"/>
  <c r="A301" i="7"/>
  <c r="J301" i="7"/>
  <c r="I301" i="7"/>
  <c r="H301" i="7"/>
  <c r="G301" i="7"/>
  <c r="F301" i="7"/>
  <c r="E301" i="7"/>
  <c r="D301" i="7"/>
  <c r="C301" i="7"/>
  <c r="B300" i="7"/>
  <c r="A300" i="7"/>
  <c r="J300" i="7"/>
  <c r="I300" i="7"/>
  <c r="H300" i="7"/>
  <c r="G300" i="7"/>
  <c r="F300" i="7"/>
  <c r="E300" i="7"/>
  <c r="D300" i="7"/>
  <c r="C300" i="7"/>
  <c r="B299" i="7"/>
  <c r="A299" i="7"/>
  <c r="J299" i="7"/>
  <c r="I299" i="7"/>
  <c r="H299" i="7"/>
  <c r="G299" i="7"/>
  <c r="F299" i="7"/>
  <c r="E299" i="7"/>
  <c r="D299" i="7"/>
  <c r="C299" i="7"/>
  <c r="B298" i="7"/>
  <c r="A298" i="7"/>
  <c r="J298" i="7"/>
  <c r="I298" i="7"/>
  <c r="H298" i="7"/>
  <c r="G298" i="7"/>
  <c r="F298" i="7"/>
  <c r="E298" i="7"/>
  <c r="D298" i="7"/>
  <c r="C298" i="7"/>
  <c r="B297" i="7"/>
  <c r="A297" i="7"/>
  <c r="J297" i="7"/>
  <c r="I297" i="7"/>
  <c r="H297" i="7"/>
  <c r="G297" i="7"/>
  <c r="F297" i="7"/>
  <c r="E297" i="7"/>
  <c r="D297" i="7"/>
  <c r="C297" i="7"/>
  <c r="B296" i="7"/>
  <c r="A296" i="7"/>
  <c r="J296" i="7"/>
  <c r="I296" i="7"/>
  <c r="H296" i="7"/>
  <c r="G296" i="7"/>
  <c r="F296" i="7"/>
  <c r="E296" i="7"/>
  <c r="D296" i="7"/>
  <c r="C296" i="7"/>
  <c r="B295" i="7"/>
  <c r="A295" i="7"/>
  <c r="J295" i="7"/>
  <c r="I295" i="7"/>
  <c r="H295" i="7"/>
  <c r="G295" i="7"/>
  <c r="F295" i="7"/>
  <c r="E295" i="7"/>
  <c r="D295" i="7"/>
  <c r="C295" i="7"/>
  <c r="B294" i="7"/>
  <c r="A294" i="7"/>
  <c r="J294" i="7"/>
  <c r="I294" i="7"/>
  <c r="H294" i="7"/>
  <c r="G294" i="7"/>
  <c r="F294" i="7"/>
  <c r="E294" i="7"/>
  <c r="D294" i="7"/>
  <c r="C294" i="7"/>
  <c r="B293" i="7"/>
  <c r="A293" i="7"/>
  <c r="J293" i="7"/>
  <c r="I293" i="7"/>
  <c r="H293" i="7"/>
  <c r="G293" i="7"/>
  <c r="F293" i="7"/>
  <c r="E293" i="7"/>
  <c r="D293" i="7"/>
  <c r="C293" i="7"/>
  <c r="B292" i="7"/>
  <c r="A292" i="7"/>
  <c r="J292" i="7"/>
  <c r="I292" i="7"/>
  <c r="H292" i="7"/>
  <c r="G292" i="7"/>
  <c r="F292" i="7"/>
  <c r="E292" i="7"/>
  <c r="D292" i="7"/>
  <c r="C292" i="7"/>
  <c r="B291" i="7"/>
  <c r="A291" i="7"/>
  <c r="J291" i="7"/>
  <c r="I291" i="7"/>
  <c r="H291" i="7"/>
  <c r="G291" i="7"/>
  <c r="F291" i="7"/>
  <c r="E291" i="7"/>
  <c r="D291" i="7"/>
  <c r="C291" i="7"/>
  <c r="B290" i="7"/>
  <c r="A290" i="7"/>
  <c r="J290" i="7"/>
  <c r="I290" i="7"/>
  <c r="H290" i="7"/>
  <c r="G290" i="7"/>
  <c r="F290" i="7"/>
  <c r="E290" i="7"/>
  <c r="D290" i="7"/>
  <c r="C290" i="7"/>
  <c r="B289" i="7"/>
  <c r="A289" i="7"/>
  <c r="J289" i="7"/>
  <c r="I289" i="7"/>
  <c r="H289" i="7"/>
  <c r="G289" i="7"/>
  <c r="F289" i="7"/>
  <c r="E289" i="7"/>
  <c r="D289" i="7"/>
  <c r="C289" i="7"/>
  <c r="B288" i="7"/>
  <c r="A288" i="7"/>
  <c r="J288" i="7"/>
  <c r="I288" i="7"/>
  <c r="H288" i="7"/>
  <c r="G288" i="7"/>
  <c r="F288" i="7"/>
  <c r="E288" i="7"/>
  <c r="D288" i="7"/>
  <c r="C288" i="7"/>
  <c r="B287" i="7"/>
  <c r="A287" i="7"/>
  <c r="J287" i="7"/>
  <c r="I287" i="7"/>
  <c r="H287" i="7"/>
  <c r="G287" i="7"/>
  <c r="F287" i="7"/>
  <c r="E287" i="7"/>
  <c r="D287" i="7"/>
  <c r="C287" i="7"/>
  <c r="B286" i="7"/>
  <c r="A286" i="7"/>
  <c r="J286" i="7"/>
  <c r="I286" i="7"/>
  <c r="H286" i="7"/>
  <c r="G286" i="7"/>
  <c r="F286" i="7"/>
  <c r="E286" i="7"/>
  <c r="D286" i="7"/>
  <c r="C286" i="7"/>
  <c r="B285" i="7"/>
  <c r="A285" i="7"/>
  <c r="J285" i="7"/>
  <c r="I285" i="7"/>
  <c r="H285" i="7"/>
  <c r="G285" i="7"/>
  <c r="F285" i="7"/>
  <c r="E285" i="7"/>
  <c r="D285" i="7"/>
  <c r="C285" i="7"/>
  <c r="B284" i="7"/>
  <c r="A284" i="7"/>
  <c r="J284" i="7"/>
  <c r="I284" i="7"/>
  <c r="H284" i="7"/>
  <c r="G284" i="7"/>
  <c r="F284" i="7"/>
  <c r="E284" i="7"/>
  <c r="D284" i="7"/>
  <c r="C284" i="7"/>
  <c r="B283" i="7"/>
  <c r="A283" i="7"/>
  <c r="J283" i="7"/>
  <c r="I283" i="7"/>
  <c r="H283" i="7"/>
  <c r="G283" i="7"/>
  <c r="F283" i="7"/>
  <c r="E283" i="7"/>
  <c r="D283" i="7"/>
  <c r="C283" i="7"/>
  <c r="B282" i="7"/>
  <c r="A282" i="7"/>
  <c r="J282" i="7"/>
  <c r="I282" i="7"/>
  <c r="H282" i="7"/>
  <c r="G282" i="7"/>
  <c r="F282" i="7"/>
  <c r="E282" i="7"/>
  <c r="D282" i="7"/>
  <c r="C282" i="7"/>
  <c r="B281" i="7"/>
  <c r="A281" i="7"/>
  <c r="J281" i="7"/>
  <c r="I281" i="7"/>
  <c r="H281" i="7"/>
  <c r="G281" i="7"/>
  <c r="F281" i="7"/>
  <c r="E281" i="7"/>
  <c r="D281" i="7"/>
  <c r="C281" i="7"/>
  <c r="B280" i="7"/>
  <c r="A280" i="7"/>
  <c r="J280" i="7"/>
  <c r="I280" i="7"/>
  <c r="H280" i="7"/>
  <c r="G280" i="7"/>
  <c r="F280" i="7"/>
  <c r="E280" i="7"/>
  <c r="D280" i="7"/>
  <c r="C280" i="7"/>
  <c r="B279" i="7"/>
  <c r="A279" i="7"/>
  <c r="J279" i="7"/>
  <c r="I279" i="7"/>
  <c r="H279" i="7"/>
  <c r="G279" i="7"/>
  <c r="F279" i="7"/>
  <c r="E279" i="7"/>
  <c r="D279" i="7"/>
  <c r="C279" i="7"/>
  <c r="B278" i="7"/>
  <c r="A278" i="7"/>
  <c r="J278" i="7"/>
  <c r="I278" i="7"/>
  <c r="H278" i="7"/>
  <c r="G278" i="7"/>
  <c r="F278" i="7"/>
  <c r="E278" i="7"/>
  <c r="D278" i="7"/>
  <c r="C278" i="7"/>
  <c r="B277" i="7"/>
  <c r="A277" i="7"/>
  <c r="J277" i="7"/>
  <c r="I277" i="7"/>
  <c r="H277" i="7"/>
  <c r="G277" i="7"/>
  <c r="F277" i="7"/>
  <c r="E277" i="7"/>
  <c r="D277" i="7"/>
  <c r="C277" i="7"/>
  <c r="B276" i="7"/>
  <c r="A276" i="7"/>
  <c r="J276" i="7"/>
  <c r="I276" i="7"/>
  <c r="H276" i="7"/>
  <c r="G276" i="7"/>
  <c r="F276" i="7"/>
  <c r="E276" i="7"/>
  <c r="D276" i="7"/>
  <c r="C276" i="7"/>
  <c r="B275" i="7"/>
  <c r="A275" i="7"/>
  <c r="J275" i="7"/>
  <c r="I275" i="7"/>
  <c r="H275" i="7"/>
  <c r="G275" i="7"/>
  <c r="F275" i="7"/>
  <c r="E275" i="7"/>
  <c r="D275" i="7"/>
  <c r="C275" i="7"/>
  <c r="B274" i="7"/>
  <c r="A274" i="7"/>
  <c r="J274" i="7"/>
  <c r="I274" i="7"/>
  <c r="H274" i="7"/>
  <c r="G274" i="7"/>
  <c r="F274" i="7"/>
  <c r="E274" i="7"/>
  <c r="D274" i="7"/>
  <c r="C274" i="7"/>
  <c r="B273" i="7"/>
  <c r="A273" i="7"/>
  <c r="J273" i="7"/>
  <c r="I273" i="7"/>
  <c r="H273" i="7"/>
  <c r="G273" i="7"/>
  <c r="F273" i="7"/>
  <c r="E273" i="7"/>
  <c r="D273" i="7"/>
  <c r="C273" i="7"/>
  <c r="B272" i="7"/>
  <c r="A272" i="7"/>
  <c r="J272" i="7"/>
  <c r="I272" i="7"/>
  <c r="H272" i="7"/>
  <c r="G272" i="7"/>
  <c r="F272" i="7"/>
  <c r="E272" i="7"/>
  <c r="D272" i="7"/>
  <c r="C272" i="7"/>
  <c r="B271" i="7"/>
  <c r="A271" i="7"/>
  <c r="J271" i="7"/>
  <c r="I271" i="7"/>
  <c r="H271" i="7"/>
  <c r="G271" i="7"/>
  <c r="F271" i="7"/>
  <c r="E271" i="7"/>
  <c r="D271" i="7"/>
  <c r="C271" i="7"/>
  <c r="B270" i="7"/>
  <c r="A270" i="7"/>
  <c r="J270" i="7"/>
  <c r="I270" i="7"/>
  <c r="H270" i="7"/>
  <c r="G270" i="7"/>
  <c r="F270" i="7"/>
  <c r="E270" i="7"/>
  <c r="D270" i="7"/>
  <c r="C270" i="7"/>
  <c r="B269" i="7"/>
  <c r="A269" i="7"/>
  <c r="J269" i="7"/>
  <c r="I269" i="7"/>
  <c r="H269" i="7"/>
  <c r="G269" i="7"/>
  <c r="F269" i="7"/>
  <c r="E269" i="7"/>
  <c r="D269" i="7"/>
  <c r="C269" i="7"/>
  <c r="B268" i="7"/>
  <c r="A268" i="7"/>
  <c r="J268" i="7"/>
  <c r="I268" i="7"/>
  <c r="H268" i="7"/>
  <c r="G268" i="7"/>
  <c r="F268" i="7"/>
  <c r="E268" i="7"/>
  <c r="D268" i="7"/>
  <c r="C268" i="7"/>
  <c r="B267" i="7"/>
  <c r="A267" i="7"/>
  <c r="J267" i="7"/>
  <c r="I267" i="7"/>
  <c r="H267" i="7"/>
  <c r="G267" i="7"/>
  <c r="F267" i="7"/>
  <c r="E267" i="7"/>
  <c r="D267" i="7"/>
  <c r="C267" i="7"/>
  <c r="B266" i="7"/>
  <c r="A266" i="7"/>
  <c r="J266" i="7"/>
  <c r="I266" i="7"/>
  <c r="H266" i="7"/>
  <c r="G266" i="7"/>
  <c r="F266" i="7"/>
  <c r="E266" i="7"/>
  <c r="D266" i="7"/>
  <c r="C266" i="7"/>
  <c r="B265" i="7"/>
  <c r="A265" i="7"/>
  <c r="J265" i="7"/>
  <c r="I265" i="7"/>
  <c r="H265" i="7"/>
  <c r="G265" i="7"/>
  <c r="F265" i="7"/>
  <c r="E265" i="7"/>
  <c r="D265" i="7"/>
  <c r="C265" i="7"/>
  <c r="B264" i="7"/>
  <c r="A264" i="7"/>
  <c r="J264" i="7"/>
  <c r="I264" i="7"/>
  <c r="H264" i="7"/>
  <c r="G264" i="7"/>
  <c r="F264" i="7"/>
  <c r="E264" i="7"/>
  <c r="D264" i="7"/>
  <c r="C264" i="7"/>
  <c r="B263" i="7"/>
  <c r="A263" i="7"/>
  <c r="J263" i="7"/>
  <c r="I263" i="7"/>
  <c r="H263" i="7"/>
  <c r="G263" i="7"/>
  <c r="F263" i="7"/>
  <c r="E263" i="7"/>
  <c r="D263" i="7"/>
  <c r="C263" i="7"/>
  <c r="B262" i="7"/>
  <c r="A262" i="7"/>
  <c r="J262" i="7"/>
  <c r="I262" i="7"/>
  <c r="H262" i="7"/>
  <c r="G262" i="7"/>
  <c r="F262" i="7"/>
  <c r="E262" i="7"/>
  <c r="D262" i="7"/>
  <c r="C262" i="7"/>
  <c r="B261" i="7"/>
  <c r="A261" i="7"/>
  <c r="J261" i="7"/>
  <c r="I261" i="7"/>
  <c r="H261" i="7"/>
  <c r="G261" i="7"/>
  <c r="F261" i="7"/>
  <c r="E261" i="7"/>
  <c r="D261" i="7"/>
  <c r="C261" i="7"/>
  <c r="B260" i="7"/>
  <c r="A260" i="7"/>
  <c r="J260" i="7"/>
  <c r="I260" i="7"/>
  <c r="H260" i="7"/>
  <c r="G260" i="7"/>
  <c r="F260" i="7"/>
  <c r="E260" i="7"/>
  <c r="D260" i="7"/>
  <c r="C260" i="7"/>
  <c r="B259" i="7"/>
  <c r="A259" i="7"/>
  <c r="J259" i="7"/>
  <c r="I259" i="7"/>
  <c r="H259" i="7"/>
  <c r="G259" i="7"/>
  <c r="F259" i="7"/>
  <c r="E259" i="7"/>
  <c r="D259" i="7"/>
  <c r="C259" i="7"/>
  <c r="B258" i="7"/>
  <c r="A258" i="7"/>
  <c r="J258" i="7"/>
  <c r="I258" i="7"/>
  <c r="H258" i="7"/>
  <c r="G258" i="7"/>
  <c r="F258" i="7"/>
  <c r="E258" i="7"/>
  <c r="D258" i="7"/>
  <c r="C258" i="7"/>
  <c r="B257" i="7"/>
  <c r="A257" i="7"/>
  <c r="J257" i="7"/>
  <c r="I257" i="7"/>
  <c r="H257" i="7"/>
  <c r="G257" i="7"/>
  <c r="F257" i="7"/>
  <c r="E257" i="7"/>
  <c r="D257" i="7"/>
  <c r="C257" i="7"/>
  <c r="B256" i="7"/>
  <c r="A256" i="7"/>
  <c r="J256" i="7"/>
  <c r="I256" i="7"/>
  <c r="H256" i="7"/>
  <c r="G256" i="7"/>
  <c r="F256" i="7"/>
  <c r="E256" i="7"/>
  <c r="D256" i="7"/>
  <c r="C256" i="7"/>
  <c r="B255" i="7"/>
  <c r="A255" i="7"/>
  <c r="J255" i="7"/>
  <c r="I255" i="7"/>
  <c r="H255" i="7"/>
  <c r="G255" i="7"/>
  <c r="F255" i="7"/>
  <c r="E255" i="7"/>
  <c r="D255" i="7"/>
  <c r="C255" i="7"/>
  <c r="B254" i="7"/>
  <c r="A254" i="7"/>
  <c r="J254" i="7"/>
  <c r="I254" i="7"/>
  <c r="H254" i="7"/>
  <c r="G254" i="7"/>
  <c r="F254" i="7"/>
  <c r="E254" i="7"/>
  <c r="D254" i="7"/>
  <c r="C254" i="7"/>
  <c r="B253" i="7"/>
  <c r="A253" i="7"/>
  <c r="J253" i="7"/>
  <c r="I253" i="7"/>
  <c r="H253" i="7"/>
  <c r="G253" i="7"/>
  <c r="F253" i="7"/>
  <c r="E253" i="7"/>
  <c r="D253" i="7"/>
  <c r="C253" i="7"/>
  <c r="B252" i="7"/>
  <c r="A252" i="7"/>
  <c r="J252" i="7"/>
  <c r="I252" i="7"/>
  <c r="H252" i="7"/>
  <c r="G252" i="7"/>
  <c r="F252" i="7"/>
  <c r="E252" i="7"/>
  <c r="D252" i="7"/>
  <c r="C252" i="7"/>
  <c r="B251" i="7"/>
  <c r="A251" i="7"/>
  <c r="J251" i="7"/>
  <c r="I251" i="7"/>
  <c r="H251" i="7"/>
  <c r="G251" i="7"/>
  <c r="F251" i="7"/>
  <c r="E251" i="7"/>
  <c r="D251" i="7"/>
  <c r="C251" i="7"/>
  <c r="B250" i="7"/>
  <c r="A250" i="7"/>
  <c r="J250" i="7"/>
  <c r="I250" i="7"/>
  <c r="H250" i="7"/>
  <c r="G250" i="7"/>
  <c r="F250" i="7"/>
  <c r="E250" i="7"/>
  <c r="D250" i="7"/>
  <c r="C250" i="7"/>
  <c r="B249" i="7"/>
  <c r="A249" i="7"/>
  <c r="J249" i="7"/>
  <c r="I249" i="7"/>
  <c r="H249" i="7"/>
  <c r="G249" i="7"/>
  <c r="F249" i="7"/>
  <c r="E249" i="7"/>
  <c r="D249" i="7"/>
  <c r="C249" i="7"/>
  <c r="B248" i="7"/>
  <c r="A248" i="7"/>
  <c r="J248" i="7"/>
  <c r="I248" i="7"/>
  <c r="H248" i="7"/>
  <c r="G248" i="7"/>
  <c r="F248" i="7"/>
  <c r="E248" i="7"/>
  <c r="D248" i="7"/>
  <c r="C248" i="7"/>
  <c r="B247" i="7"/>
  <c r="A247" i="7"/>
  <c r="J247" i="7"/>
  <c r="I247" i="7"/>
  <c r="H247" i="7"/>
  <c r="G247" i="7"/>
  <c r="F247" i="7"/>
  <c r="E247" i="7"/>
  <c r="D247" i="7"/>
  <c r="C247" i="7"/>
  <c r="B246" i="7"/>
  <c r="A246" i="7"/>
  <c r="J246" i="7"/>
  <c r="I246" i="7"/>
  <c r="H246" i="7"/>
  <c r="G246" i="7"/>
  <c r="F246" i="7"/>
  <c r="E246" i="7"/>
  <c r="D246" i="7"/>
  <c r="C246" i="7"/>
  <c r="B245" i="7"/>
  <c r="A245" i="7"/>
  <c r="J245" i="7"/>
  <c r="I245" i="7"/>
  <c r="H245" i="7"/>
  <c r="G245" i="7"/>
  <c r="F245" i="7"/>
  <c r="E245" i="7"/>
  <c r="D245" i="7"/>
  <c r="C245" i="7"/>
  <c r="B244" i="7"/>
  <c r="A244" i="7"/>
  <c r="J244" i="7"/>
  <c r="I244" i="7"/>
  <c r="H244" i="7"/>
  <c r="G244" i="7"/>
  <c r="F244" i="7"/>
  <c r="E244" i="7"/>
  <c r="D244" i="7"/>
  <c r="C244" i="7"/>
  <c r="B243" i="7"/>
  <c r="A243" i="7"/>
  <c r="J243" i="7"/>
  <c r="I243" i="7"/>
  <c r="H243" i="7"/>
  <c r="G243" i="7"/>
  <c r="F243" i="7"/>
  <c r="E243" i="7"/>
  <c r="D243" i="7"/>
  <c r="C243" i="7"/>
  <c r="B242" i="7"/>
  <c r="A242" i="7"/>
  <c r="J242" i="7"/>
  <c r="I242" i="7"/>
  <c r="H242" i="7"/>
  <c r="G242" i="7"/>
  <c r="F242" i="7"/>
  <c r="E242" i="7"/>
  <c r="D242" i="7"/>
  <c r="C242" i="7"/>
  <c r="B241" i="7"/>
  <c r="A241" i="7"/>
  <c r="J241" i="7"/>
  <c r="I241" i="7"/>
  <c r="H241" i="7"/>
  <c r="G241" i="7"/>
  <c r="F241" i="7"/>
  <c r="E241" i="7"/>
  <c r="D241" i="7"/>
  <c r="C241" i="7"/>
  <c r="B240" i="7"/>
  <c r="A240" i="7"/>
  <c r="J240" i="7"/>
  <c r="I240" i="7"/>
  <c r="H240" i="7"/>
  <c r="G240" i="7"/>
  <c r="F240" i="7"/>
  <c r="E240" i="7"/>
  <c r="D240" i="7"/>
  <c r="C240" i="7"/>
  <c r="B239" i="7"/>
  <c r="A239" i="7"/>
  <c r="J239" i="7"/>
  <c r="I239" i="7"/>
  <c r="H239" i="7"/>
  <c r="G239" i="7"/>
  <c r="F239" i="7"/>
  <c r="E239" i="7"/>
  <c r="D239" i="7"/>
  <c r="C239" i="7"/>
  <c r="B238" i="7"/>
  <c r="A238" i="7"/>
  <c r="J238" i="7"/>
  <c r="I238" i="7"/>
  <c r="H238" i="7"/>
  <c r="G238" i="7"/>
  <c r="F238" i="7"/>
  <c r="E238" i="7"/>
  <c r="D238" i="7"/>
  <c r="C238" i="7"/>
  <c r="B237" i="7"/>
  <c r="A237" i="7"/>
  <c r="J237" i="7"/>
  <c r="I237" i="7"/>
  <c r="H237" i="7"/>
  <c r="G237" i="7"/>
  <c r="F237" i="7"/>
  <c r="E237" i="7"/>
  <c r="D237" i="7"/>
  <c r="C237" i="7"/>
  <c r="B236" i="7"/>
  <c r="A236" i="7"/>
  <c r="J236" i="7"/>
  <c r="I236" i="7"/>
  <c r="H236" i="7"/>
  <c r="G236" i="7"/>
  <c r="F236" i="7"/>
  <c r="E236" i="7"/>
  <c r="D236" i="7"/>
  <c r="C236" i="7"/>
  <c r="B235" i="7"/>
  <c r="A235" i="7"/>
  <c r="J235" i="7"/>
  <c r="I235" i="7"/>
  <c r="H235" i="7"/>
  <c r="G235" i="7"/>
  <c r="F235" i="7"/>
  <c r="E235" i="7"/>
  <c r="D235" i="7"/>
  <c r="C235" i="7"/>
  <c r="B234" i="7"/>
  <c r="A234" i="7"/>
  <c r="J234" i="7"/>
  <c r="I234" i="7"/>
  <c r="H234" i="7"/>
  <c r="G234" i="7"/>
  <c r="F234" i="7"/>
  <c r="E234" i="7"/>
  <c r="D234" i="7"/>
  <c r="C234" i="7"/>
  <c r="B233" i="7"/>
  <c r="A233" i="7"/>
  <c r="J233" i="7"/>
  <c r="I233" i="7"/>
  <c r="H233" i="7"/>
  <c r="G233" i="7"/>
  <c r="F233" i="7"/>
  <c r="E233" i="7"/>
  <c r="D233" i="7"/>
  <c r="C233" i="7"/>
  <c r="B232" i="7"/>
  <c r="A232" i="7"/>
  <c r="J232" i="7"/>
  <c r="I232" i="7"/>
  <c r="H232" i="7"/>
  <c r="G232" i="7"/>
  <c r="F232" i="7"/>
  <c r="E232" i="7"/>
  <c r="D232" i="7"/>
  <c r="C232" i="7"/>
  <c r="B231" i="7"/>
  <c r="A231" i="7"/>
  <c r="J231" i="7"/>
  <c r="I231" i="7"/>
  <c r="H231" i="7"/>
  <c r="G231" i="7"/>
  <c r="F231" i="7"/>
  <c r="E231" i="7"/>
  <c r="D231" i="7"/>
  <c r="C231" i="7"/>
  <c r="B230" i="7"/>
  <c r="A230" i="7"/>
  <c r="J230" i="7"/>
  <c r="I230" i="7"/>
  <c r="H230" i="7"/>
  <c r="G230" i="7"/>
  <c r="F230" i="7"/>
  <c r="E230" i="7"/>
  <c r="D230" i="7"/>
  <c r="C230" i="7"/>
  <c r="B229" i="7"/>
  <c r="A229" i="7"/>
  <c r="J229" i="7"/>
  <c r="I229" i="7"/>
  <c r="H229" i="7"/>
  <c r="G229" i="7"/>
  <c r="F229" i="7"/>
  <c r="E229" i="7"/>
  <c r="D229" i="7"/>
  <c r="C229" i="7"/>
  <c r="B228" i="7"/>
  <c r="A228" i="7"/>
  <c r="J228" i="7"/>
  <c r="I228" i="7"/>
  <c r="H228" i="7"/>
  <c r="G228" i="7"/>
  <c r="F228" i="7"/>
  <c r="E228" i="7"/>
  <c r="D228" i="7"/>
  <c r="C228" i="7"/>
  <c r="B227" i="7"/>
  <c r="A227" i="7"/>
  <c r="J227" i="7"/>
  <c r="I227" i="7"/>
  <c r="H227" i="7"/>
  <c r="G227" i="7"/>
  <c r="F227" i="7"/>
  <c r="E227" i="7"/>
  <c r="D227" i="7"/>
  <c r="C227" i="7"/>
  <c r="B226" i="7"/>
  <c r="A226" i="7"/>
  <c r="J226" i="7"/>
  <c r="I226" i="7"/>
  <c r="H226" i="7"/>
  <c r="G226" i="7"/>
  <c r="F226" i="7"/>
  <c r="E226" i="7"/>
  <c r="D226" i="7"/>
  <c r="C226" i="7"/>
  <c r="B225" i="7"/>
  <c r="A225" i="7"/>
  <c r="J225" i="7"/>
  <c r="I225" i="7"/>
  <c r="H225" i="7"/>
  <c r="G225" i="7"/>
  <c r="F225" i="7"/>
  <c r="E225" i="7"/>
  <c r="D225" i="7"/>
  <c r="C225" i="7"/>
  <c r="B224" i="7"/>
  <c r="A224" i="7"/>
  <c r="J224" i="7"/>
  <c r="I224" i="7"/>
  <c r="H224" i="7"/>
  <c r="G224" i="7"/>
  <c r="F224" i="7"/>
  <c r="E224" i="7"/>
  <c r="D224" i="7"/>
  <c r="C224" i="7"/>
  <c r="B223" i="7"/>
  <c r="A223" i="7"/>
  <c r="J223" i="7"/>
  <c r="I223" i="7"/>
  <c r="H223" i="7"/>
  <c r="G223" i="7"/>
  <c r="F223" i="7"/>
  <c r="E223" i="7"/>
  <c r="D223" i="7"/>
  <c r="C223" i="7"/>
  <c r="B222" i="7"/>
  <c r="A222" i="7"/>
  <c r="J222" i="7"/>
  <c r="I222" i="7"/>
  <c r="H222" i="7"/>
  <c r="G222" i="7"/>
  <c r="F222" i="7"/>
  <c r="E222" i="7"/>
  <c r="D222" i="7"/>
  <c r="C222" i="7"/>
  <c r="B221" i="7"/>
  <c r="A221" i="7"/>
  <c r="J221" i="7"/>
  <c r="I221" i="7"/>
  <c r="H221" i="7"/>
  <c r="G221" i="7"/>
  <c r="F221" i="7"/>
  <c r="E221" i="7"/>
  <c r="D221" i="7"/>
  <c r="C221" i="7"/>
  <c r="B220" i="7"/>
  <c r="A220" i="7"/>
  <c r="J220" i="7"/>
  <c r="I220" i="7"/>
  <c r="H220" i="7"/>
  <c r="G220" i="7"/>
  <c r="F220" i="7"/>
  <c r="E220" i="7"/>
  <c r="D220" i="7"/>
  <c r="C220" i="7"/>
  <c r="B219" i="7"/>
  <c r="A219" i="7"/>
  <c r="J219" i="7"/>
  <c r="I219" i="7"/>
  <c r="H219" i="7"/>
  <c r="G219" i="7"/>
  <c r="F219" i="7"/>
  <c r="E219" i="7"/>
  <c r="D219" i="7"/>
  <c r="C219" i="7"/>
  <c r="B218" i="7"/>
  <c r="A218" i="7"/>
  <c r="J218" i="7"/>
  <c r="I218" i="7"/>
  <c r="H218" i="7"/>
  <c r="G218" i="7"/>
  <c r="F218" i="7"/>
  <c r="E218" i="7"/>
  <c r="D218" i="7"/>
  <c r="C218" i="7"/>
  <c r="B217" i="7"/>
  <c r="A217" i="7"/>
  <c r="J217" i="7"/>
  <c r="I217" i="7"/>
  <c r="H217" i="7"/>
  <c r="G217" i="7"/>
  <c r="F217" i="7"/>
  <c r="E217" i="7"/>
  <c r="D217" i="7"/>
  <c r="C217" i="7"/>
  <c r="B216" i="7"/>
  <c r="A216" i="7"/>
  <c r="J216" i="7"/>
  <c r="I216" i="7"/>
  <c r="H216" i="7"/>
  <c r="G216" i="7"/>
  <c r="F216" i="7"/>
  <c r="E216" i="7"/>
  <c r="D216" i="7"/>
  <c r="C216" i="7"/>
  <c r="B215" i="7"/>
  <c r="A215" i="7"/>
  <c r="J215" i="7"/>
  <c r="I215" i="7"/>
  <c r="H215" i="7"/>
  <c r="G215" i="7"/>
  <c r="F215" i="7"/>
  <c r="E215" i="7"/>
  <c r="D215" i="7"/>
  <c r="C215" i="7"/>
  <c r="B214" i="7"/>
  <c r="A214" i="7"/>
  <c r="J214" i="7"/>
  <c r="I214" i="7"/>
  <c r="H214" i="7"/>
  <c r="G214" i="7"/>
  <c r="F214" i="7"/>
  <c r="E214" i="7"/>
  <c r="D214" i="7"/>
  <c r="C214" i="7"/>
  <c r="B213" i="7"/>
  <c r="A213" i="7"/>
  <c r="J213" i="7"/>
  <c r="I213" i="7"/>
  <c r="H213" i="7"/>
  <c r="G213" i="7"/>
  <c r="F213" i="7"/>
  <c r="E213" i="7"/>
  <c r="D213" i="7"/>
  <c r="C213" i="7"/>
  <c r="B212" i="7"/>
  <c r="A212" i="7"/>
  <c r="J212" i="7"/>
  <c r="I212" i="7"/>
  <c r="H212" i="7"/>
  <c r="G212" i="7"/>
  <c r="F212" i="7"/>
  <c r="E212" i="7"/>
  <c r="D212" i="7"/>
  <c r="C212" i="7"/>
  <c r="B211" i="7"/>
  <c r="A211" i="7"/>
  <c r="J211" i="7"/>
  <c r="I211" i="7"/>
  <c r="H211" i="7"/>
  <c r="G211" i="7"/>
  <c r="F211" i="7"/>
  <c r="E211" i="7"/>
  <c r="D211" i="7"/>
  <c r="C211" i="7"/>
  <c r="B210" i="7"/>
  <c r="A210" i="7"/>
  <c r="J210" i="7"/>
  <c r="I210" i="7"/>
  <c r="H210" i="7"/>
  <c r="G210" i="7"/>
  <c r="F210" i="7"/>
  <c r="E210" i="7"/>
  <c r="D210" i="7"/>
  <c r="C210" i="7"/>
  <c r="B209" i="7"/>
  <c r="A209" i="7"/>
  <c r="J209" i="7"/>
  <c r="I209" i="7"/>
  <c r="H209" i="7"/>
  <c r="G209" i="7"/>
  <c r="F209" i="7"/>
  <c r="E209" i="7"/>
  <c r="D209" i="7"/>
  <c r="C209" i="7"/>
  <c r="B208" i="7"/>
  <c r="A208" i="7"/>
  <c r="J208" i="7"/>
  <c r="I208" i="7"/>
  <c r="H208" i="7"/>
  <c r="G208" i="7"/>
  <c r="F208" i="7"/>
  <c r="E208" i="7"/>
  <c r="D208" i="7"/>
  <c r="C208" i="7"/>
  <c r="B207" i="7"/>
  <c r="A207" i="7"/>
  <c r="J207" i="7"/>
  <c r="I207" i="7"/>
  <c r="H207" i="7"/>
  <c r="G207" i="7"/>
  <c r="F207" i="7"/>
  <c r="E207" i="7"/>
  <c r="D207" i="7"/>
  <c r="C207" i="7"/>
  <c r="B206" i="7"/>
  <c r="A206" i="7"/>
  <c r="J206" i="7"/>
  <c r="I206" i="7"/>
  <c r="H206" i="7"/>
  <c r="G206" i="7"/>
  <c r="F206" i="7"/>
  <c r="E206" i="7"/>
  <c r="D206" i="7"/>
  <c r="C206" i="7"/>
  <c r="B205" i="7"/>
  <c r="A205" i="7"/>
  <c r="J205" i="7"/>
  <c r="I205" i="7"/>
  <c r="H205" i="7"/>
  <c r="G205" i="7"/>
  <c r="F205" i="7"/>
  <c r="E205" i="7"/>
  <c r="D205" i="7"/>
  <c r="C205" i="7"/>
  <c r="B204" i="7"/>
  <c r="A204" i="7"/>
  <c r="J204" i="7"/>
  <c r="I204" i="7"/>
  <c r="H204" i="7"/>
  <c r="G204" i="7"/>
  <c r="F204" i="7"/>
  <c r="E204" i="7"/>
  <c r="D204" i="7"/>
  <c r="C204" i="7"/>
  <c r="B203" i="7"/>
  <c r="A203" i="7"/>
  <c r="J203" i="7"/>
  <c r="I203" i="7"/>
  <c r="H203" i="7"/>
  <c r="G203" i="7"/>
  <c r="F203" i="7"/>
  <c r="E203" i="7"/>
  <c r="D203" i="7"/>
  <c r="C203" i="7"/>
  <c r="B202" i="7"/>
  <c r="A202" i="7"/>
  <c r="J202" i="7"/>
  <c r="I202" i="7"/>
  <c r="H202" i="7"/>
  <c r="G202" i="7"/>
  <c r="F202" i="7"/>
  <c r="E202" i="7"/>
  <c r="D202" i="7"/>
  <c r="C202" i="7"/>
  <c r="B201" i="7"/>
  <c r="A201" i="7"/>
  <c r="J201" i="7"/>
  <c r="I201" i="7"/>
  <c r="H201" i="7"/>
  <c r="G201" i="7"/>
  <c r="F201" i="7"/>
  <c r="E201" i="7"/>
  <c r="D201" i="7"/>
  <c r="C201" i="7"/>
  <c r="B200" i="7"/>
  <c r="A200" i="7"/>
  <c r="J200" i="7"/>
  <c r="I200" i="7"/>
  <c r="H200" i="7"/>
  <c r="G200" i="7"/>
  <c r="F200" i="7"/>
  <c r="E200" i="7"/>
  <c r="D200" i="7"/>
  <c r="C200" i="7"/>
  <c r="B199" i="7"/>
  <c r="A199" i="7"/>
  <c r="J199" i="7"/>
  <c r="I199" i="7"/>
  <c r="H199" i="7"/>
  <c r="G199" i="7"/>
  <c r="F199" i="7"/>
  <c r="E199" i="7"/>
  <c r="D199" i="7"/>
  <c r="C199" i="7"/>
  <c r="B198" i="7"/>
  <c r="A198" i="7"/>
  <c r="J198" i="7"/>
  <c r="I198" i="7"/>
  <c r="H198" i="7"/>
  <c r="G198" i="7"/>
  <c r="F198" i="7"/>
  <c r="E198" i="7"/>
  <c r="D198" i="7"/>
  <c r="C198" i="7"/>
  <c r="B197" i="7"/>
  <c r="A197" i="7"/>
  <c r="J197" i="7"/>
  <c r="I197" i="7"/>
  <c r="H197" i="7"/>
  <c r="G197" i="7"/>
  <c r="F197" i="7"/>
  <c r="E197" i="7"/>
  <c r="D197" i="7"/>
  <c r="C197" i="7"/>
  <c r="B196" i="7"/>
  <c r="A196" i="7"/>
  <c r="J196" i="7"/>
  <c r="I196" i="7"/>
  <c r="H196" i="7"/>
  <c r="G196" i="7"/>
  <c r="F196" i="7"/>
  <c r="E196" i="7"/>
  <c r="D196" i="7"/>
  <c r="C196" i="7"/>
  <c r="B195" i="7"/>
  <c r="A195" i="7"/>
  <c r="J195" i="7"/>
  <c r="I195" i="7"/>
  <c r="H195" i="7"/>
  <c r="G195" i="7"/>
  <c r="F195" i="7"/>
  <c r="E195" i="7"/>
  <c r="D195" i="7"/>
  <c r="C195" i="7"/>
  <c r="B194" i="7"/>
  <c r="A194" i="7"/>
  <c r="J194" i="7"/>
  <c r="I194" i="7"/>
  <c r="H194" i="7"/>
  <c r="G194" i="7"/>
  <c r="F194" i="7"/>
  <c r="E194" i="7"/>
  <c r="D194" i="7"/>
  <c r="C194" i="7"/>
  <c r="B193" i="7"/>
  <c r="A193" i="7"/>
  <c r="J193" i="7"/>
  <c r="I193" i="7"/>
  <c r="H193" i="7"/>
  <c r="G193" i="7"/>
  <c r="F193" i="7"/>
  <c r="E193" i="7"/>
  <c r="D193" i="7"/>
  <c r="C193" i="7"/>
  <c r="B192" i="7"/>
  <c r="A192" i="7"/>
  <c r="J192" i="7"/>
  <c r="I192" i="7"/>
  <c r="H192" i="7"/>
  <c r="G192" i="7"/>
  <c r="F192" i="7"/>
  <c r="E192" i="7"/>
  <c r="D192" i="7"/>
  <c r="C192" i="7"/>
  <c r="B191" i="7"/>
  <c r="A191" i="7"/>
  <c r="J191" i="7"/>
  <c r="I191" i="7"/>
  <c r="H191" i="7"/>
  <c r="G191" i="7"/>
  <c r="F191" i="7"/>
  <c r="E191" i="7"/>
  <c r="D191" i="7"/>
  <c r="C191" i="7"/>
  <c r="B190" i="7"/>
  <c r="A190" i="7"/>
  <c r="J190" i="7"/>
  <c r="I190" i="7"/>
  <c r="H190" i="7"/>
  <c r="G190" i="7"/>
  <c r="F190" i="7"/>
  <c r="E190" i="7"/>
  <c r="D190" i="7"/>
  <c r="C190" i="7"/>
  <c r="B189" i="7"/>
  <c r="A189" i="7"/>
  <c r="J189" i="7"/>
  <c r="I189" i="7"/>
  <c r="H189" i="7"/>
  <c r="G189" i="7"/>
  <c r="F189" i="7"/>
  <c r="E189" i="7"/>
  <c r="D189" i="7"/>
  <c r="C189" i="7"/>
  <c r="B188" i="7"/>
  <c r="A188" i="7"/>
  <c r="J188" i="7"/>
  <c r="I188" i="7"/>
  <c r="H188" i="7"/>
  <c r="G188" i="7"/>
  <c r="F188" i="7"/>
  <c r="E188" i="7"/>
  <c r="D188" i="7"/>
  <c r="C188" i="7"/>
  <c r="B187" i="7"/>
  <c r="A187" i="7"/>
  <c r="J187" i="7"/>
  <c r="I187" i="7"/>
  <c r="H187" i="7"/>
  <c r="G187" i="7"/>
  <c r="F187" i="7"/>
  <c r="E187" i="7"/>
  <c r="D187" i="7"/>
  <c r="C187" i="7"/>
  <c r="B186" i="7"/>
  <c r="A186" i="7"/>
  <c r="J186" i="7"/>
  <c r="I186" i="7"/>
  <c r="H186" i="7"/>
  <c r="G186" i="7"/>
  <c r="F186" i="7"/>
  <c r="E186" i="7"/>
  <c r="D186" i="7"/>
  <c r="C186" i="7"/>
  <c r="B185" i="7"/>
  <c r="A185" i="7"/>
  <c r="J185" i="7"/>
  <c r="I185" i="7"/>
  <c r="H185" i="7"/>
  <c r="G185" i="7"/>
  <c r="F185" i="7"/>
  <c r="E185" i="7"/>
  <c r="D185" i="7"/>
  <c r="C185" i="7"/>
  <c r="B184" i="7"/>
  <c r="A184" i="7"/>
  <c r="J184" i="7"/>
  <c r="I184" i="7"/>
  <c r="H184" i="7"/>
  <c r="G184" i="7"/>
  <c r="F184" i="7"/>
  <c r="E184" i="7"/>
  <c r="D184" i="7"/>
  <c r="C184" i="7"/>
  <c r="B183" i="7"/>
  <c r="A183" i="7"/>
  <c r="J183" i="7"/>
  <c r="I183" i="7"/>
  <c r="H183" i="7"/>
  <c r="G183" i="7"/>
  <c r="F183" i="7"/>
  <c r="E183" i="7"/>
  <c r="D183" i="7"/>
  <c r="C183" i="7"/>
  <c r="B182" i="7"/>
  <c r="A182" i="7"/>
  <c r="J182" i="7"/>
  <c r="I182" i="7"/>
  <c r="H182" i="7"/>
  <c r="G182" i="7"/>
  <c r="F182" i="7"/>
  <c r="E182" i="7"/>
  <c r="D182" i="7"/>
  <c r="C182" i="7"/>
  <c r="B181" i="7"/>
  <c r="A181" i="7"/>
  <c r="J181" i="7"/>
  <c r="I181" i="7"/>
  <c r="H181" i="7"/>
  <c r="G181" i="7"/>
  <c r="F181" i="7"/>
  <c r="E181" i="7"/>
  <c r="D181" i="7"/>
  <c r="C181" i="7"/>
  <c r="B180" i="7"/>
  <c r="A180" i="7"/>
  <c r="J180" i="7"/>
  <c r="I180" i="7"/>
  <c r="H180" i="7"/>
  <c r="G180" i="7"/>
  <c r="F180" i="7"/>
  <c r="E180" i="7"/>
  <c r="D180" i="7"/>
  <c r="C180" i="7"/>
  <c r="B179" i="7"/>
  <c r="A179" i="7"/>
  <c r="J179" i="7"/>
  <c r="I179" i="7"/>
  <c r="H179" i="7"/>
  <c r="G179" i="7"/>
  <c r="F179" i="7"/>
  <c r="E179" i="7"/>
  <c r="D179" i="7"/>
  <c r="C179" i="7"/>
  <c r="B178" i="7"/>
  <c r="A178" i="7"/>
  <c r="J178" i="7"/>
  <c r="I178" i="7"/>
  <c r="H178" i="7"/>
  <c r="G178" i="7"/>
  <c r="F178" i="7"/>
  <c r="E178" i="7"/>
  <c r="D178" i="7"/>
  <c r="C178" i="7"/>
  <c r="B177" i="7"/>
  <c r="A177" i="7"/>
  <c r="J177" i="7"/>
  <c r="I177" i="7"/>
  <c r="H177" i="7"/>
  <c r="G177" i="7"/>
  <c r="F177" i="7"/>
  <c r="E177" i="7"/>
  <c r="D177" i="7"/>
  <c r="C177" i="7"/>
  <c r="B176" i="7"/>
  <c r="A176" i="7"/>
  <c r="J176" i="7"/>
  <c r="I176" i="7"/>
  <c r="H176" i="7"/>
  <c r="G176" i="7"/>
  <c r="F176" i="7"/>
  <c r="E176" i="7"/>
  <c r="D176" i="7"/>
  <c r="C176" i="7"/>
  <c r="B175" i="7"/>
  <c r="A175" i="7"/>
  <c r="J175" i="7"/>
  <c r="I175" i="7"/>
  <c r="H175" i="7"/>
  <c r="G175" i="7"/>
  <c r="F175" i="7"/>
  <c r="E175" i="7"/>
  <c r="D175" i="7"/>
  <c r="C175" i="7"/>
  <c r="B174" i="7"/>
  <c r="A174" i="7"/>
  <c r="J174" i="7"/>
  <c r="I174" i="7"/>
  <c r="H174" i="7"/>
  <c r="G174" i="7"/>
  <c r="F174" i="7"/>
  <c r="E174" i="7"/>
  <c r="D174" i="7"/>
  <c r="C174" i="7"/>
  <c r="B173" i="7"/>
  <c r="A173" i="7"/>
  <c r="J173" i="7"/>
  <c r="I173" i="7"/>
  <c r="H173" i="7"/>
  <c r="G173" i="7"/>
  <c r="F173" i="7"/>
  <c r="E173" i="7"/>
  <c r="D173" i="7"/>
  <c r="C173" i="7"/>
  <c r="B172" i="7"/>
  <c r="A172" i="7"/>
  <c r="J172" i="7"/>
  <c r="I172" i="7"/>
  <c r="H172" i="7"/>
  <c r="G172" i="7"/>
  <c r="F172" i="7"/>
  <c r="E172" i="7"/>
  <c r="D172" i="7"/>
  <c r="C172" i="7"/>
  <c r="B171" i="7"/>
  <c r="A171" i="7"/>
  <c r="J171" i="7"/>
  <c r="I171" i="7"/>
  <c r="H171" i="7"/>
  <c r="G171" i="7"/>
  <c r="F171" i="7"/>
  <c r="E171" i="7"/>
  <c r="D171" i="7"/>
  <c r="C171" i="7"/>
  <c r="B170" i="7"/>
  <c r="A170" i="7"/>
  <c r="J170" i="7"/>
  <c r="I170" i="7"/>
  <c r="H170" i="7"/>
  <c r="G170" i="7"/>
  <c r="F170" i="7"/>
  <c r="E170" i="7"/>
  <c r="D170" i="7"/>
  <c r="C170" i="7"/>
  <c r="B169" i="7"/>
  <c r="A169" i="7"/>
  <c r="J169" i="7"/>
  <c r="I169" i="7"/>
  <c r="H169" i="7"/>
  <c r="G169" i="7"/>
  <c r="F169" i="7"/>
  <c r="E169" i="7"/>
  <c r="D169" i="7"/>
  <c r="C169" i="7"/>
  <c r="B168" i="7"/>
  <c r="A168" i="7"/>
  <c r="J168" i="7"/>
  <c r="I168" i="7"/>
  <c r="H168" i="7"/>
  <c r="G168" i="7"/>
  <c r="F168" i="7"/>
  <c r="E168" i="7"/>
  <c r="D168" i="7"/>
  <c r="C168" i="7"/>
  <c r="B167" i="7"/>
  <c r="A167" i="7"/>
  <c r="J167" i="7"/>
  <c r="I167" i="7"/>
  <c r="H167" i="7"/>
  <c r="G167" i="7"/>
  <c r="F167" i="7"/>
  <c r="E167" i="7"/>
  <c r="D167" i="7"/>
  <c r="C167" i="7"/>
  <c r="B166" i="7"/>
  <c r="A166" i="7"/>
  <c r="J166" i="7"/>
  <c r="I166" i="7"/>
  <c r="H166" i="7"/>
  <c r="G166" i="7"/>
  <c r="F166" i="7"/>
  <c r="E166" i="7"/>
  <c r="D166" i="7"/>
  <c r="C166" i="7"/>
  <c r="B165" i="7"/>
  <c r="A165" i="7"/>
  <c r="J165" i="7"/>
  <c r="I165" i="7"/>
  <c r="H165" i="7"/>
  <c r="G165" i="7"/>
  <c r="F165" i="7"/>
  <c r="E165" i="7"/>
  <c r="D165" i="7"/>
  <c r="C165" i="7"/>
  <c r="B164" i="7"/>
  <c r="A164" i="7"/>
  <c r="J164" i="7"/>
  <c r="I164" i="7"/>
  <c r="H164" i="7"/>
  <c r="G164" i="7"/>
  <c r="F164" i="7"/>
  <c r="E164" i="7"/>
  <c r="D164" i="7"/>
  <c r="C164" i="7"/>
  <c r="B163" i="7"/>
  <c r="A163" i="7"/>
  <c r="J163" i="7"/>
  <c r="I163" i="7"/>
  <c r="H163" i="7"/>
  <c r="G163" i="7"/>
  <c r="F163" i="7"/>
  <c r="E163" i="7"/>
  <c r="D163" i="7"/>
  <c r="C163" i="7"/>
  <c r="B162" i="7"/>
  <c r="A162" i="7"/>
  <c r="J162" i="7"/>
  <c r="I162" i="7"/>
  <c r="H162" i="7"/>
  <c r="G162" i="7"/>
  <c r="F162" i="7"/>
  <c r="E162" i="7"/>
  <c r="D162" i="7"/>
  <c r="C162" i="7"/>
  <c r="B161" i="7"/>
  <c r="A161" i="7"/>
  <c r="J161" i="7"/>
  <c r="I161" i="7"/>
  <c r="H161" i="7"/>
  <c r="G161" i="7"/>
  <c r="F161" i="7"/>
  <c r="E161" i="7"/>
  <c r="D161" i="7"/>
  <c r="C161" i="7"/>
  <c r="B160" i="7"/>
  <c r="A160" i="7"/>
  <c r="J160" i="7"/>
  <c r="I160" i="7"/>
  <c r="H160" i="7"/>
  <c r="G160" i="7"/>
  <c r="F160" i="7"/>
  <c r="E160" i="7"/>
  <c r="D160" i="7"/>
  <c r="C160" i="7"/>
  <c r="B159" i="7"/>
  <c r="A159" i="7"/>
  <c r="J159" i="7"/>
  <c r="I159" i="7"/>
  <c r="H159" i="7"/>
  <c r="G159" i="7"/>
  <c r="F159" i="7"/>
  <c r="E159" i="7"/>
  <c r="D159" i="7"/>
  <c r="C159" i="7"/>
  <c r="B158" i="7"/>
  <c r="A158" i="7"/>
  <c r="J158" i="7"/>
  <c r="I158" i="7"/>
  <c r="H158" i="7"/>
  <c r="G158" i="7"/>
  <c r="F158" i="7"/>
  <c r="E158" i="7"/>
  <c r="D158" i="7"/>
  <c r="C158" i="7"/>
  <c r="B157" i="7"/>
  <c r="A157" i="7"/>
  <c r="J157" i="7"/>
  <c r="I157" i="7"/>
  <c r="H157" i="7"/>
  <c r="G157" i="7"/>
  <c r="F157" i="7"/>
  <c r="E157" i="7"/>
  <c r="D157" i="7"/>
  <c r="C157" i="7"/>
  <c r="B156" i="7"/>
  <c r="A156" i="7"/>
  <c r="J156" i="7"/>
  <c r="I156" i="7"/>
  <c r="H156" i="7"/>
  <c r="G156" i="7"/>
  <c r="F156" i="7"/>
  <c r="E156" i="7"/>
  <c r="D156" i="7"/>
  <c r="C156" i="7"/>
  <c r="B155" i="7"/>
  <c r="A155" i="7"/>
  <c r="J155" i="7"/>
  <c r="I155" i="7"/>
  <c r="H155" i="7"/>
  <c r="G155" i="7"/>
  <c r="F155" i="7"/>
  <c r="E155" i="7"/>
  <c r="D155" i="7"/>
  <c r="C155" i="7"/>
  <c r="B154" i="7"/>
  <c r="A154" i="7"/>
  <c r="J154" i="7"/>
  <c r="I154" i="7"/>
  <c r="H154" i="7"/>
  <c r="G154" i="7"/>
  <c r="F154" i="7"/>
  <c r="E154" i="7"/>
  <c r="D154" i="7"/>
  <c r="C154" i="7"/>
  <c r="B153" i="7"/>
  <c r="A153" i="7"/>
  <c r="J153" i="7"/>
  <c r="I153" i="7"/>
  <c r="H153" i="7"/>
  <c r="G153" i="7"/>
  <c r="F153" i="7"/>
  <c r="E153" i="7"/>
  <c r="D153" i="7"/>
  <c r="C153" i="7"/>
  <c r="B152" i="7"/>
  <c r="A152" i="7"/>
  <c r="J152" i="7"/>
  <c r="I152" i="7"/>
  <c r="H152" i="7"/>
  <c r="G152" i="7"/>
  <c r="F152" i="7"/>
  <c r="E152" i="7"/>
  <c r="D152" i="7"/>
  <c r="C152" i="7"/>
  <c r="B151" i="7"/>
  <c r="A151" i="7"/>
  <c r="J151" i="7"/>
  <c r="I151" i="7"/>
  <c r="H151" i="7"/>
  <c r="G151" i="7"/>
  <c r="F151" i="7"/>
  <c r="E151" i="7"/>
  <c r="D151" i="7"/>
  <c r="C151" i="7"/>
  <c r="B150" i="7"/>
  <c r="A150" i="7"/>
  <c r="J150" i="7"/>
  <c r="I150" i="7"/>
  <c r="H150" i="7"/>
  <c r="G150" i="7"/>
  <c r="F150" i="7"/>
  <c r="E150" i="7"/>
  <c r="D150" i="7"/>
  <c r="C150" i="7"/>
  <c r="B149" i="7"/>
  <c r="A149" i="7"/>
  <c r="J149" i="7"/>
  <c r="I149" i="7"/>
  <c r="H149" i="7"/>
  <c r="G149" i="7"/>
  <c r="F149" i="7"/>
  <c r="E149" i="7"/>
  <c r="D149" i="7"/>
  <c r="C149" i="7"/>
  <c r="B148" i="7"/>
  <c r="A148" i="7"/>
  <c r="J148" i="7"/>
  <c r="I148" i="7"/>
  <c r="H148" i="7"/>
  <c r="G148" i="7"/>
  <c r="F148" i="7"/>
  <c r="E148" i="7"/>
  <c r="D148" i="7"/>
  <c r="C148" i="7"/>
  <c r="B147" i="7"/>
  <c r="A147" i="7"/>
  <c r="J147" i="7"/>
  <c r="I147" i="7"/>
  <c r="H147" i="7"/>
  <c r="G147" i="7"/>
  <c r="F147" i="7"/>
  <c r="E147" i="7"/>
  <c r="D147" i="7"/>
  <c r="C147" i="7"/>
  <c r="B146" i="7"/>
  <c r="A146" i="7"/>
  <c r="J146" i="7"/>
  <c r="I146" i="7"/>
  <c r="H146" i="7"/>
  <c r="G146" i="7"/>
  <c r="F146" i="7"/>
  <c r="E146" i="7"/>
  <c r="D146" i="7"/>
  <c r="C146" i="7"/>
  <c r="B145" i="7"/>
  <c r="A145" i="7"/>
  <c r="J145" i="7"/>
  <c r="I145" i="7"/>
  <c r="H145" i="7"/>
  <c r="G145" i="7"/>
  <c r="F145" i="7"/>
  <c r="E145" i="7"/>
  <c r="D145" i="7"/>
  <c r="C145" i="7"/>
  <c r="B144" i="7"/>
  <c r="A144" i="7"/>
  <c r="J144" i="7"/>
  <c r="I144" i="7"/>
  <c r="H144" i="7"/>
  <c r="G144" i="7"/>
  <c r="F144" i="7"/>
  <c r="E144" i="7"/>
  <c r="D144" i="7"/>
  <c r="C144" i="7"/>
  <c r="B143" i="7"/>
  <c r="A143" i="7"/>
  <c r="J143" i="7"/>
  <c r="I143" i="7"/>
  <c r="H143" i="7"/>
  <c r="G143" i="7"/>
  <c r="F143" i="7"/>
  <c r="E143" i="7"/>
  <c r="D143" i="7"/>
  <c r="C143" i="7"/>
  <c r="B142" i="7"/>
  <c r="A142" i="7"/>
  <c r="J142" i="7"/>
  <c r="I142" i="7"/>
  <c r="H142" i="7"/>
  <c r="G142" i="7"/>
  <c r="F142" i="7"/>
  <c r="E142" i="7"/>
  <c r="D142" i="7"/>
  <c r="C142" i="7"/>
  <c r="B141" i="7"/>
  <c r="A141" i="7"/>
  <c r="J141" i="7"/>
  <c r="I141" i="7"/>
  <c r="H141" i="7"/>
  <c r="G141" i="7"/>
  <c r="F141" i="7"/>
  <c r="E141" i="7"/>
  <c r="D141" i="7"/>
  <c r="C141" i="7"/>
  <c r="B140" i="7"/>
  <c r="A140" i="7"/>
  <c r="J140" i="7"/>
  <c r="I140" i="7"/>
  <c r="H140" i="7"/>
  <c r="G140" i="7"/>
  <c r="F140" i="7"/>
  <c r="E140" i="7"/>
  <c r="D140" i="7"/>
  <c r="C140" i="7"/>
  <c r="B139" i="7"/>
  <c r="A139" i="7"/>
  <c r="J139" i="7"/>
  <c r="I139" i="7"/>
  <c r="H139" i="7"/>
  <c r="G139" i="7"/>
  <c r="F139" i="7"/>
  <c r="E139" i="7"/>
  <c r="D139" i="7"/>
  <c r="C139" i="7"/>
  <c r="B138" i="7"/>
  <c r="A138" i="7"/>
  <c r="J138" i="7"/>
  <c r="I138" i="7"/>
  <c r="H138" i="7"/>
  <c r="G138" i="7"/>
  <c r="F138" i="7"/>
  <c r="E138" i="7"/>
  <c r="D138" i="7"/>
  <c r="C138" i="7"/>
  <c r="B137" i="7"/>
  <c r="A137" i="7"/>
  <c r="J137" i="7"/>
  <c r="I137" i="7"/>
  <c r="H137" i="7"/>
  <c r="G137" i="7"/>
  <c r="F137" i="7"/>
  <c r="E137" i="7"/>
  <c r="D137" i="7"/>
  <c r="C137" i="7"/>
  <c r="B136" i="7"/>
  <c r="A136" i="7"/>
  <c r="J136" i="7"/>
  <c r="I136" i="7"/>
  <c r="H136" i="7"/>
  <c r="G136" i="7"/>
  <c r="F136" i="7"/>
  <c r="E136" i="7"/>
  <c r="D136" i="7"/>
  <c r="C136" i="7"/>
  <c r="B135" i="7"/>
  <c r="A135" i="7"/>
  <c r="J135" i="7"/>
  <c r="I135" i="7"/>
  <c r="H135" i="7"/>
  <c r="G135" i="7"/>
  <c r="F135" i="7"/>
  <c r="E135" i="7"/>
  <c r="D135" i="7"/>
  <c r="C135" i="7"/>
  <c r="B134" i="7"/>
  <c r="A134" i="7"/>
  <c r="J134" i="7"/>
  <c r="I134" i="7"/>
  <c r="H134" i="7"/>
  <c r="G134" i="7"/>
  <c r="F134" i="7"/>
  <c r="E134" i="7"/>
  <c r="D134" i="7"/>
  <c r="C134" i="7"/>
  <c r="B133" i="7"/>
  <c r="A133" i="7"/>
  <c r="J133" i="7"/>
  <c r="I133" i="7"/>
  <c r="H133" i="7"/>
  <c r="G133" i="7"/>
  <c r="F133" i="7"/>
  <c r="E133" i="7"/>
  <c r="D133" i="7"/>
  <c r="C133" i="7"/>
  <c r="B132" i="7"/>
  <c r="A132" i="7"/>
  <c r="J132" i="7"/>
  <c r="I132" i="7"/>
  <c r="H132" i="7"/>
  <c r="G132" i="7"/>
  <c r="F132" i="7"/>
  <c r="E132" i="7"/>
  <c r="D132" i="7"/>
  <c r="C132" i="7"/>
  <c r="B131" i="7"/>
  <c r="A131" i="7"/>
  <c r="J131" i="7"/>
  <c r="I131" i="7"/>
  <c r="H131" i="7"/>
  <c r="G131" i="7"/>
  <c r="F131" i="7"/>
  <c r="E131" i="7"/>
  <c r="D131" i="7"/>
  <c r="C131" i="7"/>
  <c r="B130" i="7"/>
  <c r="A130" i="7"/>
  <c r="J130" i="7"/>
  <c r="I130" i="7"/>
  <c r="H130" i="7"/>
  <c r="G130" i="7"/>
  <c r="F130" i="7"/>
  <c r="E130" i="7"/>
  <c r="D130" i="7"/>
  <c r="C130" i="7"/>
  <c r="B129" i="7"/>
  <c r="A129" i="7"/>
  <c r="J129" i="7"/>
  <c r="I129" i="7"/>
  <c r="H129" i="7"/>
  <c r="G129" i="7"/>
  <c r="F129" i="7"/>
  <c r="E129" i="7"/>
  <c r="D129" i="7"/>
  <c r="C129" i="7"/>
  <c r="B128" i="7"/>
  <c r="A128" i="7"/>
  <c r="J128" i="7"/>
  <c r="I128" i="7"/>
  <c r="H128" i="7"/>
  <c r="G128" i="7"/>
  <c r="F128" i="7"/>
  <c r="E128" i="7"/>
  <c r="D128" i="7"/>
  <c r="C128" i="7"/>
  <c r="B127" i="7"/>
  <c r="A127" i="7"/>
  <c r="J127" i="7"/>
  <c r="I127" i="7"/>
  <c r="H127" i="7"/>
  <c r="G127" i="7"/>
  <c r="F127" i="7"/>
  <c r="E127" i="7"/>
  <c r="D127" i="7"/>
  <c r="C127" i="7"/>
  <c r="B126" i="7"/>
  <c r="A126" i="7"/>
  <c r="J126" i="7"/>
  <c r="I126" i="7"/>
  <c r="H126" i="7"/>
  <c r="G126" i="7"/>
  <c r="F126" i="7"/>
  <c r="E126" i="7"/>
  <c r="D126" i="7"/>
  <c r="C126" i="7"/>
  <c r="B125" i="7"/>
  <c r="A125" i="7"/>
  <c r="J125" i="7"/>
  <c r="I125" i="7"/>
  <c r="H125" i="7"/>
  <c r="G125" i="7"/>
  <c r="F125" i="7"/>
  <c r="E125" i="7"/>
  <c r="D125" i="7"/>
  <c r="C125" i="7"/>
  <c r="B124" i="7"/>
  <c r="A124" i="7"/>
  <c r="J124" i="7"/>
  <c r="I124" i="7"/>
  <c r="H124" i="7"/>
  <c r="G124" i="7"/>
  <c r="F124" i="7"/>
  <c r="E124" i="7"/>
  <c r="D124" i="7"/>
  <c r="C124" i="7"/>
  <c r="B123" i="7"/>
  <c r="A123" i="7"/>
  <c r="J123" i="7"/>
  <c r="I123" i="7"/>
  <c r="H123" i="7"/>
  <c r="G123" i="7"/>
  <c r="F123" i="7"/>
  <c r="E123" i="7"/>
  <c r="D123" i="7"/>
  <c r="C123" i="7"/>
  <c r="B122" i="7"/>
  <c r="A122" i="7"/>
  <c r="J122" i="7"/>
  <c r="I122" i="7"/>
  <c r="H122" i="7"/>
  <c r="G122" i="7"/>
  <c r="F122" i="7"/>
  <c r="E122" i="7"/>
  <c r="D122" i="7"/>
  <c r="C122" i="7"/>
  <c r="B121" i="7"/>
  <c r="A121" i="7"/>
  <c r="J121" i="7"/>
  <c r="I121" i="7"/>
  <c r="H121" i="7"/>
  <c r="G121" i="7"/>
  <c r="F121" i="7"/>
  <c r="E121" i="7"/>
  <c r="D121" i="7"/>
  <c r="C121" i="7"/>
  <c r="B120" i="7"/>
  <c r="A120" i="7"/>
  <c r="J120" i="7"/>
  <c r="I120" i="7"/>
  <c r="H120" i="7"/>
  <c r="G120" i="7"/>
  <c r="F120" i="7"/>
  <c r="E120" i="7"/>
  <c r="D120" i="7"/>
  <c r="C120" i="7"/>
  <c r="B119" i="7"/>
  <c r="A119" i="7"/>
  <c r="J119" i="7"/>
  <c r="I119" i="7"/>
  <c r="H119" i="7"/>
  <c r="G119" i="7"/>
  <c r="F119" i="7"/>
  <c r="E119" i="7"/>
  <c r="D119" i="7"/>
  <c r="C119" i="7"/>
  <c r="B118" i="7"/>
  <c r="A118" i="7"/>
  <c r="J118" i="7"/>
  <c r="I118" i="7"/>
  <c r="H118" i="7"/>
  <c r="G118" i="7"/>
  <c r="F118" i="7"/>
  <c r="E118" i="7"/>
  <c r="D118" i="7"/>
  <c r="C118" i="7"/>
  <c r="B117" i="7"/>
  <c r="A117" i="7"/>
  <c r="J117" i="7"/>
  <c r="I117" i="7"/>
  <c r="H117" i="7"/>
  <c r="G117" i="7"/>
  <c r="F117" i="7"/>
  <c r="E117" i="7"/>
  <c r="D117" i="7"/>
  <c r="C117" i="7"/>
  <c r="B116" i="7"/>
  <c r="A116" i="7"/>
  <c r="J116" i="7"/>
  <c r="I116" i="7"/>
  <c r="H116" i="7"/>
  <c r="G116" i="7"/>
  <c r="F116" i="7"/>
  <c r="E116" i="7"/>
  <c r="D116" i="7"/>
  <c r="C116" i="7"/>
  <c r="B115" i="7"/>
  <c r="A115" i="7"/>
  <c r="J115" i="7"/>
  <c r="I115" i="7"/>
  <c r="H115" i="7"/>
  <c r="G115" i="7"/>
  <c r="F115" i="7"/>
  <c r="E115" i="7"/>
  <c r="D115" i="7"/>
  <c r="C115" i="7"/>
  <c r="B114" i="7"/>
  <c r="A114" i="7"/>
  <c r="J114" i="7"/>
  <c r="I114" i="7"/>
  <c r="H114" i="7"/>
  <c r="G114" i="7"/>
  <c r="F114" i="7"/>
  <c r="E114" i="7"/>
  <c r="D114" i="7"/>
  <c r="C114" i="7"/>
  <c r="B113" i="7"/>
  <c r="A113" i="7"/>
  <c r="J113" i="7"/>
  <c r="I113" i="7"/>
  <c r="H113" i="7"/>
  <c r="G113" i="7"/>
  <c r="F113" i="7"/>
  <c r="E113" i="7"/>
  <c r="D113" i="7"/>
  <c r="C113" i="7"/>
  <c r="B112" i="7"/>
  <c r="A112" i="7"/>
  <c r="J112" i="7"/>
  <c r="I112" i="7"/>
  <c r="H112" i="7"/>
  <c r="G112" i="7"/>
  <c r="F112" i="7"/>
  <c r="E112" i="7"/>
  <c r="D112" i="7"/>
  <c r="C112" i="7"/>
  <c r="B111" i="7"/>
  <c r="A111" i="7"/>
  <c r="J111" i="7"/>
  <c r="I111" i="7"/>
  <c r="H111" i="7"/>
  <c r="G111" i="7"/>
  <c r="F111" i="7"/>
  <c r="E111" i="7"/>
  <c r="D111" i="7"/>
  <c r="C111" i="7"/>
  <c r="B110" i="7"/>
  <c r="A110" i="7"/>
  <c r="J110" i="7"/>
  <c r="I110" i="7"/>
  <c r="H110" i="7"/>
  <c r="G110" i="7"/>
  <c r="F110" i="7"/>
  <c r="E110" i="7"/>
  <c r="D110" i="7"/>
  <c r="C110" i="7"/>
  <c r="B109" i="7"/>
  <c r="A109" i="7"/>
  <c r="J109" i="7"/>
  <c r="I109" i="7"/>
  <c r="H109" i="7"/>
  <c r="G109" i="7"/>
  <c r="F109" i="7"/>
  <c r="E109" i="7"/>
  <c r="D109" i="7"/>
  <c r="C109" i="7"/>
  <c r="B108" i="7"/>
  <c r="A108" i="7"/>
  <c r="J108" i="7"/>
  <c r="I108" i="7"/>
  <c r="H108" i="7"/>
  <c r="G108" i="7"/>
  <c r="F108" i="7"/>
  <c r="E108" i="7"/>
  <c r="D108" i="7"/>
  <c r="C108" i="7"/>
  <c r="B107" i="7"/>
  <c r="A107" i="7"/>
  <c r="J107" i="7"/>
  <c r="I107" i="7"/>
  <c r="H107" i="7"/>
  <c r="G107" i="7"/>
  <c r="F107" i="7"/>
  <c r="E107" i="7"/>
  <c r="D107" i="7"/>
  <c r="C107" i="7"/>
  <c r="B106" i="7"/>
  <c r="A106" i="7"/>
  <c r="J106" i="7"/>
  <c r="I106" i="7"/>
  <c r="H106" i="7"/>
  <c r="G106" i="7"/>
  <c r="F106" i="7"/>
  <c r="E106" i="7"/>
  <c r="D106" i="7"/>
  <c r="C106" i="7"/>
  <c r="B105" i="7"/>
  <c r="A105" i="7"/>
  <c r="J105" i="7"/>
  <c r="I105" i="7"/>
  <c r="H105" i="7"/>
  <c r="G105" i="7"/>
  <c r="F105" i="7"/>
  <c r="E105" i="7"/>
  <c r="D105" i="7"/>
  <c r="C105" i="7"/>
  <c r="B104" i="7"/>
  <c r="A104" i="7"/>
  <c r="J104" i="7"/>
  <c r="I104" i="7"/>
  <c r="H104" i="7"/>
  <c r="G104" i="7"/>
  <c r="F104" i="7"/>
  <c r="E104" i="7"/>
  <c r="D104" i="7"/>
  <c r="C104" i="7"/>
  <c r="B103" i="7"/>
  <c r="A103" i="7"/>
  <c r="J103" i="7"/>
  <c r="I103" i="7"/>
  <c r="H103" i="7"/>
  <c r="G103" i="7"/>
  <c r="F103" i="7"/>
  <c r="E103" i="7"/>
  <c r="D103" i="7"/>
  <c r="C103" i="7"/>
  <c r="B102" i="7"/>
  <c r="A102" i="7"/>
  <c r="J102" i="7"/>
  <c r="I102" i="7"/>
  <c r="H102" i="7"/>
  <c r="G102" i="7"/>
  <c r="F102" i="7"/>
  <c r="E102" i="7"/>
  <c r="D102" i="7"/>
  <c r="C102" i="7"/>
  <c r="B101" i="7"/>
  <c r="A101" i="7"/>
  <c r="J101" i="7"/>
  <c r="I101" i="7"/>
  <c r="H101" i="7"/>
  <c r="G101" i="7"/>
  <c r="F101" i="7"/>
  <c r="E101" i="7"/>
  <c r="D101" i="7"/>
  <c r="C101" i="7"/>
  <c r="B100" i="7"/>
  <c r="A100" i="7"/>
  <c r="J100" i="7"/>
  <c r="I100" i="7"/>
  <c r="H100" i="7"/>
  <c r="G100" i="7"/>
  <c r="F100" i="7"/>
  <c r="E100" i="7"/>
  <c r="D100" i="7"/>
  <c r="C100" i="7"/>
  <c r="B99" i="7"/>
  <c r="A99" i="7"/>
  <c r="J99" i="7"/>
  <c r="I99" i="7"/>
  <c r="H99" i="7"/>
  <c r="G99" i="7"/>
  <c r="F99" i="7"/>
  <c r="E99" i="7"/>
  <c r="D99" i="7"/>
  <c r="C99" i="7"/>
  <c r="B98" i="7"/>
  <c r="A98" i="7"/>
  <c r="J98" i="7"/>
  <c r="I98" i="7"/>
  <c r="H98" i="7"/>
  <c r="G98" i="7"/>
  <c r="F98" i="7"/>
  <c r="E98" i="7"/>
  <c r="D98" i="7"/>
  <c r="C98" i="7"/>
  <c r="B97" i="7"/>
  <c r="A97" i="7"/>
  <c r="J97" i="7"/>
  <c r="I97" i="7"/>
  <c r="H97" i="7"/>
  <c r="G97" i="7"/>
  <c r="F97" i="7"/>
  <c r="E97" i="7"/>
  <c r="D97" i="7"/>
  <c r="C97" i="7"/>
  <c r="B96" i="7"/>
  <c r="A96" i="7"/>
  <c r="J96" i="7"/>
  <c r="I96" i="7"/>
  <c r="H96" i="7"/>
  <c r="G96" i="7"/>
  <c r="F96" i="7"/>
  <c r="E96" i="7"/>
  <c r="D96" i="7"/>
  <c r="C96" i="7"/>
  <c r="B95" i="7"/>
  <c r="A95" i="7"/>
  <c r="J95" i="7"/>
  <c r="I95" i="7"/>
  <c r="H95" i="7"/>
  <c r="G95" i="7"/>
  <c r="F95" i="7"/>
  <c r="E95" i="7"/>
  <c r="D95" i="7"/>
  <c r="C95" i="7"/>
  <c r="B94" i="7"/>
  <c r="A94" i="7"/>
  <c r="J94" i="7"/>
  <c r="I94" i="7"/>
  <c r="H94" i="7"/>
  <c r="G94" i="7"/>
  <c r="F94" i="7"/>
  <c r="E94" i="7"/>
  <c r="D94" i="7"/>
  <c r="C94" i="7"/>
  <c r="B93" i="7"/>
  <c r="A93" i="7"/>
  <c r="J93" i="7"/>
  <c r="I93" i="7"/>
  <c r="H93" i="7"/>
  <c r="G93" i="7"/>
  <c r="F93" i="7"/>
  <c r="E93" i="7"/>
  <c r="D93" i="7"/>
  <c r="C93" i="7"/>
  <c r="B92" i="7"/>
  <c r="A92" i="7"/>
  <c r="J92" i="7"/>
  <c r="I92" i="7"/>
  <c r="H92" i="7"/>
  <c r="G92" i="7"/>
  <c r="F92" i="7"/>
  <c r="E92" i="7"/>
  <c r="D92" i="7"/>
  <c r="C92" i="7"/>
  <c r="B91" i="7"/>
  <c r="A91" i="7"/>
  <c r="J91" i="7"/>
  <c r="I91" i="7"/>
  <c r="H91" i="7"/>
  <c r="G91" i="7"/>
  <c r="F91" i="7"/>
  <c r="E91" i="7"/>
  <c r="D91" i="7"/>
  <c r="C91" i="7"/>
  <c r="B90" i="7"/>
  <c r="A90" i="7"/>
  <c r="J90" i="7"/>
  <c r="I90" i="7"/>
  <c r="H90" i="7"/>
  <c r="G90" i="7"/>
  <c r="F90" i="7"/>
  <c r="E90" i="7"/>
  <c r="D90" i="7"/>
  <c r="C90" i="7"/>
  <c r="B89" i="7"/>
  <c r="A89" i="7"/>
  <c r="J89" i="7"/>
  <c r="I89" i="7"/>
  <c r="H89" i="7"/>
  <c r="G89" i="7"/>
  <c r="F89" i="7"/>
  <c r="E89" i="7"/>
  <c r="D89" i="7"/>
  <c r="C89" i="7"/>
  <c r="B88" i="7"/>
  <c r="A88" i="7"/>
  <c r="J88" i="7"/>
  <c r="I88" i="7"/>
  <c r="H88" i="7"/>
  <c r="G88" i="7"/>
  <c r="F88" i="7"/>
  <c r="E88" i="7"/>
  <c r="D88" i="7"/>
  <c r="C88" i="7"/>
  <c r="B87" i="7"/>
  <c r="A87" i="7"/>
  <c r="J87" i="7"/>
  <c r="I87" i="7"/>
  <c r="H87" i="7"/>
  <c r="G87" i="7"/>
  <c r="F87" i="7"/>
  <c r="E87" i="7"/>
  <c r="D87" i="7"/>
  <c r="C87" i="7"/>
  <c r="B86" i="7"/>
  <c r="A86" i="7"/>
  <c r="J86" i="7"/>
  <c r="I86" i="7"/>
  <c r="H86" i="7"/>
  <c r="G86" i="7"/>
  <c r="F86" i="7"/>
  <c r="E86" i="7"/>
  <c r="D86" i="7"/>
  <c r="C86" i="7"/>
  <c r="B85" i="7"/>
  <c r="A85" i="7"/>
  <c r="J85" i="7"/>
  <c r="I85" i="7"/>
  <c r="H85" i="7"/>
  <c r="G85" i="7"/>
  <c r="F85" i="7"/>
  <c r="E85" i="7"/>
  <c r="D85" i="7"/>
  <c r="C85" i="7"/>
  <c r="B84" i="7"/>
  <c r="A84" i="7"/>
  <c r="J84" i="7"/>
  <c r="I84" i="7"/>
  <c r="H84" i="7"/>
  <c r="G84" i="7"/>
  <c r="F84" i="7"/>
  <c r="E84" i="7"/>
  <c r="D84" i="7"/>
  <c r="C84" i="7"/>
  <c r="B83" i="7"/>
  <c r="A83" i="7"/>
  <c r="J83" i="7"/>
  <c r="I83" i="7"/>
  <c r="H83" i="7"/>
  <c r="G83" i="7"/>
  <c r="F83" i="7"/>
  <c r="E83" i="7"/>
  <c r="D83" i="7"/>
  <c r="C83" i="7"/>
  <c r="B82" i="7"/>
  <c r="A82" i="7"/>
  <c r="J82" i="7"/>
  <c r="I82" i="7"/>
  <c r="H82" i="7"/>
  <c r="G82" i="7"/>
  <c r="F82" i="7"/>
  <c r="E82" i="7"/>
  <c r="D82" i="7"/>
  <c r="C82" i="7"/>
  <c r="B81" i="7"/>
  <c r="A81" i="7"/>
  <c r="J81" i="7"/>
  <c r="I81" i="7"/>
  <c r="H81" i="7"/>
  <c r="G81" i="7"/>
  <c r="F81" i="7"/>
  <c r="E81" i="7"/>
  <c r="D81" i="7"/>
  <c r="C81" i="7"/>
  <c r="B80" i="7"/>
  <c r="A80" i="7"/>
  <c r="J80" i="7"/>
  <c r="I80" i="7"/>
  <c r="H80" i="7"/>
  <c r="G80" i="7"/>
  <c r="F80" i="7"/>
  <c r="E80" i="7"/>
  <c r="D80" i="7"/>
  <c r="C80" i="7"/>
  <c r="B79" i="7"/>
  <c r="A79" i="7"/>
  <c r="J79" i="7"/>
  <c r="I79" i="7"/>
  <c r="H79" i="7"/>
  <c r="G79" i="7"/>
  <c r="F79" i="7"/>
  <c r="E79" i="7"/>
  <c r="D79" i="7"/>
  <c r="C79" i="7"/>
  <c r="B78" i="7"/>
  <c r="A78" i="7"/>
  <c r="J78" i="7"/>
  <c r="I78" i="7"/>
  <c r="H78" i="7"/>
  <c r="G78" i="7"/>
  <c r="F78" i="7"/>
  <c r="E78" i="7"/>
  <c r="D78" i="7"/>
  <c r="C78" i="7"/>
  <c r="B77" i="7"/>
  <c r="A77" i="7"/>
  <c r="J77" i="7"/>
  <c r="I77" i="7"/>
  <c r="H77" i="7"/>
  <c r="G77" i="7"/>
  <c r="F77" i="7"/>
  <c r="E77" i="7"/>
  <c r="D77" i="7"/>
  <c r="C77" i="7"/>
  <c r="B76" i="7"/>
  <c r="A76" i="7"/>
  <c r="J76" i="7"/>
  <c r="I76" i="7"/>
  <c r="H76" i="7"/>
  <c r="G76" i="7"/>
  <c r="F76" i="7"/>
  <c r="E76" i="7"/>
  <c r="D76" i="7"/>
  <c r="C76" i="7"/>
  <c r="B75" i="7"/>
  <c r="A75" i="7"/>
  <c r="J75" i="7"/>
  <c r="I75" i="7"/>
  <c r="H75" i="7"/>
  <c r="G75" i="7"/>
  <c r="F75" i="7"/>
  <c r="E75" i="7"/>
  <c r="D75" i="7"/>
  <c r="C75" i="7"/>
  <c r="B74" i="7"/>
  <c r="A74" i="7"/>
  <c r="J74" i="7"/>
  <c r="I74" i="7"/>
  <c r="H74" i="7"/>
  <c r="G74" i="7"/>
  <c r="F74" i="7"/>
  <c r="E74" i="7"/>
  <c r="D74" i="7"/>
  <c r="C74" i="7"/>
  <c r="B73" i="7"/>
  <c r="A73" i="7"/>
  <c r="J73" i="7"/>
  <c r="I73" i="7"/>
  <c r="H73" i="7"/>
  <c r="G73" i="7"/>
  <c r="F73" i="7"/>
  <c r="E73" i="7"/>
  <c r="D73" i="7"/>
  <c r="C73" i="7"/>
  <c r="B72" i="7"/>
  <c r="A72" i="7"/>
  <c r="J72" i="7"/>
  <c r="I72" i="7"/>
  <c r="H72" i="7"/>
  <c r="G72" i="7"/>
  <c r="F72" i="7"/>
  <c r="E72" i="7"/>
  <c r="D72" i="7"/>
  <c r="C72" i="7"/>
  <c r="B71" i="7"/>
  <c r="A71" i="7"/>
  <c r="J71" i="7"/>
  <c r="I71" i="7"/>
  <c r="H71" i="7"/>
  <c r="G71" i="7"/>
  <c r="F71" i="7"/>
  <c r="E71" i="7"/>
  <c r="D71" i="7"/>
  <c r="C71" i="7"/>
  <c r="B70" i="7"/>
  <c r="A70" i="7"/>
  <c r="J70" i="7"/>
  <c r="I70" i="7"/>
  <c r="H70" i="7"/>
  <c r="G70" i="7"/>
  <c r="F70" i="7"/>
  <c r="E70" i="7"/>
  <c r="D70" i="7"/>
  <c r="C70" i="7"/>
  <c r="B69" i="7"/>
  <c r="A69" i="7"/>
  <c r="J69" i="7"/>
  <c r="I69" i="7"/>
  <c r="H69" i="7"/>
  <c r="G69" i="7"/>
  <c r="F69" i="7"/>
  <c r="E69" i="7"/>
  <c r="D69" i="7"/>
  <c r="C69" i="7"/>
  <c r="B68" i="7"/>
  <c r="A68" i="7"/>
  <c r="J68" i="7"/>
  <c r="I68" i="7"/>
  <c r="H68" i="7"/>
  <c r="G68" i="7"/>
  <c r="F68" i="7"/>
  <c r="E68" i="7"/>
  <c r="D68" i="7"/>
  <c r="C68" i="7"/>
  <c r="B67" i="7"/>
  <c r="A67" i="7"/>
  <c r="J67" i="7"/>
  <c r="I67" i="7"/>
  <c r="H67" i="7"/>
  <c r="G67" i="7"/>
  <c r="F67" i="7"/>
  <c r="E67" i="7"/>
  <c r="D67" i="7"/>
  <c r="C67" i="7"/>
  <c r="B66" i="7"/>
  <c r="A66" i="7"/>
  <c r="J66" i="7"/>
  <c r="I66" i="7"/>
  <c r="H66" i="7"/>
  <c r="G66" i="7"/>
  <c r="F66" i="7"/>
  <c r="E66" i="7"/>
  <c r="D66" i="7"/>
  <c r="C66" i="7"/>
  <c r="B65" i="7"/>
  <c r="A65" i="7"/>
  <c r="J65" i="7"/>
  <c r="I65" i="7"/>
  <c r="H65" i="7"/>
  <c r="G65" i="7"/>
  <c r="F65" i="7"/>
  <c r="E65" i="7"/>
  <c r="D65" i="7"/>
  <c r="C65" i="7"/>
  <c r="B64" i="7"/>
  <c r="A64" i="7"/>
  <c r="J64" i="7"/>
  <c r="I64" i="7"/>
  <c r="H64" i="7"/>
  <c r="G64" i="7"/>
  <c r="F64" i="7"/>
  <c r="E64" i="7"/>
  <c r="D64" i="7"/>
  <c r="C64" i="7"/>
  <c r="B63" i="7"/>
  <c r="A63" i="7"/>
  <c r="J63" i="7"/>
  <c r="I63" i="7"/>
  <c r="H63" i="7"/>
  <c r="G63" i="7"/>
  <c r="F63" i="7"/>
  <c r="E63" i="7"/>
  <c r="D63" i="7"/>
  <c r="C63" i="7"/>
  <c r="B62" i="7"/>
  <c r="A62" i="7"/>
  <c r="J62" i="7"/>
  <c r="I62" i="7"/>
  <c r="H62" i="7"/>
  <c r="G62" i="7"/>
  <c r="F62" i="7"/>
  <c r="E62" i="7"/>
  <c r="D62" i="7"/>
  <c r="C62" i="7"/>
  <c r="B61" i="7"/>
  <c r="A61" i="7"/>
  <c r="J61" i="7"/>
  <c r="I61" i="7"/>
  <c r="H61" i="7"/>
  <c r="G61" i="7"/>
  <c r="F61" i="7"/>
  <c r="E61" i="7"/>
  <c r="D61" i="7"/>
  <c r="C61" i="7"/>
  <c r="B60" i="7"/>
  <c r="A60" i="7"/>
  <c r="J60" i="7"/>
  <c r="I60" i="7"/>
  <c r="H60" i="7"/>
  <c r="G60" i="7"/>
  <c r="F60" i="7"/>
  <c r="E60" i="7"/>
  <c r="D60" i="7"/>
  <c r="C60" i="7"/>
  <c r="B59" i="7"/>
  <c r="A59" i="7"/>
  <c r="J59" i="7"/>
  <c r="I59" i="7"/>
  <c r="H59" i="7"/>
  <c r="G59" i="7"/>
  <c r="F59" i="7"/>
  <c r="E59" i="7"/>
  <c r="D59" i="7"/>
  <c r="C59" i="7"/>
  <c r="B58" i="7"/>
  <c r="A58" i="7"/>
  <c r="J58" i="7"/>
  <c r="I58" i="7"/>
  <c r="H58" i="7"/>
  <c r="G58" i="7"/>
  <c r="F58" i="7"/>
  <c r="E58" i="7"/>
  <c r="D58" i="7"/>
  <c r="C58" i="7"/>
  <c r="B57" i="7"/>
  <c r="A57" i="7"/>
  <c r="J57" i="7"/>
  <c r="I57" i="7"/>
  <c r="H57" i="7"/>
  <c r="G57" i="7"/>
  <c r="F57" i="7"/>
  <c r="E57" i="7"/>
  <c r="D57" i="7"/>
  <c r="C57" i="7"/>
  <c r="B56" i="7"/>
  <c r="A56" i="7"/>
  <c r="J56" i="7"/>
  <c r="I56" i="7"/>
  <c r="H56" i="7"/>
  <c r="G56" i="7"/>
  <c r="F56" i="7"/>
  <c r="E56" i="7"/>
  <c r="D56" i="7"/>
  <c r="C56" i="7"/>
  <c r="B55" i="7"/>
  <c r="A55" i="7"/>
  <c r="J55" i="7"/>
  <c r="I55" i="7"/>
  <c r="H55" i="7"/>
  <c r="G55" i="7"/>
  <c r="F55" i="7"/>
  <c r="E55" i="7"/>
  <c r="D55" i="7"/>
  <c r="C55" i="7"/>
  <c r="B54" i="7"/>
  <c r="A54" i="7"/>
  <c r="J54" i="7"/>
  <c r="I54" i="7"/>
  <c r="H54" i="7"/>
  <c r="G54" i="7"/>
  <c r="F54" i="7"/>
  <c r="E54" i="7"/>
  <c r="D54" i="7"/>
  <c r="C54" i="7"/>
  <c r="B53" i="7"/>
  <c r="A53" i="7"/>
  <c r="J53" i="7"/>
  <c r="I53" i="7"/>
  <c r="H53" i="7"/>
  <c r="G53" i="7"/>
  <c r="F53" i="7"/>
  <c r="E53" i="7"/>
  <c r="D53" i="7"/>
  <c r="C53" i="7"/>
  <c r="B52" i="7"/>
  <c r="A52" i="7"/>
  <c r="J52" i="7"/>
  <c r="I52" i="7"/>
  <c r="H52" i="7"/>
  <c r="G52" i="7"/>
  <c r="F52" i="7"/>
  <c r="E52" i="7"/>
  <c r="D52" i="7"/>
  <c r="C52" i="7"/>
  <c r="B51" i="7"/>
  <c r="A51" i="7"/>
  <c r="J51" i="7"/>
  <c r="I51" i="7"/>
  <c r="H51" i="7"/>
  <c r="G51" i="7"/>
  <c r="F51" i="7"/>
  <c r="E51" i="7"/>
  <c r="D51" i="7"/>
  <c r="C51" i="7"/>
  <c r="B50" i="7"/>
  <c r="A50" i="7"/>
  <c r="J50" i="7"/>
  <c r="I50" i="7"/>
  <c r="H50" i="7"/>
  <c r="G50" i="7"/>
  <c r="F50" i="7"/>
  <c r="E50" i="7"/>
  <c r="D50" i="7"/>
  <c r="C50" i="7"/>
  <c r="B49" i="7"/>
  <c r="A49" i="7"/>
  <c r="J49" i="7"/>
  <c r="I49" i="7"/>
  <c r="H49" i="7"/>
  <c r="G49" i="7"/>
  <c r="F49" i="7"/>
  <c r="E49" i="7"/>
  <c r="D49" i="7"/>
  <c r="C49" i="7"/>
  <c r="B48" i="7"/>
  <c r="A48" i="7"/>
  <c r="J48" i="7"/>
  <c r="I48" i="7"/>
  <c r="H48" i="7"/>
  <c r="G48" i="7"/>
  <c r="F48" i="7"/>
  <c r="E48" i="7"/>
  <c r="D48" i="7"/>
  <c r="C48" i="7"/>
  <c r="B47" i="7"/>
  <c r="A47" i="7"/>
  <c r="J47" i="7"/>
  <c r="I47" i="7"/>
  <c r="H47" i="7"/>
  <c r="G47" i="7"/>
  <c r="F47" i="7"/>
  <c r="E47" i="7"/>
  <c r="D47" i="7"/>
  <c r="C47" i="7"/>
  <c r="B46" i="7"/>
  <c r="A46" i="7"/>
  <c r="J46" i="7"/>
  <c r="I46" i="7"/>
  <c r="H46" i="7"/>
  <c r="G46" i="7"/>
  <c r="F46" i="7"/>
  <c r="E46" i="7"/>
  <c r="D46" i="7"/>
  <c r="C46" i="7"/>
  <c r="B45" i="7"/>
  <c r="A45" i="7"/>
  <c r="J45" i="7"/>
  <c r="I45" i="7"/>
  <c r="H45" i="7"/>
  <c r="G45" i="7"/>
  <c r="F45" i="7"/>
  <c r="E45" i="7"/>
  <c r="D45" i="7"/>
  <c r="C45" i="7"/>
  <c r="B44" i="7"/>
  <c r="A44" i="7"/>
  <c r="J44" i="7"/>
  <c r="I44" i="7"/>
  <c r="H44" i="7"/>
  <c r="G44" i="7"/>
  <c r="F44" i="7"/>
  <c r="E44" i="7"/>
  <c r="D44" i="7"/>
  <c r="C44" i="7"/>
  <c r="B43" i="7"/>
  <c r="A43" i="7"/>
  <c r="J43" i="7"/>
  <c r="I43" i="7"/>
  <c r="H43" i="7"/>
  <c r="G43" i="7"/>
  <c r="F43" i="7"/>
  <c r="E43" i="7"/>
  <c r="D43" i="7"/>
  <c r="C43" i="7"/>
  <c r="B42" i="7"/>
  <c r="A42" i="7"/>
  <c r="H42" i="7"/>
  <c r="G42" i="7"/>
  <c r="F42" i="7"/>
  <c r="D42" i="7"/>
  <c r="C42" i="7"/>
  <c r="H41" i="7"/>
  <c r="C41" i="7"/>
  <c r="H40" i="7"/>
  <c r="C40" i="7"/>
  <c r="H39" i="7"/>
  <c r="C39" i="7"/>
  <c r="H38" i="7"/>
  <c r="C38" i="7"/>
  <c r="H37" i="7"/>
  <c r="C37" i="7"/>
  <c r="H36" i="7"/>
  <c r="C36" i="7"/>
  <c r="H35" i="7"/>
  <c r="C35" i="7"/>
  <c r="H34" i="7"/>
  <c r="C34" i="7"/>
  <c r="H33" i="7"/>
  <c r="C33" i="7"/>
  <c r="J32" i="7"/>
  <c r="I32" i="7"/>
  <c r="H32" i="7"/>
  <c r="G32" i="7"/>
  <c r="F32" i="7"/>
  <c r="E32" i="7"/>
  <c r="D32" i="7"/>
  <c r="C32" i="7"/>
  <c r="B32" i="7"/>
  <c r="A32" i="7"/>
  <c r="J31" i="7"/>
  <c r="I31" i="7"/>
  <c r="H31" i="7"/>
  <c r="G31" i="7"/>
  <c r="F31" i="7"/>
  <c r="E31" i="7"/>
  <c r="D31" i="7"/>
  <c r="C31" i="7"/>
  <c r="B31" i="7"/>
  <c r="A31" i="7"/>
  <c r="J451" i="6"/>
  <c r="I451" i="6"/>
  <c r="H451" i="6"/>
  <c r="G451" i="6"/>
  <c r="F451" i="6"/>
  <c r="E451" i="6"/>
  <c r="D451" i="6"/>
  <c r="C451" i="6"/>
  <c r="B450" i="6"/>
  <c r="A450" i="6"/>
  <c r="J450" i="6"/>
  <c r="I450" i="6"/>
  <c r="H450" i="6"/>
  <c r="G450" i="6"/>
  <c r="F450" i="6"/>
  <c r="E450" i="6"/>
  <c r="D450" i="6"/>
  <c r="C450" i="6"/>
  <c r="B449" i="6"/>
  <c r="A449" i="6"/>
  <c r="J449" i="6"/>
  <c r="I449" i="6"/>
  <c r="H449" i="6"/>
  <c r="G449" i="6"/>
  <c r="F449" i="6"/>
  <c r="E449" i="6"/>
  <c r="D449" i="6"/>
  <c r="C449" i="6"/>
  <c r="B448" i="6"/>
  <c r="A448" i="6"/>
  <c r="J448" i="6"/>
  <c r="I448" i="6"/>
  <c r="H448" i="6"/>
  <c r="G448" i="6"/>
  <c r="F448" i="6"/>
  <c r="E448" i="6"/>
  <c r="D448" i="6"/>
  <c r="C448" i="6"/>
  <c r="B447" i="6"/>
  <c r="A447" i="6"/>
  <c r="J447" i="6"/>
  <c r="I447" i="6"/>
  <c r="H447" i="6"/>
  <c r="G447" i="6"/>
  <c r="F447" i="6"/>
  <c r="E447" i="6"/>
  <c r="D447" i="6"/>
  <c r="C447" i="6"/>
  <c r="B446" i="6"/>
  <c r="A446" i="6"/>
  <c r="J446" i="6"/>
  <c r="I446" i="6"/>
  <c r="H446" i="6"/>
  <c r="G446" i="6"/>
  <c r="F446" i="6"/>
  <c r="E446" i="6"/>
  <c r="D446" i="6"/>
  <c r="C446" i="6"/>
  <c r="B445" i="6"/>
  <c r="A445" i="6"/>
  <c r="J445" i="6"/>
  <c r="I445" i="6"/>
  <c r="H445" i="6"/>
  <c r="G445" i="6"/>
  <c r="F445" i="6"/>
  <c r="E445" i="6"/>
  <c r="D445" i="6"/>
  <c r="C445" i="6"/>
  <c r="B444" i="6"/>
  <c r="A444" i="6"/>
  <c r="J444" i="6"/>
  <c r="I444" i="6"/>
  <c r="H444" i="6"/>
  <c r="G444" i="6"/>
  <c r="F444" i="6"/>
  <c r="E444" i="6"/>
  <c r="D444" i="6"/>
  <c r="C444" i="6"/>
  <c r="B443" i="6"/>
  <c r="A443" i="6"/>
  <c r="J443" i="6"/>
  <c r="I443" i="6"/>
  <c r="H443" i="6"/>
  <c r="G443" i="6"/>
  <c r="F443" i="6"/>
  <c r="E443" i="6"/>
  <c r="D443" i="6"/>
  <c r="C443" i="6"/>
  <c r="B442" i="6"/>
  <c r="A442" i="6"/>
  <c r="J442" i="6"/>
  <c r="I442" i="6"/>
  <c r="H442" i="6"/>
  <c r="G442" i="6"/>
  <c r="F442" i="6"/>
  <c r="E442" i="6"/>
  <c r="D442" i="6"/>
  <c r="C442" i="6"/>
  <c r="B441" i="6"/>
  <c r="A441" i="6"/>
  <c r="J441" i="6"/>
  <c r="I441" i="6"/>
  <c r="H441" i="6"/>
  <c r="G441" i="6"/>
  <c r="F441" i="6"/>
  <c r="E441" i="6"/>
  <c r="D441" i="6"/>
  <c r="C441" i="6"/>
  <c r="B440" i="6"/>
  <c r="A440" i="6"/>
  <c r="J440" i="6"/>
  <c r="I440" i="6"/>
  <c r="H440" i="6"/>
  <c r="G440" i="6"/>
  <c r="F440" i="6"/>
  <c r="E440" i="6"/>
  <c r="D440" i="6"/>
  <c r="C440" i="6"/>
  <c r="B439" i="6"/>
  <c r="A439" i="6"/>
  <c r="J439" i="6"/>
  <c r="I439" i="6"/>
  <c r="H439" i="6"/>
  <c r="G439" i="6"/>
  <c r="F439" i="6"/>
  <c r="E439" i="6"/>
  <c r="D439" i="6"/>
  <c r="C439" i="6"/>
  <c r="B438" i="6"/>
  <c r="A438" i="6"/>
  <c r="J438" i="6"/>
  <c r="I438" i="6"/>
  <c r="H438" i="6"/>
  <c r="G438" i="6"/>
  <c r="F438" i="6"/>
  <c r="E438" i="6"/>
  <c r="D438" i="6"/>
  <c r="C438" i="6"/>
  <c r="B437" i="6"/>
  <c r="A437" i="6"/>
  <c r="J437" i="6"/>
  <c r="I437" i="6"/>
  <c r="H437" i="6"/>
  <c r="G437" i="6"/>
  <c r="F437" i="6"/>
  <c r="E437" i="6"/>
  <c r="D437" i="6"/>
  <c r="C437" i="6"/>
  <c r="B436" i="6"/>
  <c r="A436" i="6"/>
  <c r="J436" i="6"/>
  <c r="I436" i="6"/>
  <c r="H436" i="6"/>
  <c r="G436" i="6"/>
  <c r="F436" i="6"/>
  <c r="E436" i="6"/>
  <c r="D436" i="6"/>
  <c r="C436" i="6"/>
  <c r="B435" i="6"/>
  <c r="A435" i="6"/>
  <c r="J435" i="6"/>
  <c r="I435" i="6"/>
  <c r="H435" i="6"/>
  <c r="G435" i="6"/>
  <c r="F435" i="6"/>
  <c r="E435" i="6"/>
  <c r="D435" i="6"/>
  <c r="C435" i="6"/>
  <c r="B434" i="6"/>
  <c r="A434" i="6"/>
  <c r="J434" i="6"/>
  <c r="I434" i="6"/>
  <c r="H434" i="6"/>
  <c r="G434" i="6"/>
  <c r="F434" i="6"/>
  <c r="E434" i="6"/>
  <c r="D434" i="6"/>
  <c r="C434" i="6"/>
  <c r="B433" i="6"/>
  <c r="A433" i="6"/>
  <c r="J433" i="6"/>
  <c r="I433" i="6"/>
  <c r="H433" i="6"/>
  <c r="G433" i="6"/>
  <c r="F433" i="6"/>
  <c r="E433" i="6"/>
  <c r="D433" i="6"/>
  <c r="C433" i="6"/>
  <c r="B432" i="6"/>
  <c r="A432" i="6"/>
  <c r="J432" i="6"/>
  <c r="I432" i="6"/>
  <c r="H432" i="6"/>
  <c r="G432" i="6"/>
  <c r="F432" i="6"/>
  <c r="E432" i="6"/>
  <c r="D432" i="6"/>
  <c r="C432" i="6"/>
  <c r="B431" i="6"/>
  <c r="A431" i="6"/>
  <c r="J431" i="6"/>
  <c r="I431" i="6"/>
  <c r="H431" i="6"/>
  <c r="G431" i="6"/>
  <c r="F431" i="6"/>
  <c r="E431" i="6"/>
  <c r="D431" i="6"/>
  <c r="C431" i="6"/>
  <c r="B430" i="6"/>
  <c r="A430" i="6"/>
  <c r="J430" i="6"/>
  <c r="I430" i="6"/>
  <c r="H430" i="6"/>
  <c r="G430" i="6"/>
  <c r="F430" i="6"/>
  <c r="E430" i="6"/>
  <c r="D430" i="6"/>
  <c r="C430" i="6"/>
  <c r="B429" i="6"/>
  <c r="A429" i="6"/>
  <c r="J429" i="6"/>
  <c r="I429" i="6"/>
  <c r="H429" i="6"/>
  <c r="G429" i="6"/>
  <c r="F429" i="6"/>
  <c r="E429" i="6"/>
  <c r="D429" i="6"/>
  <c r="C429" i="6"/>
  <c r="B428" i="6"/>
  <c r="A428" i="6"/>
  <c r="J428" i="6"/>
  <c r="I428" i="6"/>
  <c r="H428" i="6"/>
  <c r="G428" i="6"/>
  <c r="F428" i="6"/>
  <c r="E428" i="6"/>
  <c r="D428" i="6"/>
  <c r="C428" i="6"/>
  <c r="B427" i="6"/>
  <c r="A427" i="6"/>
  <c r="J427" i="6"/>
  <c r="I427" i="6"/>
  <c r="H427" i="6"/>
  <c r="G427" i="6"/>
  <c r="F427" i="6"/>
  <c r="E427" i="6"/>
  <c r="D427" i="6"/>
  <c r="C427" i="6"/>
  <c r="B426" i="6"/>
  <c r="A426" i="6"/>
  <c r="J426" i="6"/>
  <c r="I426" i="6"/>
  <c r="H426" i="6"/>
  <c r="G426" i="6"/>
  <c r="F426" i="6"/>
  <c r="E426" i="6"/>
  <c r="D426" i="6"/>
  <c r="C426" i="6"/>
  <c r="B425" i="6"/>
  <c r="A425" i="6"/>
  <c r="J425" i="6"/>
  <c r="I425" i="6"/>
  <c r="H425" i="6"/>
  <c r="G425" i="6"/>
  <c r="F425" i="6"/>
  <c r="E425" i="6"/>
  <c r="D425" i="6"/>
  <c r="C425" i="6"/>
  <c r="B424" i="6"/>
  <c r="A424" i="6"/>
  <c r="J424" i="6"/>
  <c r="I424" i="6"/>
  <c r="H424" i="6"/>
  <c r="G424" i="6"/>
  <c r="F424" i="6"/>
  <c r="E424" i="6"/>
  <c r="D424" i="6"/>
  <c r="C424" i="6"/>
  <c r="B423" i="6"/>
  <c r="A423" i="6"/>
  <c r="J423" i="6"/>
  <c r="I423" i="6"/>
  <c r="H423" i="6"/>
  <c r="G423" i="6"/>
  <c r="F423" i="6"/>
  <c r="E423" i="6"/>
  <c r="D423" i="6"/>
  <c r="C423" i="6"/>
  <c r="B422" i="6"/>
  <c r="A422" i="6"/>
  <c r="J422" i="6"/>
  <c r="I422" i="6"/>
  <c r="H422" i="6"/>
  <c r="G422" i="6"/>
  <c r="F422" i="6"/>
  <c r="E422" i="6"/>
  <c r="D422" i="6"/>
  <c r="C422" i="6"/>
  <c r="B421" i="6"/>
  <c r="A421" i="6"/>
  <c r="J421" i="6"/>
  <c r="I421" i="6"/>
  <c r="H421" i="6"/>
  <c r="G421" i="6"/>
  <c r="F421" i="6"/>
  <c r="E421" i="6"/>
  <c r="D421" i="6"/>
  <c r="C421" i="6"/>
  <c r="B420" i="6"/>
  <c r="A420" i="6"/>
  <c r="J420" i="6"/>
  <c r="I420" i="6"/>
  <c r="H420" i="6"/>
  <c r="G420" i="6"/>
  <c r="F420" i="6"/>
  <c r="E420" i="6"/>
  <c r="D420" i="6"/>
  <c r="C420" i="6"/>
  <c r="B419" i="6"/>
  <c r="A419" i="6"/>
  <c r="J419" i="6"/>
  <c r="I419" i="6"/>
  <c r="H419" i="6"/>
  <c r="G419" i="6"/>
  <c r="F419" i="6"/>
  <c r="E419" i="6"/>
  <c r="D419" i="6"/>
  <c r="C419" i="6"/>
  <c r="B418" i="6"/>
  <c r="A418" i="6"/>
  <c r="J418" i="6"/>
  <c r="I418" i="6"/>
  <c r="H418" i="6"/>
  <c r="G418" i="6"/>
  <c r="F418" i="6"/>
  <c r="E418" i="6"/>
  <c r="D418" i="6"/>
  <c r="C418" i="6"/>
  <c r="B417" i="6"/>
  <c r="A417" i="6"/>
  <c r="J417" i="6"/>
  <c r="I417" i="6"/>
  <c r="H417" i="6"/>
  <c r="G417" i="6"/>
  <c r="F417" i="6"/>
  <c r="E417" i="6"/>
  <c r="D417" i="6"/>
  <c r="C417" i="6"/>
  <c r="B416" i="6"/>
  <c r="A416" i="6"/>
  <c r="J416" i="6"/>
  <c r="I416" i="6"/>
  <c r="H416" i="6"/>
  <c r="G416" i="6"/>
  <c r="F416" i="6"/>
  <c r="E416" i="6"/>
  <c r="D416" i="6"/>
  <c r="C416" i="6"/>
  <c r="B415" i="6"/>
  <c r="A415" i="6"/>
  <c r="J415" i="6"/>
  <c r="I415" i="6"/>
  <c r="H415" i="6"/>
  <c r="G415" i="6"/>
  <c r="F415" i="6"/>
  <c r="E415" i="6"/>
  <c r="D415" i="6"/>
  <c r="C415" i="6"/>
  <c r="B414" i="6"/>
  <c r="A414" i="6"/>
  <c r="J414" i="6"/>
  <c r="I414" i="6"/>
  <c r="H414" i="6"/>
  <c r="G414" i="6"/>
  <c r="F414" i="6"/>
  <c r="E414" i="6"/>
  <c r="D414" i="6"/>
  <c r="C414" i="6"/>
  <c r="B413" i="6"/>
  <c r="A413" i="6"/>
  <c r="J413" i="6"/>
  <c r="I413" i="6"/>
  <c r="H413" i="6"/>
  <c r="G413" i="6"/>
  <c r="F413" i="6"/>
  <c r="E413" i="6"/>
  <c r="D413" i="6"/>
  <c r="C413" i="6"/>
  <c r="B412" i="6"/>
  <c r="A412" i="6"/>
  <c r="J412" i="6"/>
  <c r="I412" i="6"/>
  <c r="H412" i="6"/>
  <c r="G412" i="6"/>
  <c r="F412" i="6"/>
  <c r="E412" i="6"/>
  <c r="D412" i="6"/>
  <c r="C412" i="6"/>
  <c r="B411" i="6"/>
  <c r="A411" i="6"/>
  <c r="J411" i="6"/>
  <c r="I411" i="6"/>
  <c r="H411" i="6"/>
  <c r="G411" i="6"/>
  <c r="F411" i="6"/>
  <c r="E411" i="6"/>
  <c r="D411" i="6"/>
  <c r="C411" i="6"/>
  <c r="B410" i="6"/>
  <c r="A410" i="6"/>
  <c r="J410" i="6"/>
  <c r="I410" i="6"/>
  <c r="H410" i="6"/>
  <c r="G410" i="6"/>
  <c r="F410" i="6"/>
  <c r="E410" i="6"/>
  <c r="D410" i="6"/>
  <c r="C410" i="6"/>
  <c r="B409" i="6"/>
  <c r="A409" i="6"/>
  <c r="J409" i="6"/>
  <c r="I409" i="6"/>
  <c r="H409" i="6"/>
  <c r="G409" i="6"/>
  <c r="F409" i="6"/>
  <c r="E409" i="6"/>
  <c r="D409" i="6"/>
  <c r="C409" i="6"/>
  <c r="B408" i="6"/>
  <c r="A408" i="6"/>
  <c r="J408" i="6"/>
  <c r="I408" i="6"/>
  <c r="H408" i="6"/>
  <c r="G408" i="6"/>
  <c r="F408" i="6"/>
  <c r="E408" i="6"/>
  <c r="D408" i="6"/>
  <c r="C408" i="6"/>
  <c r="B407" i="6"/>
  <c r="A407" i="6"/>
  <c r="J407" i="6"/>
  <c r="I407" i="6"/>
  <c r="H407" i="6"/>
  <c r="G407" i="6"/>
  <c r="F407" i="6"/>
  <c r="E407" i="6"/>
  <c r="D407" i="6"/>
  <c r="C407" i="6"/>
  <c r="B406" i="6"/>
  <c r="A406" i="6"/>
  <c r="J406" i="6"/>
  <c r="I406" i="6"/>
  <c r="H406" i="6"/>
  <c r="G406" i="6"/>
  <c r="F406" i="6"/>
  <c r="E406" i="6"/>
  <c r="D406" i="6"/>
  <c r="C406" i="6"/>
  <c r="B405" i="6"/>
  <c r="A405" i="6"/>
  <c r="J405" i="6"/>
  <c r="I405" i="6"/>
  <c r="H405" i="6"/>
  <c r="G405" i="6"/>
  <c r="F405" i="6"/>
  <c r="E405" i="6"/>
  <c r="D405" i="6"/>
  <c r="C405" i="6"/>
  <c r="B404" i="6"/>
  <c r="A404" i="6"/>
  <c r="J404" i="6"/>
  <c r="I404" i="6"/>
  <c r="H404" i="6"/>
  <c r="G404" i="6"/>
  <c r="F404" i="6"/>
  <c r="E404" i="6"/>
  <c r="D404" i="6"/>
  <c r="C404" i="6"/>
  <c r="B403" i="6"/>
  <c r="A403" i="6"/>
  <c r="J403" i="6"/>
  <c r="I403" i="6"/>
  <c r="H403" i="6"/>
  <c r="G403" i="6"/>
  <c r="F403" i="6"/>
  <c r="E403" i="6"/>
  <c r="D403" i="6"/>
  <c r="C403" i="6"/>
  <c r="B402" i="6"/>
  <c r="A402" i="6"/>
  <c r="J402" i="6"/>
  <c r="I402" i="6"/>
  <c r="H402" i="6"/>
  <c r="G402" i="6"/>
  <c r="F402" i="6"/>
  <c r="E402" i="6"/>
  <c r="D402" i="6"/>
  <c r="C402" i="6"/>
  <c r="B401" i="6"/>
  <c r="A401" i="6"/>
  <c r="J401" i="6"/>
  <c r="I401" i="6"/>
  <c r="H401" i="6"/>
  <c r="G401" i="6"/>
  <c r="F401" i="6"/>
  <c r="E401" i="6"/>
  <c r="D401" i="6"/>
  <c r="C401" i="6"/>
  <c r="B400" i="6"/>
  <c r="A400" i="6"/>
  <c r="J400" i="6"/>
  <c r="I400" i="6"/>
  <c r="H400" i="6"/>
  <c r="G400" i="6"/>
  <c r="F400" i="6"/>
  <c r="E400" i="6"/>
  <c r="D400" i="6"/>
  <c r="C400" i="6"/>
  <c r="B399" i="6"/>
  <c r="A399" i="6"/>
  <c r="J399" i="6"/>
  <c r="I399" i="6"/>
  <c r="H399" i="6"/>
  <c r="G399" i="6"/>
  <c r="F399" i="6"/>
  <c r="E399" i="6"/>
  <c r="D399" i="6"/>
  <c r="C399" i="6"/>
  <c r="B398" i="6"/>
  <c r="A398" i="6"/>
  <c r="J398" i="6"/>
  <c r="I398" i="6"/>
  <c r="H398" i="6"/>
  <c r="G398" i="6"/>
  <c r="F398" i="6"/>
  <c r="E398" i="6"/>
  <c r="D398" i="6"/>
  <c r="C398" i="6"/>
  <c r="B397" i="6"/>
  <c r="A397" i="6"/>
  <c r="J397" i="6"/>
  <c r="I397" i="6"/>
  <c r="H397" i="6"/>
  <c r="G397" i="6"/>
  <c r="F397" i="6"/>
  <c r="E397" i="6"/>
  <c r="D397" i="6"/>
  <c r="C397" i="6"/>
  <c r="B396" i="6"/>
  <c r="A396" i="6"/>
  <c r="J396" i="6"/>
  <c r="I396" i="6"/>
  <c r="H396" i="6"/>
  <c r="G396" i="6"/>
  <c r="F396" i="6"/>
  <c r="E396" i="6"/>
  <c r="D396" i="6"/>
  <c r="C396" i="6"/>
  <c r="B395" i="6"/>
  <c r="A395" i="6"/>
  <c r="J395" i="6"/>
  <c r="I395" i="6"/>
  <c r="H395" i="6"/>
  <c r="G395" i="6"/>
  <c r="F395" i="6"/>
  <c r="E395" i="6"/>
  <c r="D395" i="6"/>
  <c r="C395" i="6"/>
  <c r="B394" i="6"/>
  <c r="A394" i="6"/>
  <c r="J394" i="6"/>
  <c r="I394" i="6"/>
  <c r="H394" i="6"/>
  <c r="G394" i="6"/>
  <c r="F394" i="6"/>
  <c r="E394" i="6"/>
  <c r="D394" i="6"/>
  <c r="C394" i="6"/>
  <c r="B393" i="6"/>
  <c r="A393" i="6"/>
  <c r="J393" i="6"/>
  <c r="I393" i="6"/>
  <c r="H393" i="6"/>
  <c r="G393" i="6"/>
  <c r="F393" i="6"/>
  <c r="E393" i="6"/>
  <c r="D393" i="6"/>
  <c r="C393" i="6"/>
  <c r="B392" i="6"/>
  <c r="A392" i="6"/>
  <c r="J392" i="6"/>
  <c r="I392" i="6"/>
  <c r="H392" i="6"/>
  <c r="G392" i="6"/>
  <c r="F392" i="6"/>
  <c r="E392" i="6"/>
  <c r="D392" i="6"/>
  <c r="C392" i="6"/>
  <c r="B391" i="6"/>
  <c r="A391" i="6"/>
  <c r="J391" i="6"/>
  <c r="I391" i="6"/>
  <c r="H391" i="6"/>
  <c r="G391" i="6"/>
  <c r="F391" i="6"/>
  <c r="E391" i="6"/>
  <c r="D391" i="6"/>
  <c r="C391" i="6"/>
  <c r="B390" i="6"/>
  <c r="A390" i="6"/>
  <c r="J390" i="6"/>
  <c r="I390" i="6"/>
  <c r="H390" i="6"/>
  <c r="G390" i="6"/>
  <c r="F390" i="6"/>
  <c r="E390" i="6"/>
  <c r="D390" i="6"/>
  <c r="C390" i="6"/>
  <c r="B389" i="6"/>
  <c r="A389" i="6"/>
  <c r="J389" i="6"/>
  <c r="I389" i="6"/>
  <c r="H389" i="6"/>
  <c r="G389" i="6"/>
  <c r="F389" i="6"/>
  <c r="E389" i="6"/>
  <c r="D389" i="6"/>
  <c r="C389" i="6"/>
  <c r="B388" i="6"/>
  <c r="A388" i="6"/>
  <c r="J388" i="6"/>
  <c r="I388" i="6"/>
  <c r="H388" i="6"/>
  <c r="G388" i="6"/>
  <c r="F388" i="6"/>
  <c r="E388" i="6"/>
  <c r="D388" i="6"/>
  <c r="C388" i="6"/>
  <c r="B387" i="6"/>
  <c r="A387" i="6"/>
  <c r="J387" i="6"/>
  <c r="I387" i="6"/>
  <c r="H387" i="6"/>
  <c r="G387" i="6"/>
  <c r="F387" i="6"/>
  <c r="E387" i="6"/>
  <c r="D387" i="6"/>
  <c r="C387" i="6"/>
  <c r="B386" i="6"/>
  <c r="A386" i="6"/>
  <c r="J386" i="6"/>
  <c r="I386" i="6"/>
  <c r="H386" i="6"/>
  <c r="G386" i="6"/>
  <c r="F386" i="6"/>
  <c r="E386" i="6"/>
  <c r="D386" i="6"/>
  <c r="C386" i="6"/>
  <c r="B385" i="6"/>
  <c r="A385" i="6"/>
  <c r="J385" i="6"/>
  <c r="I385" i="6"/>
  <c r="H385" i="6"/>
  <c r="G385" i="6"/>
  <c r="F385" i="6"/>
  <c r="E385" i="6"/>
  <c r="D385" i="6"/>
  <c r="C385" i="6"/>
  <c r="B384" i="6"/>
  <c r="A384" i="6"/>
  <c r="J384" i="6"/>
  <c r="I384" i="6"/>
  <c r="H384" i="6"/>
  <c r="G384" i="6"/>
  <c r="F384" i="6"/>
  <c r="E384" i="6"/>
  <c r="D384" i="6"/>
  <c r="C384" i="6"/>
  <c r="B383" i="6"/>
  <c r="A383" i="6"/>
  <c r="J383" i="6"/>
  <c r="I383" i="6"/>
  <c r="H383" i="6"/>
  <c r="G383" i="6"/>
  <c r="F383" i="6"/>
  <c r="E383" i="6"/>
  <c r="D383" i="6"/>
  <c r="C383" i="6"/>
  <c r="B382" i="6"/>
  <c r="A382" i="6"/>
  <c r="J382" i="6"/>
  <c r="I382" i="6"/>
  <c r="H382" i="6"/>
  <c r="G382" i="6"/>
  <c r="F382" i="6"/>
  <c r="E382" i="6"/>
  <c r="D382" i="6"/>
  <c r="C382" i="6"/>
  <c r="B381" i="6"/>
  <c r="A381" i="6"/>
  <c r="J381" i="6"/>
  <c r="I381" i="6"/>
  <c r="H381" i="6"/>
  <c r="G381" i="6"/>
  <c r="F381" i="6"/>
  <c r="E381" i="6"/>
  <c r="D381" i="6"/>
  <c r="C381" i="6"/>
  <c r="B380" i="6"/>
  <c r="A380" i="6"/>
  <c r="J380" i="6"/>
  <c r="I380" i="6"/>
  <c r="H380" i="6"/>
  <c r="G380" i="6"/>
  <c r="F380" i="6"/>
  <c r="E380" i="6"/>
  <c r="D380" i="6"/>
  <c r="C380" i="6"/>
  <c r="B379" i="6"/>
  <c r="A379" i="6"/>
  <c r="J379" i="6"/>
  <c r="I379" i="6"/>
  <c r="H379" i="6"/>
  <c r="G379" i="6"/>
  <c r="F379" i="6"/>
  <c r="E379" i="6"/>
  <c r="D379" i="6"/>
  <c r="C379" i="6"/>
  <c r="B378" i="6"/>
  <c r="A378" i="6"/>
  <c r="J378" i="6"/>
  <c r="I378" i="6"/>
  <c r="H378" i="6"/>
  <c r="G378" i="6"/>
  <c r="F378" i="6"/>
  <c r="E378" i="6"/>
  <c r="D378" i="6"/>
  <c r="C378" i="6"/>
  <c r="B377" i="6"/>
  <c r="A377" i="6"/>
  <c r="J377" i="6"/>
  <c r="I377" i="6"/>
  <c r="H377" i="6"/>
  <c r="G377" i="6"/>
  <c r="F377" i="6"/>
  <c r="E377" i="6"/>
  <c r="D377" i="6"/>
  <c r="C377" i="6"/>
  <c r="B376" i="6"/>
  <c r="A376" i="6"/>
  <c r="J376" i="6"/>
  <c r="I376" i="6"/>
  <c r="H376" i="6"/>
  <c r="G376" i="6"/>
  <c r="F376" i="6"/>
  <c r="E376" i="6"/>
  <c r="D376" i="6"/>
  <c r="C376" i="6"/>
  <c r="B375" i="6"/>
  <c r="A375" i="6"/>
  <c r="J375" i="6"/>
  <c r="I375" i="6"/>
  <c r="H375" i="6"/>
  <c r="G375" i="6"/>
  <c r="F375" i="6"/>
  <c r="E375" i="6"/>
  <c r="D375" i="6"/>
  <c r="C375" i="6"/>
  <c r="B374" i="6"/>
  <c r="A374" i="6"/>
  <c r="J374" i="6"/>
  <c r="I374" i="6"/>
  <c r="H374" i="6"/>
  <c r="G374" i="6"/>
  <c r="F374" i="6"/>
  <c r="E374" i="6"/>
  <c r="D374" i="6"/>
  <c r="C374" i="6"/>
  <c r="B373" i="6"/>
  <c r="A373" i="6"/>
  <c r="J373" i="6"/>
  <c r="I373" i="6"/>
  <c r="H373" i="6"/>
  <c r="G373" i="6"/>
  <c r="F373" i="6"/>
  <c r="E373" i="6"/>
  <c r="D373" i="6"/>
  <c r="C373" i="6"/>
  <c r="B372" i="6"/>
  <c r="A372" i="6"/>
  <c r="J372" i="6"/>
  <c r="I372" i="6"/>
  <c r="H372" i="6"/>
  <c r="G372" i="6"/>
  <c r="F372" i="6"/>
  <c r="E372" i="6"/>
  <c r="D372" i="6"/>
  <c r="C372" i="6"/>
  <c r="B371" i="6"/>
  <c r="A371" i="6"/>
  <c r="J371" i="6"/>
  <c r="I371" i="6"/>
  <c r="H371" i="6"/>
  <c r="G371" i="6"/>
  <c r="F371" i="6"/>
  <c r="E371" i="6"/>
  <c r="D371" i="6"/>
  <c r="C371" i="6"/>
  <c r="B370" i="6"/>
  <c r="A370" i="6"/>
  <c r="J370" i="6"/>
  <c r="I370" i="6"/>
  <c r="H370" i="6"/>
  <c r="G370" i="6"/>
  <c r="F370" i="6"/>
  <c r="E370" i="6"/>
  <c r="D370" i="6"/>
  <c r="C370" i="6"/>
  <c r="B369" i="6"/>
  <c r="A369" i="6"/>
  <c r="J369" i="6"/>
  <c r="I369" i="6"/>
  <c r="H369" i="6"/>
  <c r="G369" i="6"/>
  <c r="F369" i="6"/>
  <c r="E369" i="6"/>
  <c r="D369" i="6"/>
  <c r="C369" i="6"/>
  <c r="B368" i="6"/>
  <c r="A368" i="6"/>
  <c r="J368" i="6"/>
  <c r="I368" i="6"/>
  <c r="H368" i="6"/>
  <c r="G368" i="6"/>
  <c r="F368" i="6"/>
  <c r="E368" i="6"/>
  <c r="D368" i="6"/>
  <c r="C368" i="6"/>
  <c r="B367" i="6"/>
  <c r="A367" i="6"/>
  <c r="J367" i="6"/>
  <c r="I367" i="6"/>
  <c r="H367" i="6"/>
  <c r="G367" i="6"/>
  <c r="F367" i="6"/>
  <c r="E367" i="6"/>
  <c r="D367" i="6"/>
  <c r="C367" i="6"/>
  <c r="B366" i="6"/>
  <c r="A366" i="6"/>
  <c r="J366" i="6"/>
  <c r="I366" i="6"/>
  <c r="H366" i="6"/>
  <c r="G366" i="6"/>
  <c r="F366" i="6"/>
  <c r="E366" i="6"/>
  <c r="D366" i="6"/>
  <c r="C366" i="6"/>
  <c r="B365" i="6"/>
  <c r="A365" i="6"/>
  <c r="J365" i="6"/>
  <c r="I365" i="6"/>
  <c r="H365" i="6"/>
  <c r="G365" i="6"/>
  <c r="F365" i="6"/>
  <c r="E365" i="6"/>
  <c r="D365" i="6"/>
  <c r="C365" i="6"/>
  <c r="B364" i="6"/>
  <c r="A364" i="6"/>
  <c r="J364" i="6"/>
  <c r="I364" i="6"/>
  <c r="H364" i="6"/>
  <c r="G364" i="6"/>
  <c r="F364" i="6"/>
  <c r="E364" i="6"/>
  <c r="D364" i="6"/>
  <c r="C364" i="6"/>
  <c r="B363" i="6"/>
  <c r="A363" i="6"/>
  <c r="J363" i="6"/>
  <c r="I363" i="6"/>
  <c r="H363" i="6"/>
  <c r="G363" i="6"/>
  <c r="F363" i="6"/>
  <c r="E363" i="6"/>
  <c r="D363" i="6"/>
  <c r="C363" i="6"/>
  <c r="B362" i="6"/>
  <c r="A362" i="6"/>
  <c r="J362" i="6"/>
  <c r="I362" i="6"/>
  <c r="H362" i="6"/>
  <c r="G362" i="6"/>
  <c r="F362" i="6"/>
  <c r="E362" i="6"/>
  <c r="D362" i="6"/>
  <c r="C362" i="6"/>
  <c r="B361" i="6"/>
  <c r="A361" i="6"/>
  <c r="J361" i="6"/>
  <c r="I361" i="6"/>
  <c r="H361" i="6"/>
  <c r="G361" i="6"/>
  <c r="F361" i="6"/>
  <c r="E361" i="6"/>
  <c r="D361" i="6"/>
  <c r="C361" i="6"/>
  <c r="B360" i="6"/>
  <c r="A360" i="6"/>
  <c r="J360" i="6"/>
  <c r="I360" i="6"/>
  <c r="H360" i="6"/>
  <c r="G360" i="6"/>
  <c r="F360" i="6"/>
  <c r="E360" i="6"/>
  <c r="D360" i="6"/>
  <c r="C360" i="6"/>
  <c r="B359" i="6"/>
  <c r="A359" i="6"/>
  <c r="J359" i="6"/>
  <c r="I359" i="6"/>
  <c r="H359" i="6"/>
  <c r="G359" i="6"/>
  <c r="F359" i="6"/>
  <c r="E359" i="6"/>
  <c r="D359" i="6"/>
  <c r="C359" i="6"/>
  <c r="B358" i="6"/>
  <c r="A358" i="6"/>
  <c r="J358" i="6"/>
  <c r="I358" i="6"/>
  <c r="H358" i="6"/>
  <c r="G358" i="6"/>
  <c r="F358" i="6"/>
  <c r="E358" i="6"/>
  <c r="D358" i="6"/>
  <c r="C358" i="6"/>
  <c r="B357" i="6"/>
  <c r="A357" i="6"/>
  <c r="J357" i="6"/>
  <c r="I357" i="6"/>
  <c r="H357" i="6"/>
  <c r="G357" i="6"/>
  <c r="F357" i="6"/>
  <c r="E357" i="6"/>
  <c r="D357" i="6"/>
  <c r="C357" i="6"/>
  <c r="B356" i="6"/>
  <c r="A356" i="6"/>
  <c r="J356" i="6"/>
  <c r="I356" i="6"/>
  <c r="H356" i="6"/>
  <c r="G356" i="6"/>
  <c r="F356" i="6"/>
  <c r="E356" i="6"/>
  <c r="D356" i="6"/>
  <c r="C356" i="6"/>
  <c r="B355" i="6"/>
  <c r="A355" i="6"/>
  <c r="J355" i="6"/>
  <c r="I355" i="6"/>
  <c r="H355" i="6"/>
  <c r="G355" i="6"/>
  <c r="F355" i="6"/>
  <c r="E355" i="6"/>
  <c r="D355" i="6"/>
  <c r="C355" i="6"/>
  <c r="B354" i="6"/>
  <c r="A354" i="6"/>
  <c r="J354" i="6"/>
  <c r="I354" i="6"/>
  <c r="H354" i="6"/>
  <c r="G354" i="6"/>
  <c r="F354" i="6"/>
  <c r="E354" i="6"/>
  <c r="D354" i="6"/>
  <c r="C354" i="6"/>
  <c r="B353" i="6"/>
  <c r="A353" i="6"/>
  <c r="J353" i="6"/>
  <c r="I353" i="6"/>
  <c r="H353" i="6"/>
  <c r="G353" i="6"/>
  <c r="F353" i="6"/>
  <c r="E353" i="6"/>
  <c r="D353" i="6"/>
  <c r="C353" i="6"/>
  <c r="B352" i="6"/>
  <c r="A352" i="6"/>
  <c r="J352" i="6"/>
  <c r="I352" i="6"/>
  <c r="H352" i="6"/>
  <c r="G352" i="6"/>
  <c r="F352" i="6"/>
  <c r="E352" i="6"/>
  <c r="D352" i="6"/>
  <c r="C352" i="6"/>
  <c r="B351" i="6"/>
  <c r="A351" i="6"/>
  <c r="J351" i="6"/>
  <c r="I351" i="6"/>
  <c r="H351" i="6"/>
  <c r="G351" i="6"/>
  <c r="F351" i="6"/>
  <c r="E351" i="6"/>
  <c r="D351" i="6"/>
  <c r="C351" i="6"/>
  <c r="B350" i="6"/>
  <c r="A350" i="6"/>
  <c r="J350" i="6"/>
  <c r="I350" i="6"/>
  <c r="H350" i="6"/>
  <c r="G350" i="6"/>
  <c r="F350" i="6"/>
  <c r="E350" i="6"/>
  <c r="D350" i="6"/>
  <c r="C350" i="6"/>
  <c r="B349" i="6"/>
  <c r="A349" i="6"/>
  <c r="J349" i="6"/>
  <c r="I349" i="6"/>
  <c r="H349" i="6"/>
  <c r="G349" i="6"/>
  <c r="F349" i="6"/>
  <c r="E349" i="6"/>
  <c r="D349" i="6"/>
  <c r="C349" i="6"/>
  <c r="B348" i="6"/>
  <c r="A348" i="6"/>
  <c r="J348" i="6"/>
  <c r="I348" i="6"/>
  <c r="H348" i="6"/>
  <c r="G348" i="6"/>
  <c r="F348" i="6"/>
  <c r="E348" i="6"/>
  <c r="D348" i="6"/>
  <c r="C348" i="6"/>
  <c r="B347" i="6"/>
  <c r="A347" i="6"/>
  <c r="J347" i="6"/>
  <c r="I347" i="6"/>
  <c r="H347" i="6"/>
  <c r="G347" i="6"/>
  <c r="F347" i="6"/>
  <c r="E347" i="6"/>
  <c r="D347" i="6"/>
  <c r="C347" i="6"/>
  <c r="B346" i="6"/>
  <c r="A346" i="6"/>
  <c r="J346" i="6"/>
  <c r="I346" i="6"/>
  <c r="H346" i="6"/>
  <c r="G346" i="6"/>
  <c r="F346" i="6"/>
  <c r="E346" i="6"/>
  <c r="D346" i="6"/>
  <c r="C346" i="6"/>
  <c r="B345" i="6"/>
  <c r="A345" i="6"/>
  <c r="J345" i="6"/>
  <c r="I345" i="6"/>
  <c r="H345" i="6"/>
  <c r="G345" i="6"/>
  <c r="F345" i="6"/>
  <c r="E345" i="6"/>
  <c r="D345" i="6"/>
  <c r="C345" i="6"/>
  <c r="B344" i="6"/>
  <c r="A344" i="6"/>
  <c r="J344" i="6"/>
  <c r="I344" i="6"/>
  <c r="H344" i="6"/>
  <c r="G344" i="6"/>
  <c r="F344" i="6"/>
  <c r="E344" i="6"/>
  <c r="D344" i="6"/>
  <c r="C344" i="6"/>
  <c r="B343" i="6"/>
  <c r="A343" i="6"/>
  <c r="J343" i="6"/>
  <c r="I343" i="6"/>
  <c r="H343" i="6"/>
  <c r="G343" i="6"/>
  <c r="F343" i="6"/>
  <c r="E343" i="6"/>
  <c r="D343" i="6"/>
  <c r="C343" i="6"/>
  <c r="B342" i="6"/>
  <c r="A342" i="6"/>
  <c r="J342" i="6"/>
  <c r="I342" i="6"/>
  <c r="H342" i="6"/>
  <c r="G342" i="6"/>
  <c r="F342" i="6"/>
  <c r="E342" i="6"/>
  <c r="D342" i="6"/>
  <c r="C342" i="6"/>
  <c r="B341" i="6"/>
  <c r="A341" i="6"/>
  <c r="J341" i="6"/>
  <c r="I341" i="6"/>
  <c r="H341" i="6"/>
  <c r="G341" i="6"/>
  <c r="F341" i="6"/>
  <c r="E341" i="6"/>
  <c r="D341" i="6"/>
  <c r="C341" i="6"/>
  <c r="B340" i="6"/>
  <c r="A340" i="6"/>
  <c r="J340" i="6"/>
  <c r="I340" i="6"/>
  <c r="H340" i="6"/>
  <c r="G340" i="6"/>
  <c r="F340" i="6"/>
  <c r="E340" i="6"/>
  <c r="D340" i="6"/>
  <c r="C340" i="6"/>
  <c r="B339" i="6"/>
  <c r="A339" i="6"/>
  <c r="J339" i="6"/>
  <c r="I339" i="6"/>
  <c r="H339" i="6"/>
  <c r="G339" i="6"/>
  <c r="F339" i="6"/>
  <c r="E339" i="6"/>
  <c r="D339" i="6"/>
  <c r="C339" i="6"/>
  <c r="B338" i="6"/>
  <c r="A338" i="6"/>
  <c r="J338" i="6"/>
  <c r="I338" i="6"/>
  <c r="H338" i="6"/>
  <c r="G338" i="6"/>
  <c r="F338" i="6"/>
  <c r="E338" i="6"/>
  <c r="D338" i="6"/>
  <c r="C338" i="6"/>
  <c r="B337" i="6"/>
  <c r="A337" i="6"/>
  <c r="J337" i="6"/>
  <c r="I337" i="6"/>
  <c r="H337" i="6"/>
  <c r="G337" i="6"/>
  <c r="F337" i="6"/>
  <c r="E337" i="6"/>
  <c r="D337" i="6"/>
  <c r="C337" i="6"/>
  <c r="B336" i="6"/>
  <c r="A336" i="6"/>
  <c r="J336" i="6"/>
  <c r="I336" i="6"/>
  <c r="H336" i="6"/>
  <c r="G336" i="6"/>
  <c r="F336" i="6"/>
  <c r="E336" i="6"/>
  <c r="D336" i="6"/>
  <c r="C336" i="6"/>
  <c r="B335" i="6"/>
  <c r="A335" i="6"/>
  <c r="J335" i="6"/>
  <c r="I335" i="6"/>
  <c r="H335" i="6"/>
  <c r="G335" i="6"/>
  <c r="F335" i="6"/>
  <c r="E335" i="6"/>
  <c r="D335" i="6"/>
  <c r="C335" i="6"/>
  <c r="B334" i="6"/>
  <c r="A334" i="6"/>
  <c r="J334" i="6"/>
  <c r="I334" i="6"/>
  <c r="H334" i="6"/>
  <c r="G334" i="6"/>
  <c r="F334" i="6"/>
  <c r="E334" i="6"/>
  <c r="D334" i="6"/>
  <c r="C334" i="6"/>
  <c r="B333" i="6"/>
  <c r="A333" i="6"/>
  <c r="J333" i="6"/>
  <c r="I333" i="6"/>
  <c r="H333" i="6"/>
  <c r="G333" i="6"/>
  <c r="F333" i="6"/>
  <c r="E333" i="6"/>
  <c r="D333" i="6"/>
  <c r="C333" i="6"/>
  <c r="B332" i="6"/>
  <c r="A332" i="6"/>
  <c r="J332" i="6"/>
  <c r="I332" i="6"/>
  <c r="H332" i="6"/>
  <c r="G332" i="6"/>
  <c r="F332" i="6"/>
  <c r="E332" i="6"/>
  <c r="D332" i="6"/>
  <c r="C332" i="6"/>
  <c r="B331" i="6"/>
  <c r="A331" i="6"/>
  <c r="J331" i="6"/>
  <c r="I331" i="6"/>
  <c r="H331" i="6"/>
  <c r="G331" i="6"/>
  <c r="F331" i="6"/>
  <c r="E331" i="6"/>
  <c r="D331" i="6"/>
  <c r="C331" i="6"/>
  <c r="B330" i="6"/>
  <c r="A330" i="6"/>
  <c r="J330" i="6"/>
  <c r="I330" i="6"/>
  <c r="H330" i="6"/>
  <c r="G330" i="6"/>
  <c r="F330" i="6"/>
  <c r="E330" i="6"/>
  <c r="D330" i="6"/>
  <c r="C330" i="6"/>
  <c r="B329" i="6"/>
  <c r="A329" i="6"/>
  <c r="J329" i="6"/>
  <c r="I329" i="6"/>
  <c r="H329" i="6"/>
  <c r="G329" i="6"/>
  <c r="F329" i="6"/>
  <c r="E329" i="6"/>
  <c r="D329" i="6"/>
  <c r="C329" i="6"/>
  <c r="B328" i="6"/>
  <c r="A328" i="6"/>
  <c r="J328" i="6"/>
  <c r="I328" i="6"/>
  <c r="H328" i="6"/>
  <c r="G328" i="6"/>
  <c r="F328" i="6"/>
  <c r="E328" i="6"/>
  <c r="D328" i="6"/>
  <c r="C328" i="6"/>
  <c r="B327" i="6"/>
  <c r="A327" i="6"/>
  <c r="J327" i="6"/>
  <c r="I327" i="6"/>
  <c r="H327" i="6"/>
  <c r="G327" i="6"/>
  <c r="F327" i="6"/>
  <c r="E327" i="6"/>
  <c r="D327" i="6"/>
  <c r="C327" i="6"/>
  <c r="B326" i="6"/>
  <c r="A326" i="6"/>
  <c r="J326" i="6"/>
  <c r="I326" i="6"/>
  <c r="H326" i="6"/>
  <c r="G326" i="6"/>
  <c r="F326" i="6"/>
  <c r="E326" i="6"/>
  <c r="D326" i="6"/>
  <c r="C326" i="6"/>
  <c r="B325" i="6"/>
  <c r="A325" i="6"/>
  <c r="J325" i="6"/>
  <c r="I325" i="6"/>
  <c r="H325" i="6"/>
  <c r="G325" i="6"/>
  <c r="F325" i="6"/>
  <c r="E325" i="6"/>
  <c r="D325" i="6"/>
  <c r="C325" i="6"/>
  <c r="B324" i="6"/>
  <c r="A324" i="6"/>
  <c r="J324" i="6"/>
  <c r="I324" i="6"/>
  <c r="H324" i="6"/>
  <c r="G324" i="6"/>
  <c r="F324" i="6"/>
  <c r="E324" i="6"/>
  <c r="D324" i="6"/>
  <c r="C324" i="6"/>
  <c r="B323" i="6"/>
  <c r="A323" i="6"/>
  <c r="J323" i="6"/>
  <c r="I323" i="6"/>
  <c r="H323" i="6"/>
  <c r="G323" i="6"/>
  <c r="F323" i="6"/>
  <c r="E323" i="6"/>
  <c r="D323" i="6"/>
  <c r="C323" i="6"/>
  <c r="B322" i="6"/>
  <c r="A322" i="6"/>
  <c r="J322" i="6"/>
  <c r="I322" i="6"/>
  <c r="H322" i="6"/>
  <c r="G322" i="6"/>
  <c r="F322" i="6"/>
  <c r="E322" i="6"/>
  <c r="D322" i="6"/>
  <c r="C322" i="6"/>
  <c r="B321" i="6"/>
  <c r="A321" i="6"/>
  <c r="J321" i="6"/>
  <c r="I321" i="6"/>
  <c r="H321" i="6"/>
  <c r="G321" i="6"/>
  <c r="F321" i="6"/>
  <c r="E321" i="6"/>
  <c r="D321" i="6"/>
  <c r="C321" i="6"/>
  <c r="B320" i="6"/>
  <c r="A320" i="6"/>
  <c r="J320" i="6"/>
  <c r="I320" i="6"/>
  <c r="H320" i="6"/>
  <c r="G320" i="6"/>
  <c r="F320" i="6"/>
  <c r="E320" i="6"/>
  <c r="D320" i="6"/>
  <c r="C320" i="6"/>
  <c r="B319" i="6"/>
  <c r="A319" i="6"/>
  <c r="J319" i="6"/>
  <c r="I319" i="6"/>
  <c r="H319" i="6"/>
  <c r="G319" i="6"/>
  <c r="F319" i="6"/>
  <c r="E319" i="6"/>
  <c r="D319" i="6"/>
  <c r="C319" i="6"/>
  <c r="B318" i="6"/>
  <c r="A318" i="6"/>
  <c r="J318" i="6"/>
  <c r="I318" i="6"/>
  <c r="H318" i="6"/>
  <c r="G318" i="6"/>
  <c r="F318" i="6"/>
  <c r="E318" i="6"/>
  <c r="D318" i="6"/>
  <c r="C318" i="6"/>
  <c r="B317" i="6"/>
  <c r="A317" i="6"/>
  <c r="J317" i="6"/>
  <c r="I317" i="6"/>
  <c r="H317" i="6"/>
  <c r="G317" i="6"/>
  <c r="F317" i="6"/>
  <c r="E317" i="6"/>
  <c r="D317" i="6"/>
  <c r="C317" i="6"/>
  <c r="B316" i="6"/>
  <c r="A316" i="6"/>
  <c r="J316" i="6"/>
  <c r="I316" i="6"/>
  <c r="H316" i="6"/>
  <c r="G316" i="6"/>
  <c r="F316" i="6"/>
  <c r="E316" i="6"/>
  <c r="D316" i="6"/>
  <c r="C316" i="6"/>
  <c r="B315" i="6"/>
  <c r="A315" i="6"/>
  <c r="J315" i="6"/>
  <c r="I315" i="6"/>
  <c r="H315" i="6"/>
  <c r="G315" i="6"/>
  <c r="F315" i="6"/>
  <c r="E315" i="6"/>
  <c r="D315" i="6"/>
  <c r="C315" i="6"/>
  <c r="B314" i="6"/>
  <c r="A314" i="6"/>
  <c r="J314" i="6"/>
  <c r="I314" i="6"/>
  <c r="H314" i="6"/>
  <c r="G314" i="6"/>
  <c r="F314" i="6"/>
  <c r="E314" i="6"/>
  <c r="D314" i="6"/>
  <c r="C314" i="6"/>
  <c r="B313" i="6"/>
  <c r="A313" i="6"/>
  <c r="J313" i="6"/>
  <c r="I313" i="6"/>
  <c r="H313" i="6"/>
  <c r="G313" i="6"/>
  <c r="F313" i="6"/>
  <c r="E313" i="6"/>
  <c r="D313" i="6"/>
  <c r="C313" i="6"/>
  <c r="B312" i="6"/>
  <c r="A312" i="6"/>
  <c r="J312" i="6"/>
  <c r="I312" i="6"/>
  <c r="H312" i="6"/>
  <c r="G312" i="6"/>
  <c r="F312" i="6"/>
  <c r="E312" i="6"/>
  <c r="D312" i="6"/>
  <c r="C312" i="6"/>
  <c r="B311" i="6"/>
  <c r="A311" i="6"/>
  <c r="J311" i="6"/>
  <c r="I311" i="6"/>
  <c r="H311" i="6"/>
  <c r="G311" i="6"/>
  <c r="F311" i="6"/>
  <c r="E311" i="6"/>
  <c r="D311" i="6"/>
  <c r="C311" i="6"/>
  <c r="B310" i="6"/>
  <c r="A310" i="6"/>
  <c r="J310" i="6"/>
  <c r="I310" i="6"/>
  <c r="H310" i="6"/>
  <c r="G310" i="6"/>
  <c r="F310" i="6"/>
  <c r="E310" i="6"/>
  <c r="D310" i="6"/>
  <c r="C310" i="6"/>
  <c r="B309" i="6"/>
  <c r="A309" i="6"/>
  <c r="J309" i="6"/>
  <c r="I309" i="6"/>
  <c r="H309" i="6"/>
  <c r="G309" i="6"/>
  <c r="F309" i="6"/>
  <c r="E309" i="6"/>
  <c r="D309" i="6"/>
  <c r="C309" i="6"/>
  <c r="B308" i="6"/>
  <c r="A308" i="6"/>
  <c r="J308" i="6"/>
  <c r="I308" i="6"/>
  <c r="H308" i="6"/>
  <c r="G308" i="6"/>
  <c r="F308" i="6"/>
  <c r="E308" i="6"/>
  <c r="D308" i="6"/>
  <c r="C308" i="6"/>
  <c r="B307" i="6"/>
  <c r="A307" i="6"/>
  <c r="J307" i="6"/>
  <c r="I307" i="6"/>
  <c r="H307" i="6"/>
  <c r="G307" i="6"/>
  <c r="F307" i="6"/>
  <c r="E307" i="6"/>
  <c r="D307" i="6"/>
  <c r="C307" i="6"/>
  <c r="B306" i="6"/>
  <c r="A306" i="6"/>
  <c r="J306" i="6"/>
  <c r="I306" i="6"/>
  <c r="H306" i="6"/>
  <c r="G306" i="6"/>
  <c r="F306" i="6"/>
  <c r="E306" i="6"/>
  <c r="D306" i="6"/>
  <c r="C306" i="6"/>
  <c r="B305" i="6"/>
  <c r="A305" i="6"/>
  <c r="J305" i="6"/>
  <c r="I305" i="6"/>
  <c r="H305" i="6"/>
  <c r="G305" i="6"/>
  <c r="F305" i="6"/>
  <c r="E305" i="6"/>
  <c r="D305" i="6"/>
  <c r="C305" i="6"/>
  <c r="B304" i="6"/>
  <c r="A304" i="6"/>
  <c r="J304" i="6"/>
  <c r="I304" i="6"/>
  <c r="H304" i="6"/>
  <c r="G304" i="6"/>
  <c r="F304" i="6"/>
  <c r="E304" i="6"/>
  <c r="D304" i="6"/>
  <c r="C304" i="6"/>
  <c r="B303" i="6"/>
  <c r="A303" i="6"/>
  <c r="J303" i="6"/>
  <c r="I303" i="6"/>
  <c r="H303" i="6"/>
  <c r="G303" i="6"/>
  <c r="F303" i="6"/>
  <c r="E303" i="6"/>
  <c r="D303" i="6"/>
  <c r="C303" i="6"/>
  <c r="B302" i="6"/>
  <c r="A302" i="6"/>
  <c r="J302" i="6"/>
  <c r="I302" i="6"/>
  <c r="H302" i="6"/>
  <c r="G302" i="6"/>
  <c r="F302" i="6"/>
  <c r="E302" i="6"/>
  <c r="D302" i="6"/>
  <c r="C302" i="6"/>
  <c r="B301" i="6"/>
  <c r="A301" i="6"/>
  <c r="J301" i="6"/>
  <c r="I301" i="6"/>
  <c r="H301" i="6"/>
  <c r="G301" i="6"/>
  <c r="F301" i="6"/>
  <c r="E301" i="6"/>
  <c r="D301" i="6"/>
  <c r="C301" i="6"/>
  <c r="B300" i="6"/>
  <c r="A300" i="6"/>
  <c r="J300" i="6"/>
  <c r="I300" i="6"/>
  <c r="H300" i="6"/>
  <c r="G300" i="6"/>
  <c r="F300" i="6"/>
  <c r="E300" i="6"/>
  <c r="D300" i="6"/>
  <c r="C300" i="6"/>
  <c r="B299" i="6"/>
  <c r="A299" i="6"/>
  <c r="J299" i="6"/>
  <c r="I299" i="6"/>
  <c r="H299" i="6"/>
  <c r="G299" i="6"/>
  <c r="F299" i="6"/>
  <c r="E299" i="6"/>
  <c r="D299" i="6"/>
  <c r="C299" i="6"/>
  <c r="B298" i="6"/>
  <c r="A298" i="6"/>
  <c r="J298" i="6"/>
  <c r="I298" i="6"/>
  <c r="H298" i="6"/>
  <c r="G298" i="6"/>
  <c r="F298" i="6"/>
  <c r="E298" i="6"/>
  <c r="D298" i="6"/>
  <c r="C298" i="6"/>
  <c r="B297" i="6"/>
  <c r="A297" i="6"/>
  <c r="J297" i="6"/>
  <c r="I297" i="6"/>
  <c r="H297" i="6"/>
  <c r="G297" i="6"/>
  <c r="F297" i="6"/>
  <c r="E297" i="6"/>
  <c r="D297" i="6"/>
  <c r="C297" i="6"/>
  <c r="B296" i="6"/>
  <c r="A296" i="6"/>
  <c r="J296" i="6"/>
  <c r="I296" i="6"/>
  <c r="H296" i="6"/>
  <c r="G296" i="6"/>
  <c r="F296" i="6"/>
  <c r="E296" i="6"/>
  <c r="D296" i="6"/>
  <c r="C296" i="6"/>
  <c r="B295" i="6"/>
  <c r="A295" i="6"/>
  <c r="J295" i="6"/>
  <c r="I295" i="6"/>
  <c r="H295" i="6"/>
  <c r="G295" i="6"/>
  <c r="F295" i="6"/>
  <c r="E295" i="6"/>
  <c r="D295" i="6"/>
  <c r="C295" i="6"/>
  <c r="B294" i="6"/>
  <c r="A294" i="6"/>
  <c r="J294" i="6"/>
  <c r="I294" i="6"/>
  <c r="H294" i="6"/>
  <c r="G294" i="6"/>
  <c r="F294" i="6"/>
  <c r="E294" i="6"/>
  <c r="D294" i="6"/>
  <c r="C294" i="6"/>
  <c r="B293" i="6"/>
  <c r="A293" i="6"/>
  <c r="J293" i="6"/>
  <c r="I293" i="6"/>
  <c r="H293" i="6"/>
  <c r="G293" i="6"/>
  <c r="F293" i="6"/>
  <c r="E293" i="6"/>
  <c r="D293" i="6"/>
  <c r="C293" i="6"/>
  <c r="B292" i="6"/>
  <c r="A292" i="6"/>
  <c r="J292" i="6"/>
  <c r="I292" i="6"/>
  <c r="H292" i="6"/>
  <c r="G292" i="6"/>
  <c r="F292" i="6"/>
  <c r="E292" i="6"/>
  <c r="D292" i="6"/>
  <c r="C292" i="6"/>
  <c r="B291" i="6"/>
  <c r="A291" i="6"/>
  <c r="J291" i="6"/>
  <c r="I291" i="6"/>
  <c r="H291" i="6"/>
  <c r="G291" i="6"/>
  <c r="F291" i="6"/>
  <c r="E291" i="6"/>
  <c r="D291" i="6"/>
  <c r="C291" i="6"/>
  <c r="B290" i="6"/>
  <c r="A290" i="6"/>
  <c r="J290" i="6"/>
  <c r="I290" i="6"/>
  <c r="H290" i="6"/>
  <c r="G290" i="6"/>
  <c r="F290" i="6"/>
  <c r="E290" i="6"/>
  <c r="D290" i="6"/>
  <c r="C290" i="6"/>
  <c r="B289" i="6"/>
  <c r="A289" i="6"/>
  <c r="J289" i="6"/>
  <c r="I289" i="6"/>
  <c r="H289" i="6"/>
  <c r="G289" i="6"/>
  <c r="F289" i="6"/>
  <c r="E289" i="6"/>
  <c r="D289" i="6"/>
  <c r="C289" i="6"/>
  <c r="B288" i="6"/>
  <c r="A288" i="6"/>
  <c r="J288" i="6"/>
  <c r="I288" i="6"/>
  <c r="H288" i="6"/>
  <c r="G288" i="6"/>
  <c r="F288" i="6"/>
  <c r="E288" i="6"/>
  <c r="D288" i="6"/>
  <c r="C288" i="6"/>
  <c r="B287" i="6"/>
  <c r="A287" i="6"/>
  <c r="J287" i="6"/>
  <c r="I287" i="6"/>
  <c r="H287" i="6"/>
  <c r="G287" i="6"/>
  <c r="F287" i="6"/>
  <c r="E287" i="6"/>
  <c r="D287" i="6"/>
  <c r="C287" i="6"/>
  <c r="B286" i="6"/>
  <c r="A286" i="6"/>
  <c r="J286" i="6"/>
  <c r="I286" i="6"/>
  <c r="H286" i="6"/>
  <c r="G286" i="6"/>
  <c r="F286" i="6"/>
  <c r="E286" i="6"/>
  <c r="D286" i="6"/>
  <c r="C286" i="6"/>
  <c r="B285" i="6"/>
  <c r="A285" i="6"/>
  <c r="J285" i="6"/>
  <c r="I285" i="6"/>
  <c r="H285" i="6"/>
  <c r="G285" i="6"/>
  <c r="F285" i="6"/>
  <c r="E285" i="6"/>
  <c r="D285" i="6"/>
  <c r="C285" i="6"/>
  <c r="B284" i="6"/>
  <c r="A284" i="6"/>
  <c r="J284" i="6"/>
  <c r="I284" i="6"/>
  <c r="H284" i="6"/>
  <c r="G284" i="6"/>
  <c r="F284" i="6"/>
  <c r="E284" i="6"/>
  <c r="D284" i="6"/>
  <c r="C284" i="6"/>
  <c r="B283" i="6"/>
  <c r="A283" i="6"/>
  <c r="J283" i="6"/>
  <c r="I283" i="6"/>
  <c r="H283" i="6"/>
  <c r="G283" i="6"/>
  <c r="F283" i="6"/>
  <c r="E283" i="6"/>
  <c r="D283" i="6"/>
  <c r="C283" i="6"/>
  <c r="B282" i="6"/>
  <c r="A282" i="6"/>
  <c r="J282" i="6"/>
  <c r="I282" i="6"/>
  <c r="H282" i="6"/>
  <c r="G282" i="6"/>
  <c r="F282" i="6"/>
  <c r="E282" i="6"/>
  <c r="D282" i="6"/>
  <c r="C282" i="6"/>
  <c r="B281" i="6"/>
  <c r="A281" i="6"/>
  <c r="J281" i="6"/>
  <c r="I281" i="6"/>
  <c r="H281" i="6"/>
  <c r="G281" i="6"/>
  <c r="F281" i="6"/>
  <c r="E281" i="6"/>
  <c r="D281" i="6"/>
  <c r="C281" i="6"/>
  <c r="B280" i="6"/>
  <c r="A280" i="6"/>
  <c r="J280" i="6"/>
  <c r="I280" i="6"/>
  <c r="H280" i="6"/>
  <c r="G280" i="6"/>
  <c r="F280" i="6"/>
  <c r="E280" i="6"/>
  <c r="D280" i="6"/>
  <c r="C280" i="6"/>
  <c r="B279" i="6"/>
  <c r="A279" i="6"/>
  <c r="J279" i="6"/>
  <c r="I279" i="6"/>
  <c r="H279" i="6"/>
  <c r="G279" i="6"/>
  <c r="F279" i="6"/>
  <c r="E279" i="6"/>
  <c r="D279" i="6"/>
  <c r="C279" i="6"/>
  <c r="B278" i="6"/>
  <c r="A278" i="6"/>
  <c r="J278" i="6"/>
  <c r="I278" i="6"/>
  <c r="H278" i="6"/>
  <c r="G278" i="6"/>
  <c r="F278" i="6"/>
  <c r="E278" i="6"/>
  <c r="D278" i="6"/>
  <c r="C278" i="6"/>
  <c r="B277" i="6"/>
  <c r="A277" i="6"/>
  <c r="J277" i="6"/>
  <c r="I277" i="6"/>
  <c r="H277" i="6"/>
  <c r="G277" i="6"/>
  <c r="F277" i="6"/>
  <c r="E277" i="6"/>
  <c r="D277" i="6"/>
  <c r="C277" i="6"/>
  <c r="B276" i="6"/>
  <c r="A276" i="6"/>
  <c r="J276" i="6"/>
  <c r="I276" i="6"/>
  <c r="H276" i="6"/>
  <c r="G276" i="6"/>
  <c r="F276" i="6"/>
  <c r="E276" i="6"/>
  <c r="D276" i="6"/>
  <c r="C276" i="6"/>
  <c r="B275" i="6"/>
  <c r="A275" i="6"/>
  <c r="J275" i="6"/>
  <c r="I275" i="6"/>
  <c r="H275" i="6"/>
  <c r="G275" i="6"/>
  <c r="F275" i="6"/>
  <c r="E275" i="6"/>
  <c r="D275" i="6"/>
  <c r="C275" i="6"/>
  <c r="B274" i="6"/>
  <c r="A274" i="6"/>
  <c r="J274" i="6"/>
  <c r="I274" i="6"/>
  <c r="H274" i="6"/>
  <c r="G274" i="6"/>
  <c r="F274" i="6"/>
  <c r="E274" i="6"/>
  <c r="D274" i="6"/>
  <c r="C274" i="6"/>
  <c r="B273" i="6"/>
  <c r="A273" i="6"/>
  <c r="J273" i="6"/>
  <c r="I273" i="6"/>
  <c r="H273" i="6"/>
  <c r="G273" i="6"/>
  <c r="F273" i="6"/>
  <c r="E273" i="6"/>
  <c r="D273" i="6"/>
  <c r="C273" i="6"/>
  <c r="B272" i="6"/>
  <c r="A272" i="6"/>
  <c r="J272" i="6"/>
  <c r="I272" i="6"/>
  <c r="H272" i="6"/>
  <c r="G272" i="6"/>
  <c r="F272" i="6"/>
  <c r="E272" i="6"/>
  <c r="D272" i="6"/>
  <c r="C272" i="6"/>
  <c r="B271" i="6"/>
  <c r="A271" i="6"/>
  <c r="J271" i="6"/>
  <c r="I271" i="6"/>
  <c r="H271" i="6"/>
  <c r="G271" i="6"/>
  <c r="F271" i="6"/>
  <c r="E271" i="6"/>
  <c r="D271" i="6"/>
  <c r="C271" i="6"/>
  <c r="B270" i="6"/>
  <c r="A270" i="6"/>
  <c r="J270" i="6"/>
  <c r="I270" i="6"/>
  <c r="H270" i="6"/>
  <c r="G270" i="6"/>
  <c r="F270" i="6"/>
  <c r="E270" i="6"/>
  <c r="D270" i="6"/>
  <c r="C270" i="6"/>
  <c r="B269" i="6"/>
  <c r="A269" i="6"/>
  <c r="J269" i="6"/>
  <c r="I269" i="6"/>
  <c r="H269" i="6"/>
  <c r="G269" i="6"/>
  <c r="F269" i="6"/>
  <c r="E269" i="6"/>
  <c r="D269" i="6"/>
  <c r="C269" i="6"/>
  <c r="B268" i="6"/>
  <c r="A268" i="6"/>
  <c r="J268" i="6"/>
  <c r="I268" i="6"/>
  <c r="H268" i="6"/>
  <c r="G268" i="6"/>
  <c r="F268" i="6"/>
  <c r="E268" i="6"/>
  <c r="D268" i="6"/>
  <c r="C268" i="6"/>
  <c r="B267" i="6"/>
  <c r="A267" i="6"/>
  <c r="J267" i="6"/>
  <c r="I267" i="6"/>
  <c r="H267" i="6"/>
  <c r="G267" i="6"/>
  <c r="F267" i="6"/>
  <c r="E267" i="6"/>
  <c r="D267" i="6"/>
  <c r="C267" i="6"/>
  <c r="B266" i="6"/>
  <c r="A266" i="6"/>
  <c r="J266" i="6"/>
  <c r="I266" i="6"/>
  <c r="H266" i="6"/>
  <c r="G266" i="6"/>
  <c r="F266" i="6"/>
  <c r="E266" i="6"/>
  <c r="D266" i="6"/>
  <c r="C266" i="6"/>
  <c r="B265" i="6"/>
  <c r="A265" i="6"/>
  <c r="J265" i="6"/>
  <c r="I265" i="6"/>
  <c r="H265" i="6"/>
  <c r="G265" i="6"/>
  <c r="F265" i="6"/>
  <c r="E265" i="6"/>
  <c r="D265" i="6"/>
  <c r="C265" i="6"/>
  <c r="B264" i="6"/>
  <c r="A264" i="6"/>
  <c r="J264" i="6"/>
  <c r="I264" i="6"/>
  <c r="H264" i="6"/>
  <c r="G264" i="6"/>
  <c r="F264" i="6"/>
  <c r="E264" i="6"/>
  <c r="D264" i="6"/>
  <c r="C264" i="6"/>
  <c r="B263" i="6"/>
  <c r="A263" i="6"/>
  <c r="J263" i="6"/>
  <c r="I263" i="6"/>
  <c r="H263" i="6"/>
  <c r="G263" i="6"/>
  <c r="F263" i="6"/>
  <c r="E263" i="6"/>
  <c r="D263" i="6"/>
  <c r="C263" i="6"/>
  <c r="B262" i="6"/>
  <c r="A262" i="6"/>
  <c r="J262" i="6"/>
  <c r="I262" i="6"/>
  <c r="H262" i="6"/>
  <c r="G262" i="6"/>
  <c r="F262" i="6"/>
  <c r="E262" i="6"/>
  <c r="D262" i="6"/>
  <c r="C262" i="6"/>
  <c r="B261" i="6"/>
  <c r="A261" i="6"/>
  <c r="J261" i="6"/>
  <c r="I261" i="6"/>
  <c r="H261" i="6"/>
  <c r="G261" i="6"/>
  <c r="F261" i="6"/>
  <c r="E261" i="6"/>
  <c r="D261" i="6"/>
  <c r="C261" i="6"/>
  <c r="B260" i="6"/>
  <c r="A260" i="6"/>
  <c r="J260" i="6"/>
  <c r="I260" i="6"/>
  <c r="H260" i="6"/>
  <c r="G260" i="6"/>
  <c r="F260" i="6"/>
  <c r="E260" i="6"/>
  <c r="D260" i="6"/>
  <c r="C260" i="6"/>
  <c r="B259" i="6"/>
  <c r="A259" i="6"/>
  <c r="J259" i="6"/>
  <c r="I259" i="6"/>
  <c r="H259" i="6"/>
  <c r="G259" i="6"/>
  <c r="F259" i="6"/>
  <c r="E259" i="6"/>
  <c r="D259" i="6"/>
  <c r="C259" i="6"/>
  <c r="B258" i="6"/>
  <c r="A258" i="6"/>
  <c r="J258" i="6"/>
  <c r="I258" i="6"/>
  <c r="H258" i="6"/>
  <c r="G258" i="6"/>
  <c r="F258" i="6"/>
  <c r="E258" i="6"/>
  <c r="D258" i="6"/>
  <c r="C258" i="6"/>
  <c r="B257" i="6"/>
  <c r="A257" i="6"/>
  <c r="J257" i="6"/>
  <c r="I257" i="6"/>
  <c r="H257" i="6"/>
  <c r="G257" i="6"/>
  <c r="F257" i="6"/>
  <c r="E257" i="6"/>
  <c r="D257" i="6"/>
  <c r="C257" i="6"/>
  <c r="B256" i="6"/>
  <c r="A256" i="6"/>
  <c r="J256" i="6"/>
  <c r="I256" i="6"/>
  <c r="H256" i="6"/>
  <c r="G256" i="6"/>
  <c r="F256" i="6"/>
  <c r="E256" i="6"/>
  <c r="D256" i="6"/>
  <c r="C256" i="6"/>
  <c r="B255" i="6"/>
  <c r="A255" i="6"/>
  <c r="J255" i="6"/>
  <c r="I255" i="6"/>
  <c r="H255" i="6"/>
  <c r="G255" i="6"/>
  <c r="F255" i="6"/>
  <c r="E255" i="6"/>
  <c r="D255" i="6"/>
  <c r="C255" i="6"/>
  <c r="B254" i="6"/>
  <c r="A254" i="6"/>
  <c r="J254" i="6"/>
  <c r="I254" i="6"/>
  <c r="H254" i="6"/>
  <c r="G254" i="6"/>
  <c r="F254" i="6"/>
  <c r="E254" i="6"/>
  <c r="D254" i="6"/>
  <c r="C254" i="6"/>
  <c r="B253" i="6"/>
  <c r="A253" i="6"/>
  <c r="J253" i="6"/>
  <c r="I253" i="6"/>
  <c r="H253" i="6"/>
  <c r="G253" i="6"/>
  <c r="F253" i="6"/>
  <c r="E253" i="6"/>
  <c r="D253" i="6"/>
  <c r="C253" i="6"/>
  <c r="B252" i="6"/>
  <c r="A252" i="6"/>
  <c r="J252" i="6"/>
  <c r="I252" i="6"/>
  <c r="H252" i="6"/>
  <c r="G252" i="6"/>
  <c r="F252" i="6"/>
  <c r="E252" i="6"/>
  <c r="D252" i="6"/>
  <c r="C252" i="6"/>
  <c r="B251" i="6"/>
  <c r="A251" i="6"/>
  <c r="J251" i="6"/>
  <c r="I251" i="6"/>
  <c r="H251" i="6"/>
  <c r="G251" i="6"/>
  <c r="F251" i="6"/>
  <c r="E251" i="6"/>
  <c r="D251" i="6"/>
  <c r="C251" i="6"/>
  <c r="B250" i="6"/>
  <c r="A250" i="6"/>
  <c r="J250" i="6"/>
  <c r="I250" i="6"/>
  <c r="H250" i="6"/>
  <c r="G250" i="6"/>
  <c r="F250" i="6"/>
  <c r="E250" i="6"/>
  <c r="D250" i="6"/>
  <c r="C250" i="6"/>
  <c r="B249" i="6"/>
  <c r="A249" i="6"/>
  <c r="J249" i="6"/>
  <c r="I249" i="6"/>
  <c r="H249" i="6"/>
  <c r="G249" i="6"/>
  <c r="F249" i="6"/>
  <c r="E249" i="6"/>
  <c r="D249" i="6"/>
  <c r="C249" i="6"/>
  <c r="B248" i="6"/>
  <c r="A248" i="6"/>
  <c r="J248" i="6"/>
  <c r="I248" i="6"/>
  <c r="H248" i="6"/>
  <c r="G248" i="6"/>
  <c r="F248" i="6"/>
  <c r="E248" i="6"/>
  <c r="D248" i="6"/>
  <c r="C248" i="6"/>
  <c r="B247" i="6"/>
  <c r="A247" i="6"/>
  <c r="J247" i="6"/>
  <c r="I247" i="6"/>
  <c r="H247" i="6"/>
  <c r="G247" i="6"/>
  <c r="F247" i="6"/>
  <c r="E247" i="6"/>
  <c r="D247" i="6"/>
  <c r="C247" i="6"/>
  <c r="B246" i="6"/>
  <c r="A246" i="6"/>
  <c r="J246" i="6"/>
  <c r="I246" i="6"/>
  <c r="H246" i="6"/>
  <c r="G246" i="6"/>
  <c r="F246" i="6"/>
  <c r="E246" i="6"/>
  <c r="D246" i="6"/>
  <c r="C246" i="6"/>
  <c r="B245" i="6"/>
  <c r="A245" i="6"/>
  <c r="J245" i="6"/>
  <c r="I245" i="6"/>
  <c r="H245" i="6"/>
  <c r="G245" i="6"/>
  <c r="F245" i="6"/>
  <c r="E245" i="6"/>
  <c r="D245" i="6"/>
  <c r="C245" i="6"/>
  <c r="B244" i="6"/>
  <c r="A244" i="6"/>
  <c r="J244" i="6"/>
  <c r="I244" i="6"/>
  <c r="H244" i="6"/>
  <c r="G244" i="6"/>
  <c r="F244" i="6"/>
  <c r="E244" i="6"/>
  <c r="D244" i="6"/>
  <c r="C244" i="6"/>
  <c r="B243" i="6"/>
  <c r="A243" i="6"/>
  <c r="J243" i="6"/>
  <c r="I243" i="6"/>
  <c r="H243" i="6"/>
  <c r="G243" i="6"/>
  <c r="F243" i="6"/>
  <c r="E243" i="6"/>
  <c r="D243" i="6"/>
  <c r="C243" i="6"/>
  <c r="B242" i="6"/>
  <c r="A242" i="6"/>
  <c r="J242" i="6"/>
  <c r="I242" i="6"/>
  <c r="H242" i="6"/>
  <c r="G242" i="6"/>
  <c r="F242" i="6"/>
  <c r="E242" i="6"/>
  <c r="D242" i="6"/>
  <c r="C242" i="6"/>
  <c r="B241" i="6"/>
  <c r="A241" i="6"/>
  <c r="J241" i="6"/>
  <c r="I241" i="6"/>
  <c r="H241" i="6"/>
  <c r="G241" i="6"/>
  <c r="F241" i="6"/>
  <c r="E241" i="6"/>
  <c r="D241" i="6"/>
  <c r="C241" i="6"/>
  <c r="B240" i="6"/>
  <c r="A240" i="6"/>
  <c r="J240" i="6"/>
  <c r="I240" i="6"/>
  <c r="H240" i="6"/>
  <c r="G240" i="6"/>
  <c r="F240" i="6"/>
  <c r="E240" i="6"/>
  <c r="D240" i="6"/>
  <c r="C240" i="6"/>
  <c r="B239" i="6"/>
  <c r="A239" i="6"/>
  <c r="J239" i="6"/>
  <c r="I239" i="6"/>
  <c r="H239" i="6"/>
  <c r="G239" i="6"/>
  <c r="F239" i="6"/>
  <c r="E239" i="6"/>
  <c r="D239" i="6"/>
  <c r="C239" i="6"/>
  <c r="B238" i="6"/>
  <c r="A238" i="6"/>
  <c r="J238" i="6"/>
  <c r="I238" i="6"/>
  <c r="H238" i="6"/>
  <c r="G238" i="6"/>
  <c r="F238" i="6"/>
  <c r="E238" i="6"/>
  <c r="D238" i="6"/>
  <c r="C238" i="6"/>
  <c r="B237" i="6"/>
  <c r="A237" i="6"/>
  <c r="J237" i="6"/>
  <c r="I237" i="6"/>
  <c r="H237" i="6"/>
  <c r="G237" i="6"/>
  <c r="F237" i="6"/>
  <c r="E237" i="6"/>
  <c r="D237" i="6"/>
  <c r="C237" i="6"/>
  <c r="B236" i="6"/>
  <c r="A236" i="6"/>
  <c r="J236" i="6"/>
  <c r="I236" i="6"/>
  <c r="H236" i="6"/>
  <c r="G236" i="6"/>
  <c r="F236" i="6"/>
  <c r="E236" i="6"/>
  <c r="D236" i="6"/>
  <c r="C236" i="6"/>
  <c r="B235" i="6"/>
  <c r="A235" i="6"/>
  <c r="J235" i="6"/>
  <c r="I235" i="6"/>
  <c r="H235" i="6"/>
  <c r="G235" i="6"/>
  <c r="F235" i="6"/>
  <c r="E235" i="6"/>
  <c r="D235" i="6"/>
  <c r="C235" i="6"/>
  <c r="B234" i="6"/>
  <c r="A234" i="6"/>
  <c r="J234" i="6"/>
  <c r="I234" i="6"/>
  <c r="H234" i="6"/>
  <c r="G234" i="6"/>
  <c r="F234" i="6"/>
  <c r="E234" i="6"/>
  <c r="D234" i="6"/>
  <c r="C234" i="6"/>
  <c r="B233" i="6"/>
  <c r="A233" i="6"/>
  <c r="J233" i="6"/>
  <c r="I233" i="6"/>
  <c r="H233" i="6"/>
  <c r="G233" i="6"/>
  <c r="F233" i="6"/>
  <c r="E233" i="6"/>
  <c r="D233" i="6"/>
  <c r="C233" i="6"/>
  <c r="B232" i="6"/>
  <c r="A232" i="6"/>
  <c r="J232" i="6"/>
  <c r="I232" i="6"/>
  <c r="H232" i="6"/>
  <c r="G232" i="6"/>
  <c r="F232" i="6"/>
  <c r="E232" i="6"/>
  <c r="D232" i="6"/>
  <c r="C232" i="6"/>
  <c r="B231" i="6"/>
  <c r="A231" i="6"/>
  <c r="J231" i="6"/>
  <c r="I231" i="6"/>
  <c r="H231" i="6"/>
  <c r="G231" i="6"/>
  <c r="F231" i="6"/>
  <c r="E231" i="6"/>
  <c r="D231" i="6"/>
  <c r="C231" i="6"/>
  <c r="B230" i="6"/>
  <c r="A230" i="6"/>
  <c r="J230" i="6"/>
  <c r="I230" i="6"/>
  <c r="H230" i="6"/>
  <c r="G230" i="6"/>
  <c r="F230" i="6"/>
  <c r="E230" i="6"/>
  <c r="D230" i="6"/>
  <c r="C230" i="6"/>
  <c r="B229" i="6"/>
  <c r="A229" i="6"/>
  <c r="J229" i="6"/>
  <c r="I229" i="6"/>
  <c r="H229" i="6"/>
  <c r="G229" i="6"/>
  <c r="F229" i="6"/>
  <c r="E229" i="6"/>
  <c r="D229" i="6"/>
  <c r="C229" i="6"/>
  <c r="B228" i="6"/>
  <c r="A228" i="6"/>
  <c r="J228" i="6"/>
  <c r="I228" i="6"/>
  <c r="H228" i="6"/>
  <c r="G228" i="6"/>
  <c r="F228" i="6"/>
  <c r="E228" i="6"/>
  <c r="D228" i="6"/>
  <c r="C228" i="6"/>
  <c r="B227" i="6"/>
  <c r="A227" i="6"/>
  <c r="J227" i="6"/>
  <c r="I227" i="6"/>
  <c r="H227" i="6"/>
  <c r="G227" i="6"/>
  <c r="F227" i="6"/>
  <c r="E227" i="6"/>
  <c r="D227" i="6"/>
  <c r="C227" i="6"/>
  <c r="B226" i="6"/>
  <c r="A226" i="6"/>
  <c r="J226" i="6"/>
  <c r="I226" i="6"/>
  <c r="H226" i="6"/>
  <c r="G226" i="6"/>
  <c r="F226" i="6"/>
  <c r="E226" i="6"/>
  <c r="D226" i="6"/>
  <c r="C226" i="6"/>
  <c r="B225" i="6"/>
  <c r="A225" i="6"/>
  <c r="J225" i="6"/>
  <c r="I225" i="6"/>
  <c r="H225" i="6"/>
  <c r="G225" i="6"/>
  <c r="F225" i="6"/>
  <c r="E225" i="6"/>
  <c r="D225" i="6"/>
  <c r="C225" i="6"/>
  <c r="B224" i="6"/>
  <c r="A224" i="6"/>
  <c r="J224" i="6"/>
  <c r="I224" i="6"/>
  <c r="H224" i="6"/>
  <c r="G224" i="6"/>
  <c r="F224" i="6"/>
  <c r="E224" i="6"/>
  <c r="D224" i="6"/>
  <c r="C224" i="6"/>
  <c r="B223" i="6"/>
  <c r="A223" i="6"/>
  <c r="J223" i="6"/>
  <c r="I223" i="6"/>
  <c r="H223" i="6"/>
  <c r="G223" i="6"/>
  <c r="F223" i="6"/>
  <c r="E223" i="6"/>
  <c r="D223" i="6"/>
  <c r="C223" i="6"/>
  <c r="B222" i="6"/>
  <c r="A222" i="6"/>
  <c r="J222" i="6"/>
  <c r="I222" i="6"/>
  <c r="H222" i="6"/>
  <c r="G222" i="6"/>
  <c r="F222" i="6"/>
  <c r="E222" i="6"/>
  <c r="D222" i="6"/>
  <c r="C222" i="6"/>
  <c r="B221" i="6"/>
  <c r="A221" i="6"/>
  <c r="J221" i="6"/>
  <c r="I221" i="6"/>
  <c r="H221" i="6"/>
  <c r="G221" i="6"/>
  <c r="F221" i="6"/>
  <c r="E221" i="6"/>
  <c r="D221" i="6"/>
  <c r="C221" i="6"/>
  <c r="B220" i="6"/>
  <c r="A220" i="6"/>
  <c r="J220" i="6"/>
  <c r="I220" i="6"/>
  <c r="H220" i="6"/>
  <c r="G220" i="6"/>
  <c r="F220" i="6"/>
  <c r="E220" i="6"/>
  <c r="D220" i="6"/>
  <c r="C220" i="6"/>
  <c r="B219" i="6"/>
  <c r="A219" i="6"/>
  <c r="J219" i="6"/>
  <c r="I219" i="6"/>
  <c r="H219" i="6"/>
  <c r="G219" i="6"/>
  <c r="F219" i="6"/>
  <c r="E219" i="6"/>
  <c r="D219" i="6"/>
  <c r="C219" i="6"/>
  <c r="B218" i="6"/>
  <c r="A218" i="6"/>
  <c r="J218" i="6"/>
  <c r="I218" i="6"/>
  <c r="H218" i="6"/>
  <c r="G218" i="6"/>
  <c r="F218" i="6"/>
  <c r="E218" i="6"/>
  <c r="D218" i="6"/>
  <c r="C218" i="6"/>
  <c r="B217" i="6"/>
  <c r="A217" i="6"/>
  <c r="J217" i="6"/>
  <c r="I217" i="6"/>
  <c r="H217" i="6"/>
  <c r="G217" i="6"/>
  <c r="F217" i="6"/>
  <c r="E217" i="6"/>
  <c r="D217" i="6"/>
  <c r="C217" i="6"/>
  <c r="B216" i="6"/>
  <c r="A216" i="6"/>
  <c r="J216" i="6"/>
  <c r="I216" i="6"/>
  <c r="H216" i="6"/>
  <c r="G216" i="6"/>
  <c r="F216" i="6"/>
  <c r="E216" i="6"/>
  <c r="D216" i="6"/>
  <c r="C216" i="6"/>
  <c r="B215" i="6"/>
  <c r="A215" i="6"/>
  <c r="J215" i="6"/>
  <c r="I215" i="6"/>
  <c r="H215" i="6"/>
  <c r="G215" i="6"/>
  <c r="F215" i="6"/>
  <c r="E215" i="6"/>
  <c r="D215" i="6"/>
  <c r="C215" i="6"/>
  <c r="B214" i="6"/>
  <c r="A214" i="6"/>
  <c r="J214" i="6"/>
  <c r="I214" i="6"/>
  <c r="H214" i="6"/>
  <c r="G214" i="6"/>
  <c r="F214" i="6"/>
  <c r="E214" i="6"/>
  <c r="D214" i="6"/>
  <c r="C214" i="6"/>
  <c r="B213" i="6"/>
  <c r="A213" i="6"/>
  <c r="J213" i="6"/>
  <c r="I213" i="6"/>
  <c r="H213" i="6"/>
  <c r="G213" i="6"/>
  <c r="F213" i="6"/>
  <c r="E213" i="6"/>
  <c r="D213" i="6"/>
  <c r="C213" i="6"/>
  <c r="B212" i="6"/>
  <c r="A212" i="6"/>
  <c r="J212" i="6"/>
  <c r="I212" i="6"/>
  <c r="H212" i="6"/>
  <c r="G212" i="6"/>
  <c r="F212" i="6"/>
  <c r="E212" i="6"/>
  <c r="D212" i="6"/>
  <c r="C212" i="6"/>
  <c r="B211" i="6"/>
  <c r="A211" i="6"/>
  <c r="J211" i="6"/>
  <c r="I211" i="6"/>
  <c r="H211" i="6"/>
  <c r="G211" i="6"/>
  <c r="F211" i="6"/>
  <c r="E211" i="6"/>
  <c r="D211" i="6"/>
  <c r="C211" i="6"/>
  <c r="B210" i="6"/>
  <c r="A210" i="6"/>
  <c r="J210" i="6"/>
  <c r="I210" i="6"/>
  <c r="H210" i="6"/>
  <c r="G210" i="6"/>
  <c r="F210" i="6"/>
  <c r="E210" i="6"/>
  <c r="D210" i="6"/>
  <c r="C210" i="6"/>
  <c r="B209" i="6"/>
  <c r="A209" i="6"/>
  <c r="J209" i="6"/>
  <c r="I209" i="6"/>
  <c r="H209" i="6"/>
  <c r="G209" i="6"/>
  <c r="F209" i="6"/>
  <c r="E209" i="6"/>
  <c r="D209" i="6"/>
  <c r="C209" i="6"/>
  <c r="B208" i="6"/>
  <c r="A208" i="6"/>
  <c r="J208" i="6"/>
  <c r="I208" i="6"/>
  <c r="H208" i="6"/>
  <c r="G208" i="6"/>
  <c r="F208" i="6"/>
  <c r="E208" i="6"/>
  <c r="D208" i="6"/>
  <c r="C208" i="6"/>
  <c r="B207" i="6"/>
  <c r="A207" i="6"/>
  <c r="J207" i="6"/>
  <c r="I207" i="6"/>
  <c r="H207" i="6"/>
  <c r="G207" i="6"/>
  <c r="F207" i="6"/>
  <c r="E207" i="6"/>
  <c r="D207" i="6"/>
  <c r="C207" i="6"/>
  <c r="B206" i="6"/>
  <c r="A206" i="6"/>
  <c r="J206" i="6"/>
  <c r="I206" i="6"/>
  <c r="H206" i="6"/>
  <c r="G206" i="6"/>
  <c r="F206" i="6"/>
  <c r="E206" i="6"/>
  <c r="D206" i="6"/>
  <c r="C206" i="6"/>
  <c r="B205" i="6"/>
  <c r="A205" i="6"/>
  <c r="J205" i="6"/>
  <c r="I205" i="6"/>
  <c r="H205" i="6"/>
  <c r="G205" i="6"/>
  <c r="F205" i="6"/>
  <c r="E205" i="6"/>
  <c r="D205" i="6"/>
  <c r="C205" i="6"/>
  <c r="B204" i="6"/>
  <c r="A204" i="6"/>
  <c r="J204" i="6"/>
  <c r="I204" i="6"/>
  <c r="H204" i="6"/>
  <c r="G204" i="6"/>
  <c r="F204" i="6"/>
  <c r="E204" i="6"/>
  <c r="D204" i="6"/>
  <c r="C204" i="6"/>
  <c r="B203" i="6"/>
  <c r="A203" i="6"/>
  <c r="J203" i="6"/>
  <c r="I203" i="6"/>
  <c r="H203" i="6"/>
  <c r="G203" i="6"/>
  <c r="F203" i="6"/>
  <c r="E203" i="6"/>
  <c r="D203" i="6"/>
  <c r="C203" i="6"/>
  <c r="B202" i="6"/>
  <c r="A202" i="6"/>
  <c r="J202" i="6"/>
  <c r="I202" i="6"/>
  <c r="H202" i="6"/>
  <c r="G202" i="6"/>
  <c r="F202" i="6"/>
  <c r="E202" i="6"/>
  <c r="D202" i="6"/>
  <c r="C202" i="6"/>
  <c r="B201" i="6"/>
  <c r="A201" i="6"/>
  <c r="J201" i="6"/>
  <c r="I201" i="6"/>
  <c r="H201" i="6"/>
  <c r="G201" i="6"/>
  <c r="F201" i="6"/>
  <c r="E201" i="6"/>
  <c r="D201" i="6"/>
  <c r="C201" i="6"/>
  <c r="B200" i="6"/>
  <c r="A200" i="6"/>
  <c r="J200" i="6"/>
  <c r="I200" i="6"/>
  <c r="H200" i="6"/>
  <c r="G200" i="6"/>
  <c r="F200" i="6"/>
  <c r="E200" i="6"/>
  <c r="D200" i="6"/>
  <c r="C200" i="6"/>
  <c r="B199" i="6"/>
  <c r="A199" i="6"/>
  <c r="J199" i="6"/>
  <c r="I199" i="6"/>
  <c r="H199" i="6"/>
  <c r="G199" i="6"/>
  <c r="F199" i="6"/>
  <c r="E199" i="6"/>
  <c r="D199" i="6"/>
  <c r="C199" i="6"/>
  <c r="B198" i="6"/>
  <c r="A198" i="6"/>
  <c r="J198" i="6"/>
  <c r="I198" i="6"/>
  <c r="H198" i="6"/>
  <c r="G198" i="6"/>
  <c r="F198" i="6"/>
  <c r="E198" i="6"/>
  <c r="D198" i="6"/>
  <c r="C198" i="6"/>
  <c r="B197" i="6"/>
  <c r="A197" i="6"/>
  <c r="J197" i="6"/>
  <c r="I197" i="6"/>
  <c r="H197" i="6"/>
  <c r="G197" i="6"/>
  <c r="F197" i="6"/>
  <c r="E197" i="6"/>
  <c r="D197" i="6"/>
  <c r="C197" i="6"/>
  <c r="B196" i="6"/>
  <c r="A196" i="6"/>
  <c r="J196" i="6"/>
  <c r="I196" i="6"/>
  <c r="H196" i="6"/>
  <c r="G196" i="6"/>
  <c r="F196" i="6"/>
  <c r="E196" i="6"/>
  <c r="D196" i="6"/>
  <c r="C196" i="6"/>
  <c r="B195" i="6"/>
  <c r="A195" i="6"/>
  <c r="J195" i="6"/>
  <c r="I195" i="6"/>
  <c r="H195" i="6"/>
  <c r="G195" i="6"/>
  <c r="F195" i="6"/>
  <c r="E195" i="6"/>
  <c r="D195" i="6"/>
  <c r="C195" i="6"/>
  <c r="B194" i="6"/>
  <c r="A194" i="6"/>
  <c r="J194" i="6"/>
  <c r="I194" i="6"/>
  <c r="H194" i="6"/>
  <c r="G194" i="6"/>
  <c r="F194" i="6"/>
  <c r="E194" i="6"/>
  <c r="D194" i="6"/>
  <c r="C194" i="6"/>
  <c r="B193" i="6"/>
  <c r="A193" i="6"/>
  <c r="J193" i="6"/>
  <c r="I193" i="6"/>
  <c r="H193" i="6"/>
  <c r="G193" i="6"/>
  <c r="F193" i="6"/>
  <c r="E193" i="6"/>
  <c r="D193" i="6"/>
  <c r="C193" i="6"/>
  <c r="B192" i="6"/>
  <c r="A192" i="6"/>
  <c r="J192" i="6"/>
  <c r="I192" i="6"/>
  <c r="H192" i="6"/>
  <c r="G192" i="6"/>
  <c r="F192" i="6"/>
  <c r="E192" i="6"/>
  <c r="D192" i="6"/>
  <c r="C192" i="6"/>
  <c r="B191" i="6"/>
  <c r="A191" i="6"/>
  <c r="J191" i="6"/>
  <c r="I191" i="6"/>
  <c r="H191" i="6"/>
  <c r="G191" i="6"/>
  <c r="F191" i="6"/>
  <c r="E191" i="6"/>
  <c r="D191" i="6"/>
  <c r="C191" i="6"/>
  <c r="B190" i="6"/>
  <c r="A190" i="6"/>
  <c r="J190" i="6"/>
  <c r="I190" i="6"/>
  <c r="H190" i="6"/>
  <c r="G190" i="6"/>
  <c r="F190" i="6"/>
  <c r="E190" i="6"/>
  <c r="D190" i="6"/>
  <c r="C190" i="6"/>
  <c r="B189" i="6"/>
  <c r="A189" i="6"/>
  <c r="J189" i="6"/>
  <c r="I189" i="6"/>
  <c r="H189" i="6"/>
  <c r="G189" i="6"/>
  <c r="F189" i="6"/>
  <c r="E189" i="6"/>
  <c r="D189" i="6"/>
  <c r="C189" i="6"/>
  <c r="B188" i="6"/>
  <c r="A188" i="6"/>
  <c r="J188" i="6"/>
  <c r="I188" i="6"/>
  <c r="H188" i="6"/>
  <c r="G188" i="6"/>
  <c r="F188" i="6"/>
  <c r="E188" i="6"/>
  <c r="D188" i="6"/>
  <c r="C188" i="6"/>
  <c r="B187" i="6"/>
  <c r="A187" i="6"/>
  <c r="J187" i="6"/>
  <c r="I187" i="6"/>
  <c r="H187" i="6"/>
  <c r="G187" i="6"/>
  <c r="F187" i="6"/>
  <c r="E187" i="6"/>
  <c r="D187" i="6"/>
  <c r="C187" i="6"/>
  <c r="B186" i="6"/>
  <c r="A186" i="6"/>
  <c r="J186" i="6"/>
  <c r="I186" i="6"/>
  <c r="H186" i="6"/>
  <c r="G186" i="6"/>
  <c r="F186" i="6"/>
  <c r="E186" i="6"/>
  <c r="D186" i="6"/>
  <c r="C186" i="6"/>
  <c r="B185" i="6"/>
  <c r="A185" i="6"/>
  <c r="J185" i="6"/>
  <c r="I185" i="6"/>
  <c r="H185" i="6"/>
  <c r="G185" i="6"/>
  <c r="F185" i="6"/>
  <c r="E185" i="6"/>
  <c r="D185" i="6"/>
  <c r="C185" i="6"/>
  <c r="B184" i="6"/>
  <c r="A184" i="6"/>
  <c r="J184" i="6"/>
  <c r="I184" i="6"/>
  <c r="H184" i="6"/>
  <c r="G184" i="6"/>
  <c r="F184" i="6"/>
  <c r="E184" i="6"/>
  <c r="D184" i="6"/>
  <c r="C184" i="6"/>
  <c r="B183" i="6"/>
  <c r="A183" i="6"/>
  <c r="J183" i="6"/>
  <c r="I183" i="6"/>
  <c r="H183" i="6"/>
  <c r="G183" i="6"/>
  <c r="F183" i="6"/>
  <c r="E183" i="6"/>
  <c r="D183" i="6"/>
  <c r="C183" i="6"/>
  <c r="B182" i="6"/>
  <c r="A182" i="6"/>
  <c r="J182" i="6"/>
  <c r="I182" i="6"/>
  <c r="H182" i="6"/>
  <c r="G182" i="6"/>
  <c r="F182" i="6"/>
  <c r="E182" i="6"/>
  <c r="D182" i="6"/>
  <c r="C182" i="6"/>
  <c r="B181" i="6"/>
  <c r="A181" i="6"/>
  <c r="J181" i="6"/>
  <c r="I181" i="6"/>
  <c r="H181" i="6"/>
  <c r="G181" i="6"/>
  <c r="F181" i="6"/>
  <c r="E181" i="6"/>
  <c r="D181" i="6"/>
  <c r="C181" i="6"/>
  <c r="B180" i="6"/>
  <c r="A180" i="6"/>
  <c r="J180" i="6"/>
  <c r="I180" i="6"/>
  <c r="H180" i="6"/>
  <c r="G180" i="6"/>
  <c r="F180" i="6"/>
  <c r="E180" i="6"/>
  <c r="D180" i="6"/>
  <c r="C180" i="6"/>
  <c r="B179" i="6"/>
  <c r="A179" i="6"/>
  <c r="J179" i="6"/>
  <c r="I179" i="6"/>
  <c r="H179" i="6"/>
  <c r="G179" i="6"/>
  <c r="F179" i="6"/>
  <c r="E179" i="6"/>
  <c r="D179" i="6"/>
  <c r="C179" i="6"/>
  <c r="B178" i="6"/>
  <c r="A178" i="6"/>
  <c r="J178" i="6"/>
  <c r="I178" i="6"/>
  <c r="H178" i="6"/>
  <c r="G178" i="6"/>
  <c r="F178" i="6"/>
  <c r="E178" i="6"/>
  <c r="D178" i="6"/>
  <c r="C178" i="6"/>
  <c r="B177" i="6"/>
  <c r="A177" i="6"/>
  <c r="J177" i="6"/>
  <c r="I177" i="6"/>
  <c r="H177" i="6"/>
  <c r="G177" i="6"/>
  <c r="F177" i="6"/>
  <c r="E177" i="6"/>
  <c r="D177" i="6"/>
  <c r="C177" i="6"/>
  <c r="B176" i="6"/>
  <c r="A176" i="6"/>
  <c r="J176" i="6"/>
  <c r="I176" i="6"/>
  <c r="H176" i="6"/>
  <c r="G176" i="6"/>
  <c r="F176" i="6"/>
  <c r="E176" i="6"/>
  <c r="D176" i="6"/>
  <c r="C176" i="6"/>
  <c r="B175" i="6"/>
  <c r="A175" i="6"/>
  <c r="J175" i="6"/>
  <c r="I175" i="6"/>
  <c r="H175" i="6"/>
  <c r="G175" i="6"/>
  <c r="F175" i="6"/>
  <c r="E175" i="6"/>
  <c r="D175" i="6"/>
  <c r="C175" i="6"/>
  <c r="B174" i="6"/>
  <c r="A174" i="6"/>
  <c r="J174" i="6"/>
  <c r="I174" i="6"/>
  <c r="H174" i="6"/>
  <c r="G174" i="6"/>
  <c r="F174" i="6"/>
  <c r="E174" i="6"/>
  <c r="D174" i="6"/>
  <c r="C174" i="6"/>
  <c r="B173" i="6"/>
  <c r="A173" i="6"/>
  <c r="J173" i="6"/>
  <c r="I173" i="6"/>
  <c r="H173" i="6"/>
  <c r="G173" i="6"/>
  <c r="F173" i="6"/>
  <c r="E173" i="6"/>
  <c r="D173" i="6"/>
  <c r="C173" i="6"/>
  <c r="B172" i="6"/>
  <c r="A172" i="6"/>
  <c r="J172" i="6"/>
  <c r="I172" i="6"/>
  <c r="H172" i="6"/>
  <c r="G172" i="6"/>
  <c r="F172" i="6"/>
  <c r="E172" i="6"/>
  <c r="D172" i="6"/>
  <c r="C172" i="6"/>
  <c r="B171" i="6"/>
  <c r="A171" i="6"/>
  <c r="J171" i="6"/>
  <c r="I171" i="6"/>
  <c r="H171" i="6"/>
  <c r="G171" i="6"/>
  <c r="F171" i="6"/>
  <c r="E171" i="6"/>
  <c r="D171" i="6"/>
  <c r="C171" i="6"/>
  <c r="B170" i="6"/>
  <c r="A170" i="6"/>
  <c r="J170" i="6"/>
  <c r="I170" i="6"/>
  <c r="H170" i="6"/>
  <c r="G170" i="6"/>
  <c r="F170" i="6"/>
  <c r="E170" i="6"/>
  <c r="D170" i="6"/>
  <c r="C170" i="6"/>
  <c r="B169" i="6"/>
  <c r="A169" i="6"/>
  <c r="J169" i="6"/>
  <c r="I169" i="6"/>
  <c r="H169" i="6"/>
  <c r="G169" i="6"/>
  <c r="F169" i="6"/>
  <c r="E169" i="6"/>
  <c r="D169" i="6"/>
  <c r="C169" i="6"/>
  <c r="B168" i="6"/>
  <c r="A168" i="6"/>
  <c r="J168" i="6"/>
  <c r="I168" i="6"/>
  <c r="H168" i="6"/>
  <c r="G168" i="6"/>
  <c r="F168" i="6"/>
  <c r="E168" i="6"/>
  <c r="D168" i="6"/>
  <c r="C168" i="6"/>
  <c r="B167" i="6"/>
  <c r="A167" i="6"/>
  <c r="J167" i="6"/>
  <c r="I167" i="6"/>
  <c r="H167" i="6"/>
  <c r="G167" i="6"/>
  <c r="F167" i="6"/>
  <c r="E167" i="6"/>
  <c r="D167" i="6"/>
  <c r="C167" i="6"/>
  <c r="B166" i="6"/>
  <c r="A166" i="6"/>
  <c r="J166" i="6"/>
  <c r="I166" i="6"/>
  <c r="H166" i="6"/>
  <c r="G166" i="6"/>
  <c r="F166" i="6"/>
  <c r="E166" i="6"/>
  <c r="D166" i="6"/>
  <c r="C166" i="6"/>
  <c r="B165" i="6"/>
  <c r="A165" i="6"/>
  <c r="J165" i="6"/>
  <c r="I165" i="6"/>
  <c r="H165" i="6"/>
  <c r="G165" i="6"/>
  <c r="F165" i="6"/>
  <c r="E165" i="6"/>
  <c r="D165" i="6"/>
  <c r="C165" i="6"/>
  <c r="B164" i="6"/>
  <c r="A164" i="6"/>
  <c r="J164" i="6"/>
  <c r="I164" i="6"/>
  <c r="H164" i="6"/>
  <c r="G164" i="6"/>
  <c r="F164" i="6"/>
  <c r="E164" i="6"/>
  <c r="D164" i="6"/>
  <c r="C164" i="6"/>
  <c r="B163" i="6"/>
  <c r="A163" i="6"/>
  <c r="J163" i="6"/>
  <c r="I163" i="6"/>
  <c r="H163" i="6"/>
  <c r="G163" i="6"/>
  <c r="F163" i="6"/>
  <c r="E163" i="6"/>
  <c r="D163" i="6"/>
  <c r="C163" i="6"/>
  <c r="B162" i="6"/>
  <c r="A162" i="6"/>
  <c r="J162" i="6"/>
  <c r="I162" i="6"/>
  <c r="H162" i="6"/>
  <c r="G162" i="6"/>
  <c r="F162" i="6"/>
  <c r="E162" i="6"/>
  <c r="D162" i="6"/>
  <c r="C162" i="6"/>
  <c r="B161" i="6"/>
  <c r="A161" i="6"/>
  <c r="J161" i="6"/>
  <c r="I161" i="6"/>
  <c r="H161" i="6"/>
  <c r="G161" i="6"/>
  <c r="F161" i="6"/>
  <c r="E161" i="6"/>
  <c r="D161" i="6"/>
  <c r="C161" i="6"/>
  <c r="B160" i="6"/>
  <c r="A160" i="6"/>
  <c r="J160" i="6"/>
  <c r="I160" i="6"/>
  <c r="H160" i="6"/>
  <c r="G160" i="6"/>
  <c r="F160" i="6"/>
  <c r="E160" i="6"/>
  <c r="D160" i="6"/>
  <c r="C160" i="6"/>
  <c r="B159" i="6"/>
  <c r="A159" i="6"/>
  <c r="J159" i="6"/>
  <c r="I159" i="6"/>
  <c r="H159" i="6"/>
  <c r="G159" i="6"/>
  <c r="F159" i="6"/>
  <c r="E159" i="6"/>
  <c r="D159" i="6"/>
  <c r="C159" i="6"/>
  <c r="B158" i="6"/>
  <c r="A158" i="6"/>
  <c r="J158" i="6"/>
  <c r="I158" i="6"/>
  <c r="H158" i="6"/>
  <c r="G158" i="6"/>
  <c r="F158" i="6"/>
  <c r="E158" i="6"/>
  <c r="D158" i="6"/>
  <c r="C158" i="6"/>
  <c r="B157" i="6"/>
  <c r="A157" i="6"/>
  <c r="J157" i="6"/>
  <c r="I157" i="6"/>
  <c r="H157" i="6"/>
  <c r="G157" i="6"/>
  <c r="F157" i="6"/>
  <c r="E157" i="6"/>
  <c r="D157" i="6"/>
  <c r="C157" i="6"/>
  <c r="B156" i="6"/>
  <c r="A156" i="6"/>
  <c r="J156" i="6"/>
  <c r="I156" i="6"/>
  <c r="H156" i="6"/>
  <c r="G156" i="6"/>
  <c r="F156" i="6"/>
  <c r="E156" i="6"/>
  <c r="D156" i="6"/>
  <c r="C156" i="6"/>
  <c r="B155" i="6"/>
  <c r="A155" i="6"/>
  <c r="J155" i="6"/>
  <c r="I155" i="6"/>
  <c r="H155" i="6"/>
  <c r="G155" i="6"/>
  <c r="F155" i="6"/>
  <c r="E155" i="6"/>
  <c r="D155" i="6"/>
  <c r="C155" i="6"/>
  <c r="B154" i="6"/>
  <c r="A154" i="6"/>
  <c r="J154" i="6"/>
  <c r="I154" i="6"/>
  <c r="H154" i="6"/>
  <c r="G154" i="6"/>
  <c r="F154" i="6"/>
  <c r="E154" i="6"/>
  <c r="D154" i="6"/>
  <c r="C154" i="6"/>
  <c r="B153" i="6"/>
  <c r="A153" i="6"/>
  <c r="J153" i="6"/>
  <c r="I153" i="6"/>
  <c r="H153" i="6"/>
  <c r="G153" i="6"/>
  <c r="F153" i="6"/>
  <c r="E153" i="6"/>
  <c r="D153" i="6"/>
  <c r="C153" i="6"/>
  <c r="B152" i="6"/>
  <c r="A152" i="6"/>
  <c r="J152" i="6"/>
  <c r="I152" i="6"/>
  <c r="H152" i="6"/>
  <c r="G152" i="6"/>
  <c r="F152" i="6"/>
  <c r="E152" i="6"/>
  <c r="D152" i="6"/>
  <c r="C152" i="6"/>
  <c r="B151" i="6"/>
  <c r="A151" i="6"/>
  <c r="J151" i="6"/>
  <c r="I151" i="6"/>
  <c r="H151" i="6"/>
  <c r="G151" i="6"/>
  <c r="F151" i="6"/>
  <c r="E151" i="6"/>
  <c r="D151" i="6"/>
  <c r="C151" i="6"/>
  <c r="B150" i="6"/>
  <c r="A150" i="6"/>
  <c r="J150" i="6"/>
  <c r="I150" i="6"/>
  <c r="H150" i="6"/>
  <c r="G150" i="6"/>
  <c r="F150" i="6"/>
  <c r="E150" i="6"/>
  <c r="D150" i="6"/>
  <c r="C150" i="6"/>
  <c r="B149" i="6"/>
  <c r="A149" i="6"/>
  <c r="J149" i="6"/>
  <c r="I149" i="6"/>
  <c r="H149" i="6"/>
  <c r="G149" i="6"/>
  <c r="F149" i="6"/>
  <c r="E149" i="6"/>
  <c r="D149" i="6"/>
  <c r="C149" i="6"/>
  <c r="B148" i="6"/>
  <c r="A148" i="6"/>
  <c r="J148" i="6"/>
  <c r="I148" i="6"/>
  <c r="H148" i="6"/>
  <c r="G148" i="6"/>
  <c r="F148" i="6"/>
  <c r="E148" i="6"/>
  <c r="D148" i="6"/>
  <c r="C148" i="6"/>
  <c r="B147" i="6"/>
  <c r="A147" i="6"/>
  <c r="J147" i="6"/>
  <c r="I147" i="6"/>
  <c r="H147" i="6"/>
  <c r="G147" i="6"/>
  <c r="F147" i="6"/>
  <c r="E147" i="6"/>
  <c r="D147" i="6"/>
  <c r="C147" i="6"/>
  <c r="B146" i="6"/>
  <c r="A146" i="6"/>
  <c r="J146" i="6"/>
  <c r="I146" i="6"/>
  <c r="H146" i="6"/>
  <c r="G146" i="6"/>
  <c r="F146" i="6"/>
  <c r="E146" i="6"/>
  <c r="D146" i="6"/>
  <c r="C146" i="6"/>
  <c r="B145" i="6"/>
  <c r="A145" i="6"/>
  <c r="J145" i="6"/>
  <c r="I145" i="6"/>
  <c r="H145" i="6"/>
  <c r="G145" i="6"/>
  <c r="F145" i="6"/>
  <c r="E145" i="6"/>
  <c r="D145" i="6"/>
  <c r="C145" i="6"/>
  <c r="B144" i="6"/>
  <c r="A144" i="6"/>
  <c r="J144" i="6"/>
  <c r="I144" i="6"/>
  <c r="H144" i="6"/>
  <c r="G144" i="6"/>
  <c r="F144" i="6"/>
  <c r="E144" i="6"/>
  <c r="D144" i="6"/>
  <c r="C144" i="6"/>
  <c r="B143" i="6"/>
  <c r="A143" i="6"/>
  <c r="J143" i="6"/>
  <c r="I143" i="6"/>
  <c r="H143" i="6"/>
  <c r="G143" i="6"/>
  <c r="F143" i="6"/>
  <c r="E143" i="6"/>
  <c r="D143" i="6"/>
  <c r="C143" i="6"/>
  <c r="B142" i="6"/>
  <c r="A142" i="6"/>
  <c r="J142" i="6"/>
  <c r="I142" i="6"/>
  <c r="H142" i="6"/>
  <c r="G142" i="6"/>
  <c r="F142" i="6"/>
  <c r="E142" i="6"/>
  <c r="D142" i="6"/>
  <c r="C142" i="6"/>
  <c r="B141" i="6"/>
  <c r="A141" i="6"/>
  <c r="J141" i="6"/>
  <c r="I141" i="6"/>
  <c r="H141" i="6"/>
  <c r="G141" i="6"/>
  <c r="F141" i="6"/>
  <c r="E141" i="6"/>
  <c r="D141" i="6"/>
  <c r="C141" i="6"/>
  <c r="B140" i="6"/>
  <c r="A140" i="6"/>
  <c r="J140" i="6"/>
  <c r="I140" i="6"/>
  <c r="H140" i="6"/>
  <c r="G140" i="6"/>
  <c r="F140" i="6"/>
  <c r="E140" i="6"/>
  <c r="D140" i="6"/>
  <c r="C140" i="6"/>
  <c r="B139" i="6"/>
  <c r="A139" i="6"/>
  <c r="J139" i="6"/>
  <c r="I139" i="6"/>
  <c r="H139" i="6"/>
  <c r="G139" i="6"/>
  <c r="F139" i="6"/>
  <c r="E139" i="6"/>
  <c r="D139" i="6"/>
  <c r="C139" i="6"/>
  <c r="B138" i="6"/>
  <c r="A138" i="6"/>
  <c r="J138" i="6"/>
  <c r="I138" i="6"/>
  <c r="H138" i="6"/>
  <c r="G138" i="6"/>
  <c r="F138" i="6"/>
  <c r="E138" i="6"/>
  <c r="D138" i="6"/>
  <c r="C138" i="6"/>
  <c r="B137" i="6"/>
  <c r="A137" i="6"/>
  <c r="J137" i="6"/>
  <c r="I137" i="6"/>
  <c r="H137" i="6"/>
  <c r="G137" i="6"/>
  <c r="F137" i="6"/>
  <c r="E137" i="6"/>
  <c r="D137" i="6"/>
  <c r="C137" i="6"/>
  <c r="B136" i="6"/>
  <c r="A136" i="6"/>
  <c r="J136" i="6"/>
  <c r="I136" i="6"/>
  <c r="H136" i="6"/>
  <c r="G136" i="6"/>
  <c r="F136" i="6"/>
  <c r="E136" i="6"/>
  <c r="D136" i="6"/>
  <c r="C136" i="6"/>
  <c r="B135" i="6"/>
  <c r="A135" i="6"/>
  <c r="J135" i="6"/>
  <c r="I135" i="6"/>
  <c r="H135" i="6"/>
  <c r="G135" i="6"/>
  <c r="F135" i="6"/>
  <c r="E135" i="6"/>
  <c r="D135" i="6"/>
  <c r="C135" i="6"/>
  <c r="B134" i="6"/>
  <c r="A134" i="6"/>
  <c r="J134" i="6"/>
  <c r="I134" i="6"/>
  <c r="H134" i="6"/>
  <c r="G134" i="6"/>
  <c r="F134" i="6"/>
  <c r="E134" i="6"/>
  <c r="D134" i="6"/>
  <c r="C134" i="6"/>
  <c r="B133" i="6"/>
  <c r="A133" i="6"/>
  <c r="J133" i="6"/>
  <c r="I133" i="6"/>
  <c r="H133" i="6"/>
  <c r="G133" i="6"/>
  <c r="F133" i="6"/>
  <c r="E133" i="6"/>
  <c r="D133" i="6"/>
  <c r="C133" i="6"/>
  <c r="B132" i="6"/>
  <c r="A132" i="6"/>
  <c r="J132" i="6"/>
  <c r="I132" i="6"/>
  <c r="H132" i="6"/>
  <c r="G132" i="6"/>
  <c r="F132" i="6"/>
  <c r="E132" i="6"/>
  <c r="D132" i="6"/>
  <c r="C132" i="6"/>
  <c r="B131" i="6"/>
  <c r="A131" i="6"/>
  <c r="J131" i="6"/>
  <c r="I131" i="6"/>
  <c r="H131" i="6"/>
  <c r="G131" i="6"/>
  <c r="F131" i="6"/>
  <c r="E131" i="6"/>
  <c r="D131" i="6"/>
  <c r="C131" i="6"/>
  <c r="B130" i="6"/>
  <c r="A130" i="6"/>
  <c r="J130" i="6"/>
  <c r="I130" i="6"/>
  <c r="H130" i="6"/>
  <c r="G130" i="6"/>
  <c r="F130" i="6"/>
  <c r="E130" i="6"/>
  <c r="D130" i="6"/>
  <c r="C130" i="6"/>
  <c r="B129" i="6"/>
  <c r="A129" i="6"/>
  <c r="J129" i="6"/>
  <c r="I129" i="6"/>
  <c r="H129" i="6"/>
  <c r="G129" i="6"/>
  <c r="F129" i="6"/>
  <c r="E129" i="6"/>
  <c r="D129" i="6"/>
  <c r="C129" i="6"/>
  <c r="B128" i="6"/>
  <c r="A128" i="6"/>
  <c r="J128" i="6"/>
  <c r="I128" i="6"/>
  <c r="H128" i="6"/>
  <c r="G128" i="6"/>
  <c r="F128" i="6"/>
  <c r="E128" i="6"/>
  <c r="D128" i="6"/>
  <c r="C128" i="6"/>
  <c r="B127" i="6"/>
  <c r="A127" i="6"/>
  <c r="J127" i="6"/>
  <c r="I127" i="6"/>
  <c r="H127" i="6"/>
  <c r="G127" i="6"/>
  <c r="F127" i="6"/>
  <c r="E127" i="6"/>
  <c r="D127" i="6"/>
  <c r="C127" i="6"/>
  <c r="B126" i="6"/>
  <c r="A126" i="6"/>
  <c r="J126" i="6"/>
  <c r="I126" i="6"/>
  <c r="H126" i="6"/>
  <c r="G126" i="6"/>
  <c r="F126" i="6"/>
  <c r="E126" i="6"/>
  <c r="D126" i="6"/>
  <c r="C126" i="6"/>
  <c r="B125" i="6"/>
  <c r="A125" i="6"/>
  <c r="J125" i="6"/>
  <c r="I125" i="6"/>
  <c r="H125" i="6"/>
  <c r="G125" i="6"/>
  <c r="F125" i="6"/>
  <c r="E125" i="6"/>
  <c r="D125" i="6"/>
  <c r="C125" i="6"/>
  <c r="B124" i="6"/>
  <c r="A124" i="6"/>
  <c r="J124" i="6"/>
  <c r="I124" i="6"/>
  <c r="H124" i="6"/>
  <c r="G124" i="6"/>
  <c r="F124" i="6"/>
  <c r="E124" i="6"/>
  <c r="D124" i="6"/>
  <c r="C124" i="6"/>
  <c r="B123" i="6"/>
  <c r="A123" i="6"/>
  <c r="J123" i="6"/>
  <c r="I123" i="6"/>
  <c r="H123" i="6"/>
  <c r="G123" i="6"/>
  <c r="F123" i="6"/>
  <c r="E123" i="6"/>
  <c r="D123" i="6"/>
  <c r="C123" i="6"/>
  <c r="B122" i="6"/>
  <c r="A122" i="6"/>
  <c r="J122" i="6"/>
  <c r="I122" i="6"/>
  <c r="H122" i="6"/>
  <c r="G122" i="6"/>
  <c r="F122" i="6"/>
  <c r="E122" i="6"/>
  <c r="D122" i="6"/>
  <c r="C122" i="6"/>
  <c r="B121" i="6"/>
  <c r="A121" i="6"/>
  <c r="J121" i="6"/>
  <c r="I121" i="6"/>
  <c r="H121" i="6"/>
  <c r="G121" i="6"/>
  <c r="F121" i="6"/>
  <c r="E121" i="6"/>
  <c r="D121" i="6"/>
  <c r="C121" i="6"/>
  <c r="B120" i="6"/>
  <c r="A120" i="6"/>
  <c r="J120" i="6"/>
  <c r="I120" i="6"/>
  <c r="H120" i="6"/>
  <c r="G120" i="6"/>
  <c r="F120" i="6"/>
  <c r="E120" i="6"/>
  <c r="D120" i="6"/>
  <c r="C120" i="6"/>
  <c r="B119" i="6"/>
  <c r="A119" i="6"/>
  <c r="J119" i="6"/>
  <c r="I119" i="6"/>
  <c r="H119" i="6"/>
  <c r="G119" i="6"/>
  <c r="F119" i="6"/>
  <c r="E119" i="6"/>
  <c r="D119" i="6"/>
  <c r="C119" i="6"/>
  <c r="B118" i="6"/>
  <c r="A118" i="6"/>
  <c r="J118" i="6"/>
  <c r="I118" i="6"/>
  <c r="H118" i="6"/>
  <c r="G118" i="6"/>
  <c r="F118" i="6"/>
  <c r="E118" i="6"/>
  <c r="D118" i="6"/>
  <c r="C118" i="6"/>
  <c r="B117" i="6"/>
  <c r="A117" i="6"/>
  <c r="J117" i="6"/>
  <c r="I117" i="6"/>
  <c r="H117" i="6"/>
  <c r="G117" i="6"/>
  <c r="F117" i="6"/>
  <c r="E117" i="6"/>
  <c r="D117" i="6"/>
  <c r="C117" i="6"/>
  <c r="B116" i="6"/>
  <c r="A116" i="6"/>
  <c r="J116" i="6"/>
  <c r="I116" i="6"/>
  <c r="H116" i="6"/>
  <c r="G116" i="6"/>
  <c r="F116" i="6"/>
  <c r="E116" i="6"/>
  <c r="D116" i="6"/>
  <c r="C116" i="6"/>
  <c r="B115" i="6"/>
  <c r="A115" i="6"/>
  <c r="J115" i="6"/>
  <c r="I115" i="6"/>
  <c r="H115" i="6"/>
  <c r="G115" i="6"/>
  <c r="F115" i="6"/>
  <c r="E115" i="6"/>
  <c r="D115" i="6"/>
  <c r="C115" i="6"/>
  <c r="B114" i="6"/>
  <c r="A114" i="6"/>
  <c r="J114" i="6"/>
  <c r="I114" i="6"/>
  <c r="H114" i="6"/>
  <c r="G114" i="6"/>
  <c r="F114" i="6"/>
  <c r="E114" i="6"/>
  <c r="D114" i="6"/>
  <c r="C114" i="6"/>
  <c r="B113" i="6"/>
  <c r="A113" i="6"/>
  <c r="J113" i="6"/>
  <c r="I113" i="6"/>
  <c r="H113" i="6"/>
  <c r="G113" i="6"/>
  <c r="F113" i="6"/>
  <c r="E113" i="6"/>
  <c r="D113" i="6"/>
  <c r="C113" i="6"/>
  <c r="B112" i="6"/>
  <c r="A112" i="6"/>
  <c r="J112" i="6"/>
  <c r="I112" i="6"/>
  <c r="H112" i="6"/>
  <c r="G112" i="6"/>
  <c r="F112" i="6"/>
  <c r="E112" i="6"/>
  <c r="D112" i="6"/>
  <c r="C112" i="6"/>
  <c r="B111" i="6"/>
  <c r="A111" i="6"/>
  <c r="J111" i="6"/>
  <c r="I111" i="6"/>
  <c r="H111" i="6"/>
  <c r="G111" i="6"/>
  <c r="F111" i="6"/>
  <c r="E111" i="6"/>
  <c r="D111" i="6"/>
  <c r="C111" i="6"/>
  <c r="B110" i="6"/>
  <c r="A110" i="6"/>
  <c r="J110" i="6"/>
  <c r="I110" i="6"/>
  <c r="H110" i="6"/>
  <c r="G110" i="6"/>
  <c r="F110" i="6"/>
  <c r="E110" i="6"/>
  <c r="D110" i="6"/>
  <c r="C110" i="6"/>
  <c r="B109" i="6"/>
  <c r="A109" i="6"/>
  <c r="J109" i="6"/>
  <c r="I109" i="6"/>
  <c r="H109" i="6"/>
  <c r="G109" i="6"/>
  <c r="F109" i="6"/>
  <c r="E109" i="6"/>
  <c r="D109" i="6"/>
  <c r="C109" i="6"/>
  <c r="B108" i="6"/>
  <c r="A108" i="6"/>
  <c r="J108" i="6"/>
  <c r="I108" i="6"/>
  <c r="H108" i="6"/>
  <c r="G108" i="6"/>
  <c r="F108" i="6"/>
  <c r="E108" i="6"/>
  <c r="D108" i="6"/>
  <c r="C108" i="6"/>
  <c r="B107" i="6"/>
  <c r="A107" i="6"/>
  <c r="J107" i="6"/>
  <c r="I107" i="6"/>
  <c r="H107" i="6"/>
  <c r="G107" i="6"/>
  <c r="F107" i="6"/>
  <c r="E107" i="6"/>
  <c r="D107" i="6"/>
  <c r="C107" i="6"/>
  <c r="B106" i="6"/>
  <c r="A106" i="6"/>
  <c r="J106" i="6"/>
  <c r="I106" i="6"/>
  <c r="H106" i="6"/>
  <c r="G106" i="6"/>
  <c r="F106" i="6"/>
  <c r="E106" i="6"/>
  <c r="D106" i="6"/>
  <c r="C106" i="6"/>
  <c r="B105" i="6"/>
  <c r="A105" i="6"/>
  <c r="J105" i="6"/>
  <c r="I105" i="6"/>
  <c r="H105" i="6"/>
  <c r="G105" i="6"/>
  <c r="F105" i="6"/>
  <c r="E105" i="6"/>
  <c r="D105" i="6"/>
  <c r="C105" i="6"/>
  <c r="B104" i="6"/>
  <c r="A104" i="6"/>
  <c r="J104" i="6"/>
  <c r="I104" i="6"/>
  <c r="H104" i="6"/>
  <c r="G104" i="6"/>
  <c r="F104" i="6"/>
  <c r="E104" i="6"/>
  <c r="D104" i="6"/>
  <c r="C104" i="6"/>
  <c r="B103" i="6"/>
  <c r="A103" i="6"/>
  <c r="J103" i="6"/>
  <c r="I103" i="6"/>
  <c r="H103" i="6"/>
  <c r="G103" i="6"/>
  <c r="F103" i="6"/>
  <c r="E103" i="6"/>
  <c r="D103" i="6"/>
  <c r="C103" i="6"/>
  <c r="B102" i="6"/>
  <c r="A102" i="6"/>
  <c r="J102" i="6"/>
  <c r="I102" i="6"/>
  <c r="H102" i="6"/>
  <c r="G102" i="6"/>
  <c r="F102" i="6"/>
  <c r="E102" i="6"/>
  <c r="D102" i="6"/>
  <c r="C102" i="6"/>
  <c r="B101" i="6"/>
  <c r="A101" i="6"/>
  <c r="J101" i="6"/>
  <c r="I101" i="6"/>
  <c r="H101" i="6"/>
  <c r="G101" i="6"/>
  <c r="F101" i="6"/>
  <c r="E101" i="6"/>
  <c r="D101" i="6"/>
  <c r="C101" i="6"/>
  <c r="B100" i="6"/>
  <c r="A100" i="6"/>
  <c r="J100" i="6"/>
  <c r="I100" i="6"/>
  <c r="H100" i="6"/>
  <c r="G100" i="6"/>
  <c r="F100" i="6"/>
  <c r="E100" i="6"/>
  <c r="D100" i="6"/>
  <c r="C100" i="6"/>
  <c r="B99" i="6"/>
  <c r="A99" i="6"/>
  <c r="J99" i="6"/>
  <c r="I99" i="6"/>
  <c r="H99" i="6"/>
  <c r="G99" i="6"/>
  <c r="F99" i="6"/>
  <c r="E99" i="6"/>
  <c r="D99" i="6"/>
  <c r="C99" i="6"/>
  <c r="B98" i="6"/>
  <c r="A98" i="6"/>
  <c r="J98" i="6"/>
  <c r="I98" i="6"/>
  <c r="H98" i="6"/>
  <c r="G98" i="6"/>
  <c r="F98" i="6"/>
  <c r="E98" i="6"/>
  <c r="D98" i="6"/>
  <c r="C98" i="6"/>
  <c r="B97" i="6"/>
  <c r="A97" i="6"/>
  <c r="J97" i="6"/>
  <c r="I97" i="6"/>
  <c r="H97" i="6"/>
  <c r="G97" i="6"/>
  <c r="F97" i="6"/>
  <c r="E97" i="6"/>
  <c r="D97" i="6"/>
  <c r="C97" i="6"/>
  <c r="B96" i="6"/>
  <c r="A96" i="6"/>
  <c r="J96" i="6"/>
  <c r="I96" i="6"/>
  <c r="H96" i="6"/>
  <c r="G96" i="6"/>
  <c r="F96" i="6"/>
  <c r="E96" i="6"/>
  <c r="D96" i="6"/>
  <c r="C96" i="6"/>
  <c r="B95" i="6"/>
  <c r="A95" i="6"/>
  <c r="J95" i="6"/>
  <c r="I95" i="6"/>
  <c r="H95" i="6"/>
  <c r="G95" i="6"/>
  <c r="F95" i="6"/>
  <c r="E95" i="6"/>
  <c r="D95" i="6"/>
  <c r="C95" i="6"/>
  <c r="B94" i="6"/>
  <c r="A94" i="6"/>
  <c r="J94" i="6"/>
  <c r="I94" i="6"/>
  <c r="H94" i="6"/>
  <c r="G94" i="6"/>
  <c r="F94" i="6"/>
  <c r="E94" i="6"/>
  <c r="D94" i="6"/>
  <c r="C94" i="6"/>
  <c r="B93" i="6"/>
  <c r="A93" i="6"/>
  <c r="J93" i="6"/>
  <c r="I93" i="6"/>
  <c r="H93" i="6"/>
  <c r="G93" i="6"/>
  <c r="F93" i="6"/>
  <c r="E93" i="6"/>
  <c r="D93" i="6"/>
  <c r="C93" i="6"/>
  <c r="B92" i="6"/>
  <c r="A92" i="6"/>
  <c r="J92" i="6"/>
  <c r="I92" i="6"/>
  <c r="H92" i="6"/>
  <c r="G92" i="6"/>
  <c r="F92" i="6"/>
  <c r="E92" i="6"/>
  <c r="D92" i="6"/>
  <c r="C92" i="6"/>
  <c r="B91" i="6"/>
  <c r="A91" i="6"/>
  <c r="J91" i="6"/>
  <c r="I91" i="6"/>
  <c r="H91" i="6"/>
  <c r="G91" i="6"/>
  <c r="F91" i="6"/>
  <c r="E91" i="6"/>
  <c r="D91" i="6"/>
  <c r="C91" i="6"/>
  <c r="B90" i="6"/>
  <c r="A90" i="6"/>
  <c r="J90" i="6"/>
  <c r="I90" i="6"/>
  <c r="H90" i="6"/>
  <c r="G90" i="6"/>
  <c r="F90" i="6"/>
  <c r="E90" i="6"/>
  <c r="D90" i="6"/>
  <c r="C90" i="6"/>
  <c r="B89" i="6"/>
  <c r="A89" i="6"/>
  <c r="J89" i="6"/>
  <c r="I89" i="6"/>
  <c r="H89" i="6"/>
  <c r="G89" i="6"/>
  <c r="F89" i="6"/>
  <c r="E89" i="6"/>
  <c r="D89" i="6"/>
  <c r="C89" i="6"/>
  <c r="B88" i="6"/>
  <c r="A88" i="6"/>
  <c r="J88" i="6"/>
  <c r="I88" i="6"/>
  <c r="H88" i="6"/>
  <c r="G88" i="6"/>
  <c r="F88" i="6"/>
  <c r="E88" i="6"/>
  <c r="D88" i="6"/>
  <c r="C88" i="6"/>
  <c r="B87" i="6"/>
  <c r="A87" i="6"/>
  <c r="J87" i="6"/>
  <c r="I87" i="6"/>
  <c r="H87" i="6"/>
  <c r="G87" i="6"/>
  <c r="F87" i="6"/>
  <c r="E87" i="6"/>
  <c r="D87" i="6"/>
  <c r="C87" i="6"/>
  <c r="B86" i="6"/>
  <c r="A86" i="6"/>
  <c r="J86" i="6"/>
  <c r="I86" i="6"/>
  <c r="H86" i="6"/>
  <c r="G86" i="6"/>
  <c r="F86" i="6"/>
  <c r="E86" i="6"/>
  <c r="D86" i="6"/>
  <c r="C86" i="6"/>
  <c r="B85" i="6"/>
  <c r="A85" i="6"/>
  <c r="J85" i="6"/>
  <c r="I85" i="6"/>
  <c r="H85" i="6"/>
  <c r="G85" i="6"/>
  <c r="F85" i="6"/>
  <c r="E85" i="6"/>
  <c r="D85" i="6"/>
  <c r="C85" i="6"/>
  <c r="B84" i="6"/>
  <c r="A84" i="6"/>
  <c r="J84" i="6"/>
  <c r="I84" i="6"/>
  <c r="H84" i="6"/>
  <c r="G84" i="6"/>
  <c r="F84" i="6"/>
  <c r="E84" i="6"/>
  <c r="D84" i="6"/>
  <c r="C84" i="6"/>
  <c r="J83" i="6"/>
  <c r="I83" i="6"/>
  <c r="H83" i="6"/>
  <c r="C83" i="6"/>
  <c r="J82" i="6"/>
  <c r="I82" i="6"/>
  <c r="H82" i="6"/>
  <c r="C82" i="6"/>
  <c r="J81" i="6"/>
  <c r="I81" i="6"/>
  <c r="H81" i="6"/>
  <c r="C81" i="6"/>
  <c r="J80" i="6"/>
  <c r="I80" i="6"/>
  <c r="H80" i="6"/>
  <c r="C80" i="6"/>
  <c r="J79" i="6"/>
  <c r="I79" i="6"/>
  <c r="H79" i="6"/>
  <c r="C79" i="6"/>
  <c r="J78" i="6"/>
  <c r="I78" i="6"/>
  <c r="H78" i="6"/>
  <c r="C78" i="6"/>
  <c r="J77" i="6"/>
  <c r="I77" i="6"/>
  <c r="H77" i="6"/>
  <c r="C77" i="6"/>
  <c r="J76" i="6"/>
  <c r="I76" i="6"/>
  <c r="H76" i="6"/>
  <c r="C76" i="6"/>
  <c r="H75" i="6"/>
  <c r="C75" i="6"/>
  <c r="J74" i="6"/>
  <c r="I74" i="6"/>
  <c r="H74" i="6"/>
  <c r="G74" i="6"/>
  <c r="F74" i="6"/>
  <c r="E74" i="6"/>
  <c r="D74" i="6"/>
  <c r="C74" i="6"/>
  <c r="B74" i="6"/>
  <c r="A74" i="6"/>
  <c r="J410" i="5"/>
  <c r="I410" i="5"/>
  <c r="H410" i="5"/>
  <c r="G410" i="5"/>
  <c r="F410" i="5"/>
  <c r="E410" i="5"/>
  <c r="D410" i="5"/>
  <c r="C410" i="5"/>
  <c r="B409" i="5"/>
  <c r="A409" i="5"/>
  <c r="J409" i="5"/>
  <c r="I409" i="5"/>
  <c r="H409" i="5"/>
  <c r="G409" i="5"/>
  <c r="F409" i="5"/>
  <c r="E409" i="5"/>
  <c r="D409" i="5"/>
  <c r="C409" i="5"/>
  <c r="B408" i="5"/>
  <c r="A408" i="5"/>
  <c r="J408" i="5"/>
  <c r="I408" i="5"/>
  <c r="H408" i="5"/>
  <c r="G408" i="5"/>
  <c r="F408" i="5"/>
  <c r="E408" i="5"/>
  <c r="D408" i="5"/>
  <c r="C408" i="5"/>
  <c r="B407" i="5"/>
  <c r="A407" i="5"/>
  <c r="J407" i="5"/>
  <c r="I407" i="5"/>
  <c r="H407" i="5"/>
  <c r="G407" i="5"/>
  <c r="F407" i="5"/>
  <c r="E407" i="5"/>
  <c r="D407" i="5"/>
  <c r="C407" i="5"/>
  <c r="B406" i="5"/>
  <c r="A406" i="5"/>
  <c r="J406" i="5"/>
  <c r="I406" i="5"/>
  <c r="H406" i="5"/>
  <c r="G406" i="5"/>
  <c r="F406" i="5"/>
  <c r="E406" i="5"/>
  <c r="D406" i="5"/>
  <c r="C406" i="5"/>
  <c r="B405" i="5"/>
  <c r="A405" i="5"/>
  <c r="J405" i="5"/>
  <c r="I405" i="5"/>
  <c r="H405" i="5"/>
  <c r="G405" i="5"/>
  <c r="F405" i="5"/>
  <c r="E405" i="5"/>
  <c r="D405" i="5"/>
  <c r="C405" i="5"/>
  <c r="B404" i="5"/>
  <c r="A404" i="5"/>
  <c r="J404" i="5"/>
  <c r="I404" i="5"/>
  <c r="H404" i="5"/>
  <c r="G404" i="5"/>
  <c r="F404" i="5"/>
  <c r="E404" i="5"/>
  <c r="D404" i="5"/>
  <c r="C404" i="5"/>
  <c r="B403" i="5"/>
  <c r="A403" i="5"/>
  <c r="J403" i="5"/>
  <c r="I403" i="5"/>
  <c r="H403" i="5"/>
  <c r="G403" i="5"/>
  <c r="F403" i="5"/>
  <c r="E403" i="5"/>
  <c r="D403" i="5"/>
  <c r="C403" i="5"/>
  <c r="B402" i="5"/>
  <c r="A402" i="5"/>
  <c r="J402" i="5"/>
  <c r="I402" i="5"/>
  <c r="H402" i="5"/>
  <c r="G402" i="5"/>
  <c r="F402" i="5"/>
  <c r="E402" i="5"/>
  <c r="D402" i="5"/>
  <c r="C402" i="5"/>
  <c r="B401" i="5"/>
  <c r="A401" i="5"/>
  <c r="J401" i="5"/>
  <c r="I401" i="5"/>
  <c r="H401" i="5"/>
  <c r="G401" i="5"/>
  <c r="F401" i="5"/>
  <c r="E401" i="5"/>
  <c r="D401" i="5"/>
  <c r="C401" i="5"/>
  <c r="B400" i="5"/>
  <c r="A400" i="5"/>
  <c r="J400" i="5"/>
  <c r="I400" i="5"/>
  <c r="H400" i="5"/>
  <c r="G400" i="5"/>
  <c r="F400" i="5"/>
  <c r="E400" i="5"/>
  <c r="D400" i="5"/>
  <c r="C400" i="5"/>
  <c r="B399" i="5"/>
  <c r="A399" i="5"/>
  <c r="J399" i="5"/>
  <c r="I399" i="5"/>
  <c r="H399" i="5"/>
  <c r="G399" i="5"/>
  <c r="F399" i="5"/>
  <c r="E399" i="5"/>
  <c r="D399" i="5"/>
  <c r="C399" i="5"/>
  <c r="B398" i="5"/>
  <c r="A398" i="5"/>
  <c r="J398" i="5"/>
  <c r="I398" i="5"/>
  <c r="H398" i="5"/>
  <c r="G398" i="5"/>
  <c r="F398" i="5"/>
  <c r="E398" i="5"/>
  <c r="D398" i="5"/>
  <c r="C398" i="5"/>
  <c r="B397" i="5"/>
  <c r="A397" i="5"/>
  <c r="J397" i="5"/>
  <c r="I397" i="5"/>
  <c r="H397" i="5"/>
  <c r="G397" i="5"/>
  <c r="F397" i="5"/>
  <c r="E397" i="5"/>
  <c r="D397" i="5"/>
  <c r="C397" i="5"/>
  <c r="B396" i="5"/>
  <c r="A396" i="5"/>
  <c r="J396" i="5"/>
  <c r="I396" i="5"/>
  <c r="H396" i="5"/>
  <c r="G396" i="5"/>
  <c r="F396" i="5"/>
  <c r="E396" i="5"/>
  <c r="D396" i="5"/>
  <c r="C396" i="5"/>
  <c r="B395" i="5"/>
  <c r="A395" i="5"/>
  <c r="J395" i="5"/>
  <c r="I395" i="5"/>
  <c r="H395" i="5"/>
  <c r="G395" i="5"/>
  <c r="F395" i="5"/>
  <c r="E395" i="5"/>
  <c r="D395" i="5"/>
  <c r="C395" i="5"/>
  <c r="B394" i="5"/>
  <c r="A394" i="5"/>
  <c r="J394" i="5"/>
  <c r="I394" i="5"/>
  <c r="H394" i="5"/>
  <c r="G394" i="5"/>
  <c r="F394" i="5"/>
  <c r="E394" i="5"/>
  <c r="D394" i="5"/>
  <c r="C394" i="5"/>
  <c r="B393" i="5"/>
  <c r="A393" i="5"/>
  <c r="J393" i="5"/>
  <c r="I393" i="5"/>
  <c r="H393" i="5"/>
  <c r="G393" i="5"/>
  <c r="F393" i="5"/>
  <c r="E393" i="5"/>
  <c r="D393" i="5"/>
  <c r="C393" i="5"/>
  <c r="B392" i="5"/>
  <c r="A392" i="5"/>
  <c r="J392" i="5"/>
  <c r="I392" i="5"/>
  <c r="H392" i="5"/>
  <c r="G392" i="5"/>
  <c r="F392" i="5"/>
  <c r="E392" i="5"/>
  <c r="D392" i="5"/>
  <c r="C392" i="5"/>
  <c r="B391" i="5"/>
  <c r="A391" i="5"/>
  <c r="J391" i="5"/>
  <c r="I391" i="5"/>
  <c r="H391" i="5"/>
  <c r="G391" i="5"/>
  <c r="F391" i="5"/>
  <c r="E391" i="5"/>
  <c r="D391" i="5"/>
  <c r="C391" i="5"/>
  <c r="B390" i="5"/>
  <c r="A390" i="5"/>
  <c r="J390" i="5"/>
  <c r="I390" i="5"/>
  <c r="H390" i="5"/>
  <c r="G390" i="5"/>
  <c r="F390" i="5"/>
  <c r="E390" i="5"/>
  <c r="D390" i="5"/>
  <c r="C390" i="5"/>
  <c r="B389" i="5"/>
  <c r="A389" i="5"/>
  <c r="J389" i="5"/>
  <c r="I389" i="5"/>
  <c r="H389" i="5"/>
  <c r="G389" i="5"/>
  <c r="F389" i="5"/>
  <c r="E389" i="5"/>
  <c r="D389" i="5"/>
  <c r="C389" i="5"/>
  <c r="B388" i="5"/>
  <c r="A388" i="5"/>
  <c r="J388" i="5"/>
  <c r="I388" i="5"/>
  <c r="H388" i="5"/>
  <c r="G388" i="5"/>
  <c r="F388" i="5"/>
  <c r="E388" i="5"/>
  <c r="D388" i="5"/>
  <c r="C388" i="5"/>
  <c r="B387" i="5"/>
  <c r="A387" i="5"/>
  <c r="J387" i="5"/>
  <c r="I387" i="5"/>
  <c r="H387" i="5"/>
  <c r="G387" i="5"/>
  <c r="F387" i="5"/>
  <c r="E387" i="5"/>
  <c r="D387" i="5"/>
  <c r="C387" i="5"/>
  <c r="B386" i="5"/>
  <c r="A386" i="5"/>
  <c r="J386" i="5"/>
  <c r="I386" i="5"/>
  <c r="H386" i="5"/>
  <c r="G386" i="5"/>
  <c r="F386" i="5"/>
  <c r="E386" i="5"/>
  <c r="D386" i="5"/>
  <c r="C386" i="5"/>
  <c r="B385" i="5"/>
  <c r="A385" i="5"/>
  <c r="J385" i="5"/>
  <c r="I385" i="5"/>
  <c r="H385" i="5"/>
  <c r="G385" i="5"/>
  <c r="F385" i="5"/>
  <c r="E385" i="5"/>
  <c r="D385" i="5"/>
  <c r="C385" i="5"/>
  <c r="B384" i="5"/>
  <c r="A384" i="5"/>
  <c r="J384" i="5"/>
  <c r="I384" i="5"/>
  <c r="H384" i="5"/>
  <c r="G384" i="5"/>
  <c r="F384" i="5"/>
  <c r="E384" i="5"/>
  <c r="D384" i="5"/>
  <c r="C384" i="5"/>
  <c r="B383" i="5"/>
  <c r="A383" i="5"/>
  <c r="J383" i="5"/>
  <c r="I383" i="5"/>
  <c r="H383" i="5"/>
  <c r="G383" i="5"/>
  <c r="F383" i="5"/>
  <c r="E383" i="5"/>
  <c r="D383" i="5"/>
  <c r="C383" i="5"/>
  <c r="B382" i="5"/>
  <c r="A382" i="5"/>
  <c r="J382" i="5"/>
  <c r="I382" i="5"/>
  <c r="H382" i="5"/>
  <c r="G382" i="5"/>
  <c r="F382" i="5"/>
  <c r="E382" i="5"/>
  <c r="D382" i="5"/>
  <c r="C382" i="5"/>
  <c r="B381" i="5"/>
  <c r="A381" i="5"/>
  <c r="J381" i="5"/>
  <c r="I381" i="5"/>
  <c r="H381" i="5"/>
  <c r="G381" i="5"/>
  <c r="F381" i="5"/>
  <c r="E381" i="5"/>
  <c r="D381" i="5"/>
  <c r="C381" i="5"/>
  <c r="B380" i="5"/>
  <c r="A380" i="5"/>
  <c r="J380" i="5"/>
  <c r="I380" i="5"/>
  <c r="H380" i="5"/>
  <c r="G380" i="5"/>
  <c r="F380" i="5"/>
  <c r="E380" i="5"/>
  <c r="D380" i="5"/>
  <c r="C380" i="5"/>
  <c r="B379" i="5"/>
  <c r="A379" i="5"/>
  <c r="J379" i="5"/>
  <c r="I379" i="5"/>
  <c r="H379" i="5"/>
  <c r="G379" i="5"/>
  <c r="F379" i="5"/>
  <c r="E379" i="5"/>
  <c r="D379" i="5"/>
  <c r="C379" i="5"/>
  <c r="B378" i="5"/>
  <c r="A378" i="5"/>
  <c r="J378" i="5"/>
  <c r="I378" i="5"/>
  <c r="H378" i="5"/>
  <c r="G378" i="5"/>
  <c r="F378" i="5"/>
  <c r="E378" i="5"/>
  <c r="D378" i="5"/>
  <c r="C378" i="5"/>
  <c r="B377" i="5"/>
  <c r="A377" i="5"/>
  <c r="J377" i="5"/>
  <c r="I377" i="5"/>
  <c r="H377" i="5"/>
  <c r="G377" i="5"/>
  <c r="F377" i="5"/>
  <c r="E377" i="5"/>
  <c r="D377" i="5"/>
  <c r="C377" i="5"/>
  <c r="B376" i="5"/>
  <c r="A376" i="5"/>
  <c r="J376" i="5"/>
  <c r="I376" i="5"/>
  <c r="H376" i="5"/>
  <c r="G376" i="5"/>
  <c r="F376" i="5"/>
  <c r="E376" i="5"/>
  <c r="D376" i="5"/>
  <c r="C376" i="5"/>
  <c r="B375" i="5"/>
  <c r="A375" i="5"/>
  <c r="J375" i="5"/>
  <c r="I375" i="5"/>
  <c r="H375" i="5"/>
  <c r="G375" i="5"/>
  <c r="F375" i="5"/>
  <c r="E375" i="5"/>
  <c r="D375" i="5"/>
  <c r="C375" i="5"/>
  <c r="B374" i="5"/>
  <c r="A374" i="5"/>
  <c r="J374" i="5"/>
  <c r="I374" i="5"/>
  <c r="H374" i="5"/>
  <c r="G374" i="5"/>
  <c r="F374" i="5"/>
  <c r="E374" i="5"/>
  <c r="D374" i="5"/>
  <c r="C374" i="5"/>
  <c r="B373" i="5"/>
  <c r="A373" i="5"/>
  <c r="J373" i="5"/>
  <c r="I373" i="5"/>
  <c r="H373" i="5"/>
  <c r="G373" i="5"/>
  <c r="F373" i="5"/>
  <c r="E373" i="5"/>
  <c r="D373" i="5"/>
  <c r="C373" i="5"/>
  <c r="B372" i="5"/>
  <c r="A372" i="5"/>
  <c r="J372" i="5"/>
  <c r="I372" i="5"/>
  <c r="H372" i="5"/>
  <c r="G372" i="5"/>
  <c r="F372" i="5"/>
  <c r="E372" i="5"/>
  <c r="D372" i="5"/>
  <c r="C372" i="5"/>
  <c r="B371" i="5"/>
  <c r="A371" i="5"/>
  <c r="J371" i="5"/>
  <c r="I371" i="5"/>
  <c r="H371" i="5"/>
  <c r="G371" i="5"/>
  <c r="F371" i="5"/>
  <c r="E371" i="5"/>
  <c r="D371" i="5"/>
  <c r="C371" i="5"/>
  <c r="B370" i="5"/>
  <c r="A370" i="5"/>
  <c r="J370" i="5"/>
  <c r="I370" i="5"/>
  <c r="H370" i="5"/>
  <c r="G370" i="5"/>
  <c r="F370" i="5"/>
  <c r="E370" i="5"/>
  <c r="D370" i="5"/>
  <c r="C370" i="5"/>
  <c r="B369" i="5"/>
  <c r="A369" i="5"/>
  <c r="J369" i="5"/>
  <c r="I369" i="5"/>
  <c r="H369" i="5"/>
  <c r="G369" i="5"/>
  <c r="F369" i="5"/>
  <c r="E369" i="5"/>
  <c r="D369" i="5"/>
  <c r="C369" i="5"/>
  <c r="B368" i="5"/>
  <c r="A368" i="5"/>
  <c r="J368" i="5"/>
  <c r="I368" i="5"/>
  <c r="H368" i="5"/>
  <c r="G368" i="5"/>
  <c r="F368" i="5"/>
  <c r="E368" i="5"/>
  <c r="D368" i="5"/>
  <c r="C368" i="5"/>
  <c r="B367" i="5"/>
  <c r="A367" i="5"/>
  <c r="J367" i="5"/>
  <c r="I367" i="5"/>
  <c r="H367" i="5"/>
  <c r="G367" i="5"/>
  <c r="F367" i="5"/>
  <c r="E367" i="5"/>
  <c r="D367" i="5"/>
  <c r="C367" i="5"/>
  <c r="B366" i="5"/>
  <c r="A366" i="5"/>
  <c r="J366" i="5"/>
  <c r="I366" i="5"/>
  <c r="H366" i="5"/>
  <c r="G366" i="5"/>
  <c r="F366" i="5"/>
  <c r="E366" i="5"/>
  <c r="D366" i="5"/>
  <c r="C366" i="5"/>
  <c r="B365" i="5"/>
  <c r="A365" i="5"/>
  <c r="J365" i="5"/>
  <c r="I365" i="5"/>
  <c r="H365" i="5"/>
  <c r="G365" i="5"/>
  <c r="F365" i="5"/>
  <c r="E365" i="5"/>
  <c r="D365" i="5"/>
  <c r="C365" i="5"/>
  <c r="B364" i="5"/>
  <c r="A364" i="5"/>
  <c r="J364" i="5"/>
  <c r="I364" i="5"/>
  <c r="H364" i="5"/>
  <c r="G364" i="5"/>
  <c r="F364" i="5"/>
  <c r="E364" i="5"/>
  <c r="D364" i="5"/>
  <c r="C364" i="5"/>
  <c r="B363" i="5"/>
  <c r="A363" i="5"/>
  <c r="J363" i="5"/>
  <c r="I363" i="5"/>
  <c r="H363" i="5"/>
  <c r="G363" i="5"/>
  <c r="F363" i="5"/>
  <c r="E363" i="5"/>
  <c r="D363" i="5"/>
  <c r="C363" i="5"/>
  <c r="B362" i="5"/>
  <c r="A362" i="5"/>
  <c r="J362" i="5"/>
  <c r="I362" i="5"/>
  <c r="H362" i="5"/>
  <c r="G362" i="5"/>
  <c r="F362" i="5"/>
  <c r="E362" i="5"/>
  <c r="D362" i="5"/>
  <c r="C362" i="5"/>
  <c r="B361" i="5"/>
  <c r="A361" i="5"/>
  <c r="J361" i="5"/>
  <c r="I361" i="5"/>
  <c r="H361" i="5"/>
  <c r="G361" i="5"/>
  <c r="F361" i="5"/>
  <c r="E361" i="5"/>
  <c r="D361" i="5"/>
  <c r="C361" i="5"/>
  <c r="B360" i="5"/>
  <c r="A360" i="5"/>
  <c r="J360" i="5"/>
  <c r="I360" i="5"/>
  <c r="H360" i="5"/>
  <c r="G360" i="5"/>
  <c r="F360" i="5"/>
  <c r="E360" i="5"/>
  <c r="D360" i="5"/>
  <c r="C360" i="5"/>
  <c r="B359" i="5"/>
  <c r="A359" i="5"/>
  <c r="J359" i="5"/>
  <c r="I359" i="5"/>
  <c r="H359" i="5"/>
  <c r="G359" i="5"/>
  <c r="F359" i="5"/>
  <c r="E359" i="5"/>
  <c r="D359" i="5"/>
  <c r="C359" i="5"/>
  <c r="B358" i="5"/>
  <c r="A358" i="5"/>
  <c r="J358" i="5"/>
  <c r="I358" i="5"/>
  <c r="H358" i="5"/>
  <c r="G358" i="5"/>
  <c r="F358" i="5"/>
  <c r="E358" i="5"/>
  <c r="D358" i="5"/>
  <c r="C358" i="5"/>
  <c r="B357" i="5"/>
  <c r="A357" i="5"/>
  <c r="J357" i="5"/>
  <c r="I357" i="5"/>
  <c r="H357" i="5"/>
  <c r="G357" i="5"/>
  <c r="F357" i="5"/>
  <c r="E357" i="5"/>
  <c r="D357" i="5"/>
  <c r="C357" i="5"/>
  <c r="B356" i="5"/>
  <c r="A356" i="5"/>
  <c r="J356" i="5"/>
  <c r="I356" i="5"/>
  <c r="H356" i="5"/>
  <c r="G356" i="5"/>
  <c r="F356" i="5"/>
  <c r="E356" i="5"/>
  <c r="D356" i="5"/>
  <c r="C356" i="5"/>
  <c r="B355" i="5"/>
  <c r="A355" i="5"/>
  <c r="J355" i="5"/>
  <c r="I355" i="5"/>
  <c r="H355" i="5"/>
  <c r="G355" i="5"/>
  <c r="F355" i="5"/>
  <c r="E355" i="5"/>
  <c r="D355" i="5"/>
  <c r="C355" i="5"/>
  <c r="B354" i="5"/>
  <c r="A354" i="5"/>
  <c r="J354" i="5"/>
  <c r="I354" i="5"/>
  <c r="H354" i="5"/>
  <c r="G354" i="5"/>
  <c r="F354" i="5"/>
  <c r="E354" i="5"/>
  <c r="D354" i="5"/>
  <c r="C354" i="5"/>
  <c r="B353" i="5"/>
  <c r="A353" i="5"/>
  <c r="J353" i="5"/>
  <c r="I353" i="5"/>
  <c r="H353" i="5"/>
  <c r="G353" i="5"/>
  <c r="F353" i="5"/>
  <c r="E353" i="5"/>
  <c r="D353" i="5"/>
  <c r="C353" i="5"/>
  <c r="B352" i="5"/>
  <c r="A352" i="5"/>
  <c r="J352" i="5"/>
  <c r="I352" i="5"/>
  <c r="H352" i="5"/>
  <c r="G352" i="5"/>
  <c r="F352" i="5"/>
  <c r="E352" i="5"/>
  <c r="D352" i="5"/>
  <c r="C352" i="5"/>
  <c r="B351" i="5"/>
  <c r="A351" i="5"/>
  <c r="J351" i="5"/>
  <c r="I351" i="5"/>
  <c r="H351" i="5"/>
  <c r="G351" i="5"/>
  <c r="F351" i="5"/>
  <c r="E351" i="5"/>
  <c r="D351" i="5"/>
  <c r="C351" i="5"/>
  <c r="B350" i="5"/>
  <c r="A350" i="5"/>
  <c r="J350" i="5"/>
  <c r="I350" i="5"/>
  <c r="H350" i="5"/>
  <c r="G350" i="5"/>
  <c r="F350" i="5"/>
  <c r="E350" i="5"/>
  <c r="D350" i="5"/>
  <c r="C350" i="5"/>
  <c r="B349" i="5"/>
  <c r="A349" i="5"/>
  <c r="J349" i="5"/>
  <c r="I349" i="5"/>
  <c r="H349" i="5"/>
  <c r="G349" i="5"/>
  <c r="F349" i="5"/>
  <c r="E349" i="5"/>
  <c r="D349" i="5"/>
  <c r="C349" i="5"/>
  <c r="B348" i="5"/>
  <c r="A348" i="5"/>
  <c r="J348" i="5"/>
  <c r="I348" i="5"/>
  <c r="H348" i="5"/>
  <c r="G348" i="5"/>
  <c r="F348" i="5"/>
  <c r="E348" i="5"/>
  <c r="D348" i="5"/>
  <c r="C348" i="5"/>
  <c r="B347" i="5"/>
  <c r="A347" i="5"/>
  <c r="J347" i="5"/>
  <c r="I347" i="5"/>
  <c r="H347" i="5"/>
  <c r="G347" i="5"/>
  <c r="F347" i="5"/>
  <c r="E347" i="5"/>
  <c r="D347" i="5"/>
  <c r="C347" i="5"/>
  <c r="B346" i="5"/>
  <c r="A346" i="5"/>
  <c r="J346" i="5"/>
  <c r="I346" i="5"/>
  <c r="H346" i="5"/>
  <c r="G346" i="5"/>
  <c r="F346" i="5"/>
  <c r="E346" i="5"/>
  <c r="D346" i="5"/>
  <c r="C346" i="5"/>
  <c r="B345" i="5"/>
  <c r="A345" i="5"/>
  <c r="J345" i="5"/>
  <c r="I345" i="5"/>
  <c r="H345" i="5"/>
  <c r="G345" i="5"/>
  <c r="F345" i="5"/>
  <c r="E345" i="5"/>
  <c r="D345" i="5"/>
  <c r="C345" i="5"/>
  <c r="B344" i="5"/>
  <c r="A344" i="5"/>
  <c r="J344" i="5"/>
  <c r="I344" i="5"/>
  <c r="H344" i="5"/>
  <c r="G344" i="5"/>
  <c r="F344" i="5"/>
  <c r="E344" i="5"/>
  <c r="D344" i="5"/>
  <c r="C344" i="5"/>
  <c r="B343" i="5"/>
  <c r="A343" i="5"/>
  <c r="J343" i="5"/>
  <c r="I343" i="5"/>
  <c r="H343" i="5"/>
  <c r="G343" i="5"/>
  <c r="F343" i="5"/>
  <c r="E343" i="5"/>
  <c r="D343" i="5"/>
  <c r="C343" i="5"/>
  <c r="B342" i="5"/>
  <c r="A342" i="5"/>
  <c r="J342" i="5"/>
  <c r="I342" i="5"/>
  <c r="H342" i="5"/>
  <c r="G342" i="5"/>
  <c r="F342" i="5"/>
  <c r="E342" i="5"/>
  <c r="D342" i="5"/>
  <c r="C342" i="5"/>
  <c r="B341" i="5"/>
  <c r="A341" i="5"/>
  <c r="J341" i="5"/>
  <c r="I341" i="5"/>
  <c r="H341" i="5"/>
  <c r="G341" i="5"/>
  <c r="F341" i="5"/>
  <c r="E341" i="5"/>
  <c r="D341" i="5"/>
  <c r="C341" i="5"/>
  <c r="B340" i="5"/>
  <c r="A340" i="5"/>
  <c r="J340" i="5"/>
  <c r="I340" i="5"/>
  <c r="H340" i="5"/>
  <c r="G340" i="5"/>
  <c r="F340" i="5"/>
  <c r="E340" i="5"/>
  <c r="D340" i="5"/>
  <c r="C340" i="5"/>
  <c r="B339" i="5"/>
  <c r="A339" i="5"/>
  <c r="J339" i="5"/>
  <c r="I339" i="5"/>
  <c r="H339" i="5"/>
  <c r="G339" i="5"/>
  <c r="F339" i="5"/>
  <c r="E339" i="5"/>
  <c r="D339" i="5"/>
  <c r="C339" i="5"/>
  <c r="B338" i="5"/>
  <c r="A338" i="5"/>
  <c r="J338" i="5"/>
  <c r="I338" i="5"/>
  <c r="H338" i="5"/>
  <c r="G338" i="5"/>
  <c r="F338" i="5"/>
  <c r="E338" i="5"/>
  <c r="D338" i="5"/>
  <c r="C338" i="5"/>
  <c r="B337" i="5"/>
  <c r="A337" i="5"/>
  <c r="J337" i="5"/>
  <c r="I337" i="5"/>
  <c r="H337" i="5"/>
  <c r="G337" i="5"/>
  <c r="F337" i="5"/>
  <c r="E337" i="5"/>
  <c r="D337" i="5"/>
  <c r="C337" i="5"/>
  <c r="B336" i="5"/>
  <c r="A336" i="5"/>
  <c r="J336" i="5"/>
  <c r="I336" i="5"/>
  <c r="H336" i="5"/>
  <c r="G336" i="5"/>
  <c r="F336" i="5"/>
  <c r="E336" i="5"/>
  <c r="D336" i="5"/>
  <c r="C336" i="5"/>
  <c r="B335" i="5"/>
  <c r="A335" i="5"/>
  <c r="J335" i="5"/>
  <c r="I335" i="5"/>
  <c r="H335" i="5"/>
  <c r="G335" i="5"/>
  <c r="F335" i="5"/>
  <c r="E335" i="5"/>
  <c r="D335" i="5"/>
  <c r="C335" i="5"/>
  <c r="B334" i="5"/>
  <c r="A334" i="5"/>
  <c r="J334" i="5"/>
  <c r="I334" i="5"/>
  <c r="H334" i="5"/>
  <c r="G334" i="5"/>
  <c r="F334" i="5"/>
  <c r="E334" i="5"/>
  <c r="D334" i="5"/>
  <c r="C334" i="5"/>
  <c r="B333" i="5"/>
  <c r="A333" i="5"/>
  <c r="J333" i="5"/>
  <c r="I333" i="5"/>
  <c r="H333" i="5"/>
  <c r="G333" i="5"/>
  <c r="F333" i="5"/>
  <c r="E333" i="5"/>
  <c r="D333" i="5"/>
  <c r="C333" i="5"/>
  <c r="B332" i="5"/>
  <c r="A332" i="5"/>
  <c r="J332" i="5"/>
  <c r="I332" i="5"/>
  <c r="H332" i="5"/>
  <c r="G332" i="5"/>
  <c r="F332" i="5"/>
  <c r="E332" i="5"/>
  <c r="D332" i="5"/>
  <c r="C332" i="5"/>
  <c r="B331" i="5"/>
  <c r="A331" i="5"/>
  <c r="J331" i="5"/>
  <c r="I331" i="5"/>
  <c r="H331" i="5"/>
  <c r="G331" i="5"/>
  <c r="F331" i="5"/>
  <c r="E331" i="5"/>
  <c r="D331" i="5"/>
  <c r="C331" i="5"/>
  <c r="B330" i="5"/>
  <c r="A330" i="5"/>
  <c r="J330" i="5"/>
  <c r="I330" i="5"/>
  <c r="H330" i="5"/>
  <c r="G330" i="5"/>
  <c r="F330" i="5"/>
  <c r="E330" i="5"/>
  <c r="D330" i="5"/>
  <c r="C330" i="5"/>
  <c r="B329" i="5"/>
  <c r="A329" i="5"/>
  <c r="J329" i="5"/>
  <c r="I329" i="5"/>
  <c r="H329" i="5"/>
  <c r="G329" i="5"/>
  <c r="F329" i="5"/>
  <c r="E329" i="5"/>
  <c r="D329" i="5"/>
  <c r="C329" i="5"/>
  <c r="B328" i="5"/>
  <c r="A328" i="5"/>
  <c r="J328" i="5"/>
  <c r="I328" i="5"/>
  <c r="H328" i="5"/>
  <c r="G328" i="5"/>
  <c r="F328" i="5"/>
  <c r="E328" i="5"/>
  <c r="D328" i="5"/>
  <c r="C328" i="5"/>
  <c r="B327" i="5"/>
  <c r="A327" i="5"/>
  <c r="J327" i="5"/>
  <c r="I327" i="5"/>
  <c r="H327" i="5"/>
  <c r="G327" i="5"/>
  <c r="F327" i="5"/>
  <c r="E327" i="5"/>
  <c r="D327" i="5"/>
  <c r="C327" i="5"/>
  <c r="B326" i="5"/>
  <c r="A326" i="5"/>
  <c r="J326" i="5"/>
  <c r="I326" i="5"/>
  <c r="H326" i="5"/>
  <c r="G326" i="5"/>
  <c r="F326" i="5"/>
  <c r="E326" i="5"/>
  <c r="D326" i="5"/>
  <c r="C326" i="5"/>
  <c r="B325" i="5"/>
  <c r="A325" i="5"/>
  <c r="J325" i="5"/>
  <c r="I325" i="5"/>
  <c r="H325" i="5"/>
  <c r="G325" i="5"/>
  <c r="F325" i="5"/>
  <c r="E325" i="5"/>
  <c r="D325" i="5"/>
  <c r="C325" i="5"/>
  <c r="B324" i="5"/>
  <c r="A324" i="5"/>
  <c r="J324" i="5"/>
  <c r="I324" i="5"/>
  <c r="H324" i="5"/>
  <c r="G324" i="5"/>
  <c r="F324" i="5"/>
  <c r="E324" i="5"/>
  <c r="D324" i="5"/>
  <c r="C324" i="5"/>
  <c r="B323" i="5"/>
  <c r="A323" i="5"/>
  <c r="J323" i="5"/>
  <c r="I323" i="5"/>
  <c r="H323" i="5"/>
  <c r="G323" i="5"/>
  <c r="F323" i="5"/>
  <c r="E323" i="5"/>
  <c r="D323" i="5"/>
  <c r="C323" i="5"/>
  <c r="B322" i="5"/>
  <c r="A322" i="5"/>
  <c r="J322" i="5"/>
  <c r="I322" i="5"/>
  <c r="H322" i="5"/>
  <c r="G322" i="5"/>
  <c r="F322" i="5"/>
  <c r="E322" i="5"/>
  <c r="D322" i="5"/>
  <c r="C322" i="5"/>
  <c r="B321" i="5"/>
  <c r="A321" i="5"/>
  <c r="J321" i="5"/>
  <c r="I321" i="5"/>
  <c r="H321" i="5"/>
  <c r="G321" i="5"/>
  <c r="F321" i="5"/>
  <c r="E321" i="5"/>
  <c r="D321" i="5"/>
  <c r="C321" i="5"/>
  <c r="B320" i="5"/>
  <c r="A320" i="5"/>
  <c r="J320" i="5"/>
  <c r="I320" i="5"/>
  <c r="H320" i="5"/>
  <c r="G320" i="5"/>
  <c r="F320" i="5"/>
  <c r="E320" i="5"/>
  <c r="D320" i="5"/>
  <c r="C320" i="5"/>
  <c r="B319" i="5"/>
  <c r="A319" i="5"/>
  <c r="J319" i="5"/>
  <c r="I319" i="5"/>
  <c r="H319" i="5"/>
  <c r="G319" i="5"/>
  <c r="F319" i="5"/>
  <c r="E319" i="5"/>
  <c r="D319" i="5"/>
  <c r="C319" i="5"/>
  <c r="B318" i="5"/>
  <c r="A318" i="5"/>
  <c r="J318" i="5"/>
  <c r="I318" i="5"/>
  <c r="H318" i="5"/>
  <c r="G318" i="5"/>
  <c r="F318" i="5"/>
  <c r="E318" i="5"/>
  <c r="D318" i="5"/>
  <c r="C318" i="5"/>
  <c r="B317" i="5"/>
  <c r="A317" i="5"/>
  <c r="J317" i="5"/>
  <c r="I317" i="5"/>
  <c r="H317" i="5"/>
  <c r="G317" i="5"/>
  <c r="F317" i="5"/>
  <c r="E317" i="5"/>
  <c r="D317" i="5"/>
  <c r="C317" i="5"/>
  <c r="B316" i="5"/>
  <c r="A316" i="5"/>
  <c r="J316" i="5"/>
  <c r="I316" i="5"/>
  <c r="H316" i="5"/>
  <c r="G316" i="5"/>
  <c r="F316" i="5"/>
  <c r="E316" i="5"/>
  <c r="D316" i="5"/>
  <c r="C316" i="5"/>
  <c r="B315" i="5"/>
  <c r="A315" i="5"/>
  <c r="J315" i="5"/>
  <c r="I315" i="5"/>
  <c r="H315" i="5"/>
  <c r="G315" i="5"/>
  <c r="F315" i="5"/>
  <c r="E315" i="5"/>
  <c r="D315" i="5"/>
  <c r="C315" i="5"/>
  <c r="B314" i="5"/>
  <c r="A314" i="5"/>
  <c r="J314" i="5"/>
  <c r="I314" i="5"/>
  <c r="H314" i="5"/>
  <c r="G314" i="5"/>
  <c r="F314" i="5"/>
  <c r="E314" i="5"/>
  <c r="D314" i="5"/>
  <c r="C314" i="5"/>
  <c r="B313" i="5"/>
  <c r="A313" i="5"/>
  <c r="J313" i="5"/>
  <c r="I313" i="5"/>
  <c r="H313" i="5"/>
  <c r="G313" i="5"/>
  <c r="F313" i="5"/>
  <c r="E313" i="5"/>
  <c r="D313" i="5"/>
  <c r="C313" i="5"/>
  <c r="B312" i="5"/>
  <c r="A312" i="5"/>
  <c r="J312" i="5"/>
  <c r="I312" i="5"/>
  <c r="H312" i="5"/>
  <c r="G312" i="5"/>
  <c r="F312" i="5"/>
  <c r="E312" i="5"/>
  <c r="D312" i="5"/>
  <c r="C312" i="5"/>
  <c r="B311" i="5"/>
  <c r="A311" i="5"/>
  <c r="J311" i="5"/>
  <c r="I311" i="5"/>
  <c r="H311" i="5"/>
  <c r="G311" i="5"/>
  <c r="F311" i="5"/>
  <c r="E311" i="5"/>
  <c r="D311" i="5"/>
  <c r="C311" i="5"/>
  <c r="B310" i="5"/>
  <c r="A310" i="5"/>
  <c r="J310" i="5"/>
  <c r="I310" i="5"/>
  <c r="H310" i="5"/>
  <c r="G310" i="5"/>
  <c r="F310" i="5"/>
  <c r="E310" i="5"/>
  <c r="D310" i="5"/>
  <c r="C310" i="5"/>
  <c r="B309" i="5"/>
  <c r="A309" i="5"/>
  <c r="J309" i="5"/>
  <c r="I309" i="5"/>
  <c r="H309" i="5"/>
  <c r="G309" i="5"/>
  <c r="F309" i="5"/>
  <c r="E309" i="5"/>
  <c r="D309" i="5"/>
  <c r="C309" i="5"/>
  <c r="B308" i="5"/>
  <c r="A308" i="5"/>
  <c r="J308" i="5"/>
  <c r="I308" i="5"/>
  <c r="H308" i="5"/>
  <c r="G308" i="5"/>
  <c r="F308" i="5"/>
  <c r="E308" i="5"/>
  <c r="D308" i="5"/>
  <c r="C308" i="5"/>
  <c r="B307" i="5"/>
  <c r="A307" i="5"/>
  <c r="J307" i="5"/>
  <c r="I307" i="5"/>
  <c r="H307" i="5"/>
  <c r="G307" i="5"/>
  <c r="F307" i="5"/>
  <c r="E307" i="5"/>
  <c r="D307" i="5"/>
  <c r="C307" i="5"/>
  <c r="B306" i="5"/>
  <c r="A306" i="5"/>
  <c r="J306" i="5"/>
  <c r="I306" i="5"/>
  <c r="H306" i="5"/>
  <c r="G306" i="5"/>
  <c r="F306" i="5"/>
  <c r="E306" i="5"/>
  <c r="D306" i="5"/>
  <c r="C306" i="5"/>
  <c r="B305" i="5"/>
  <c r="A305" i="5"/>
  <c r="J305" i="5"/>
  <c r="I305" i="5"/>
  <c r="H305" i="5"/>
  <c r="G305" i="5"/>
  <c r="F305" i="5"/>
  <c r="E305" i="5"/>
  <c r="D305" i="5"/>
  <c r="C305" i="5"/>
  <c r="B304" i="5"/>
  <c r="A304" i="5"/>
  <c r="J304" i="5"/>
  <c r="I304" i="5"/>
  <c r="H304" i="5"/>
  <c r="G304" i="5"/>
  <c r="F304" i="5"/>
  <c r="E304" i="5"/>
  <c r="D304" i="5"/>
  <c r="C304" i="5"/>
  <c r="B303" i="5"/>
  <c r="A303" i="5"/>
  <c r="J303" i="5"/>
  <c r="I303" i="5"/>
  <c r="H303" i="5"/>
  <c r="G303" i="5"/>
  <c r="F303" i="5"/>
  <c r="E303" i="5"/>
  <c r="D303" i="5"/>
  <c r="C303" i="5"/>
  <c r="B302" i="5"/>
  <c r="A302" i="5"/>
  <c r="J302" i="5"/>
  <c r="I302" i="5"/>
  <c r="H302" i="5"/>
  <c r="G302" i="5"/>
  <c r="F302" i="5"/>
  <c r="E302" i="5"/>
  <c r="D302" i="5"/>
  <c r="C302" i="5"/>
  <c r="B301" i="5"/>
  <c r="A301" i="5"/>
  <c r="J301" i="5"/>
  <c r="I301" i="5"/>
  <c r="H301" i="5"/>
  <c r="G301" i="5"/>
  <c r="F301" i="5"/>
  <c r="E301" i="5"/>
  <c r="D301" i="5"/>
  <c r="C301" i="5"/>
  <c r="B300" i="5"/>
  <c r="A300" i="5"/>
  <c r="J300" i="5"/>
  <c r="I300" i="5"/>
  <c r="H300" i="5"/>
  <c r="G300" i="5"/>
  <c r="F300" i="5"/>
  <c r="E300" i="5"/>
  <c r="D300" i="5"/>
  <c r="C300" i="5"/>
  <c r="B299" i="5"/>
  <c r="A299" i="5"/>
  <c r="J299" i="5"/>
  <c r="I299" i="5"/>
  <c r="H299" i="5"/>
  <c r="G299" i="5"/>
  <c r="F299" i="5"/>
  <c r="E299" i="5"/>
  <c r="D299" i="5"/>
  <c r="C299" i="5"/>
  <c r="B298" i="5"/>
  <c r="A298" i="5"/>
  <c r="J298" i="5"/>
  <c r="I298" i="5"/>
  <c r="H298" i="5"/>
  <c r="G298" i="5"/>
  <c r="F298" i="5"/>
  <c r="E298" i="5"/>
  <c r="D298" i="5"/>
  <c r="C298" i="5"/>
  <c r="B297" i="5"/>
  <c r="A297" i="5"/>
  <c r="J297" i="5"/>
  <c r="I297" i="5"/>
  <c r="H297" i="5"/>
  <c r="G297" i="5"/>
  <c r="F297" i="5"/>
  <c r="E297" i="5"/>
  <c r="D297" i="5"/>
  <c r="C297" i="5"/>
  <c r="B296" i="5"/>
  <c r="A296" i="5"/>
  <c r="J296" i="5"/>
  <c r="I296" i="5"/>
  <c r="H296" i="5"/>
  <c r="G296" i="5"/>
  <c r="F296" i="5"/>
  <c r="E296" i="5"/>
  <c r="D296" i="5"/>
  <c r="C296" i="5"/>
  <c r="B295" i="5"/>
  <c r="A295" i="5"/>
  <c r="J295" i="5"/>
  <c r="I295" i="5"/>
  <c r="H295" i="5"/>
  <c r="G295" i="5"/>
  <c r="F295" i="5"/>
  <c r="E295" i="5"/>
  <c r="D295" i="5"/>
  <c r="C295" i="5"/>
  <c r="B294" i="5"/>
  <c r="A294" i="5"/>
  <c r="J294" i="5"/>
  <c r="I294" i="5"/>
  <c r="H294" i="5"/>
  <c r="G294" i="5"/>
  <c r="F294" i="5"/>
  <c r="E294" i="5"/>
  <c r="D294" i="5"/>
  <c r="C294" i="5"/>
  <c r="B293" i="5"/>
  <c r="A293" i="5"/>
  <c r="J293" i="5"/>
  <c r="I293" i="5"/>
  <c r="H293" i="5"/>
  <c r="G293" i="5"/>
  <c r="F293" i="5"/>
  <c r="E293" i="5"/>
  <c r="D293" i="5"/>
  <c r="C293" i="5"/>
  <c r="B292" i="5"/>
  <c r="A292" i="5"/>
  <c r="J292" i="5"/>
  <c r="I292" i="5"/>
  <c r="H292" i="5"/>
  <c r="G292" i="5"/>
  <c r="F292" i="5"/>
  <c r="E292" i="5"/>
  <c r="D292" i="5"/>
  <c r="C292" i="5"/>
  <c r="B291" i="5"/>
  <c r="A291" i="5"/>
  <c r="J291" i="5"/>
  <c r="I291" i="5"/>
  <c r="H291" i="5"/>
  <c r="G291" i="5"/>
  <c r="F291" i="5"/>
  <c r="E291" i="5"/>
  <c r="D291" i="5"/>
  <c r="C291" i="5"/>
  <c r="B290" i="5"/>
  <c r="A290" i="5"/>
  <c r="J290" i="5"/>
  <c r="I290" i="5"/>
  <c r="H290" i="5"/>
  <c r="G290" i="5"/>
  <c r="F290" i="5"/>
  <c r="E290" i="5"/>
  <c r="D290" i="5"/>
  <c r="C290" i="5"/>
  <c r="B289" i="5"/>
  <c r="A289" i="5"/>
  <c r="J289" i="5"/>
  <c r="I289" i="5"/>
  <c r="H289" i="5"/>
  <c r="G289" i="5"/>
  <c r="F289" i="5"/>
  <c r="E289" i="5"/>
  <c r="D289" i="5"/>
  <c r="C289" i="5"/>
  <c r="B288" i="5"/>
  <c r="A288" i="5"/>
  <c r="J288" i="5"/>
  <c r="I288" i="5"/>
  <c r="H288" i="5"/>
  <c r="G288" i="5"/>
  <c r="F288" i="5"/>
  <c r="E288" i="5"/>
  <c r="D288" i="5"/>
  <c r="C288" i="5"/>
  <c r="B287" i="5"/>
  <c r="A287" i="5"/>
  <c r="J287" i="5"/>
  <c r="I287" i="5"/>
  <c r="H287" i="5"/>
  <c r="G287" i="5"/>
  <c r="F287" i="5"/>
  <c r="E287" i="5"/>
  <c r="D287" i="5"/>
  <c r="C287" i="5"/>
  <c r="B286" i="5"/>
  <c r="A286" i="5"/>
  <c r="J286" i="5"/>
  <c r="I286" i="5"/>
  <c r="H286" i="5"/>
  <c r="G286" i="5"/>
  <c r="F286" i="5"/>
  <c r="E286" i="5"/>
  <c r="D286" i="5"/>
  <c r="C286" i="5"/>
  <c r="B285" i="5"/>
  <c r="A285" i="5"/>
  <c r="J285" i="5"/>
  <c r="I285" i="5"/>
  <c r="H285" i="5"/>
  <c r="G285" i="5"/>
  <c r="F285" i="5"/>
  <c r="E285" i="5"/>
  <c r="D285" i="5"/>
  <c r="C285" i="5"/>
  <c r="B284" i="5"/>
  <c r="A284" i="5"/>
  <c r="J284" i="5"/>
  <c r="I284" i="5"/>
  <c r="H284" i="5"/>
  <c r="G284" i="5"/>
  <c r="F284" i="5"/>
  <c r="E284" i="5"/>
  <c r="D284" i="5"/>
  <c r="C284" i="5"/>
  <c r="B283" i="5"/>
  <c r="A283" i="5"/>
  <c r="J283" i="5"/>
  <c r="I283" i="5"/>
  <c r="H283" i="5"/>
  <c r="G283" i="5"/>
  <c r="F283" i="5"/>
  <c r="E283" i="5"/>
  <c r="D283" i="5"/>
  <c r="C283" i="5"/>
  <c r="B282" i="5"/>
  <c r="A282" i="5"/>
  <c r="J282" i="5"/>
  <c r="I282" i="5"/>
  <c r="H282" i="5"/>
  <c r="G282" i="5"/>
  <c r="F282" i="5"/>
  <c r="E282" i="5"/>
  <c r="D282" i="5"/>
  <c r="C282" i="5"/>
  <c r="B281" i="5"/>
  <c r="A281" i="5"/>
  <c r="J281" i="5"/>
  <c r="I281" i="5"/>
  <c r="H281" i="5"/>
  <c r="G281" i="5"/>
  <c r="F281" i="5"/>
  <c r="E281" i="5"/>
  <c r="D281" i="5"/>
  <c r="C281" i="5"/>
  <c r="B280" i="5"/>
  <c r="A280" i="5"/>
  <c r="J280" i="5"/>
  <c r="I280" i="5"/>
  <c r="H280" i="5"/>
  <c r="G280" i="5"/>
  <c r="F280" i="5"/>
  <c r="E280" i="5"/>
  <c r="D280" i="5"/>
  <c r="C280" i="5"/>
  <c r="B279" i="5"/>
  <c r="A279" i="5"/>
  <c r="J279" i="5"/>
  <c r="I279" i="5"/>
  <c r="H279" i="5"/>
  <c r="G279" i="5"/>
  <c r="F279" i="5"/>
  <c r="E279" i="5"/>
  <c r="D279" i="5"/>
  <c r="C279" i="5"/>
  <c r="B278" i="5"/>
  <c r="A278" i="5"/>
  <c r="J278" i="5"/>
  <c r="I278" i="5"/>
  <c r="H278" i="5"/>
  <c r="G278" i="5"/>
  <c r="F278" i="5"/>
  <c r="E278" i="5"/>
  <c r="D278" i="5"/>
  <c r="C278" i="5"/>
  <c r="B277" i="5"/>
  <c r="A277" i="5"/>
  <c r="J277" i="5"/>
  <c r="I277" i="5"/>
  <c r="H277" i="5"/>
  <c r="G277" i="5"/>
  <c r="F277" i="5"/>
  <c r="E277" i="5"/>
  <c r="D277" i="5"/>
  <c r="C277" i="5"/>
  <c r="B276" i="5"/>
  <c r="A276" i="5"/>
  <c r="J276" i="5"/>
  <c r="I276" i="5"/>
  <c r="H276" i="5"/>
  <c r="G276" i="5"/>
  <c r="F276" i="5"/>
  <c r="E276" i="5"/>
  <c r="D276" i="5"/>
  <c r="C276" i="5"/>
  <c r="B275" i="5"/>
  <c r="A275" i="5"/>
  <c r="J275" i="5"/>
  <c r="I275" i="5"/>
  <c r="H275" i="5"/>
  <c r="G275" i="5"/>
  <c r="F275" i="5"/>
  <c r="E275" i="5"/>
  <c r="D275" i="5"/>
  <c r="C275" i="5"/>
  <c r="B274" i="5"/>
  <c r="A274" i="5"/>
  <c r="J274" i="5"/>
  <c r="I274" i="5"/>
  <c r="H274" i="5"/>
  <c r="G274" i="5"/>
  <c r="F274" i="5"/>
  <c r="E274" i="5"/>
  <c r="D274" i="5"/>
  <c r="C274" i="5"/>
  <c r="B273" i="5"/>
  <c r="A273" i="5"/>
  <c r="J273" i="5"/>
  <c r="I273" i="5"/>
  <c r="H273" i="5"/>
  <c r="G273" i="5"/>
  <c r="F273" i="5"/>
  <c r="E273" i="5"/>
  <c r="D273" i="5"/>
  <c r="C273" i="5"/>
  <c r="B272" i="5"/>
  <c r="A272" i="5"/>
  <c r="J272" i="5"/>
  <c r="I272" i="5"/>
  <c r="H272" i="5"/>
  <c r="G272" i="5"/>
  <c r="F272" i="5"/>
  <c r="E272" i="5"/>
  <c r="D272" i="5"/>
  <c r="C272" i="5"/>
  <c r="B271" i="5"/>
  <c r="A271" i="5"/>
  <c r="J271" i="5"/>
  <c r="I271" i="5"/>
  <c r="H271" i="5"/>
  <c r="G271" i="5"/>
  <c r="F271" i="5"/>
  <c r="E271" i="5"/>
  <c r="D271" i="5"/>
  <c r="C271" i="5"/>
  <c r="B270" i="5"/>
  <c r="A270" i="5"/>
  <c r="J270" i="5"/>
  <c r="I270" i="5"/>
  <c r="H270" i="5"/>
  <c r="G270" i="5"/>
  <c r="F270" i="5"/>
  <c r="E270" i="5"/>
  <c r="D270" i="5"/>
  <c r="C270" i="5"/>
  <c r="B269" i="5"/>
  <c r="A269" i="5"/>
  <c r="J269" i="5"/>
  <c r="I269" i="5"/>
  <c r="H269" i="5"/>
  <c r="G269" i="5"/>
  <c r="F269" i="5"/>
  <c r="E269" i="5"/>
  <c r="D269" i="5"/>
  <c r="C269" i="5"/>
  <c r="B268" i="5"/>
  <c r="A268" i="5"/>
  <c r="J268" i="5"/>
  <c r="I268" i="5"/>
  <c r="H268" i="5"/>
  <c r="G268" i="5"/>
  <c r="F268" i="5"/>
  <c r="E268" i="5"/>
  <c r="D268" i="5"/>
  <c r="C268" i="5"/>
  <c r="B267" i="5"/>
  <c r="A267" i="5"/>
  <c r="J267" i="5"/>
  <c r="I267" i="5"/>
  <c r="H267" i="5"/>
  <c r="G267" i="5"/>
  <c r="F267" i="5"/>
  <c r="E267" i="5"/>
  <c r="D267" i="5"/>
  <c r="C267" i="5"/>
  <c r="B266" i="5"/>
  <c r="A266" i="5"/>
  <c r="J266" i="5"/>
  <c r="I266" i="5"/>
  <c r="H266" i="5"/>
  <c r="G266" i="5"/>
  <c r="F266" i="5"/>
  <c r="E266" i="5"/>
  <c r="D266" i="5"/>
  <c r="C266" i="5"/>
  <c r="B265" i="5"/>
  <c r="A265" i="5"/>
  <c r="J265" i="5"/>
  <c r="I265" i="5"/>
  <c r="H265" i="5"/>
  <c r="G265" i="5"/>
  <c r="F265" i="5"/>
  <c r="E265" i="5"/>
  <c r="D265" i="5"/>
  <c r="C265" i="5"/>
  <c r="B264" i="5"/>
  <c r="A264" i="5"/>
  <c r="J264" i="5"/>
  <c r="I264" i="5"/>
  <c r="H264" i="5"/>
  <c r="G264" i="5"/>
  <c r="F264" i="5"/>
  <c r="E264" i="5"/>
  <c r="D264" i="5"/>
  <c r="C264" i="5"/>
  <c r="B263" i="5"/>
  <c r="A263" i="5"/>
  <c r="J263" i="5"/>
  <c r="I263" i="5"/>
  <c r="H263" i="5"/>
  <c r="G263" i="5"/>
  <c r="F263" i="5"/>
  <c r="E263" i="5"/>
  <c r="D263" i="5"/>
  <c r="C263" i="5"/>
  <c r="B262" i="5"/>
  <c r="A262" i="5"/>
  <c r="J262" i="5"/>
  <c r="I262" i="5"/>
  <c r="H262" i="5"/>
  <c r="G262" i="5"/>
  <c r="F262" i="5"/>
  <c r="E262" i="5"/>
  <c r="D262" i="5"/>
  <c r="C262" i="5"/>
  <c r="B261" i="5"/>
  <c r="A261" i="5"/>
  <c r="J261" i="5"/>
  <c r="I261" i="5"/>
  <c r="H261" i="5"/>
  <c r="G261" i="5"/>
  <c r="F261" i="5"/>
  <c r="E261" i="5"/>
  <c r="D261" i="5"/>
  <c r="C261" i="5"/>
  <c r="B260" i="5"/>
  <c r="A260" i="5"/>
  <c r="J260" i="5"/>
  <c r="I260" i="5"/>
  <c r="H260" i="5"/>
  <c r="G260" i="5"/>
  <c r="F260" i="5"/>
  <c r="E260" i="5"/>
  <c r="D260" i="5"/>
  <c r="C260" i="5"/>
  <c r="B259" i="5"/>
  <c r="A259" i="5"/>
  <c r="J259" i="5"/>
  <c r="I259" i="5"/>
  <c r="H259" i="5"/>
  <c r="G259" i="5"/>
  <c r="F259" i="5"/>
  <c r="E259" i="5"/>
  <c r="D259" i="5"/>
  <c r="C259" i="5"/>
  <c r="B258" i="5"/>
  <c r="A258" i="5"/>
  <c r="J258" i="5"/>
  <c r="I258" i="5"/>
  <c r="H258" i="5"/>
  <c r="G258" i="5"/>
  <c r="F258" i="5"/>
  <c r="E258" i="5"/>
  <c r="D258" i="5"/>
  <c r="C258" i="5"/>
  <c r="B257" i="5"/>
  <c r="A257" i="5"/>
  <c r="J257" i="5"/>
  <c r="I257" i="5"/>
  <c r="H257" i="5"/>
  <c r="G257" i="5"/>
  <c r="F257" i="5"/>
  <c r="E257" i="5"/>
  <c r="D257" i="5"/>
  <c r="C257" i="5"/>
  <c r="B256" i="5"/>
  <c r="A256" i="5"/>
  <c r="J256" i="5"/>
  <c r="I256" i="5"/>
  <c r="H256" i="5"/>
  <c r="G256" i="5"/>
  <c r="F256" i="5"/>
  <c r="E256" i="5"/>
  <c r="D256" i="5"/>
  <c r="C256" i="5"/>
  <c r="B255" i="5"/>
  <c r="A255" i="5"/>
  <c r="J255" i="5"/>
  <c r="I255" i="5"/>
  <c r="H255" i="5"/>
  <c r="G255" i="5"/>
  <c r="F255" i="5"/>
  <c r="E255" i="5"/>
  <c r="D255" i="5"/>
  <c r="C255" i="5"/>
  <c r="B254" i="5"/>
  <c r="A254" i="5"/>
  <c r="J254" i="5"/>
  <c r="I254" i="5"/>
  <c r="H254" i="5"/>
  <c r="G254" i="5"/>
  <c r="F254" i="5"/>
  <c r="E254" i="5"/>
  <c r="D254" i="5"/>
  <c r="C254" i="5"/>
  <c r="B253" i="5"/>
  <c r="A253" i="5"/>
  <c r="J253" i="5"/>
  <c r="I253" i="5"/>
  <c r="H253" i="5"/>
  <c r="G253" i="5"/>
  <c r="F253" i="5"/>
  <c r="E253" i="5"/>
  <c r="D253" i="5"/>
  <c r="C253" i="5"/>
  <c r="B252" i="5"/>
  <c r="A252" i="5"/>
  <c r="J252" i="5"/>
  <c r="I252" i="5"/>
  <c r="H252" i="5"/>
  <c r="G252" i="5"/>
  <c r="F252" i="5"/>
  <c r="E252" i="5"/>
  <c r="D252" i="5"/>
  <c r="C252" i="5"/>
  <c r="B251" i="5"/>
  <c r="A251" i="5"/>
  <c r="J251" i="5"/>
  <c r="I251" i="5"/>
  <c r="H251" i="5"/>
  <c r="G251" i="5"/>
  <c r="F251" i="5"/>
  <c r="E251" i="5"/>
  <c r="D251" i="5"/>
  <c r="C251" i="5"/>
  <c r="B250" i="5"/>
  <c r="A250" i="5"/>
  <c r="J250" i="5"/>
  <c r="I250" i="5"/>
  <c r="H250" i="5"/>
  <c r="G250" i="5"/>
  <c r="F250" i="5"/>
  <c r="E250" i="5"/>
  <c r="D250" i="5"/>
  <c r="C250" i="5"/>
  <c r="B249" i="5"/>
  <c r="A249" i="5"/>
  <c r="J249" i="5"/>
  <c r="I249" i="5"/>
  <c r="H249" i="5"/>
  <c r="G249" i="5"/>
  <c r="F249" i="5"/>
  <c r="E249" i="5"/>
  <c r="D249" i="5"/>
  <c r="C249" i="5"/>
  <c r="B248" i="5"/>
  <c r="A248" i="5"/>
  <c r="J248" i="5"/>
  <c r="I248" i="5"/>
  <c r="H248" i="5"/>
  <c r="G248" i="5"/>
  <c r="F248" i="5"/>
  <c r="E248" i="5"/>
  <c r="D248" i="5"/>
  <c r="C248" i="5"/>
  <c r="B247" i="5"/>
  <c r="A247" i="5"/>
  <c r="J247" i="5"/>
  <c r="I247" i="5"/>
  <c r="H247" i="5"/>
  <c r="G247" i="5"/>
  <c r="F247" i="5"/>
  <c r="E247" i="5"/>
  <c r="D247" i="5"/>
  <c r="C247" i="5"/>
  <c r="B246" i="5"/>
  <c r="A246" i="5"/>
  <c r="J246" i="5"/>
  <c r="I246" i="5"/>
  <c r="H246" i="5"/>
  <c r="G246" i="5"/>
  <c r="F246" i="5"/>
  <c r="E246" i="5"/>
  <c r="D246" i="5"/>
  <c r="C246" i="5"/>
  <c r="B245" i="5"/>
  <c r="A245" i="5"/>
  <c r="J245" i="5"/>
  <c r="I245" i="5"/>
  <c r="H245" i="5"/>
  <c r="G245" i="5"/>
  <c r="F245" i="5"/>
  <c r="E245" i="5"/>
  <c r="D245" i="5"/>
  <c r="C245" i="5"/>
  <c r="B244" i="5"/>
  <c r="A244" i="5"/>
  <c r="J244" i="5"/>
  <c r="I244" i="5"/>
  <c r="H244" i="5"/>
  <c r="G244" i="5"/>
  <c r="F244" i="5"/>
  <c r="E244" i="5"/>
  <c r="D244" i="5"/>
  <c r="C244" i="5"/>
  <c r="B243" i="5"/>
  <c r="A243" i="5"/>
  <c r="J243" i="5"/>
  <c r="I243" i="5"/>
  <c r="H243" i="5"/>
  <c r="G243" i="5"/>
  <c r="F243" i="5"/>
  <c r="E243" i="5"/>
  <c r="D243" i="5"/>
  <c r="C243" i="5"/>
  <c r="B242" i="5"/>
  <c r="A242" i="5"/>
  <c r="J242" i="5"/>
  <c r="I242" i="5"/>
  <c r="H242" i="5"/>
  <c r="G242" i="5"/>
  <c r="F242" i="5"/>
  <c r="E242" i="5"/>
  <c r="D242" i="5"/>
  <c r="C242" i="5"/>
  <c r="B241" i="5"/>
  <c r="A241" i="5"/>
  <c r="J241" i="5"/>
  <c r="I241" i="5"/>
  <c r="H241" i="5"/>
  <c r="G241" i="5"/>
  <c r="F241" i="5"/>
  <c r="E241" i="5"/>
  <c r="D241" i="5"/>
  <c r="C241" i="5"/>
  <c r="B240" i="5"/>
  <c r="A240" i="5"/>
  <c r="J240" i="5"/>
  <c r="I240" i="5"/>
  <c r="H240" i="5"/>
  <c r="G240" i="5"/>
  <c r="F240" i="5"/>
  <c r="E240" i="5"/>
  <c r="D240" i="5"/>
  <c r="C240" i="5"/>
  <c r="B239" i="5"/>
  <c r="A239" i="5"/>
  <c r="J239" i="5"/>
  <c r="I239" i="5"/>
  <c r="H239" i="5"/>
  <c r="G239" i="5"/>
  <c r="F239" i="5"/>
  <c r="E239" i="5"/>
  <c r="D239" i="5"/>
  <c r="C239" i="5"/>
  <c r="B238" i="5"/>
  <c r="A238" i="5"/>
  <c r="J238" i="5"/>
  <c r="I238" i="5"/>
  <c r="H238" i="5"/>
  <c r="G238" i="5"/>
  <c r="F238" i="5"/>
  <c r="E238" i="5"/>
  <c r="D238" i="5"/>
  <c r="C238" i="5"/>
  <c r="B237" i="5"/>
  <c r="A237" i="5"/>
  <c r="J237" i="5"/>
  <c r="I237" i="5"/>
  <c r="H237" i="5"/>
  <c r="G237" i="5"/>
  <c r="F237" i="5"/>
  <c r="E237" i="5"/>
  <c r="D237" i="5"/>
  <c r="C237" i="5"/>
  <c r="B236" i="5"/>
  <c r="A236" i="5"/>
  <c r="J236" i="5"/>
  <c r="I236" i="5"/>
  <c r="H236" i="5"/>
  <c r="G236" i="5"/>
  <c r="F236" i="5"/>
  <c r="E236" i="5"/>
  <c r="D236" i="5"/>
  <c r="C236" i="5"/>
  <c r="B235" i="5"/>
  <c r="A235" i="5"/>
  <c r="J235" i="5"/>
  <c r="I235" i="5"/>
  <c r="H235" i="5"/>
  <c r="G235" i="5"/>
  <c r="F235" i="5"/>
  <c r="E235" i="5"/>
  <c r="D235" i="5"/>
  <c r="C235" i="5"/>
  <c r="B234" i="5"/>
  <c r="A234" i="5"/>
  <c r="J234" i="5"/>
  <c r="I234" i="5"/>
  <c r="H234" i="5"/>
  <c r="G234" i="5"/>
  <c r="F234" i="5"/>
  <c r="E234" i="5"/>
  <c r="D234" i="5"/>
  <c r="C234" i="5"/>
  <c r="B233" i="5"/>
  <c r="A233" i="5"/>
  <c r="J233" i="5"/>
  <c r="I233" i="5"/>
  <c r="H233" i="5"/>
  <c r="G233" i="5"/>
  <c r="F233" i="5"/>
  <c r="E233" i="5"/>
  <c r="D233" i="5"/>
  <c r="C233" i="5"/>
  <c r="B232" i="5"/>
  <c r="A232" i="5"/>
  <c r="J232" i="5"/>
  <c r="I232" i="5"/>
  <c r="H232" i="5"/>
  <c r="G232" i="5"/>
  <c r="F232" i="5"/>
  <c r="E232" i="5"/>
  <c r="D232" i="5"/>
  <c r="C232" i="5"/>
  <c r="B231" i="5"/>
  <c r="A231" i="5"/>
  <c r="J231" i="5"/>
  <c r="I231" i="5"/>
  <c r="H231" i="5"/>
  <c r="G231" i="5"/>
  <c r="F231" i="5"/>
  <c r="E231" i="5"/>
  <c r="D231" i="5"/>
  <c r="C231" i="5"/>
  <c r="B230" i="5"/>
  <c r="A230" i="5"/>
  <c r="J230" i="5"/>
  <c r="I230" i="5"/>
  <c r="H230" i="5"/>
  <c r="G230" i="5"/>
  <c r="F230" i="5"/>
  <c r="E230" i="5"/>
  <c r="D230" i="5"/>
  <c r="C230" i="5"/>
  <c r="B229" i="5"/>
  <c r="A229" i="5"/>
  <c r="J229" i="5"/>
  <c r="I229" i="5"/>
  <c r="H229" i="5"/>
  <c r="G229" i="5"/>
  <c r="F229" i="5"/>
  <c r="E229" i="5"/>
  <c r="D229" i="5"/>
  <c r="C229" i="5"/>
  <c r="B228" i="5"/>
  <c r="A228" i="5"/>
  <c r="J228" i="5"/>
  <c r="I228" i="5"/>
  <c r="H228" i="5"/>
  <c r="G228" i="5"/>
  <c r="F228" i="5"/>
  <c r="E228" i="5"/>
  <c r="D228" i="5"/>
  <c r="C228" i="5"/>
  <c r="B227" i="5"/>
  <c r="A227" i="5"/>
  <c r="J227" i="5"/>
  <c r="I227" i="5"/>
  <c r="H227" i="5"/>
  <c r="G227" i="5"/>
  <c r="F227" i="5"/>
  <c r="E227" i="5"/>
  <c r="D227" i="5"/>
  <c r="C227" i="5"/>
  <c r="B226" i="5"/>
  <c r="A226" i="5"/>
  <c r="J226" i="5"/>
  <c r="I226" i="5"/>
  <c r="H226" i="5"/>
  <c r="G226" i="5"/>
  <c r="F226" i="5"/>
  <c r="E226" i="5"/>
  <c r="D226" i="5"/>
  <c r="C226" i="5"/>
  <c r="B225" i="5"/>
  <c r="A225" i="5"/>
  <c r="J225" i="5"/>
  <c r="I225" i="5"/>
  <c r="H225" i="5"/>
  <c r="G225" i="5"/>
  <c r="F225" i="5"/>
  <c r="E225" i="5"/>
  <c r="D225" i="5"/>
  <c r="C225" i="5"/>
  <c r="B224" i="5"/>
  <c r="A224" i="5"/>
  <c r="J224" i="5"/>
  <c r="I224" i="5"/>
  <c r="H224" i="5"/>
  <c r="G224" i="5"/>
  <c r="F224" i="5"/>
  <c r="E224" i="5"/>
  <c r="D224" i="5"/>
  <c r="C224" i="5"/>
  <c r="B223" i="5"/>
  <c r="A223" i="5"/>
  <c r="J223" i="5"/>
  <c r="I223" i="5"/>
  <c r="H223" i="5"/>
  <c r="G223" i="5"/>
  <c r="F223" i="5"/>
  <c r="E223" i="5"/>
  <c r="D223" i="5"/>
  <c r="C223" i="5"/>
  <c r="B222" i="5"/>
  <c r="A222" i="5"/>
  <c r="J222" i="5"/>
  <c r="I222" i="5"/>
  <c r="H222" i="5"/>
  <c r="G222" i="5"/>
  <c r="F222" i="5"/>
  <c r="E222" i="5"/>
  <c r="D222" i="5"/>
  <c r="C222" i="5"/>
  <c r="B221" i="5"/>
  <c r="A221" i="5"/>
  <c r="J221" i="5"/>
  <c r="I221" i="5"/>
  <c r="H221" i="5"/>
  <c r="G221" i="5"/>
  <c r="F221" i="5"/>
  <c r="E221" i="5"/>
  <c r="D221" i="5"/>
  <c r="C221" i="5"/>
  <c r="B220" i="5"/>
  <c r="A220" i="5"/>
  <c r="J220" i="5"/>
  <c r="I220" i="5"/>
  <c r="H220" i="5"/>
  <c r="G220" i="5"/>
  <c r="F220" i="5"/>
  <c r="E220" i="5"/>
  <c r="D220" i="5"/>
  <c r="C220" i="5"/>
  <c r="B219" i="5"/>
  <c r="A219" i="5"/>
  <c r="J219" i="5"/>
  <c r="I219" i="5"/>
  <c r="H219" i="5"/>
  <c r="G219" i="5"/>
  <c r="F219" i="5"/>
  <c r="E219" i="5"/>
  <c r="D219" i="5"/>
  <c r="C219" i="5"/>
  <c r="B218" i="5"/>
  <c r="A218" i="5"/>
  <c r="J218" i="5"/>
  <c r="I218" i="5"/>
  <c r="H218" i="5"/>
  <c r="G218" i="5"/>
  <c r="F218" i="5"/>
  <c r="E218" i="5"/>
  <c r="D218" i="5"/>
  <c r="C218" i="5"/>
  <c r="B217" i="5"/>
  <c r="A217" i="5"/>
  <c r="J217" i="5"/>
  <c r="I217" i="5"/>
  <c r="H217" i="5"/>
  <c r="G217" i="5"/>
  <c r="F217" i="5"/>
  <c r="E217" i="5"/>
  <c r="D217" i="5"/>
  <c r="C217" i="5"/>
  <c r="B216" i="5"/>
  <c r="A216" i="5"/>
  <c r="J216" i="5"/>
  <c r="I216" i="5"/>
  <c r="H216" i="5"/>
  <c r="G216" i="5"/>
  <c r="F216" i="5"/>
  <c r="E216" i="5"/>
  <c r="D216" i="5"/>
  <c r="C216" i="5"/>
  <c r="B215" i="5"/>
  <c r="A215" i="5"/>
  <c r="J215" i="5"/>
  <c r="I215" i="5"/>
  <c r="H215" i="5"/>
  <c r="G215" i="5"/>
  <c r="F215" i="5"/>
  <c r="E215" i="5"/>
  <c r="D215" i="5"/>
  <c r="C215" i="5"/>
  <c r="B214" i="5"/>
  <c r="A214" i="5"/>
  <c r="J214" i="5"/>
  <c r="I214" i="5"/>
  <c r="H214" i="5"/>
  <c r="G214" i="5"/>
  <c r="F214" i="5"/>
  <c r="E214" i="5"/>
  <c r="D214" i="5"/>
  <c r="C214" i="5"/>
  <c r="B213" i="5"/>
  <c r="A213" i="5"/>
  <c r="J213" i="5"/>
  <c r="I213" i="5"/>
  <c r="H213" i="5"/>
  <c r="G213" i="5"/>
  <c r="F213" i="5"/>
  <c r="E213" i="5"/>
  <c r="D213" i="5"/>
  <c r="C213" i="5"/>
  <c r="B212" i="5"/>
  <c r="A212" i="5"/>
  <c r="J212" i="5"/>
  <c r="I212" i="5"/>
  <c r="H212" i="5"/>
  <c r="G212" i="5"/>
  <c r="F212" i="5"/>
  <c r="E212" i="5"/>
  <c r="D212" i="5"/>
  <c r="C212" i="5"/>
  <c r="B211" i="5"/>
  <c r="A211" i="5"/>
  <c r="J211" i="5"/>
  <c r="I211" i="5"/>
  <c r="H211" i="5"/>
  <c r="G211" i="5"/>
  <c r="F211" i="5"/>
  <c r="E211" i="5"/>
  <c r="D211" i="5"/>
  <c r="C211" i="5"/>
  <c r="B210" i="5"/>
  <c r="A210" i="5"/>
  <c r="J210" i="5"/>
  <c r="I210" i="5"/>
  <c r="H210" i="5"/>
  <c r="G210" i="5"/>
  <c r="F210" i="5"/>
  <c r="E210" i="5"/>
  <c r="D210" i="5"/>
  <c r="C210" i="5"/>
  <c r="B209" i="5"/>
  <c r="A209" i="5"/>
  <c r="J209" i="5"/>
  <c r="I209" i="5"/>
  <c r="H209" i="5"/>
  <c r="G209" i="5"/>
  <c r="F209" i="5"/>
  <c r="E209" i="5"/>
  <c r="D209" i="5"/>
  <c r="C209" i="5"/>
  <c r="B208" i="5"/>
  <c r="A208" i="5"/>
  <c r="J208" i="5"/>
  <c r="I208" i="5"/>
  <c r="H208" i="5"/>
  <c r="G208" i="5"/>
  <c r="F208" i="5"/>
  <c r="E208" i="5"/>
  <c r="D208" i="5"/>
  <c r="C208" i="5"/>
  <c r="B207" i="5"/>
  <c r="A207" i="5"/>
  <c r="J207" i="5"/>
  <c r="I207" i="5"/>
  <c r="H207" i="5"/>
  <c r="G207" i="5"/>
  <c r="F207" i="5"/>
  <c r="E207" i="5"/>
  <c r="D207" i="5"/>
  <c r="C207" i="5"/>
  <c r="B206" i="5"/>
  <c r="A206" i="5"/>
  <c r="J206" i="5"/>
  <c r="I206" i="5"/>
  <c r="H206" i="5"/>
  <c r="G206" i="5"/>
  <c r="F206" i="5"/>
  <c r="E206" i="5"/>
  <c r="D206" i="5"/>
  <c r="C206" i="5"/>
  <c r="B205" i="5"/>
  <c r="A205" i="5"/>
  <c r="J205" i="5"/>
  <c r="I205" i="5"/>
  <c r="H205" i="5"/>
  <c r="G205" i="5"/>
  <c r="F205" i="5"/>
  <c r="E205" i="5"/>
  <c r="D205" i="5"/>
  <c r="C205" i="5"/>
  <c r="B204" i="5"/>
  <c r="A204" i="5"/>
  <c r="J204" i="5"/>
  <c r="I204" i="5"/>
  <c r="H204" i="5"/>
  <c r="G204" i="5"/>
  <c r="F204" i="5"/>
  <c r="E204" i="5"/>
  <c r="D204" i="5"/>
  <c r="C204" i="5"/>
  <c r="B203" i="5"/>
  <c r="A203" i="5"/>
  <c r="J203" i="5"/>
  <c r="I203" i="5"/>
  <c r="H203" i="5"/>
  <c r="G203" i="5"/>
  <c r="F203" i="5"/>
  <c r="E203" i="5"/>
  <c r="D203" i="5"/>
  <c r="C203" i="5"/>
  <c r="B202" i="5"/>
  <c r="A202" i="5"/>
  <c r="J202" i="5"/>
  <c r="I202" i="5"/>
  <c r="H202" i="5"/>
  <c r="G202" i="5"/>
  <c r="F202" i="5"/>
  <c r="E202" i="5"/>
  <c r="D202" i="5"/>
  <c r="C202" i="5"/>
  <c r="B201" i="5"/>
  <c r="A201" i="5"/>
  <c r="J201" i="5"/>
  <c r="I201" i="5"/>
  <c r="H201" i="5"/>
  <c r="G201" i="5"/>
  <c r="F201" i="5"/>
  <c r="E201" i="5"/>
  <c r="D201" i="5"/>
  <c r="C201" i="5"/>
  <c r="B200" i="5"/>
  <c r="A200" i="5"/>
  <c r="J200" i="5"/>
  <c r="I200" i="5"/>
  <c r="H200" i="5"/>
  <c r="G200" i="5"/>
  <c r="F200" i="5"/>
  <c r="E200" i="5"/>
  <c r="D200" i="5"/>
  <c r="C200" i="5"/>
  <c r="B199" i="5"/>
  <c r="A199" i="5"/>
  <c r="J199" i="5"/>
  <c r="I199" i="5"/>
  <c r="H199" i="5"/>
  <c r="G199" i="5"/>
  <c r="F199" i="5"/>
  <c r="E199" i="5"/>
  <c r="D199" i="5"/>
  <c r="C199" i="5"/>
  <c r="B198" i="5"/>
  <c r="A198" i="5"/>
  <c r="J198" i="5"/>
  <c r="I198" i="5"/>
  <c r="H198" i="5"/>
  <c r="G198" i="5"/>
  <c r="F198" i="5"/>
  <c r="E198" i="5"/>
  <c r="D198" i="5"/>
  <c r="C198" i="5"/>
  <c r="B197" i="5"/>
  <c r="A197" i="5"/>
  <c r="J197" i="5"/>
  <c r="I197" i="5"/>
  <c r="H197" i="5"/>
  <c r="G197" i="5"/>
  <c r="F197" i="5"/>
  <c r="E197" i="5"/>
  <c r="D197" i="5"/>
  <c r="C197" i="5"/>
  <c r="B196" i="5"/>
  <c r="A196" i="5"/>
  <c r="J196" i="5"/>
  <c r="I196" i="5"/>
  <c r="H196" i="5"/>
  <c r="G196" i="5"/>
  <c r="F196" i="5"/>
  <c r="E196" i="5"/>
  <c r="D196" i="5"/>
  <c r="C196" i="5"/>
  <c r="B195" i="5"/>
  <c r="A195" i="5"/>
  <c r="J195" i="5"/>
  <c r="I195" i="5"/>
  <c r="H195" i="5"/>
  <c r="G195" i="5"/>
  <c r="F195" i="5"/>
  <c r="E195" i="5"/>
  <c r="D195" i="5"/>
  <c r="C195" i="5"/>
  <c r="B194" i="5"/>
  <c r="A194" i="5"/>
  <c r="J194" i="5"/>
  <c r="I194" i="5"/>
  <c r="H194" i="5"/>
  <c r="G194" i="5"/>
  <c r="F194" i="5"/>
  <c r="E194" i="5"/>
  <c r="D194" i="5"/>
  <c r="C194" i="5"/>
  <c r="B193" i="5"/>
  <c r="A193" i="5"/>
  <c r="J193" i="5"/>
  <c r="I193" i="5"/>
  <c r="H193" i="5"/>
  <c r="G193" i="5"/>
  <c r="F193" i="5"/>
  <c r="E193" i="5"/>
  <c r="D193" i="5"/>
  <c r="C193" i="5"/>
  <c r="B192" i="5"/>
  <c r="A192" i="5"/>
  <c r="J192" i="5"/>
  <c r="I192" i="5"/>
  <c r="H192" i="5"/>
  <c r="G192" i="5"/>
  <c r="F192" i="5"/>
  <c r="E192" i="5"/>
  <c r="D192" i="5"/>
  <c r="C192" i="5"/>
  <c r="B191" i="5"/>
  <c r="A191" i="5"/>
  <c r="J191" i="5"/>
  <c r="I191" i="5"/>
  <c r="H191" i="5"/>
  <c r="G191" i="5"/>
  <c r="F191" i="5"/>
  <c r="E191" i="5"/>
  <c r="D191" i="5"/>
  <c r="C191" i="5"/>
  <c r="B190" i="5"/>
  <c r="A190" i="5"/>
  <c r="J190" i="5"/>
  <c r="I190" i="5"/>
  <c r="H190" i="5"/>
  <c r="G190" i="5"/>
  <c r="F190" i="5"/>
  <c r="E190" i="5"/>
  <c r="D190" i="5"/>
  <c r="C190" i="5"/>
  <c r="B189" i="5"/>
  <c r="A189" i="5"/>
  <c r="J189" i="5"/>
  <c r="I189" i="5"/>
  <c r="H189" i="5"/>
  <c r="G189" i="5"/>
  <c r="F189" i="5"/>
  <c r="E189" i="5"/>
  <c r="D189" i="5"/>
  <c r="C189" i="5"/>
  <c r="B188" i="5"/>
  <c r="A188" i="5"/>
  <c r="J188" i="5"/>
  <c r="I188" i="5"/>
  <c r="H188" i="5"/>
  <c r="G188" i="5"/>
  <c r="F188" i="5"/>
  <c r="E188" i="5"/>
  <c r="D188" i="5"/>
  <c r="C188" i="5"/>
  <c r="B187" i="5"/>
  <c r="A187" i="5"/>
  <c r="J187" i="5"/>
  <c r="I187" i="5"/>
  <c r="H187" i="5"/>
  <c r="G187" i="5"/>
  <c r="F187" i="5"/>
  <c r="E187" i="5"/>
  <c r="D187" i="5"/>
  <c r="C187" i="5"/>
  <c r="B186" i="5"/>
  <c r="A186" i="5"/>
  <c r="J186" i="5"/>
  <c r="I186" i="5"/>
  <c r="H186" i="5"/>
  <c r="G186" i="5"/>
  <c r="F186" i="5"/>
  <c r="E186" i="5"/>
  <c r="D186" i="5"/>
  <c r="C186" i="5"/>
  <c r="B185" i="5"/>
  <c r="A185" i="5"/>
  <c r="J185" i="5"/>
  <c r="I185" i="5"/>
  <c r="H185" i="5"/>
  <c r="G185" i="5"/>
  <c r="F185" i="5"/>
  <c r="E185" i="5"/>
  <c r="D185" i="5"/>
  <c r="C185" i="5"/>
  <c r="B184" i="5"/>
  <c r="A184" i="5"/>
  <c r="J184" i="5"/>
  <c r="I184" i="5"/>
  <c r="H184" i="5"/>
  <c r="G184" i="5"/>
  <c r="F184" i="5"/>
  <c r="E184" i="5"/>
  <c r="D184" i="5"/>
  <c r="C184" i="5"/>
  <c r="B183" i="5"/>
  <c r="A183" i="5"/>
  <c r="J183" i="5"/>
  <c r="I183" i="5"/>
  <c r="H183" i="5"/>
  <c r="G183" i="5"/>
  <c r="F183" i="5"/>
  <c r="E183" i="5"/>
  <c r="D183" i="5"/>
  <c r="C183" i="5"/>
  <c r="B182" i="5"/>
  <c r="A182" i="5"/>
  <c r="J182" i="5"/>
  <c r="I182" i="5"/>
  <c r="H182" i="5"/>
  <c r="G182" i="5"/>
  <c r="F182" i="5"/>
  <c r="E182" i="5"/>
  <c r="D182" i="5"/>
  <c r="C182" i="5"/>
  <c r="B181" i="5"/>
  <c r="A181" i="5"/>
  <c r="J181" i="5"/>
  <c r="I181" i="5"/>
  <c r="H181" i="5"/>
  <c r="G181" i="5"/>
  <c r="F181" i="5"/>
  <c r="E181" i="5"/>
  <c r="D181" i="5"/>
  <c r="C181" i="5"/>
  <c r="B180" i="5"/>
  <c r="A180" i="5"/>
  <c r="J180" i="5"/>
  <c r="I180" i="5"/>
  <c r="H180" i="5"/>
  <c r="G180" i="5"/>
  <c r="F180" i="5"/>
  <c r="E180" i="5"/>
  <c r="D180" i="5"/>
  <c r="C180" i="5"/>
  <c r="B179" i="5"/>
  <c r="A179" i="5"/>
  <c r="J179" i="5"/>
  <c r="I179" i="5"/>
  <c r="H179" i="5"/>
  <c r="G179" i="5"/>
  <c r="F179" i="5"/>
  <c r="E179" i="5"/>
  <c r="D179" i="5"/>
  <c r="C179" i="5"/>
  <c r="B178" i="5"/>
  <c r="A178" i="5"/>
  <c r="J178" i="5"/>
  <c r="I178" i="5"/>
  <c r="H178" i="5"/>
  <c r="G178" i="5"/>
  <c r="F178" i="5"/>
  <c r="E178" i="5"/>
  <c r="D178" i="5"/>
  <c r="C178" i="5"/>
  <c r="B177" i="5"/>
  <c r="A177" i="5"/>
  <c r="J177" i="5"/>
  <c r="I177" i="5"/>
  <c r="H177" i="5"/>
  <c r="G177" i="5"/>
  <c r="F177" i="5"/>
  <c r="E177" i="5"/>
  <c r="D177" i="5"/>
  <c r="C177" i="5"/>
  <c r="B176" i="5"/>
  <c r="A176" i="5"/>
  <c r="J176" i="5"/>
  <c r="I176" i="5"/>
  <c r="H176" i="5"/>
  <c r="G176" i="5"/>
  <c r="F176" i="5"/>
  <c r="E176" i="5"/>
  <c r="D176" i="5"/>
  <c r="C176" i="5"/>
  <c r="B175" i="5"/>
  <c r="A175" i="5"/>
  <c r="J175" i="5"/>
  <c r="I175" i="5"/>
  <c r="H175" i="5"/>
  <c r="G175" i="5"/>
  <c r="F175" i="5"/>
  <c r="E175" i="5"/>
  <c r="D175" i="5"/>
  <c r="C175" i="5"/>
  <c r="B174" i="5"/>
  <c r="A174" i="5"/>
  <c r="J174" i="5"/>
  <c r="I174" i="5"/>
  <c r="H174" i="5"/>
  <c r="G174" i="5"/>
  <c r="F174" i="5"/>
  <c r="E174" i="5"/>
  <c r="D174" i="5"/>
  <c r="C174" i="5"/>
  <c r="B173" i="5"/>
  <c r="A173" i="5"/>
  <c r="J173" i="5"/>
  <c r="I173" i="5"/>
  <c r="H173" i="5"/>
  <c r="G173" i="5"/>
  <c r="F173" i="5"/>
  <c r="E173" i="5"/>
  <c r="D173" i="5"/>
  <c r="C173" i="5"/>
  <c r="B172" i="5"/>
  <c r="A172" i="5"/>
  <c r="J172" i="5"/>
  <c r="I172" i="5"/>
  <c r="H172" i="5"/>
  <c r="G172" i="5"/>
  <c r="F172" i="5"/>
  <c r="E172" i="5"/>
  <c r="D172" i="5"/>
  <c r="C172" i="5"/>
  <c r="B171" i="5"/>
  <c r="A171" i="5"/>
  <c r="J171" i="5"/>
  <c r="I171" i="5"/>
  <c r="H171" i="5"/>
  <c r="G171" i="5"/>
  <c r="F171" i="5"/>
  <c r="E171" i="5"/>
  <c r="D171" i="5"/>
  <c r="C171" i="5"/>
  <c r="B170" i="5"/>
  <c r="A170" i="5"/>
  <c r="J170" i="5"/>
  <c r="I170" i="5"/>
  <c r="H170" i="5"/>
  <c r="G170" i="5"/>
  <c r="F170" i="5"/>
  <c r="E170" i="5"/>
  <c r="D170" i="5"/>
  <c r="C170" i="5"/>
  <c r="B169" i="5"/>
  <c r="A169" i="5"/>
  <c r="J169" i="5"/>
  <c r="I169" i="5"/>
  <c r="H169" i="5"/>
  <c r="G169" i="5"/>
  <c r="F169" i="5"/>
  <c r="E169" i="5"/>
  <c r="D169" i="5"/>
  <c r="C169" i="5"/>
  <c r="B168" i="5"/>
  <c r="A168" i="5"/>
  <c r="J168" i="5"/>
  <c r="I168" i="5"/>
  <c r="H168" i="5"/>
  <c r="G168" i="5"/>
  <c r="F168" i="5"/>
  <c r="E168" i="5"/>
  <c r="D168" i="5"/>
  <c r="C168" i="5"/>
  <c r="B167" i="5"/>
  <c r="A167" i="5"/>
  <c r="J167" i="5"/>
  <c r="I167" i="5"/>
  <c r="H167" i="5"/>
  <c r="G167" i="5"/>
  <c r="F167" i="5"/>
  <c r="E167" i="5"/>
  <c r="D167" i="5"/>
  <c r="C167" i="5"/>
  <c r="B166" i="5"/>
  <c r="A166" i="5"/>
  <c r="J166" i="5"/>
  <c r="I166" i="5"/>
  <c r="H166" i="5"/>
  <c r="G166" i="5"/>
  <c r="F166" i="5"/>
  <c r="E166" i="5"/>
  <c r="D166" i="5"/>
  <c r="C166" i="5"/>
  <c r="B165" i="5"/>
  <c r="A165" i="5"/>
  <c r="J165" i="5"/>
  <c r="I165" i="5"/>
  <c r="H165" i="5"/>
  <c r="G165" i="5"/>
  <c r="F165" i="5"/>
  <c r="E165" i="5"/>
  <c r="D165" i="5"/>
  <c r="C165" i="5"/>
  <c r="B164" i="5"/>
  <c r="A164" i="5"/>
  <c r="J164" i="5"/>
  <c r="I164" i="5"/>
  <c r="H164" i="5"/>
  <c r="G164" i="5"/>
  <c r="F164" i="5"/>
  <c r="E164" i="5"/>
  <c r="D164" i="5"/>
  <c r="C164" i="5"/>
  <c r="B163" i="5"/>
  <c r="A163" i="5"/>
  <c r="J163" i="5"/>
  <c r="I163" i="5"/>
  <c r="H163" i="5"/>
  <c r="G163" i="5"/>
  <c r="F163" i="5"/>
  <c r="E163" i="5"/>
  <c r="D163" i="5"/>
  <c r="C163" i="5"/>
  <c r="B162" i="5"/>
  <c r="A162" i="5"/>
  <c r="J162" i="5"/>
  <c r="I162" i="5"/>
  <c r="H162" i="5"/>
  <c r="G162" i="5"/>
  <c r="F162" i="5"/>
  <c r="E162" i="5"/>
  <c r="D162" i="5"/>
  <c r="C162" i="5"/>
  <c r="B161" i="5"/>
  <c r="A161" i="5"/>
  <c r="J161" i="5"/>
  <c r="I161" i="5"/>
  <c r="H161" i="5"/>
  <c r="G161" i="5"/>
  <c r="F161" i="5"/>
  <c r="E161" i="5"/>
  <c r="D161" i="5"/>
  <c r="C161" i="5"/>
  <c r="B160" i="5"/>
  <c r="A160" i="5"/>
  <c r="J160" i="5"/>
  <c r="I160" i="5"/>
  <c r="H160" i="5"/>
  <c r="G160" i="5"/>
  <c r="F160" i="5"/>
  <c r="E160" i="5"/>
  <c r="D160" i="5"/>
  <c r="C160" i="5"/>
  <c r="B159" i="5"/>
  <c r="A159" i="5"/>
  <c r="J159" i="5"/>
  <c r="I159" i="5"/>
  <c r="H159" i="5"/>
  <c r="G159" i="5"/>
  <c r="F159" i="5"/>
  <c r="E159" i="5"/>
  <c r="D159" i="5"/>
  <c r="C159" i="5"/>
  <c r="B158" i="5"/>
  <c r="A158" i="5"/>
  <c r="J158" i="5"/>
  <c r="I158" i="5"/>
  <c r="H158" i="5"/>
  <c r="G158" i="5"/>
  <c r="F158" i="5"/>
  <c r="E158" i="5"/>
  <c r="D158" i="5"/>
  <c r="C158" i="5"/>
  <c r="B157" i="5"/>
  <c r="A157" i="5"/>
  <c r="J157" i="5"/>
  <c r="I157" i="5"/>
  <c r="H157" i="5"/>
  <c r="G157" i="5"/>
  <c r="F157" i="5"/>
  <c r="E157" i="5"/>
  <c r="D157" i="5"/>
  <c r="C157" i="5"/>
  <c r="B156" i="5"/>
  <c r="A156" i="5"/>
  <c r="J156" i="5"/>
  <c r="I156" i="5"/>
  <c r="H156" i="5"/>
  <c r="G156" i="5"/>
  <c r="F156" i="5"/>
  <c r="E156" i="5"/>
  <c r="D156" i="5"/>
  <c r="C156" i="5"/>
  <c r="B155" i="5"/>
  <c r="A155" i="5"/>
  <c r="J155" i="5"/>
  <c r="I155" i="5"/>
  <c r="H155" i="5"/>
  <c r="G155" i="5"/>
  <c r="F155" i="5"/>
  <c r="E155" i="5"/>
  <c r="D155" i="5"/>
  <c r="C155" i="5"/>
  <c r="B154" i="5"/>
  <c r="A154" i="5"/>
  <c r="J154" i="5"/>
  <c r="I154" i="5"/>
  <c r="H154" i="5"/>
  <c r="G154" i="5"/>
  <c r="F154" i="5"/>
  <c r="E154" i="5"/>
  <c r="D154" i="5"/>
  <c r="C154" i="5"/>
  <c r="B153" i="5"/>
  <c r="A153" i="5"/>
  <c r="J153" i="5"/>
  <c r="I153" i="5"/>
  <c r="H153" i="5"/>
  <c r="G153" i="5"/>
  <c r="F153" i="5"/>
  <c r="E153" i="5"/>
  <c r="D153" i="5"/>
  <c r="C153" i="5"/>
  <c r="B152" i="5"/>
  <c r="A152" i="5"/>
  <c r="J152" i="5"/>
  <c r="I152" i="5"/>
  <c r="H152" i="5"/>
  <c r="G152" i="5"/>
  <c r="F152" i="5"/>
  <c r="E152" i="5"/>
  <c r="D152" i="5"/>
  <c r="C152" i="5"/>
  <c r="B151" i="5"/>
  <c r="A151" i="5"/>
  <c r="J151" i="5"/>
  <c r="I151" i="5"/>
  <c r="H151" i="5"/>
  <c r="G151" i="5"/>
  <c r="F151" i="5"/>
  <c r="E151" i="5"/>
  <c r="D151" i="5"/>
  <c r="C151" i="5"/>
  <c r="B150" i="5"/>
  <c r="A150" i="5"/>
  <c r="J150" i="5"/>
  <c r="I150" i="5"/>
  <c r="H150" i="5"/>
  <c r="G150" i="5"/>
  <c r="F150" i="5"/>
  <c r="E150" i="5"/>
  <c r="D150" i="5"/>
  <c r="C150" i="5"/>
  <c r="B149" i="5"/>
  <c r="A149" i="5"/>
  <c r="J149" i="5"/>
  <c r="I149" i="5"/>
  <c r="H149" i="5"/>
  <c r="G149" i="5"/>
  <c r="F149" i="5"/>
  <c r="E149" i="5"/>
  <c r="D149" i="5"/>
  <c r="C149" i="5"/>
  <c r="B148" i="5"/>
  <c r="A148" i="5"/>
  <c r="J148" i="5"/>
  <c r="I148" i="5"/>
  <c r="H148" i="5"/>
  <c r="G148" i="5"/>
  <c r="F148" i="5"/>
  <c r="E148" i="5"/>
  <c r="D148" i="5"/>
  <c r="C148" i="5"/>
  <c r="B147" i="5"/>
  <c r="A147" i="5"/>
  <c r="J147" i="5"/>
  <c r="I147" i="5"/>
  <c r="H147" i="5"/>
  <c r="G147" i="5"/>
  <c r="F147" i="5"/>
  <c r="E147" i="5"/>
  <c r="D147" i="5"/>
  <c r="C147" i="5"/>
  <c r="B146" i="5"/>
  <c r="A146" i="5"/>
  <c r="J146" i="5"/>
  <c r="I146" i="5"/>
  <c r="H146" i="5"/>
  <c r="G146" i="5"/>
  <c r="F146" i="5"/>
  <c r="E146" i="5"/>
  <c r="D146" i="5"/>
  <c r="C146" i="5"/>
  <c r="B145" i="5"/>
  <c r="A145" i="5"/>
  <c r="J145" i="5"/>
  <c r="I145" i="5"/>
  <c r="H145" i="5"/>
  <c r="G145" i="5"/>
  <c r="F145" i="5"/>
  <c r="E145" i="5"/>
  <c r="D145" i="5"/>
  <c r="C145" i="5"/>
  <c r="B144" i="5"/>
  <c r="A144" i="5"/>
  <c r="J144" i="5"/>
  <c r="I144" i="5"/>
  <c r="H144" i="5"/>
  <c r="G144" i="5"/>
  <c r="F144" i="5"/>
  <c r="E144" i="5"/>
  <c r="D144" i="5"/>
  <c r="C144" i="5"/>
  <c r="B143" i="5"/>
  <c r="A143" i="5"/>
  <c r="J143" i="5"/>
  <c r="I143" i="5"/>
  <c r="H143" i="5"/>
  <c r="G143" i="5"/>
  <c r="F143" i="5"/>
  <c r="E143" i="5"/>
  <c r="D143" i="5"/>
  <c r="C143" i="5"/>
  <c r="B142" i="5"/>
  <c r="A142" i="5"/>
  <c r="J142" i="5"/>
  <c r="I142" i="5"/>
  <c r="H142" i="5"/>
  <c r="G142" i="5"/>
  <c r="F142" i="5"/>
  <c r="E142" i="5"/>
  <c r="D142" i="5"/>
  <c r="C142" i="5"/>
  <c r="B141" i="5"/>
  <c r="A141" i="5"/>
  <c r="J141" i="5"/>
  <c r="I141" i="5"/>
  <c r="H141" i="5"/>
  <c r="G141" i="5"/>
  <c r="F141" i="5"/>
  <c r="E141" i="5"/>
  <c r="D141" i="5"/>
  <c r="C141" i="5"/>
  <c r="B140" i="5"/>
  <c r="A140" i="5"/>
  <c r="J140" i="5"/>
  <c r="I140" i="5"/>
  <c r="H140" i="5"/>
  <c r="G140" i="5"/>
  <c r="F140" i="5"/>
  <c r="E140" i="5"/>
  <c r="D140" i="5"/>
  <c r="C140" i="5"/>
  <c r="B139" i="5"/>
  <c r="A139" i="5"/>
  <c r="J139" i="5"/>
  <c r="I139" i="5"/>
  <c r="H139" i="5"/>
  <c r="G139" i="5"/>
  <c r="F139" i="5"/>
  <c r="E139" i="5"/>
  <c r="D139" i="5"/>
  <c r="C139" i="5"/>
  <c r="B138" i="5"/>
  <c r="A138" i="5"/>
  <c r="J138" i="5"/>
  <c r="I138" i="5"/>
  <c r="H138" i="5"/>
  <c r="G138" i="5"/>
  <c r="F138" i="5"/>
  <c r="E138" i="5"/>
  <c r="D138" i="5"/>
  <c r="C138" i="5"/>
  <c r="B137" i="5"/>
  <c r="A137" i="5"/>
  <c r="J137" i="5"/>
  <c r="I137" i="5"/>
  <c r="H137" i="5"/>
  <c r="G137" i="5"/>
  <c r="F137" i="5"/>
  <c r="E137" i="5"/>
  <c r="D137" i="5"/>
  <c r="C137" i="5"/>
  <c r="B136" i="5"/>
  <c r="A136" i="5"/>
  <c r="J136" i="5"/>
  <c r="I136" i="5"/>
  <c r="H136" i="5"/>
  <c r="G136" i="5"/>
  <c r="F136" i="5"/>
  <c r="E136" i="5"/>
  <c r="D136" i="5"/>
  <c r="C136" i="5"/>
  <c r="B135" i="5"/>
  <c r="A135" i="5"/>
  <c r="J135" i="5"/>
  <c r="I135" i="5"/>
  <c r="H135" i="5"/>
  <c r="G135" i="5"/>
  <c r="F135" i="5"/>
  <c r="E135" i="5"/>
  <c r="D135" i="5"/>
  <c r="C135" i="5"/>
  <c r="B134" i="5"/>
  <c r="A134" i="5"/>
  <c r="J134" i="5"/>
  <c r="I134" i="5"/>
  <c r="H134" i="5"/>
  <c r="G134" i="5"/>
  <c r="F134" i="5"/>
  <c r="E134" i="5"/>
  <c r="D134" i="5"/>
  <c r="C134" i="5"/>
  <c r="B133" i="5"/>
  <c r="A133" i="5"/>
  <c r="J133" i="5"/>
  <c r="I133" i="5"/>
  <c r="H133" i="5"/>
  <c r="G133" i="5"/>
  <c r="F133" i="5"/>
  <c r="E133" i="5"/>
  <c r="D133" i="5"/>
  <c r="C133" i="5"/>
  <c r="B132" i="5"/>
  <c r="A132" i="5"/>
  <c r="J132" i="5"/>
  <c r="I132" i="5"/>
  <c r="H132" i="5"/>
  <c r="G132" i="5"/>
  <c r="F132" i="5"/>
  <c r="E132" i="5"/>
  <c r="D132" i="5"/>
  <c r="C132" i="5"/>
  <c r="B131" i="5"/>
  <c r="A131" i="5"/>
  <c r="J131" i="5"/>
  <c r="I131" i="5"/>
  <c r="H131" i="5"/>
  <c r="G131" i="5"/>
  <c r="F131" i="5"/>
  <c r="E131" i="5"/>
  <c r="D131" i="5"/>
  <c r="C131" i="5"/>
  <c r="B130" i="5"/>
  <c r="A130" i="5"/>
  <c r="J130" i="5"/>
  <c r="I130" i="5"/>
  <c r="H130" i="5"/>
  <c r="G130" i="5"/>
  <c r="F130" i="5"/>
  <c r="E130" i="5"/>
  <c r="D130" i="5"/>
  <c r="C130" i="5"/>
  <c r="B129" i="5"/>
  <c r="A129" i="5"/>
  <c r="J129" i="5"/>
  <c r="I129" i="5"/>
  <c r="H129" i="5"/>
  <c r="G129" i="5"/>
  <c r="F129" i="5"/>
  <c r="E129" i="5"/>
  <c r="D129" i="5"/>
  <c r="C129" i="5"/>
  <c r="B128" i="5"/>
  <c r="A128" i="5"/>
  <c r="J128" i="5"/>
  <c r="I128" i="5"/>
  <c r="H128" i="5"/>
  <c r="G128" i="5"/>
  <c r="F128" i="5"/>
  <c r="E128" i="5"/>
  <c r="D128" i="5"/>
  <c r="C128" i="5"/>
  <c r="B127" i="5"/>
  <c r="A127" i="5"/>
  <c r="J127" i="5"/>
  <c r="I127" i="5"/>
  <c r="H127" i="5"/>
  <c r="G127" i="5"/>
  <c r="F127" i="5"/>
  <c r="E127" i="5"/>
  <c r="D127" i="5"/>
  <c r="C127" i="5"/>
  <c r="B126" i="5"/>
  <c r="A126" i="5"/>
  <c r="J126" i="5"/>
  <c r="I126" i="5"/>
  <c r="H126" i="5"/>
  <c r="G126" i="5"/>
  <c r="F126" i="5"/>
  <c r="E126" i="5"/>
  <c r="D126" i="5"/>
  <c r="C126" i="5"/>
  <c r="B125" i="5"/>
  <c r="A125" i="5"/>
  <c r="J125" i="5"/>
  <c r="I125" i="5"/>
  <c r="H125" i="5"/>
  <c r="G125" i="5"/>
  <c r="F125" i="5"/>
  <c r="E125" i="5"/>
  <c r="D125" i="5"/>
  <c r="C125" i="5"/>
  <c r="B124" i="5"/>
  <c r="A124" i="5"/>
  <c r="J124" i="5"/>
  <c r="I124" i="5"/>
  <c r="H124" i="5"/>
  <c r="G124" i="5"/>
  <c r="F124" i="5"/>
  <c r="E124" i="5"/>
  <c r="D124" i="5"/>
  <c r="C124" i="5"/>
  <c r="B123" i="5"/>
  <c r="A123" i="5"/>
  <c r="J123" i="5"/>
  <c r="I123" i="5"/>
  <c r="H123" i="5"/>
  <c r="G123" i="5"/>
  <c r="F123" i="5"/>
  <c r="E123" i="5"/>
  <c r="D123" i="5"/>
  <c r="C123" i="5"/>
  <c r="B122" i="5"/>
  <c r="A122" i="5"/>
  <c r="J122" i="5"/>
  <c r="I122" i="5"/>
  <c r="H122" i="5"/>
  <c r="G122" i="5"/>
  <c r="F122" i="5"/>
  <c r="E122" i="5"/>
  <c r="D122" i="5"/>
  <c r="C122" i="5"/>
  <c r="B121" i="5"/>
  <c r="A121" i="5"/>
  <c r="J121" i="5"/>
  <c r="I121" i="5"/>
  <c r="H121" i="5"/>
  <c r="G121" i="5"/>
  <c r="F121" i="5"/>
  <c r="E121" i="5"/>
  <c r="D121" i="5"/>
  <c r="C121" i="5"/>
  <c r="B120" i="5"/>
  <c r="A120" i="5"/>
  <c r="J120" i="5"/>
  <c r="I120" i="5"/>
  <c r="H120" i="5"/>
  <c r="G120" i="5"/>
  <c r="F120" i="5"/>
  <c r="E120" i="5"/>
  <c r="D120" i="5"/>
  <c r="C120" i="5"/>
  <c r="B119" i="5"/>
  <c r="A119" i="5"/>
  <c r="J119" i="5"/>
  <c r="I119" i="5"/>
  <c r="H119" i="5"/>
  <c r="G119" i="5"/>
  <c r="F119" i="5"/>
  <c r="E119" i="5"/>
  <c r="D119" i="5"/>
  <c r="C119" i="5"/>
  <c r="B118" i="5"/>
  <c r="A118" i="5"/>
  <c r="J118" i="5"/>
  <c r="I118" i="5"/>
  <c r="H118" i="5"/>
  <c r="G118" i="5"/>
  <c r="F118" i="5"/>
  <c r="E118" i="5"/>
  <c r="D118" i="5"/>
  <c r="C118" i="5"/>
  <c r="B117" i="5"/>
  <c r="A117" i="5"/>
  <c r="J117" i="5"/>
  <c r="I117" i="5"/>
  <c r="H117" i="5"/>
  <c r="G117" i="5"/>
  <c r="F117" i="5"/>
  <c r="E117" i="5"/>
  <c r="D117" i="5"/>
  <c r="C117" i="5"/>
  <c r="B116" i="5"/>
  <c r="A116" i="5"/>
  <c r="J116" i="5"/>
  <c r="I116" i="5"/>
  <c r="H116" i="5"/>
  <c r="G116" i="5"/>
  <c r="F116" i="5"/>
  <c r="E116" i="5"/>
  <c r="D116" i="5"/>
  <c r="C116" i="5"/>
  <c r="B115" i="5"/>
  <c r="A115" i="5"/>
  <c r="J115" i="5"/>
  <c r="I115" i="5"/>
  <c r="H115" i="5"/>
  <c r="G115" i="5"/>
  <c r="F115" i="5"/>
  <c r="E115" i="5"/>
  <c r="D115" i="5"/>
  <c r="C115" i="5"/>
  <c r="B114" i="5"/>
  <c r="A114" i="5"/>
  <c r="J114" i="5"/>
  <c r="I114" i="5"/>
  <c r="H114" i="5"/>
  <c r="G114" i="5"/>
  <c r="F114" i="5"/>
  <c r="E114" i="5"/>
  <c r="D114" i="5"/>
  <c r="C114" i="5"/>
  <c r="B113" i="5"/>
  <c r="A113" i="5"/>
  <c r="J113" i="5"/>
  <c r="I113" i="5"/>
  <c r="H113" i="5"/>
  <c r="G113" i="5"/>
  <c r="F113" i="5"/>
  <c r="E113" i="5"/>
  <c r="D113" i="5"/>
  <c r="C113" i="5"/>
  <c r="B112" i="5"/>
  <c r="A112" i="5"/>
  <c r="J112" i="5"/>
  <c r="I112" i="5"/>
  <c r="H112" i="5"/>
  <c r="G112" i="5"/>
  <c r="F112" i="5"/>
  <c r="E112" i="5"/>
  <c r="D112" i="5"/>
  <c r="C112" i="5"/>
  <c r="B111" i="5"/>
  <c r="A111" i="5"/>
  <c r="J111" i="5"/>
  <c r="I111" i="5"/>
  <c r="H111" i="5"/>
  <c r="G111" i="5"/>
  <c r="F111" i="5"/>
  <c r="E111" i="5"/>
  <c r="D111" i="5"/>
  <c r="C111" i="5"/>
  <c r="B110" i="5"/>
  <c r="A110" i="5"/>
  <c r="J110" i="5"/>
  <c r="I110" i="5"/>
  <c r="H110" i="5"/>
  <c r="G110" i="5"/>
  <c r="F110" i="5"/>
  <c r="E110" i="5"/>
  <c r="D110" i="5"/>
  <c r="C110" i="5"/>
  <c r="B109" i="5"/>
  <c r="A109" i="5"/>
  <c r="J109" i="5"/>
  <c r="I109" i="5"/>
  <c r="H109" i="5"/>
  <c r="G109" i="5"/>
  <c r="F109" i="5"/>
  <c r="E109" i="5"/>
  <c r="D109" i="5"/>
  <c r="C109" i="5"/>
  <c r="B108" i="5"/>
  <c r="A108" i="5"/>
  <c r="J108" i="5"/>
  <c r="I108" i="5"/>
  <c r="H108" i="5"/>
  <c r="G108" i="5"/>
  <c r="F108" i="5"/>
  <c r="E108" i="5"/>
  <c r="D108" i="5"/>
  <c r="C108" i="5"/>
  <c r="B107" i="5"/>
  <c r="A107" i="5"/>
  <c r="J107" i="5"/>
  <c r="I107" i="5"/>
  <c r="H107" i="5"/>
  <c r="G107" i="5"/>
  <c r="F107" i="5"/>
  <c r="E107" i="5"/>
  <c r="D107" i="5"/>
  <c r="C107" i="5"/>
  <c r="B106" i="5"/>
  <c r="A106" i="5"/>
  <c r="J106" i="5"/>
  <c r="I106" i="5"/>
  <c r="H106" i="5"/>
  <c r="G106" i="5"/>
  <c r="F106" i="5"/>
  <c r="E106" i="5"/>
  <c r="D106" i="5"/>
  <c r="C106" i="5"/>
  <c r="B105" i="5"/>
  <c r="A105" i="5"/>
  <c r="J105" i="5"/>
  <c r="I105" i="5"/>
  <c r="H105" i="5"/>
  <c r="G105" i="5"/>
  <c r="F105" i="5"/>
  <c r="E105" i="5"/>
  <c r="D105" i="5"/>
  <c r="C105" i="5"/>
  <c r="B104" i="5"/>
  <c r="A104" i="5"/>
  <c r="J104" i="5"/>
  <c r="I104" i="5"/>
  <c r="H104" i="5"/>
  <c r="G104" i="5"/>
  <c r="F104" i="5"/>
  <c r="E104" i="5"/>
  <c r="D104" i="5"/>
  <c r="C104" i="5"/>
  <c r="B103" i="5"/>
  <c r="A103" i="5"/>
  <c r="J103" i="5"/>
  <c r="I103" i="5"/>
  <c r="H103" i="5"/>
  <c r="G103" i="5"/>
  <c r="F103" i="5"/>
  <c r="E103" i="5"/>
  <c r="D103" i="5"/>
  <c r="C103" i="5"/>
  <c r="B102" i="5"/>
  <c r="A102" i="5"/>
  <c r="J102" i="5"/>
  <c r="I102" i="5"/>
  <c r="H102" i="5"/>
  <c r="G102" i="5"/>
  <c r="F102" i="5"/>
  <c r="E102" i="5"/>
  <c r="D102" i="5"/>
  <c r="C102" i="5"/>
  <c r="B101" i="5"/>
  <c r="A101" i="5"/>
  <c r="J101" i="5"/>
  <c r="I101" i="5"/>
  <c r="H101" i="5"/>
  <c r="G101" i="5"/>
  <c r="F101" i="5"/>
  <c r="E101" i="5"/>
  <c r="D101" i="5"/>
  <c r="C101" i="5"/>
  <c r="B100" i="5"/>
  <c r="A100" i="5"/>
  <c r="J100" i="5"/>
  <c r="I100" i="5"/>
  <c r="H100" i="5"/>
  <c r="G100" i="5"/>
  <c r="F100" i="5"/>
  <c r="E100" i="5"/>
  <c r="D100" i="5"/>
  <c r="C100" i="5"/>
  <c r="B99" i="5"/>
  <c r="A99" i="5"/>
  <c r="J99" i="5"/>
  <c r="I99" i="5"/>
  <c r="H99" i="5"/>
  <c r="G99" i="5"/>
  <c r="F99" i="5"/>
  <c r="E99" i="5"/>
  <c r="D99" i="5"/>
  <c r="C99" i="5"/>
  <c r="B98" i="5"/>
  <c r="A98" i="5"/>
  <c r="J98" i="5"/>
  <c r="I98" i="5"/>
  <c r="H98" i="5"/>
  <c r="G98" i="5"/>
  <c r="F98" i="5"/>
  <c r="E98" i="5"/>
  <c r="D98" i="5"/>
  <c r="C98" i="5"/>
  <c r="B97" i="5"/>
  <c r="A97" i="5"/>
  <c r="J97" i="5"/>
  <c r="I97" i="5"/>
  <c r="H97" i="5"/>
  <c r="G97" i="5"/>
  <c r="F97" i="5"/>
  <c r="E97" i="5"/>
  <c r="D97" i="5"/>
  <c r="C97" i="5"/>
  <c r="B96" i="5"/>
  <c r="A96" i="5"/>
  <c r="J96" i="5"/>
  <c r="I96" i="5"/>
  <c r="H96" i="5"/>
  <c r="G96" i="5"/>
  <c r="F96" i="5"/>
  <c r="E96" i="5"/>
  <c r="D96" i="5"/>
  <c r="C96" i="5"/>
  <c r="B95" i="5"/>
  <c r="A95" i="5"/>
  <c r="J95" i="5"/>
  <c r="I95" i="5"/>
  <c r="H95" i="5"/>
  <c r="G95" i="5"/>
  <c r="F95" i="5"/>
  <c r="E95" i="5"/>
  <c r="D95" i="5"/>
  <c r="C95" i="5"/>
  <c r="B94" i="5"/>
  <c r="A94" i="5"/>
  <c r="J94" i="5"/>
  <c r="I94" i="5"/>
  <c r="H94" i="5"/>
  <c r="G94" i="5"/>
  <c r="F94" i="5"/>
  <c r="E94" i="5"/>
  <c r="D94" i="5"/>
  <c r="C94" i="5"/>
  <c r="B93" i="5"/>
  <c r="A93" i="5"/>
  <c r="J93" i="5"/>
  <c r="I93" i="5"/>
  <c r="H93" i="5"/>
  <c r="G93" i="5"/>
  <c r="F93" i="5"/>
  <c r="E93" i="5"/>
  <c r="D93" i="5"/>
  <c r="C93" i="5"/>
  <c r="B92" i="5"/>
  <c r="A92" i="5"/>
  <c r="J92" i="5"/>
  <c r="I92" i="5"/>
  <c r="H92" i="5"/>
  <c r="G92" i="5"/>
  <c r="F92" i="5"/>
  <c r="E92" i="5"/>
  <c r="D92" i="5"/>
  <c r="C92" i="5"/>
  <c r="B91" i="5"/>
  <c r="A91" i="5"/>
  <c r="J91" i="5"/>
  <c r="I91" i="5"/>
  <c r="H91" i="5"/>
  <c r="G91" i="5"/>
  <c r="F91" i="5"/>
  <c r="E91" i="5"/>
  <c r="D91" i="5"/>
  <c r="C91" i="5"/>
  <c r="B90" i="5"/>
  <c r="A90" i="5"/>
  <c r="J90" i="5"/>
  <c r="I90" i="5"/>
  <c r="H90" i="5"/>
  <c r="G90" i="5"/>
  <c r="F90" i="5"/>
  <c r="E90" i="5"/>
  <c r="D90" i="5"/>
  <c r="C90" i="5"/>
  <c r="B89" i="5"/>
  <c r="A89" i="5"/>
  <c r="J89" i="5"/>
  <c r="I89" i="5"/>
  <c r="H89" i="5"/>
  <c r="G89" i="5"/>
  <c r="F89" i="5"/>
  <c r="E89" i="5"/>
  <c r="D89" i="5"/>
  <c r="C89" i="5"/>
  <c r="B88" i="5"/>
  <c r="A88" i="5"/>
  <c r="J88" i="5"/>
  <c r="I88" i="5"/>
  <c r="H88" i="5"/>
  <c r="G88" i="5"/>
  <c r="F88" i="5"/>
  <c r="E88" i="5"/>
  <c r="D88" i="5"/>
  <c r="C88" i="5"/>
  <c r="B87" i="5"/>
  <c r="A87" i="5"/>
  <c r="J87" i="5"/>
  <c r="I87" i="5"/>
  <c r="H87" i="5"/>
  <c r="G87" i="5"/>
  <c r="F87" i="5"/>
  <c r="E87" i="5"/>
  <c r="D87" i="5"/>
  <c r="C87" i="5"/>
  <c r="B86" i="5"/>
  <c r="A86" i="5"/>
  <c r="J86" i="5"/>
  <c r="I86" i="5"/>
  <c r="H86" i="5"/>
  <c r="G86" i="5"/>
  <c r="F86" i="5"/>
  <c r="E86" i="5"/>
  <c r="D86" i="5"/>
  <c r="C86" i="5"/>
  <c r="B85" i="5"/>
  <c r="A85" i="5"/>
  <c r="J85" i="5"/>
  <c r="I85" i="5"/>
  <c r="H85" i="5"/>
  <c r="G85" i="5"/>
  <c r="F85" i="5"/>
  <c r="E85" i="5"/>
  <c r="D85" i="5"/>
  <c r="C85" i="5"/>
  <c r="B84" i="5"/>
  <c r="A84" i="5"/>
  <c r="J84" i="5"/>
  <c r="I84" i="5"/>
  <c r="H84" i="5"/>
  <c r="G84" i="5"/>
  <c r="F84" i="5"/>
  <c r="E84" i="5"/>
  <c r="D84" i="5"/>
  <c r="C84" i="5"/>
  <c r="B83" i="5"/>
  <c r="A83" i="5"/>
  <c r="J83" i="5"/>
  <c r="I83" i="5"/>
  <c r="H83" i="5"/>
  <c r="G83" i="5"/>
  <c r="F83" i="5"/>
  <c r="E83" i="5"/>
  <c r="D83" i="5"/>
  <c r="C83" i="5"/>
  <c r="B82" i="5"/>
  <c r="A82" i="5"/>
  <c r="J82" i="5"/>
  <c r="I82" i="5"/>
  <c r="H82" i="5"/>
  <c r="G82" i="5"/>
  <c r="F82" i="5"/>
  <c r="E82" i="5"/>
  <c r="D82" i="5"/>
  <c r="C82" i="5"/>
  <c r="B81" i="5"/>
  <c r="A81" i="5"/>
  <c r="J81" i="5"/>
  <c r="I81" i="5"/>
  <c r="H81" i="5"/>
  <c r="G81" i="5"/>
  <c r="F81" i="5"/>
  <c r="E81" i="5"/>
  <c r="D81" i="5"/>
  <c r="C81" i="5"/>
  <c r="B80" i="5"/>
  <c r="A80" i="5"/>
  <c r="J80" i="5"/>
  <c r="I80" i="5"/>
  <c r="H80" i="5"/>
  <c r="G80" i="5"/>
  <c r="F80" i="5"/>
  <c r="E80" i="5"/>
  <c r="D80" i="5"/>
  <c r="C80" i="5"/>
  <c r="B79" i="5"/>
  <c r="A79" i="5"/>
  <c r="J79" i="5"/>
  <c r="I79" i="5"/>
  <c r="H79" i="5"/>
  <c r="G79" i="5"/>
  <c r="F79" i="5"/>
  <c r="E79" i="5"/>
  <c r="D79" i="5"/>
  <c r="C79" i="5"/>
  <c r="B78" i="5"/>
  <c r="A78" i="5"/>
  <c r="J78" i="5"/>
  <c r="I78" i="5"/>
  <c r="H78" i="5"/>
  <c r="G78" i="5"/>
  <c r="F78" i="5"/>
  <c r="E78" i="5"/>
  <c r="D78" i="5"/>
  <c r="C78" i="5"/>
  <c r="B77" i="5"/>
  <c r="A77" i="5"/>
  <c r="J77" i="5"/>
  <c r="I77" i="5"/>
  <c r="H77" i="5"/>
  <c r="G77" i="5"/>
  <c r="F77" i="5"/>
  <c r="E77" i="5"/>
  <c r="D77" i="5"/>
  <c r="C77" i="5"/>
  <c r="B76" i="5"/>
  <c r="A76" i="5"/>
  <c r="J76" i="5"/>
  <c r="I76" i="5"/>
  <c r="H76" i="5"/>
  <c r="G76" i="5"/>
  <c r="F76" i="5"/>
  <c r="E76" i="5"/>
  <c r="D76" i="5"/>
  <c r="C76" i="5"/>
  <c r="B75" i="5"/>
  <c r="A75" i="5"/>
  <c r="J75" i="5"/>
  <c r="I75" i="5"/>
  <c r="H75" i="5"/>
  <c r="G75" i="5"/>
  <c r="F75" i="5"/>
  <c r="E75" i="5"/>
  <c r="D75" i="5"/>
  <c r="C75" i="5"/>
  <c r="B74" i="5"/>
  <c r="A74" i="5"/>
  <c r="J74" i="5"/>
  <c r="I74" i="5"/>
  <c r="H74" i="5"/>
  <c r="G74" i="5"/>
  <c r="F74" i="5"/>
  <c r="E74" i="5"/>
  <c r="D74" i="5"/>
  <c r="C74" i="5"/>
  <c r="B73" i="5"/>
  <c r="A73" i="5"/>
  <c r="J73" i="5"/>
  <c r="I73" i="5"/>
  <c r="H73" i="5"/>
  <c r="G73" i="5"/>
  <c r="F73" i="5"/>
  <c r="E73" i="5"/>
  <c r="D73" i="5"/>
  <c r="C73" i="5"/>
  <c r="B72" i="5"/>
  <c r="A72" i="5"/>
  <c r="J72" i="5"/>
  <c r="I72" i="5"/>
  <c r="H72" i="5"/>
  <c r="G72" i="5"/>
  <c r="F72" i="5"/>
  <c r="E72" i="5"/>
  <c r="D72" i="5"/>
  <c r="C72" i="5"/>
  <c r="B71" i="5"/>
  <c r="A71" i="5"/>
  <c r="J71" i="5"/>
  <c r="I71" i="5"/>
  <c r="H71" i="5"/>
  <c r="G71" i="5"/>
  <c r="F71" i="5"/>
  <c r="E71" i="5"/>
  <c r="D71" i="5"/>
  <c r="C71" i="5"/>
  <c r="B70" i="5"/>
  <c r="A70" i="5"/>
  <c r="J70" i="5"/>
  <c r="I70" i="5"/>
  <c r="H70" i="5"/>
  <c r="G70" i="5"/>
  <c r="F70" i="5"/>
  <c r="E70" i="5"/>
  <c r="D70" i="5"/>
  <c r="C70" i="5"/>
  <c r="B69" i="5"/>
  <c r="A69" i="5"/>
  <c r="J69" i="5"/>
  <c r="I69" i="5"/>
  <c r="H69" i="5"/>
  <c r="G69" i="5"/>
  <c r="F69" i="5"/>
  <c r="E69" i="5"/>
  <c r="D69" i="5"/>
  <c r="C69" i="5"/>
  <c r="B68" i="5"/>
  <c r="A68" i="5"/>
  <c r="J68" i="5"/>
  <c r="I68" i="5"/>
  <c r="H68" i="5"/>
  <c r="G68" i="5"/>
  <c r="F68" i="5"/>
  <c r="E68" i="5"/>
  <c r="D68" i="5"/>
  <c r="C68" i="5"/>
  <c r="B67" i="5"/>
  <c r="A67" i="5"/>
  <c r="J67" i="5"/>
  <c r="I67" i="5"/>
  <c r="H67" i="5"/>
  <c r="G67" i="5"/>
  <c r="F67" i="5"/>
  <c r="E67" i="5"/>
  <c r="D67" i="5"/>
  <c r="C67" i="5"/>
  <c r="B66" i="5"/>
  <c r="A66" i="5"/>
  <c r="J66" i="5"/>
  <c r="I66" i="5"/>
  <c r="H66" i="5"/>
  <c r="G66" i="5"/>
  <c r="F66" i="5"/>
  <c r="E66" i="5"/>
  <c r="D66" i="5"/>
  <c r="C66" i="5"/>
  <c r="B65" i="5"/>
  <c r="A65" i="5"/>
  <c r="J65" i="5"/>
  <c r="I65" i="5"/>
  <c r="H65" i="5"/>
  <c r="G65" i="5"/>
  <c r="F65" i="5"/>
  <c r="E65" i="5"/>
  <c r="D65" i="5"/>
  <c r="C65" i="5"/>
  <c r="B64" i="5"/>
  <c r="A64" i="5"/>
  <c r="J64" i="5"/>
  <c r="I64" i="5"/>
  <c r="H64" i="5"/>
  <c r="G64" i="5"/>
  <c r="F64" i="5"/>
  <c r="E64" i="5"/>
  <c r="D64" i="5"/>
  <c r="C64" i="5"/>
  <c r="J63" i="5"/>
  <c r="I63" i="5"/>
  <c r="H63" i="5"/>
  <c r="C63" i="5"/>
  <c r="J62" i="5"/>
  <c r="I62" i="5"/>
  <c r="H62" i="5"/>
  <c r="C62" i="5"/>
  <c r="J61" i="5"/>
  <c r="I61" i="5"/>
  <c r="H61" i="5"/>
  <c r="C61" i="5"/>
  <c r="J60" i="5"/>
  <c r="I60" i="5"/>
  <c r="H60" i="5"/>
  <c r="C60" i="5"/>
  <c r="J59" i="5"/>
  <c r="I59" i="5"/>
  <c r="H59" i="5"/>
  <c r="C59" i="5"/>
  <c r="J58" i="5"/>
  <c r="I58" i="5"/>
  <c r="H58" i="5"/>
  <c r="C58" i="5"/>
  <c r="J57" i="5"/>
  <c r="I57" i="5"/>
  <c r="H57" i="5"/>
  <c r="C57" i="5"/>
  <c r="J56" i="5"/>
  <c r="I56" i="5"/>
  <c r="H56" i="5"/>
  <c r="C56" i="5"/>
  <c r="H55" i="5"/>
  <c r="C55" i="5"/>
  <c r="J54" i="5"/>
  <c r="I54" i="5"/>
  <c r="H54" i="5"/>
  <c r="G54" i="5"/>
  <c r="F54" i="5"/>
  <c r="E54" i="5"/>
  <c r="D54" i="5"/>
  <c r="C54" i="5"/>
  <c r="B54" i="5"/>
  <c r="A54" i="5"/>
  <c r="J53" i="5"/>
  <c r="I53" i="5"/>
  <c r="H53" i="5"/>
  <c r="G53" i="5"/>
  <c r="F53" i="5"/>
  <c r="E53" i="5"/>
  <c r="D53" i="5"/>
  <c r="C53" i="5"/>
  <c r="B53" i="5"/>
  <c r="A53" i="5"/>
  <c r="J423" i="4"/>
  <c r="I423" i="4"/>
  <c r="H423" i="4"/>
  <c r="G423" i="4"/>
  <c r="F423" i="4"/>
  <c r="E423" i="4"/>
  <c r="D423" i="4"/>
  <c r="C423" i="4"/>
  <c r="B422" i="4"/>
  <c r="A422" i="4"/>
  <c r="J422" i="4"/>
  <c r="I422" i="4"/>
  <c r="H422" i="4"/>
  <c r="G422" i="4"/>
  <c r="F422" i="4"/>
  <c r="E422" i="4"/>
  <c r="D422" i="4"/>
  <c r="C422" i="4"/>
  <c r="B421" i="4"/>
  <c r="A421" i="4"/>
  <c r="J421" i="4"/>
  <c r="I421" i="4"/>
  <c r="H421" i="4"/>
  <c r="G421" i="4"/>
  <c r="F421" i="4"/>
  <c r="E421" i="4"/>
  <c r="D421" i="4"/>
  <c r="C421" i="4"/>
  <c r="B420" i="4"/>
  <c r="A420" i="4"/>
  <c r="J420" i="4"/>
  <c r="I420" i="4"/>
  <c r="H420" i="4"/>
  <c r="G420" i="4"/>
  <c r="F420" i="4"/>
  <c r="E420" i="4"/>
  <c r="D420" i="4"/>
  <c r="C420" i="4"/>
  <c r="B419" i="4"/>
  <c r="A419" i="4"/>
  <c r="J419" i="4"/>
  <c r="I419" i="4"/>
  <c r="H419" i="4"/>
  <c r="G419" i="4"/>
  <c r="F419" i="4"/>
  <c r="E419" i="4"/>
  <c r="D419" i="4"/>
  <c r="C419" i="4"/>
  <c r="B418" i="4"/>
  <c r="A418" i="4"/>
  <c r="J418" i="4"/>
  <c r="I418" i="4"/>
  <c r="H418" i="4"/>
  <c r="G418" i="4"/>
  <c r="F418" i="4"/>
  <c r="E418" i="4"/>
  <c r="D418" i="4"/>
  <c r="C418" i="4"/>
  <c r="B417" i="4"/>
  <c r="A417" i="4"/>
  <c r="J417" i="4"/>
  <c r="I417" i="4"/>
  <c r="H417" i="4"/>
  <c r="G417" i="4"/>
  <c r="F417" i="4"/>
  <c r="E417" i="4"/>
  <c r="D417" i="4"/>
  <c r="C417" i="4"/>
  <c r="B416" i="4"/>
  <c r="A416" i="4"/>
  <c r="J416" i="4"/>
  <c r="I416" i="4"/>
  <c r="H416" i="4"/>
  <c r="G416" i="4"/>
  <c r="F416" i="4"/>
  <c r="E416" i="4"/>
  <c r="D416" i="4"/>
  <c r="C416" i="4"/>
  <c r="B415" i="4"/>
  <c r="A415" i="4"/>
  <c r="J415" i="4"/>
  <c r="I415" i="4"/>
  <c r="H415" i="4"/>
  <c r="G415" i="4"/>
  <c r="F415" i="4"/>
  <c r="E415" i="4"/>
  <c r="D415" i="4"/>
  <c r="C415" i="4"/>
  <c r="B414" i="4"/>
  <c r="A414" i="4"/>
  <c r="J414" i="4"/>
  <c r="I414" i="4"/>
  <c r="H414" i="4"/>
  <c r="G414" i="4"/>
  <c r="F414" i="4"/>
  <c r="E414" i="4"/>
  <c r="D414" i="4"/>
  <c r="C414" i="4"/>
  <c r="B413" i="4"/>
  <c r="A413" i="4"/>
  <c r="J413" i="4"/>
  <c r="I413" i="4"/>
  <c r="H413" i="4"/>
  <c r="G413" i="4"/>
  <c r="F413" i="4"/>
  <c r="E413" i="4"/>
  <c r="D413" i="4"/>
  <c r="C413" i="4"/>
  <c r="B412" i="4"/>
  <c r="A412" i="4"/>
  <c r="J412" i="4"/>
  <c r="I412" i="4"/>
  <c r="H412" i="4"/>
  <c r="G412" i="4"/>
  <c r="F412" i="4"/>
  <c r="E412" i="4"/>
  <c r="D412" i="4"/>
  <c r="C412" i="4"/>
  <c r="B411" i="4"/>
  <c r="A411" i="4"/>
  <c r="J411" i="4"/>
  <c r="I411" i="4"/>
  <c r="H411" i="4"/>
  <c r="G411" i="4"/>
  <c r="F411" i="4"/>
  <c r="E411" i="4"/>
  <c r="D411" i="4"/>
  <c r="C411" i="4"/>
  <c r="B410" i="4"/>
  <c r="A410" i="4"/>
  <c r="J410" i="4"/>
  <c r="I410" i="4"/>
  <c r="H410" i="4"/>
  <c r="G410" i="4"/>
  <c r="F410" i="4"/>
  <c r="E410" i="4"/>
  <c r="D410" i="4"/>
  <c r="C410" i="4"/>
  <c r="B409" i="4"/>
  <c r="A409" i="4"/>
  <c r="J409" i="4"/>
  <c r="I409" i="4"/>
  <c r="H409" i="4"/>
  <c r="G409" i="4"/>
  <c r="F409" i="4"/>
  <c r="E409" i="4"/>
  <c r="D409" i="4"/>
  <c r="C409" i="4"/>
  <c r="B408" i="4"/>
  <c r="A408" i="4"/>
  <c r="J408" i="4"/>
  <c r="I408" i="4"/>
  <c r="H408" i="4"/>
  <c r="G408" i="4"/>
  <c r="F408" i="4"/>
  <c r="E408" i="4"/>
  <c r="D408" i="4"/>
  <c r="C408" i="4"/>
  <c r="B407" i="4"/>
  <c r="A407" i="4"/>
  <c r="J407" i="4"/>
  <c r="I407" i="4"/>
  <c r="H407" i="4"/>
  <c r="G407" i="4"/>
  <c r="F407" i="4"/>
  <c r="E407" i="4"/>
  <c r="D407" i="4"/>
  <c r="C407" i="4"/>
  <c r="B406" i="4"/>
  <c r="A406" i="4"/>
  <c r="J406" i="4"/>
  <c r="I406" i="4"/>
  <c r="H406" i="4"/>
  <c r="G406" i="4"/>
  <c r="F406" i="4"/>
  <c r="E406" i="4"/>
  <c r="D406" i="4"/>
  <c r="C406" i="4"/>
  <c r="B405" i="4"/>
  <c r="A405" i="4"/>
  <c r="J405" i="4"/>
  <c r="I405" i="4"/>
  <c r="H405" i="4"/>
  <c r="G405" i="4"/>
  <c r="F405" i="4"/>
  <c r="E405" i="4"/>
  <c r="D405" i="4"/>
  <c r="C405" i="4"/>
  <c r="B404" i="4"/>
  <c r="A404" i="4"/>
  <c r="J404" i="4"/>
  <c r="I404" i="4"/>
  <c r="H404" i="4"/>
  <c r="G404" i="4"/>
  <c r="F404" i="4"/>
  <c r="E404" i="4"/>
  <c r="D404" i="4"/>
  <c r="C404" i="4"/>
  <c r="B403" i="4"/>
  <c r="A403" i="4"/>
  <c r="J403" i="4"/>
  <c r="I403" i="4"/>
  <c r="H403" i="4"/>
  <c r="G403" i="4"/>
  <c r="F403" i="4"/>
  <c r="E403" i="4"/>
  <c r="D403" i="4"/>
  <c r="C403" i="4"/>
  <c r="B402" i="4"/>
  <c r="A402" i="4"/>
  <c r="J402" i="4"/>
  <c r="I402" i="4"/>
  <c r="H402" i="4"/>
  <c r="G402" i="4"/>
  <c r="F402" i="4"/>
  <c r="E402" i="4"/>
  <c r="D402" i="4"/>
  <c r="C402" i="4"/>
  <c r="B401" i="4"/>
  <c r="A401" i="4"/>
  <c r="J401" i="4"/>
  <c r="I401" i="4"/>
  <c r="H401" i="4"/>
  <c r="G401" i="4"/>
  <c r="F401" i="4"/>
  <c r="E401" i="4"/>
  <c r="D401" i="4"/>
  <c r="C401" i="4"/>
  <c r="B400" i="4"/>
  <c r="A400" i="4"/>
  <c r="J400" i="4"/>
  <c r="I400" i="4"/>
  <c r="H400" i="4"/>
  <c r="G400" i="4"/>
  <c r="F400" i="4"/>
  <c r="E400" i="4"/>
  <c r="D400" i="4"/>
  <c r="C400" i="4"/>
  <c r="B399" i="4"/>
  <c r="A399" i="4"/>
  <c r="J399" i="4"/>
  <c r="I399" i="4"/>
  <c r="H399" i="4"/>
  <c r="G399" i="4"/>
  <c r="F399" i="4"/>
  <c r="E399" i="4"/>
  <c r="D399" i="4"/>
  <c r="C399" i="4"/>
  <c r="B398" i="4"/>
  <c r="A398" i="4"/>
  <c r="J398" i="4"/>
  <c r="I398" i="4"/>
  <c r="H398" i="4"/>
  <c r="G398" i="4"/>
  <c r="F398" i="4"/>
  <c r="E398" i="4"/>
  <c r="D398" i="4"/>
  <c r="C398" i="4"/>
  <c r="B397" i="4"/>
  <c r="A397" i="4"/>
  <c r="J397" i="4"/>
  <c r="I397" i="4"/>
  <c r="H397" i="4"/>
  <c r="G397" i="4"/>
  <c r="F397" i="4"/>
  <c r="E397" i="4"/>
  <c r="D397" i="4"/>
  <c r="C397" i="4"/>
  <c r="B396" i="4"/>
  <c r="A396" i="4"/>
  <c r="J396" i="4"/>
  <c r="I396" i="4"/>
  <c r="H396" i="4"/>
  <c r="G396" i="4"/>
  <c r="F396" i="4"/>
  <c r="E396" i="4"/>
  <c r="D396" i="4"/>
  <c r="C396" i="4"/>
  <c r="B395" i="4"/>
  <c r="A395" i="4"/>
  <c r="J395" i="4"/>
  <c r="I395" i="4"/>
  <c r="H395" i="4"/>
  <c r="G395" i="4"/>
  <c r="F395" i="4"/>
  <c r="E395" i="4"/>
  <c r="D395" i="4"/>
  <c r="C395" i="4"/>
  <c r="B394" i="4"/>
  <c r="A394" i="4"/>
  <c r="J394" i="4"/>
  <c r="I394" i="4"/>
  <c r="H394" i="4"/>
  <c r="G394" i="4"/>
  <c r="F394" i="4"/>
  <c r="E394" i="4"/>
  <c r="D394" i="4"/>
  <c r="C394" i="4"/>
  <c r="B393" i="4"/>
  <c r="A393" i="4"/>
  <c r="J393" i="4"/>
  <c r="I393" i="4"/>
  <c r="H393" i="4"/>
  <c r="G393" i="4"/>
  <c r="F393" i="4"/>
  <c r="E393" i="4"/>
  <c r="D393" i="4"/>
  <c r="C393" i="4"/>
  <c r="B392" i="4"/>
  <c r="A392" i="4"/>
  <c r="J392" i="4"/>
  <c r="I392" i="4"/>
  <c r="H392" i="4"/>
  <c r="G392" i="4"/>
  <c r="F392" i="4"/>
  <c r="E392" i="4"/>
  <c r="D392" i="4"/>
  <c r="C392" i="4"/>
  <c r="B391" i="4"/>
  <c r="A391" i="4"/>
  <c r="J391" i="4"/>
  <c r="I391" i="4"/>
  <c r="H391" i="4"/>
  <c r="G391" i="4"/>
  <c r="F391" i="4"/>
  <c r="E391" i="4"/>
  <c r="D391" i="4"/>
  <c r="C391" i="4"/>
  <c r="B390" i="4"/>
  <c r="A390" i="4"/>
  <c r="J390" i="4"/>
  <c r="I390" i="4"/>
  <c r="H390" i="4"/>
  <c r="G390" i="4"/>
  <c r="F390" i="4"/>
  <c r="E390" i="4"/>
  <c r="D390" i="4"/>
  <c r="C390" i="4"/>
  <c r="B389" i="4"/>
  <c r="A389" i="4"/>
  <c r="J389" i="4"/>
  <c r="I389" i="4"/>
  <c r="H389" i="4"/>
  <c r="G389" i="4"/>
  <c r="F389" i="4"/>
  <c r="E389" i="4"/>
  <c r="D389" i="4"/>
  <c r="C389" i="4"/>
  <c r="B388" i="4"/>
  <c r="A388" i="4"/>
  <c r="J388" i="4"/>
  <c r="I388" i="4"/>
  <c r="H388" i="4"/>
  <c r="G388" i="4"/>
  <c r="F388" i="4"/>
  <c r="E388" i="4"/>
  <c r="D388" i="4"/>
  <c r="C388" i="4"/>
  <c r="B387" i="4"/>
  <c r="A387" i="4"/>
  <c r="J387" i="4"/>
  <c r="I387" i="4"/>
  <c r="H387" i="4"/>
  <c r="G387" i="4"/>
  <c r="F387" i="4"/>
  <c r="E387" i="4"/>
  <c r="D387" i="4"/>
  <c r="C387" i="4"/>
  <c r="B386" i="4"/>
  <c r="A386" i="4"/>
  <c r="J386" i="4"/>
  <c r="I386" i="4"/>
  <c r="H386" i="4"/>
  <c r="G386" i="4"/>
  <c r="F386" i="4"/>
  <c r="E386" i="4"/>
  <c r="D386" i="4"/>
  <c r="C386" i="4"/>
  <c r="B385" i="4"/>
  <c r="A385" i="4"/>
  <c r="J385" i="4"/>
  <c r="I385" i="4"/>
  <c r="H385" i="4"/>
  <c r="G385" i="4"/>
  <c r="F385" i="4"/>
  <c r="E385" i="4"/>
  <c r="D385" i="4"/>
  <c r="C385" i="4"/>
  <c r="B384" i="4"/>
  <c r="A384" i="4"/>
  <c r="J384" i="4"/>
  <c r="I384" i="4"/>
  <c r="H384" i="4"/>
  <c r="G384" i="4"/>
  <c r="F384" i="4"/>
  <c r="E384" i="4"/>
  <c r="D384" i="4"/>
  <c r="C384" i="4"/>
  <c r="B383" i="4"/>
  <c r="A383" i="4"/>
  <c r="J383" i="4"/>
  <c r="I383" i="4"/>
  <c r="H383" i="4"/>
  <c r="G383" i="4"/>
  <c r="F383" i="4"/>
  <c r="E383" i="4"/>
  <c r="D383" i="4"/>
  <c r="C383" i="4"/>
  <c r="B382" i="4"/>
  <c r="A382" i="4"/>
  <c r="J382" i="4"/>
  <c r="I382" i="4"/>
  <c r="H382" i="4"/>
  <c r="G382" i="4"/>
  <c r="F382" i="4"/>
  <c r="E382" i="4"/>
  <c r="D382" i="4"/>
  <c r="C382" i="4"/>
  <c r="B381" i="4"/>
  <c r="A381" i="4"/>
  <c r="J381" i="4"/>
  <c r="I381" i="4"/>
  <c r="H381" i="4"/>
  <c r="G381" i="4"/>
  <c r="F381" i="4"/>
  <c r="E381" i="4"/>
  <c r="D381" i="4"/>
  <c r="C381" i="4"/>
  <c r="B380" i="4"/>
  <c r="A380" i="4"/>
  <c r="J380" i="4"/>
  <c r="I380" i="4"/>
  <c r="H380" i="4"/>
  <c r="G380" i="4"/>
  <c r="F380" i="4"/>
  <c r="E380" i="4"/>
  <c r="D380" i="4"/>
  <c r="C380" i="4"/>
  <c r="B379" i="4"/>
  <c r="A379" i="4"/>
  <c r="J379" i="4"/>
  <c r="I379" i="4"/>
  <c r="H379" i="4"/>
  <c r="G379" i="4"/>
  <c r="F379" i="4"/>
  <c r="E379" i="4"/>
  <c r="D379" i="4"/>
  <c r="C379" i="4"/>
  <c r="B378" i="4"/>
  <c r="A378" i="4"/>
  <c r="J378" i="4"/>
  <c r="I378" i="4"/>
  <c r="H378" i="4"/>
  <c r="G378" i="4"/>
  <c r="F378" i="4"/>
  <c r="E378" i="4"/>
  <c r="D378" i="4"/>
  <c r="C378" i="4"/>
  <c r="B377" i="4"/>
  <c r="A377" i="4"/>
  <c r="J377" i="4"/>
  <c r="I377" i="4"/>
  <c r="H377" i="4"/>
  <c r="G377" i="4"/>
  <c r="F377" i="4"/>
  <c r="E377" i="4"/>
  <c r="D377" i="4"/>
  <c r="C377" i="4"/>
  <c r="B376" i="4"/>
  <c r="A376" i="4"/>
  <c r="J376" i="4"/>
  <c r="I376" i="4"/>
  <c r="H376" i="4"/>
  <c r="G376" i="4"/>
  <c r="F376" i="4"/>
  <c r="E376" i="4"/>
  <c r="D376" i="4"/>
  <c r="C376" i="4"/>
  <c r="B375" i="4"/>
  <c r="A375" i="4"/>
  <c r="J375" i="4"/>
  <c r="I375" i="4"/>
  <c r="H375" i="4"/>
  <c r="G375" i="4"/>
  <c r="F375" i="4"/>
  <c r="E375" i="4"/>
  <c r="D375" i="4"/>
  <c r="C375" i="4"/>
  <c r="B374" i="4"/>
  <c r="A374" i="4"/>
  <c r="J374" i="4"/>
  <c r="I374" i="4"/>
  <c r="H374" i="4"/>
  <c r="G374" i="4"/>
  <c r="F374" i="4"/>
  <c r="E374" i="4"/>
  <c r="D374" i="4"/>
  <c r="C374" i="4"/>
  <c r="B373" i="4"/>
  <c r="A373" i="4"/>
  <c r="J373" i="4"/>
  <c r="I373" i="4"/>
  <c r="H373" i="4"/>
  <c r="G373" i="4"/>
  <c r="F373" i="4"/>
  <c r="E373" i="4"/>
  <c r="D373" i="4"/>
  <c r="C373" i="4"/>
  <c r="B372" i="4"/>
  <c r="A372" i="4"/>
  <c r="J372" i="4"/>
  <c r="I372" i="4"/>
  <c r="H372" i="4"/>
  <c r="G372" i="4"/>
  <c r="F372" i="4"/>
  <c r="E372" i="4"/>
  <c r="D372" i="4"/>
  <c r="C372" i="4"/>
  <c r="B371" i="4"/>
  <c r="A371" i="4"/>
  <c r="J371" i="4"/>
  <c r="I371" i="4"/>
  <c r="H371" i="4"/>
  <c r="G371" i="4"/>
  <c r="F371" i="4"/>
  <c r="E371" i="4"/>
  <c r="D371" i="4"/>
  <c r="C371" i="4"/>
  <c r="B370" i="4"/>
  <c r="A370" i="4"/>
  <c r="J370" i="4"/>
  <c r="I370" i="4"/>
  <c r="H370" i="4"/>
  <c r="G370" i="4"/>
  <c r="F370" i="4"/>
  <c r="E370" i="4"/>
  <c r="D370" i="4"/>
  <c r="C370" i="4"/>
  <c r="B369" i="4"/>
  <c r="A369" i="4"/>
  <c r="J369" i="4"/>
  <c r="I369" i="4"/>
  <c r="H369" i="4"/>
  <c r="G369" i="4"/>
  <c r="F369" i="4"/>
  <c r="E369" i="4"/>
  <c r="D369" i="4"/>
  <c r="C369" i="4"/>
  <c r="B368" i="4"/>
  <c r="A368" i="4"/>
  <c r="J368" i="4"/>
  <c r="I368" i="4"/>
  <c r="H368" i="4"/>
  <c r="G368" i="4"/>
  <c r="F368" i="4"/>
  <c r="E368" i="4"/>
  <c r="D368" i="4"/>
  <c r="C368" i="4"/>
  <c r="B367" i="4"/>
  <c r="A367" i="4"/>
  <c r="J367" i="4"/>
  <c r="I367" i="4"/>
  <c r="H367" i="4"/>
  <c r="G367" i="4"/>
  <c r="F367" i="4"/>
  <c r="E367" i="4"/>
  <c r="D367" i="4"/>
  <c r="C367" i="4"/>
  <c r="B366" i="4"/>
  <c r="A366" i="4"/>
  <c r="J366" i="4"/>
  <c r="I366" i="4"/>
  <c r="H366" i="4"/>
  <c r="G366" i="4"/>
  <c r="F366" i="4"/>
  <c r="E366" i="4"/>
  <c r="D366" i="4"/>
  <c r="C366" i="4"/>
  <c r="B365" i="4"/>
  <c r="A365" i="4"/>
  <c r="J365" i="4"/>
  <c r="I365" i="4"/>
  <c r="H365" i="4"/>
  <c r="G365" i="4"/>
  <c r="F365" i="4"/>
  <c r="E365" i="4"/>
  <c r="D365" i="4"/>
  <c r="C365" i="4"/>
  <c r="B364" i="4"/>
  <c r="A364" i="4"/>
  <c r="J364" i="4"/>
  <c r="I364" i="4"/>
  <c r="H364" i="4"/>
  <c r="G364" i="4"/>
  <c r="F364" i="4"/>
  <c r="E364" i="4"/>
  <c r="D364" i="4"/>
  <c r="C364" i="4"/>
  <c r="B363" i="4"/>
  <c r="A363" i="4"/>
  <c r="J363" i="4"/>
  <c r="I363" i="4"/>
  <c r="H363" i="4"/>
  <c r="G363" i="4"/>
  <c r="F363" i="4"/>
  <c r="E363" i="4"/>
  <c r="D363" i="4"/>
  <c r="C363" i="4"/>
  <c r="B362" i="4"/>
  <c r="A362" i="4"/>
  <c r="J362" i="4"/>
  <c r="I362" i="4"/>
  <c r="H362" i="4"/>
  <c r="G362" i="4"/>
  <c r="F362" i="4"/>
  <c r="E362" i="4"/>
  <c r="D362" i="4"/>
  <c r="C362" i="4"/>
  <c r="B361" i="4"/>
  <c r="A361" i="4"/>
  <c r="J361" i="4"/>
  <c r="I361" i="4"/>
  <c r="H361" i="4"/>
  <c r="G361" i="4"/>
  <c r="F361" i="4"/>
  <c r="E361" i="4"/>
  <c r="D361" i="4"/>
  <c r="C361" i="4"/>
  <c r="B360" i="4"/>
  <c r="A360" i="4"/>
  <c r="J360" i="4"/>
  <c r="I360" i="4"/>
  <c r="H360" i="4"/>
  <c r="G360" i="4"/>
  <c r="F360" i="4"/>
  <c r="E360" i="4"/>
  <c r="D360" i="4"/>
  <c r="C360" i="4"/>
  <c r="B359" i="4"/>
  <c r="A359" i="4"/>
  <c r="J359" i="4"/>
  <c r="I359" i="4"/>
  <c r="H359" i="4"/>
  <c r="G359" i="4"/>
  <c r="F359" i="4"/>
  <c r="E359" i="4"/>
  <c r="D359" i="4"/>
  <c r="C359" i="4"/>
  <c r="B358" i="4"/>
  <c r="A358" i="4"/>
  <c r="J358" i="4"/>
  <c r="I358" i="4"/>
  <c r="H358" i="4"/>
  <c r="G358" i="4"/>
  <c r="F358" i="4"/>
  <c r="E358" i="4"/>
  <c r="D358" i="4"/>
  <c r="C358" i="4"/>
  <c r="B357" i="4"/>
  <c r="A357" i="4"/>
  <c r="J357" i="4"/>
  <c r="I357" i="4"/>
  <c r="H357" i="4"/>
  <c r="G357" i="4"/>
  <c r="F357" i="4"/>
  <c r="E357" i="4"/>
  <c r="D357" i="4"/>
  <c r="C357" i="4"/>
  <c r="B356" i="4"/>
  <c r="A356" i="4"/>
  <c r="J356" i="4"/>
  <c r="I356" i="4"/>
  <c r="H356" i="4"/>
  <c r="G356" i="4"/>
  <c r="F356" i="4"/>
  <c r="E356" i="4"/>
  <c r="D356" i="4"/>
  <c r="C356" i="4"/>
  <c r="B355" i="4"/>
  <c r="A355" i="4"/>
  <c r="J355" i="4"/>
  <c r="I355" i="4"/>
  <c r="H355" i="4"/>
  <c r="G355" i="4"/>
  <c r="F355" i="4"/>
  <c r="E355" i="4"/>
  <c r="D355" i="4"/>
  <c r="C355" i="4"/>
  <c r="B354" i="4"/>
  <c r="A354" i="4"/>
  <c r="J354" i="4"/>
  <c r="I354" i="4"/>
  <c r="H354" i="4"/>
  <c r="G354" i="4"/>
  <c r="F354" i="4"/>
  <c r="E354" i="4"/>
  <c r="D354" i="4"/>
  <c r="C354" i="4"/>
  <c r="B353" i="4"/>
  <c r="A353" i="4"/>
  <c r="J353" i="4"/>
  <c r="I353" i="4"/>
  <c r="H353" i="4"/>
  <c r="G353" i="4"/>
  <c r="F353" i="4"/>
  <c r="E353" i="4"/>
  <c r="D353" i="4"/>
  <c r="C353" i="4"/>
  <c r="B352" i="4"/>
  <c r="A352" i="4"/>
  <c r="J352" i="4"/>
  <c r="I352" i="4"/>
  <c r="H352" i="4"/>
  <c r="G352" i="4"/>
  <c r="F352" i="4"/>
  <c r="E352" i="4"/>
  <c r="D352" i="4"/>
  <c r="C352" i="4"/>
  <c r="B351" i="4"/>
  <c r="A351" i="4"/>
  <c r="J351" i="4"/>
  <c r="I351" i="4"/>
  <c r="H351" i="4"/>
  <c r="G351" i="4"/>
  <c r="F351" i="4"/>
  <c r="E351" i="4"/>
  <c r="D351" i="4"/>
  <c r="C351" i="4"/>
  <c r="B350" i="4"/>
  <c r="A350" i="4"/>
  <c r="J350" i="4"/>
  <c r="I350" i="4"/>
  <c r="H350" i="4"/>
  <c r="G350" i="4"/>
  <c r="F350" i="4"/>
  <c r="E350" i="4"/>
  <c r="D350" i="4"/>
  <c r="C350" i="4"/>
  <c r="B349" i="4"/>
  <c r="A349" i="4"/>
  <c r="J349" i="4"/>
  <c r="I349" i="4"/>
  <c r="H349" i="4"/>
  <c r="G349" i="4"/>
  <c r="F349" i="4"/>
  <c r="E349" i="4"/>
  <c r="D349" i="4"/>
  <c r="C349" i="4"/>
  <c r="B348" i="4"/>
  <c r="A348" i="4"/>
  <c r="J348" i="4"/>
  <c r="I348" i="4"/>
  <c r="H348" i="4"/>
  <c r="G348" i="4"/>
  <c r="F348" i="4"/>
  <c r="E348" i="4"/>
  <c r="D348" i="4"/>
  <c r="C348" i="4"/>
  <c r="B347" i="4"/>
  <c r="A347" i="4"/>
  <c r="J347" i="4"/>
  <c r="I347" i="4"/>
  <c r="H347" i="4"/>
  <c r="G347" i="4"/>
  <c r="F347" i="4"/>
  <c r="E347" i="4"/>
  <c r="D347" i="4"/>
  <c r="C347" i="4"/>
  <c r="B346" i="4"/>
  <c r="A346" i="4"/>
  <c r="J346" i="4"/>
  <c r="I346" i="4"/>
  <c r="H346" i="4"/>
  <c r="G346" i="4"/>
  <c r="F346" i="4"/>
  <c r="E346" i="4"/>
  <c r="D346" i="4"/>
  <c r="C346" i="4"/>
  <c r="B345" i="4"/>
  <c r="A345" i="4"/>
  <c r="J345" i="4"/>
  <c r="I345" i="4"/>
  <c r="H345" i="4"/>
  <c r="G345" i="4"/>
  <c r="F345" i="4"/>
  <c r="E345" i="4"/>
  <c r="D345" i="4"/>
  <c r="C345" i="4"/>
  <c r="B344" i="4"/>
  <c r="A344" i="4"/>
  <c r="J344" i="4"/>
  <c r="I344" i="4"/>
  <c r="H344" i="4"/>
  <c r="G344" i="4"/>
  <c r="F344" i="4"/>
  <c r="E344" i="4"/>
  <c r="D344" i="4"/>
  <c r="C344" i="4"/>
  <c r="B343" i="4"/>
  <c r="A343" i="4"/>
  <c r="J343" i="4"/>
  <c r="I343" i="4"/>
  <c r="H343" i="4"/>
  <c r="G343" i="4"/>
  <c r="F343" i="4"/>
  <c r="E343" i="4"/>
  <c r="D343" i="4"/>
  <c r="C343" i="4"/>
  <c r="B342" i="4"/>
  <c r="A342" i="4"/>
  <c r="J342" i="4"/>
  <c r="I342" i="4"/>
  <c r="H342" i="4"/>
  <c r="G342" i="4"/>
  <c r="F342" i="4"/>
  <c r="E342" i="4"/>
  <c r="D342" i="4"/>
  <c r="C342" i="4"/>
  <c r="B341" i="4"/>
  <c r="A341" i="4"/>
  <c r="J341" i="4"/>
  <c r="I341" i="4"/>
  <c r="H341" i="4"/>
  <c r="G341" i="4"/>
  <c r="F341" i="4"/>
  <c r="E341" i="4"/>
  <c r="D341" i="4"/>
  <c r="C341" i="4"/>
  <c r="B340" i="4"/>
  <c r="A340" i="4"/>
  <c r="J340" i="4"/>
  <c r="I340" i="4"/>
  <c r="H340" i="4"/>
  <c r="G340" i="4"/>
  <c r="F340" i="4"/>
  <c r="E340" i="4"/>
  <c r="D340" i="4"/>
  <c r="C340" i="4"/>
  <c r="B339" i="4"/>
  <c r="A339" i="4"/>
  <c r="J339" i="4"/>
  <c r="I339" i="4"/>
  <c r="H339" i="4"/>
  <c r="G339" i="4"/>
  <c r="F339" i="4"/>
  <c r="E339" i="4"/>
  <c r="D339" i="4"/>
  <c r="C339" i="4"/>
  <c r="B338" i="4"/>
  <c r="A338" i="4"/>
  <c r="J338" i="4"/>
  <c r="I338" i="4"/>
  <c r="H338" i="4"/>
  <c r="G338" i="4"/>
  <c r="F338" i="4"/>
  <c r="E338" i="4"/>
  <c r="D338" i="4"/>
  <c r="C338" i="4"/>
  <c r="B337" i="4"/>
  <c r="A337" i="4"/>
  <c r="J337" i="4"/>
  <c r="I337" i="4"/>
  <c r="H337" i="4"/>
  <c r="G337" i="4"/>
  <c r="F337" i="4"/>
  <c r="E337" i="4"/>
  <c r="D337" i="4"/>
  <c r="C337" i="4"/>
  <c r="B336" i="4"/>
  <c r="A336" i="4"/>
  <c r="J336" i="4"/>
  <c r="I336" i="4"/>
  <c r="H336" i="4"/>
  <c r="G336" i="4"/>
  <c r="F336" i="4"/>
  <c r="E336" i="4"/>
  <c r="D336" i="4"/>
  <c r="C336" i="4"/>
  <c r="B335" i="4"/>
  <c r="A335" i="4"/>
  <c r="J335" i="4"/>
  <c r="I335" i="4"/>
  <c r="H335" i="4"/>
  <c r="G335" i="4"/>
  <c r="F335" i="4"/>
  <c r="E335" i="4"/>
  <c r="D335" i="4"/>
  <c r="C335" i="4"/>
  <c r="B334" i="4"/>
  <c r="A334" i="4"/>
  <c r="J334" i="4"/>
  <c r="I334" i="4"/>
  <c r="H334" i="4"/>
  <c r="G334" i="4"/>
  <c r="F334" i="4"/>
  <c r="E334" i="4"/>
  <c r="D334" i="4"/>
  <c r="C334" i="4"/>
  <c r="B333" i="4"/>
  <c r="A333" i="4"/>
  <c r="J333" i="4"/>
  <c r="I333" i="4"/>
  <c r="H333" i="4"/>
  <c r="G333" i="4"/>
  <c r="F333" i="4"/>
  <c r="E333" i="4"/>
  <c r="D333" i="4"/>
  <c r="C333" i="4"/>
  <c r="B332" i="4"/>
  <c r="A332" i="4"/>
  <c r="J332" i="4"/>
  <c r="I332" i="4"/>
  <c r="H332" i="4"/>
  <c r="G332" i="4"/>
  <c r="F332" i="4"/>
  <c r="E332" i="4"/>
  <c r="D332" i="4"/>
  <c r="C332" i="4"/>
  <c r="B331" i="4"/>
  <c r="A331" i="4"/>
  <c r="J331" i="4"/>
  <c r="I331" i="4"/>
  <c r="H331" i="4"/>
  <c r="G331" i="4"/>
  <c r="F331" i="4"/>
  <c r="E331" i="4"/>
  <c r="D331" i="4"/>
  <c r="C331" i="4"/>
  <c r="B330" i="4"/>
  <c r="A330" i="4"/>
  <c r="J330" i="4"/>
  <c r="I330" i="4"/>
  <c r="H330" i="4"/>
  <c r="G330" i="4"/>
  <c r="F330" i="4"/>
  <c r="E330" i="4"/>
  <c r="D330" i="4"/>
  <c r="C330" i="4"/>
  <c r="B329" i="4"/>
  <c r="A329" i="4"/>
  <c r="J329" i="4"/>
  <c r="I329" i="4"/>
  <c r="H329" i="4"/>
  <c r="G329" i="4"/>
  <c r="F329" i="4"/>
  <c r="E329" i="4"/>
  <c r="D329" i="4"/>
  <c r="C329" i="4"/>
  <c r="B328" i="4"/>
  <c r="A328" i="4"/>
  <c r="J328" i="4"/>
  <c r="I328" i="4"/>
  <c r="H328" i="4"/>
  <c r="G328" i="4"/>
  <c r="F328" i="4"/>
  <c r="E328" i="4"/>
  <c r="D328" i="4"/>
  <c r="C328" i="4"/>
  <c r="B327" i="4"/>
  <c r="A327" i="4"/>
  <c r="J327" i="4"/>
  <c r="I327" i="4"/>
  <c r="H327" i="4"/>
  <c r="G327" i="4"/>
  <c r="F327" i="4"/>
  <c r="E327" i="4"/>
  <c r="D327" i="4"/>
  <c r="C327" i="4"/>
  <c r="B326" i="4"/>
  <c r="A326" i="4"/>
  <c r="J326" i="4"/>
  <c r="I326" i="4"/>
  <c r="H326" i="4"/>
  <c r="G326" i="4"/>
  <c r="F326" i="4"/>
  <c r="E326" i="4"/>
  <c r="D326" i="4"/>
  <c r="C326" i="4"/>
  <c r="B325" i="4"/>
  <c r="A325" i="4"/>
  <c r="J325" i="4"/>
  <c r="I325" i="4"/>
  <c r="H325" i="4"/>
  <c r="G325" i="4"/>
  <c r="F325" i="4"/>
  <c r="E325" i="4"/>
  <c r="D325" i="4"/>
  <c r="C325" i="4"/>
  <c r="B324" i="4"/>
  <c r="A324" i="4"/>
  <c r="J324" i="4"/>
  <c r="I324" i="4"/>
  <c r="H324" i="4"/>
  <c r="G324" i="4"/>
  <c r="F324" i="4"/>
  <c r="E324" i="4"/>
  <c r="D324" i="4"/>
  <c r="C324" i="4"/>
  <c r="B323" i="4"/>
  <c r="A323" i="4"/>
  <c r="J323" i="4"/>
  <c r="I323" i="4"/>
  <c r="H323" i="4"/>
  <c r="G323" i="4"/>
  <c r="F323" i="4"/>
  <c r="E323" i="4"/>
  <c r="D323" i="4"/>
  <c r="C323" i="4"/>
  <c r="B322" i="4"/>
  <c r="A322" i="4"/>
  <c r="J322" i="4"/>
  <c r="I322" i="4"/>
  <c r="H322" i="4"/>
  <c r="G322" i="4"/>
  <c r="F322" i="4"/>
  <c r="E322" i="4"/>
  <c r="D322" i="4"/>
  <c r="C322" i="4"/>
  <c r="B321" i="4"/>
  <c r="A321" i="4"/>
  <c r="J321" i="4"/>
  <c r="I321" i="4"/>
  <c r="H321" i="4"/>
  <c r="G321" i="4"/>
  <c r="F321" i="4"/>
  <c r="E321" i="4"/>
  <c r="D321" i="4"/>
  <c r="C321" i="4"/>
  <c r="B320" i="4"/>
  <c r="A320" i="4"/>
  <c r="J320" i="4"/>
  <c r="I320" i="4"/>
  <c r="H320" i="4"/>
  <c r="G320" i="4"/>
  <c r="F320" i="4"/>
  <c r="E320" i="4"/>
  <c r="D320" i="4"/>
  <c r="C320" i="4"/>
  <c r="B319" i="4"/>
  <c r="A319" i="4"/>
  <c r="J319" i="4"/>
  <c r="I319" i="4"/>
  <c r="H319" i="4"/>
  <c r="G319" i="4"/>
  <c r="F319" i="4"/>
  <c r="E319" i="4"/>
  <c r="D319" i="4"/>
  <c r="C319" i="4"/>
  <c r="B318" i="4"/>
  <c r="A318" i="4"/>
  <c r="J318" i="4"/>
  <c r="I318" i="4"/>
  <c r="H318" i="4"/>
  <c r="G318" i="4"/>
  <c r="F318" i="4"/>
  <c r="E318" i="4"/>
  <c r="D318" i="4"/>
  <c r="C318" i="4"/>
  <c r="B317" i="4"/>
  <c r="A317" i="4"/>
  <c r="J317" i="4"/>
  <c r="I317" i="4"/>
  <c r="H317" i="4"/>
  <c r="G317" i="4"/>
  <c r="F317" i="4"/>
  <c r="E317" i="4"/>
  <c r="D317" i="4"/>
  <c r="C317" i="4"/>
  <c r="B316" i="4"/>
  <c r="A316" i="4"/>
  <c r="J316" i="4"/>
  <c r="I316" i="4"/>
  <c r="H316" i="4"/>
  <c r="G316" i="4"/>
  <c r="F316" i="4"/>
  <c r="E316" i="4"/>
  <c r="D316" i="4"/>
  <c r="C316" i="4"/>
  <c r="B315" i="4"/>
  <c r="A315" i="4"/>
  <c r="J315" i="4"/>
  <c r="I315" i="4"/>
  <c r="H315" i="4"/>
  <c r="G315" i="4"/>
  <c r="F315" i="4"/>
  <c r="E315" i="4"/>
  <c r="D315" i="4"/>
  <c r="C315" i="4"/>
  <c r="B314" i="4"/>
  <c r="A314" i="4"/>
  <c r="J314" i="4"/>
  <c r="I314" i="4"/>
  <c r="H314" i="4"/>
  <c r="G314" i="4"/>
  <c r="F314" i="4"/>
  <c r="E314" i="4"/>
  <c r="D314" i="4"/>
  <c r="C314" i="4"/>
  <c r="B313" i="4"/>
  <c r="A313" i="4"/>
  <c r="J313" i="4"/>
  <c r="I313" i="4"/>
  <c r="H313" i="4"/>
  <c r="G313" i="4"/>
  <c r="F313" i="4"/>
  <c r="E313" i="4"/>
  <c r="D313" i="4"/>
  <c r="C313" i="4"/>
  <c r="B312" i="4"/>
  <c r="A312" i="4"/>
  <c r="J312" i="4"/>
  <c r="I312" i="4"/>
  <c r="H312" i="4"/>
  <c r="G312" i="4"/>
  <c r="F312" i="4"/>
  <c r="E312" i="4"/>
  <c r="D312" i="4"/>
  <c r="C312" i="4"/>
  <c r="B311" i="4"/>
  <c r="A311" i="4"/>
  <c r="J311" i="4"/>
  <c r="I311" i="4"/>
  <c r="H311" i="4"/>
  <c r="G311" i="4"/>
  <c r="F311" i="4"/>
  <c r="E311" i="4"/>
  <c r="D311" i="4"/>
  <c r="C311" i="4"/>
  <c r="B310" i="4"/>
  <c r="A310" i="4"/>
  <c r="J310" i="4"/>
  <c r="I310" i="4"/>
  <c r="H310" i="4"/>
  <c r="G310" i="4"/>
  <c r="F310" i="4"/>
  <c r="E310" i="4"/>
  <c r="D310" i="4"/>
  <c r="C310" i="4"/>
  <c r="B309" i="4"/>
  <c r="A309" i="4"/>
  <c r="J309" i="4"/>
  <c r="I309" i="4"/>
  <c r="H309" i="4"/>
  <c r="G309" i="4"/>
  <c r="F309" i="4"/>
  <c r="E309" i="4"/>
  <c r="D309" i="4"/>
  <c r="C309" i="4"/>
  <c r="B308" i="4"/>
  <c r="A308" i="4"/>
  <c r="J308" i="4"/>
  <c r="I308" i="4"/>
  <c r="H308" i="4"/>
  <c r="G308" i="4"/>
  <c r="F308" i="4"/>
  <c r="E308" i="4"/>
  <c r="D308" i="4"/>
  <c r="C308" i="4"/>
  <c r="B307" i="4"/>
  <c r="A307" i="4"/>
  <c r="J307" i="4"/>
  <c r="I307" i="4"/>
  <c r="H307" i="4"/>
  <c r="G307" i="4"/>
  <c r="F307" i="4"/>
  <c r="E307" i="4"/>
  <c r="D307" i="4"/>
  <c r="C307" i="4"/>
  <c r="B306" i="4"/>
  <c r="A306" i="4"/>
  <c r="J306" i="4"/>
  <c r="I306" i="4"/>
  <c r="H306" i="4"/>
  <c r="G306" i="4"/>
  <c r="F306" i="4"/>
  <c r="E306" i="4"/>
  <c r="D306" i="4"/>
  <c r="C306" i="4"/>
  <c r="B305" i="4"/>
  <c r="A305" i="4"/>
  <c r="J305" i="4"/>
  <c r="I305" i="4"/>
  <c r="H305" i="4"/>
  <c r="G305" i="4"/>
  <c r="F305" i="4"/>
  <c r="E305" i="4"/>
  <c r="D305" i="4"/>
  <c r="C305" i="4"/>
  <c r="B304" i="4"/>
  <c r="A304" i="4"/>
  <c r="J304" i="4"/>
  <c r="I304" i="4"/>
  <c r="H304" i="4"/>
  <c r="G304" i="4"/>
  <c r="F304" i="4"/>
  <c r="E304" i="4"/>
  <c r="D304" i="4"/>
  <c r="C304" i="4"/>
  <c r="B303" i="4"/>
  <c r="A303" i="4"/>
  <c r="J303" i="4"/>
  <c r="I303" i="4"/>
  <c r="H303" i="4"/>
  <c r="G303" i="4"/>
  <c r="F303" i="4"/>
  <c r="E303" i="4"/>
  <c r="D303" i="4"/>
  <c r="C303" i="4"/>
  <c r="B302" i="4"/>
  <c r="A302" i="4"/>
  <c r="J302" i="4"/>
  <c r="I302" i="4"/>
  <c r="H302" i="4"/>
  <c r="G302" i="4"/>
  <c r="F302" i="4"/>
  <c r="E302" i="4"/>
  <c r="D302" i="4"/>
  <c r="C302" i="4"/>
  <c r="B301" i="4"/>
  <c r="A301" i="4"/>
  <c r="J301" i="4"/>
  <c r="I301" i="4"/>
  <c r="H301" i="4"/>
  <c r="G301" i="4"/>
  <c r="F301" i="4"/>
  <c r="E301" i="4"/>
  <c r="D301" i="4"/>
  <c r="C301" i="4"/>
  <c r="B300" i="4"/>
  <c r="A300" i="4"/>
  <c r="J300" i="4"/>
  <c r="I300" i="4"/>
  <c r="H300" i="4"/>
  <c r="G300" i="4"/>
  <c r="F300" i="4"/>
  <c r="E300" i="4"/>
  <c r="D300" i="4"/>
  <c r="C300" i="4"/>
  <c r="B299" i="4"/>
  <c r="A299" i="4"/>
  <c r="J299" i="4"/>
  <c r="I299" i="4"/>
  <c r="H299" i="4"/>
  <c r="G299" i="4"/>
  <c r="F299" i="4"/>
  <c r="E299" i="4"/>
  <c r="D299" i="4"/>
  <c r="C299" i="4"/>
  <c r="B298" i="4"/>
  <c r="A298" i="4"/>
  <c r="J298" i="4"/>
  <c r="I298" i="4"/>
  <c r="H298" i="4"/>
  <c r="G298" i="4"/>
  <c r="F298" i="4"/>
  <c r="E298" i="4"/>
  <c r="D298" i="4"/>
  <c r="C298" i="4"/>
  <c r="B297" i="4"/>
  <c r="A297" i="4"/>
  <c r="J297" i="4"/>
  <c r="I297" i="4"/>
  <c r="H297" i="4"/>
  <c r="G297" i="4"/>
  <c r="F297" i="4"/>
  <c r="E297" i="4"/>
  <c r="D297" i="4"/>
  <c r="C297" i="4"/>
  <c r="B296" i="4"/>
  <c r="A296" i="4"/>
  <c r="J296" i="4"/>
  <c r="I296" i="4"/>
  <c r="H296" i="4"/>
  <c r="G296" i="4"/>
  <c r="F296" i="4"/>
  <c r="E296" i="4"/>
  <c r="D296" i="4"/>
  <c r="C296" i="4"/>
  <c r="B295" i="4"/>
  <c r="A295" i="4"/>
  <c r="J295" i="4"/>
  <c r="I295" i="4"/>
  <c r="H295" i="4"/>
  <c r="G295" i="4"/>
  <c r="F295" i="4"/>
  <c r="E295" i="4"/>
  <c r="D295" i="4"/>
  <c r="C295" i="4"/>
  <c r="B294" i="4"/>
  <c r="A294" i="4"/>
  <c r="J294" i="4"/>
  <c r="I294" i="4"/>
  <c r="H294" i="4"/>
  <c r="G294" i="4"/>
  <c r="F294" i="4"/>
  <c r="E294" i="4"/>
  <c r="D294" i="4"/>
  <c r="C294" i="4"/>
  <c r="B293" i="4"/>
  <c r="A293" i="4"/>
  <c r="J293" i="4"/>
  <c r="I293" i="4"/>
  <c r="H293" i="4"/>
  <c r="G293" i="4"/>
  <c r="F293" i="4"/>
  <c r="E293" i="4"/>
  <c r="D293" i="4"/>
  <c r="C293" i="4"/>
  <c r="B292" i="4"/>
  <c r="A292" i="4"/>
  <c r="J292" i="4"/>
  <c r="I292" i="4"/>
  <c r="H292" i="4"/>
  <c r="G292" i="4"/>
  <c r="F292" i="4"/>
  <c r="E292" i="4"/>
  <c r="D292" i="4"/>
  <c r="C292" i="4"/>
  <c r="B291" i="4"/>
  <c r="A291" i="4"/>
  <c r="J291" i="4"/>
  <c r="I291" i="4"/>
  <c r="H291" i="4"/>
  <c r="G291" i="4"/>
  <c r="F291" i="4"/>
  <c r="E291" i="4"/>
  <c r="D291" i="4"/>
  <c r="C291" i="4"/>
  <c r="B290" i="4"/>
  <c r="A290" i="4"/>
  <c r="J290" i="4"/>
  <c r="I290" i="4"/>
  <c r="H290" i="4"/>
  <c r="G290" i="4"/>
  <c r="F290" i="4"/>
  <c r="E290" i="4"/>
  <c r="D290" i="4"/>
  <c r="C290" i="4"/>
  <c r="B289" i="4"/>
  <c r="A289" i="4"/>
  <c r="J289" i="4"/>
  <c r="I289" i="4"/>
  <c r="H289" i="4"/>
  <c r="G289" i="4"/>
  <c r="F289" i="4"/>
  <c r="E289" i="4"/>
  <c r="D289" i="4"/>
  <c r="C289" i="4"/>
  <c r="B288" i="4"/>
  <c r="A288" i="4"/>
  <c r="J288" i="4"/>
  <c r="I288" i="4"/>
  <c r="H288" i="4"/>
  <c r="G288" i="4"/>
  <c r="F288" i="4"/>
  <c r="E288" i="4"/>
  <c r="D288" i="4"/>
  <c r="C288" i="4"/>
  <c r="B287" i="4"/>
  <c r="A287" i="4"/>
  <c r="J287" i="4"/>
  <c r="I287" i="4"/>
  <c r="H287" i="4"/>
  <c r="G287" i="4"/>
  <c r="F287" i="4"/>
  <c r="E287" i="4"/>
  <c r="D287" i="4"/>
  <c r="C287" i="4"/>
  <c r="B286" i="4"/>
  <c r="A286" i="4"/>
  <c r="J286" i="4"/>
  <c r="I286" i="4"/>
  <c r="H286" i="4"/>
  <c r="G286" i="4"/>
  <c r="F286" i="4"/>
  <c r="E286" i="4"/>
  <c r="D286" i="4"/>
  <c r="C286" i="4"/>
  <c r="B285" i="4"/>
  <c r="A285" i="4"/>
  <c r="J285" i="4"/>
  <c r="I285" i="4"/>
  <c r="H285" i="4"/>
  <c r="G285" i="4"/>
  <c r="F285" i="4"/>
  <c r="E285" i="4"/>
  <c r="D285" i="4"/>
  <c r="C285" i="4"/>
  <c r="B284" i="4"/>
  <c r="A284" i="4"/>
  <c r="J284" i="4"/>
  <c r="I284" i="4"/>
  <c r="H284" i="4"/>
  <c r="G284" i="4"/>
  <c r="F284" i="4"/>
  <c r="E284" i="4"/>
  <c r="D284" i="4"/>
  <c r="C284" i="4"/>
  <c r="B283" i="4"/>
  <c r="A283" i="4"/>
  <c r="J283" i="4"/>
  <c r="I283" i="4"/>
  <c r="H283" i="4"/>
  <c r="G283" i="4"/>
  <c r="F283" i="4"/>
  <c r="E283" i="4"/>
  <c r="D283" i="4"/>
  <c r="C283" i="4"/>
  <c r="B282" i="4"/>
  <c r="A282" i="4"/>
  <c r="J282" i="4"/>
  <c r="I282" i="4"/>
  <c r="H282" i="4"/>
  <c r="G282" i="4"/>
  <c r="F282" i="4"/>
  <c r="E282" i="4"/>
  <c r="D282" i="4"/>
  <c r="C282" i="4"/>
  <c r="B281" i="4"/>
  <c r="A281" i="4"/>
  <c r="J281" i="4"/>
  <c r="I281" i="4"/>
  <c r="H281" i="4"/>
  <c r="G281" i="4"/>
  <c r="F281" i="4"/>
  <c r="E281" i="4"/>
  <c r="D281" i="4"/>
  <c r="C281" i="4"/>
  <c r="B280" i="4"/>
  <c r="A280" i="4"/>
  <c r="J280" i="4"/>
  <c r="I280" i="4"/>
  <c r="H280" i="4"/>
  <c r="G280" i="4"/>
  <c r="F280" i="4"/>
  <c r="E280" i="4"/>
  <c r="D280" i="4"/>
  <c r="C280" i="4"/>
  <c r="B279" i="4"/>
  <c r="A279" i="4"/>
  <c r="J279" i="4"/>
  <c r="I279" i="4"/>
  <c r="H279" i="4"/>
  <c r="G279" i="4"/>
  <c r="F279" i="4"/>
  <c r="E279" i="4"/>
  <c r="D279" i="4"/>
  <c r="C279" i="4"/>
  <c r="B278" i="4"/>
  <c r="A278" i="4"/>
  <c r="J278" i="4"/>
  <c r="I278" i="4"/>
  <c r="H278" i="4"/>
  <c r="G278" i="4"/>
  <c r="F278" i="4"/>
  <c r="E278" i="4"/>
  <c r="D278" i="4"/>
  <c r="C278" i="4"/>
  <c r="B277" i="4"/>
  <c r="A277" i="4"/>
  <c r="J277" i="4"/>
  <c r="I277" i="4"/>
  <c r="H277" i="4"/>
  <c r="G277" i="4"/>
  <c r="F277" i="4"/>
  <c r="E277" i="4"/>
  <c r="D277" i="4"/>
  <c r="C277" i="4"/>
  <c r="B276" i="4"/>
  <c r="A276" i="4"/>
  <c r="J276" i="4"/>
  <c r="I276" i="4"/>
  <c r="H276" i="4"/>
  <c r="G276" i="4"/>
  <c r="F276" i="4"/>
  <c r="E276" i="4"/>
  <c r="D276" i="4"/>
  <c r="C276" i="4"/>
  <c r="B275" i="4"/>
  <c r="A275" i="4"/>
  <c r="J275" i="4"/>
  <c r="I275" i="4"/>
  <c r="H275" i="4"/>
  <c r="G275" i="4"/>
  <c r="F275" i="4"/>
  <c r="E275" i="4"/>
  <c r="D275" i="4"/>
  <c r="C275" i="4"/>
  <c r="B274" i="4"/>
  <c r="A274" i="4"/>
  <c r="J274" i="4"/>
  <c r="I274" i="4"/>
  <c r="H274" i="4"/>
  <c r="G274" i="4"/>
  <c r="F274" i="4"/>
  <c r="E274" i="4"/>
  <c r="D274" i="4"/>
  <c r="C274" i="4"/>
  <c r="B273" i="4"/>
  <c r="A273" i="4"/>
  <c r="J273" i="4"/>
  <c r="I273" i="4"/>
  <c r="H273" i="4"/>
  <c r="G273" i="4"/>
  <c r="F273" i="4"/>
  <c r="E273" i="4"/>
  <c r="D273" i="4"/>
  <c r="C273" i="4"/>
  <c r="B272" i="4"/>
  <c r="A272" i="4"/>
  <c r="J272" i="4"/>
  <c r="I272" i="4"/>
  <c r="H272" i="4"/>
  <c r="G272" i="4"/>
  <c r="F272" i="4"/>
  <c r="E272" i="4"/>
  <c r="D272" i="4"/>
  <c r="C272" i="4"/>
  <c r="B271" i="4"/>
  <c r="A271" i="4"/>
  <c r="J271" i="4"/>
  <c r="I271" i="4"/>
  <c r="H271" i="4"/>
  <c r="G271" i="4"/>
  <c r="F271" i="4"/>
  <c r="E271" i="4"/>
  <c r="D271" i="4"/>
  <c r="C271" i="4"/>
  <c r="B270" i="4"/>
  <c r="A270" i="4"/>
  <c r="J270" i="4"/>
  <c r="I270" i="4"/>
  <c r="H270" i="4"/>
  <c r="G270" i="4"/>
  <c r="F270" i="4"/>
  <c r="E270" i="4"/>
  <c r="D270" i="4"/>
  <c r="C270" i="4"/>
  <c r="B269" i="4"/>
  <c r="A269" i="4"/>
  <c r="J269" i="4"/>
  <c r="I269" i="4"/>
  <c r="H269" i="4"/>
  <c r="G269" i="4"/>
  <c r="F269" i="4"/>
  <c r="E269" i="4"/>
  <c r="D269" i="4"/>
  <c r="C269" i="4"/>
  <c r="B268" i="4"/>
  <c r="A268" i="4"/>
  <c r="J268" i="4"/>
  <c r="I268" i="4"/>
  <c r="H268" i="4"/>
  <c r="G268" i="4"/>
  <c r="F268" i="4"/>
  <c r="E268" i="4"/>
  <c r="D268" i="4"/>
  <c r="C268" i="4"/>
  <c r="B267" i="4"/>
  <c r="A267" i="4"/>
  <c r="J267" i="4"/>
  <c r="I267" i="4"/>
  <c r="H267" i="4"/>
  <c r="G267" i="4"/>
  <c r="F267" i="4"/>
  <c r="E267" i="4"/>
  <c r="D267" i="4"/>
  <c r="C267" i="4"/>
  <c r="B266" i="4"/>
  <c r="A266" i="4"/>
  <c r="J266" i="4"/>
  <c r="I266" i="4"/>
  <c r="H266" i="4"/>
  <c r="G266" i="4"/>
  <c r="F266" i="4"/>
  <c r="E266" i="4"/>
  <c r="D266" i="4"/>
  <c r="C266" i="4"/>
  <c r="B265" i="4"/>
  <c r="A265" i="4"/>
  <c r="J265" i="4"/>
  <c r="I265" i="4"/>
  <c r="H265" i="4"/>
  <c r="G265" i="4"/>
  <c r="F265" i="4"/>
  <c r="E265" i="4"/>
  <c r="D265" i="4"/>
  <c r="C265" i="4"/>
  <c r="B264" i="4"/>
  <c r="A264" i="4"/>
  <c r="J264" i="4"/>
  <c r="I264" i="4"/>
  <c r="H264" i="4"/>
  <c r="G264" i="4"/>
  <c r="F264" i="4"/>
  <c r="E264" i="4"/>
  <c r="D264" i="4"/>
  <c r="C264" i="4"/>
  <c r="B263" i="4"/>
  <c r="A263" i="4"/>
  <c r="J263" i="4"/>
  <c r="I263" i="4"/>
  <c r="H263" i="4"/>
  <c r="G263" i="4"/>
  <c r="F263" i="4"/>
  <c r="E263" i="4"/>
  <c r="D263" i="4"/>
  <c r="C263" i="4"/>
  <c r="B262" i="4"/>
  <c r="A262" i="4"/>
  <c r="J262" i="4"/>
  <c r="I262" i="4"/>
  <c r="H262" i="4"/>
  <c r="G262" i="4"/>
  <c r="F262" i="4"/>
  <c r="E262" i="4"/>
  <c r="D262" i="4"/>
  <c r="C262" i="4"/>
  <c r="B261" i="4"/>
  <c r="A261" i="4"/>
  <c r="J261" i="4"/>
  <c r="I261" i="4"/>
  <c r="H261" i="4"/>
  <c r="G261" i="4"/>
  <c r="F261" i="4"/>
  <c r="E261" i="4"/>
  <c r="D261" i="4"/>
  <c r="C261" i="4"/>
  <c r="B260" i="4"/>
  <c r="A260" i="4"/>
  <c r="J260" i="4"/>
  <c r="I260" i="4"/>
  <c r="H260" i="4"/>
  <c r="G260" i="4"/>
  <c r="F260" i="4"/>
  <c r="E260" i="4"/>
  <c r="D260" i="4"/>
  <c r="C260" i="4"/>
  <c r="B259" i="4"/>
  <c r="A259" i="4"/>
  <c r="J259" i="4"/>
  <c r="I259" i="4"/>
  <c r="H259" i="4"/>
  <c r="G259" i="4"/>
  <c r="F259" i="4"/>
  <c r="E259" i="4"/>
  <c r="D259" i="4"/>
  <c r="C259" i="4"/>
  <c r="B258" i="4"/>
  <c r="A258" i="4"/>
  <c r="J258" i="4"/>
  <c r="I258" i="4"/>
  <c r="H258" i="4"/>
  <c r="G258" i="4"/>
  <c r="F258" i="4"/>
  <c r="E258" i="4"/>
  <c r="D258" i="4"/>
  <c r="C258" i="4"/>
  <c r="B257" i="4"/>
  <c r="A257" i="4"/>
  <c r="J257" i="4"/>
  <c r="I257" i="4"/>
  <c r="H257" i="4"/>
  <c r="G257" i="4"/>
  <c r="F257" i="4"/>
  <c r="E257" i="4"/>
  <c r="D257" i="4"/>
  <c r="C257" i="4"/>
  <c r="B256" i="4"/>
  <c r="A256" i="4"/>
  <c r="J256" i="4"/>
  <c r="I256" i="4"/>
  <c r="H256" i="4"/>
  <c r="G256" i="4"/>
  <c r="F256" i="4"/>
  <c r="E256" i="4"/>
  <c r="D256" i="4"/>
  <c r="C256" i="4"/>
  <c r="B255" i="4"/>
  <c r="A255" i="4"/>
  <c r="J255" i="4"/>
  <c r="I255" i="4"/>
  <c r="H255" i="4"/>
  <c r="G255" i="4"/>
  <c r="F255" i="4"/>
  <c r="E255" i="4"/>
  <c r="D255" i="4"/>
  <c r="C255" i="4"/>
  <c r="B254" i="4"/>
  <c r="A254" i="4"/>
  <c r="J254" i="4"/>
  <c r="I254" i="4"/>
  <c r="H254" i="4"/>
  <c r="G254" i="4"/>
  <c r="F254" i="4"/>
  <c r="E254" i="4"/>
  <c r="D254" i="4"/>
  <c r="C254" i="4"/>
  <c r="B253" i="4"/>
  <c r="A253" i="4"/>
  <c r="J253" i="4"/>
  <c r="I253" i="4"/>
  <c r="H253" i="4"/>
  <c r="G253" i="4"/>
  <c r="F253" i="4"/>
  <c r="E253" i="4"/>
  <c r="D253" i="4"/>
  <c r="C253" i="4"/>
  <c r="B252" i="4"/>
  <c r="A252" i="4"/>
  <c r="J252" i="4"/>
  <c r="I252" i="4"/>
  <c r="H252" i="4"/>
  <c r="G252" i="4"/>
  <c r="F252" i="4"/>
  <c r="E252" i="4"/>
  <c r="D252" i="4"/>
  <c r="C252" i="4"/>
  <c r="B251" i="4"/>
  <c r="A251" i="4"/>
  <c r="J251" i="4"/>
  <c r="I251" i="4"/>
  <c r="H251" i="4"/>
  <c r="G251" i="4"/>
  <c r="F251" i="4"/>
  <c r="E251" i="4"/>
  <c r="D251" i="4"/>
  <c r="C251" i="4"/>
  <c r="B250" i="4"/>
  <c r="A250" i="4"/>
  <c r="J250" i="4"/>
  <c r="I250" i="4"/>
  <c r="H250" i="4"/>
  <c r="G250" i="4"/>
  <c r="F250" i="4"/>
  <c r="E250" i="4"/>
  <c r="D250" i="4"/>
  <c r="C250" i="4"/>
  <c r="B249" i="4"/>
  <c r="A249" i="4"/>
  <c r="J249" i="4"/>
  <c r="I249" i="4"/>
  <c r="H249" i="4"/>
  <c r="G249" i="4"/>
  <c r="F249" i="4"/>
  <c r="E249" i="4"/>
  <c r="D249" i="4"/>
  <c r="C249" i="4"/>
  <c r="B248" i="4"/>
  <c r="A248" i="4"/>
  <c r="J248" i="4"/>
  <c r="I248" i="4"/>
  <c r="H248" i="4"/>
  <c r="G248" i="4"/>
  <c r="F248" i="4"/>
  <c r="E248" i="4"/>
  <c r="D248" i="4"/>
  <c r="C248" i="4"/>
  <c r="B247" i="4"/>
  <c r="A247" i="4"/>
  <c r="J247" i="4"/>
  <c r="I247" i="4"/>
  <c r="H247" i="4"/>
  <c r="G247" i="4"/>
  <c r="F247" i="4"/>
  <c r="E247" i="4"/>
  <c r="D247" i="4"/>
  <c r="C247" i="4"/>
  <c r="B246" i="4"/>
  <c r="A246" i="4"/>
  <c r="J246" i="4"/>
  <c r="I246" i="4"/>
  <c r="H246" i="4"/>
  <c r="G246" i="4"/>
  <c r="F246" i="4"/>
  <c r="E246" i="4"/>
  <c r="D246" i="4"/>
  <c r="C246" i="4"/>
  <c r="B245" i="4"/>
  <c r="A245" i="4"/>
  <c r="J245" i="4"/>
  <c r="I245" i="4"/>
  <c r="H245" i="4"/>
  <c r="G245" i="4"/>
  <c r="F245" i="4"/>
  <c r="E245" i="4"/>
  <c r="D245" i="4"/>
  <c r="C245" i="4"/>
  <c r="B244" i="4"/>
  <c r="A244" i="4"/>
  <c r="J244" i="4"/>
  <c r="I244" i="4"/>
  <c r="H244" i="4"/>
  <c r="G244" i="4"/>
  <c r="F244" i="4"/>
  <c r="E244" i="4"/>
  <c r="D244" i="4"/>
  <c r="C244" i="4"/>
  <c r="B243" i="4"/>
  <c r="A243" i="4"/>
  <c r="J243" i="4"/>
  <c r="I243" i="4"/>
  <c r="H243" i="4"/>
  <c r="G243" i="4"/>
  <c r="F243" i="4"/>
  <c r="E243" i="4"/>
  <c r="D243" i="4"/>
  <c r="C243" i="4"/>
  <c r="B242" i="4"/>
  <c r="A242" i="4"/>
  <c r="J242" i="4"/>
  <c r="I242" i="4"/>
  <c r="H242" i="4"/>
  <c r="G242" i="4"/>
  <c r="F242" i="4"/>
  <c r="E242" i="4"/>
  <c r="D242" i="4"/>
  <c r="C242" i="4"/>
  <c r="B241" i="4"/>
  <c r="A241" i="4"/>
  <c r="J241" i="4"/>
  <c r="I241" i="4"/>
  <c r="H241" i="4"/>
  <c r="G241" i="4"/>
  <c r="F241" i="4"/>
  <c r="E241" i="4"/>
  <c r="D241" i="4"/>
  <c r="C241" i="4"/>
  <c r="B240" i="4"/>
  <c r="A240" i="4"/>
  <c r="J240" i="4"/>
  <c r="I240" i="4"/>
  <c r="H240" i="4"/>
  <c r="G240" i="4"/>
  <c r="F240" i="4"/>
  <c r="E240" i="4"/>
  <c r="D240" i="4"/>
  <c r="C240" i="4"/>
  <c r="B239" i="4"/>
  <c r="A239" i="4"/>
  <c r="J239" i="4"/>
  <c r="I239" i="4"/>
  <c r="H239" i="4"/>
  <c r="G239" i="4"/>
  <c r="F239" i="4"/>
  <c r="E239" i="4"/>
  <c r="D239" i="4"/>
  <c r="C239" i="4"/>
  <c r="B238" i="4"/>
  <c r="A238" i="4"/>
  <c r="J238" i="4"/>
  <c r="I238" i="4"/>
  <c r="H238" i="4"/>
  <c r="G238" i="4"/>
  <c r="F238" i="4"/>
  <c r="E238" i="4"/>
  <c r="D238" i="4"/>
  <c r="C238" i="4"/>
  <c r="B237" i="4"/>
  <c r="A237" i="4"/>
  <c r="J237" i="4"/>
  <c r="I237" i="4"/>
  <c r="H237" i="4"/>
  <c r="G237" i="4"/>
  <c r="F237" i="4"/>
  <c r="E237" i="4"/>
  <c r="D237" i="4"/>
  <c r="C237" i="4"/>
  <c r="B236" i="4"/>
  <c r="A236" i="4"/>
  <c r="J236" i="4"/>
  <c r="I236" i="4"/>
  <c r="H236" i="4"/>
  <c r="G236" i="4"/>
  <c r="F236" i="4"/>
  <c r="E236" i="4"/>
  <c r="D236" i="4"/>
  <c r="C236" i="4"/>
  <c r="B235" i="4"/>
  <c r="A235" i="4"/>
  <c r="J235" i="4"/>
  <c r="I235" i="4"/>
  <c r="H235" i="4"/>
  <c r="G235" i="4"/>
  <c r="F235" i="4"/>
  <c r="E235" i="4"/>
  <c r="D235" i="4"/>
  <c r="C235" i="4"/>
  <c r="B234" i="4"/>
  <c r="A234" i="4"/>
  <c r="J234" i="4"/>
  <c r="I234" i="4"/>
  <c r="H234" i="4"/>
  <c r="G234" i="4"/>
  <c r="F234" i="4"/>
  <c r="E234" i="4"/>
  <c r="D234" i="4"/>
  <c r="C234" i="4"/>
  <c r="B233" i="4"/>
  <c r="A233" i="4"/>
  <c r="J233" i="4"/>
  <c r="I233" i="4"/>
  <c r="H233" i="4"/>
  <c r="G233" i="4"/>
  <c r="F233" i="4"/>
  <c r="E233" i="4"/>
  <c r="D233" i="4"/>
  <c r="C233" i="4"/>
  <c r="B232" i="4"/>
  <c r="A232" i="4"/>
  <c r="J232" i="4"/>
  <c r="I232" i="4"/>
  <c r="H232" i="4"/>
  <c r="G232" i="4"/>
  <c r="F232" i="4"/>
  <c r="E232" i="4"/>
  <c r="D232" i="4"/>
  <c r="C232" i="4"/>
  <c r="B231" i="4"/>
  <c r="A231" i="4"/>
  <c r="J231" i="4"/>
  <c r="I231" i="4"/>
  <c r="H231" i="4"/>
  <c r="G231" i="4"/>
  <c r="F231" i="4"/>
  <c r="E231" i="4"/>
  <c r="D231" i="4"/>
  <c r="C231" i="4"/>
  <c r="B230" i="4"/>
  <c r="A230" i="4"/>
  <c r="J230" i="4"/>
  <c r="I230" i="4"/>
  <c r="H230" i="4"/>
  <c r="G230" i="4"/>
  <c r="F230" i="4"/>
  <c r="E230" i="4"/>
  <c r="D230" i="4"/>
  <c r="C230" i="4"/>
  <c r="B229" i="4"/>
  <c r="A229" i="4"/>
  <c r="J229" i="4"/>
  <c r="I229" i="4"/>
  <c r="H229" i="4"/>
  <c r="G229" i="4"/>
  <c r="F229" i="4"/>
  <c r="E229" i="4"/>
  <c r="D229" i="4"/>
  <c r="C229" i="4"/>
  <c r="B228" i="4"/>
  <c r="A228" i="4"/>
  <c r="J228" i="4"/>
  <c r="I228" i="4"/>
  <c r="H228" i="4"/>
  <c r="G228" i="4"/>
  <c r="F228" i="4"/>
  <c r="E228" i="4"/>
  <c r="D228" i="4"/>
  <c r="C228" i="4"/>
  <c r="B227" i="4"/>
  <c r="A227" i="4"/>
  <c r="J227" i="4"/>
  <c r="I227" i="4"/>
  <c r="H227" i="4"/>
  <c r="G227" i="4"/>
  <c r="F227" i="4"/>
  <c r="E227" i="4"/>
  <c r="D227" i="4"/>
  <c r="C227" i="4"/>
  <c r="B226" i="4"/>
  <c r="A226" i="4"/>
  <c r="J226" i="4"/>
  <c r="I226" i="4"/>
  <c r="H226" i="4"/>
  <c r="G226" i="4"/>
  <c r="F226" i="4"/>
  <c r="E226" i="4"/>
  <c r="D226" i="4"/>
  <c r="C226" i="4"/>
  <c r="B225" i="4"/>
  <c r="A225" i="4"/>
  <c r="J225" i="4"/>
  <c r="I225" i="4"/>
  <c r="H225" i="4"/>
  <c r="G225" i="4"/>
  <c r="F225" i="4"/>
  <c r="E225" i="4"/>
  <c r="D225" i="4"/>
  <c r="C225" i="4"/>
  <c r="B224" i="4"/>
  <c r="A224" i="4"/>
  <c r="J224" i="4"/>
  <c r="I224" i="4"/>
  <c r="H224" i="4"/>
  <c r="G224" i="4"/>
  <c r="F224" i="4"/>
  <c r="E224" i="4"/>
  <c r="D224" i="4"/>
  <c r="C224" i="4"/>
  <c r="B223" i="4"/>
  <c r="A223" i="4"/>
  <c r="J223" i="4"/>
  <c r="I223" i="4"/>
  <c r="H223" i="4"/>
  <c r="G223" i="4"/>
  <c r="F223" i="4"/>
  <c r="E223" i="4"/>
  <c r="D223" i="4"/>
  <c r="C223" i="4"/>
  <c r="B222" i="4"/>
  <c r="A222" i="4"/>
  <c r="J222" i="4"/>
  <c r="I222" i="4"/>
  <c r="H222" i="4"/>
  <c r="G222" i="4"/>
  <c r="F222" i="4"/>
  <c r="E222" i="4"/>
  <c r="D222" i="4"/>
  <c r="C222" i="4"/>
  <c r="B221" i="4"/>
  <c r="A221" i="4"/>
  <c r="J221" i="4"/>
  <c r="I221" i="4"/>
  <c r="H221" i="4"/>
  <c r="G221" i="4"/>
  <c r="F221" i="4"/>
  <c r="E221" i="4"/>
  <c r="D221" i="4"/>
  <c r="C221" i="4"/>
  <c r="B220" i="4"/>
  <c r="A220" i="4"/>
  <c r="J220" i="4"/>
  <c r="I220" i="4"/>
  <c r="H220" i="4"/>
  <c r="G220" i="4"/>
  <c r="F220" i="4"/>
  <c r="E220" i="4"/>
  <c r="D220" i="4"/>
  <c r="C220" i="4"/>
  <c r="B219" i="4"/>
  <c r="A219" i="4"/>
  <c r="J219" i="4"/>
  <c r="I219" i="4"/>
  <c r="H219" i="4"/>
  <c r="G219" i="4"/>
  <c r="F219" i="4"/>
  <c r="E219" i="4"/>
  <c r="D219" i="4"/>
  <c r="C219" i="4"/>
  <c r="B218" i="4"/>
  <c r="A218" i="4"/>
  <c r="J218" i="4"/>
  <c r="I218" i="4"/>
  <c r="H218" i="4"/>
  <c r="G218" i="4"/>
  <c r="F218" i="4"/>
  <c r="E218" i="4"/>
  <c r="D218" i="4"/>
  <c r="C218" i="4"/>
  <c r="B217" i="4"/>
  <c r="A217" i="4"/>
  <c r="J217" i="4"/>
  <c r="I217" i="4"/>
  <c r="H217" i="4"/>
  <c r="G217" i="4"/>
  <c r="F217" i="4"/>
  <c r="E217" i="4"/>
  <c r="D217" i="4"/>
  <c r="C217" i="4"/>
  <c r="B216" i="4"/>
  <c r="A216" i="4"/>
  <c r="J216" i="4"/>
  <c r="I216" i="4"/>
  <c r="H216" i="4"/>
  <c r="G216" i="4"/>
  <c r="F216" i="4"/>
  <c r="E216" i="4"/>
  <c r="D216" i="4"/>
  <c r="C216" i="4"/>
  <c r="B215" i="4"/>
  <c r="A215" i="4"/>
  <c r="J215" i="4"/>
  <c r="I215" i="4"/>
  <c r="H215" i="4"/>
  <c r="G215" i="4"/>
  <c r="F215" i="4"/>
  <c r="E215" i="4"/>
  <c r="D215" i="4"/>
  <c r="C215" i="4"/>
  <c r="B214" i="4"/>
  <c r="A214" i="4"/>
  <c r="J214" i="4"/>
  <c r="I214" i="4"/>
  <c r="H214" i="4"/>
  <c r="G214" i="4"/>
  <c r="F214" i="4"/>
  <c r="E214" i="4"/>
  <c r="D214" i="4"/>
  <c r="C214" i="4"/>
  <c r="B213" i="4"/>
  <c r="A213" i="4"/>
  <c r="J213" i="4"/>
  <c r="I213" i="4"/>
  <c r="H213" i="4"/>
  <c r="G213" i="4"/>
  <c r="F213" i="4"/>
  <c r="E213" i="4"/>
  <c r="D213" i="4"/>
  <c r="C213" i="4"/>
  <c r="B212" i="4"/>
  <c r="A212" i="4"/>
  <c r="J212" i="4"/>
  <c r="I212" i="4"/>
  <c r="H212" i="4"/>
  <c r="G212" i="4"/>
  <c r="F212" i="4"/>
  <c r="E212" i="4"/>
  <c r="D212" i="4"/>
  <c r="C212" i="4"/>
  <c r="B211" i="4"/>
  <c r="A211" i="4"/>
  <c r="J211" i="4"/>
  <c r="I211" i="4"/>
  <c r="H211" i="4"/>
  <c r="G211" i="4"/>
  <c r="F211" i="4"/>
  <c r="E211" i="4"/>
  <c r="D211" i="4"/>
  <c r="C211" i="4"/>
  <c r="B210" i="4"/>
  <c r="A210" i="4"/>
  <c r="J210" i="4"/>
  <c r="I210" i="4"/>
  <c r="H210" i="4"/>
  <c r="G210" i="4"/>
  <c r="F210" i="4"/>
  <c r="E210" i="4"/>
  <c r="D210" i="4"/>
  <c r="C210" i="4"/>
  <c r="B209" i="4"/>
  <c r="A209" i="4"/>
  <c r="J209" i="4"/>
  <c r="I209" i="4"/>
  <c r="H209" i="4"/>
  <c r="G209" i="4"/>
  <c r="F209" i="4"/>
  <c r="E209" i="4"/>
  <c r="D209" i="4"/>
  <c r="C209" i="4"/>
  <c r="B208" i="4"/>
  <c r="A208" i="4"/>
  <c r="J208" i="4"/>
  <c r="I208" i="4"/>
  <c r="H208" i="4"/>
  <c r="G208" i="4"/>
  <c r="F208" i="4"/>
  <c r="E208" i="4"/>
  <c r="D208" i="4"/>
  <c r="C208" i="4"/>
  <c r="B207" i="4"/>
  <c r="A207" i="4"/>
  <c r="J207" i="4"/>
  <c r="I207" i="4"/>
  <c r="H207" i="4"/>
  <c r="G207" i="4"/>
  <c r="F207" i="4"/>
  <c r="E207" i="4"/>
  <c r="D207" i="4"/>
  <c r="C207" i="4"/>
  <c r="B206" i="4"/>
  <c r="A206" i="4"/>
  <c r="J206" i="4"/>
  <c r="I206" i="4"/>
  <c r="H206" i="4"/>
  <c r="G206" i="4"/>
  <c r="F206" i="4"/>
  <c r="E206" i="4"/>
  <c r="D206" i="4"/>
  <c r="C206" i="4"/>
  <c r="B205" i="4"/>
  <c r="A205" i="4"/>
  <c r="J205" i="4"/>
  <c r="I205" i="4"/>
  <c r="H205" i="4"/>
  <c r="G205" i="4"/>
  <c r="F205" i="4"/>
  <c r="E205" i="4"/>
  <c r="D205" i="4"/>
  <c r="C205" i="4"/>
  <c r="B204" i="4"/>
  <c r="A204" i="4"/>
  <c r="J204" i="4"/>
  <c r="I204" i="4"/>
  <c r="H204" i="4"/>
  <c r="G204" i="4"/>
  <c r="F204" i="4"/>
  <c r="E204" i="4"/>
  <c r="D204" i="4"/>
  <c r="C204" i="4"/>
  <c r="B203" i="4"/>
  <c r="A203" i="4"/>
  <c r="J203" i="4"/>
  <c r="I203" i="4"/>
  <c r="H203" i="4"/>
  <c r="G203" i="4"/>
  <c r="F203" i="4"/>
  <c r="E203" i="4"/>
  <c r="D203" i="4"/>
  <c r="C203" i="4"/>
  <c r="B202" i="4"/>
  <c r="A202" i="4"/>
  <c r="J202" i="4"/>
  <c r="I202" i="4"/>
  <c r="H202" i="4"/>
  <c r="G202" i="4"/>
  <c r="F202" i="4"/>
  <c r="E202" i="4"/>
  <c r="D202" i="4"/>
  <c r="C202" i="4"/>
  <c r="B201" i="4"/>
  <c r="A201" i="4"/>
  <c r="J201" i="4"/>
  <c r="I201" i="4"/>
  <c r="H201" i="4"/>
  <c r="G201" i="4"/>
  <c r="F201" i="4"/>
  <c r="E201" i="4"/>
  <c r="D201" i="4"/>
  <c r="C201" i="4"/>
  <c r="B200" i="4"/>
  <c r="A200" i="4"/>
  <c r="J200" i="4"/>
  <c r="I200" i="4"/>
  <c r="H200" i="4"/>
  <c r="G200" i="4"/>
  <c r="F200" i="4"/>
  <c r="E200" i="4"/>
  <c r="D200" i="4"/>
  <c r="C200" i="4"/>
  <c r="B199" i="4"/>
  <c r="A199" i="4"/>
  <c r="J199" i="4"/>
  <c r="I199" i="4"/>
  <c r="H199" i="4"/>
  <c r="G199" i="4"/>
  <c r="F199" i="4"/>
  <c r="E199" i="4"/>
  <c r="D199" i="4"/>
  <c r="C199" i="4"/>
  <c r="B198" i="4"/>
  <c r="A198" i="4"/>
  <c r="J198" i="4"/>
  <c r="I198" i="4"/>
  <c r="H198" i="4"/>
  <c r="G198" i="4"/>
  <c r="F198" i="4"/>
  <c r="E198" i="4"/>
  <c r="D198" i="4"/>
  <c r="C198" i="4"/>
  <c r="B197" i="4"/>
  <c r="A197" i="4"/>
  <c r="J197" i="4"/>
  <c r="I197" i="4"/>
  <c r="H197" i="4"/>
  <c r="G197" i="4"/>
  <c r="F197" i="4"/>
  <c r="E197" i="4"/>
  <c r="D197" i="4"/>
  <c r="C197" i="4"/>
  <c r="B196" i="4"/>
  <c r="A196" i="4"/>
  <c r="J196" i="4"/>
  <c r="I196" i="4"/>
  <c r="H196" i="4"/>
  <c r="G196" i="4"/>
  <c r="F196" i="4"/>
  <c r="E196" i="4"/>
  <c r="D196" i="4"/>
  <c r="C196" i="4"/>
  <c r="B195" i="4"/>
  <c r="A195" i="4"/>
  <c r="J195" i="4"/>
  <c r="I195" i="4"/>
  <c r="H195" i="4"/>
  <c r="G195" i="4"/>
  <c r="F195" i="4"/>
  <c r="E195" i="4"/>
  <c r="D195" i="4"/>
  <c r="C195" i="4"/>
  <c r="B194" i="4"/>
  <c r="A194" i="4"/>
  <c r="J194" i="4"/>
  <c r="I194" i="4"/>
  <c r="H194" i="4"/>
  <c r="G194" i="4"/>
  <c r="F194" i="4"/>
  <c r="E194" i="4"/>
  <c r="D194" i="4"/>
  <c r="C194" i="4"/>
  <c r="B193" i="4"/>
  <c r="A193" i="4"/>
  <c r="J193" i="4"/>
  <c r="I193" i="4"/>
  <c r="H193" i="4"/>
  <c r="G193" i="4"/>
  <c r="F193" i="4"/>
  <c r="E193" i="4"/>
  <c r="D193" i="4"/>
  <c r="C193" i="4"/>
  <c r="B192" i="4"/>
  <c r="A192" i="4"/>
  <c r="J192" i="4"/>
  <c r="I192" i="4"/>
  <c r="H192" i="4"/>
  <c r="G192" i="4"/>
  <c r="F192" i="4"/>
  <c r="E192" i="4"/>
  <c r="D192" i="4"/>
  <c r="C192" i="4"/>
  <c r="B191" i="4"/>
  <c r="A191" i="4"/>
  <c r="J191" i="4"/>
  <c r="I191" i="4"/>
  <c r="H191" i="4"/>
  <c r="G191" i="4"/>
  <c r="F191" i="4"/>
  <c r="E191" i="4"/>
  <c r="D191" i="4"/>
  <c r="C191" i="4"/>
  <c r="B190" i="4"/>
  <c r="A190" i="4"/>
  <c r="J190" i="4"/>
  <c r="I190" i="4"/>
  <c r="H190" i="4"/>
  <c r="G190" i="4"/>
  <c r="F190" i="4"/>
  <c r="E190" i="4"/>
  <c r="D190" i="4"/>
  <c r="C190" i="4"/>
  <c r="B189" i="4"/>
  <c r="A189" i="4"/>
  <c r="J189" i="4"/>
  <c r="I189" i="4"/>
  <c r="H189" i="4"/>
  <c r="G189" i="4"/>
  <c r="F189" i="4"/>
  <c r="E189" i="4"/>
  <c r="D189" i="4"/>
  <c r="C189" i="4"/>
  <c r="B188" i="4"/>
  <c r="A188" i="4"/>
  <c r="J188" i="4"/>
  <c r="I188" i="4"/>
  <c r="H188" i="4"/>
  <c r="G188" i="4"/>
  <c r="F188" i="4"/>
  <c r="E188" i="4"/>
  <c r="D188" i="4"/>
  <c r="C188" i="4"/>
  <c r="B187" i="4"/>
  <c r="A187" i="4"/>
  <c r="J187" i="4"/>
  <c r="I187" i="4"/>
  <c r="H187" i="4"/>
  <c r="G187" i="4"/>
  <c r="F187" i="4"/>
  <c r="E187" i="4"/>
  <c r="D187" i="4"/>
  <c r="C187" i="4"/>
  <c r="B186" i="4"/>
  <c r="A186" i="4"/>
  <c r="J186" i="4"/>
  <c r="I186" i="4"/>
  <c r="H186" i="4"/>
  <c r="G186" i="4"/>
  <c r="F186" i="4"/>
  <c r="E186" i="4"/>
  <c r="D186" i="4"/>
  <c r="C186" i="4"/>
  <c r="B185" i="4"/>
  <c r="A185" i="4"/>
  <c r="J185" i="4"/>
  <c r="I185" i="4"/>
  <c r="H185" i="4"/>
  <c r="G185" i="4"/>
  <c r="F185" i="4"/>
  <c r="E185" i="4"/>
  <c r="D185" i="4"/>
  <c r="C185" i="4"/>
  <c r="B184" i="4"/>
  <c r="A184" i="4"/>
  <c r="J184" i="4"/>
  <c r="I184" i="4"/>
  <c r="H184" i="4"/>
  <c r="G184" i="4"/>
  <c r="F184" i="4"/>
  <c r="E184" i="4"/>
  <c r="D184" i="4"/>
  <c r="C184" i="4"/>
  <c r="B183" i="4"/>
  <c r="A183" i="4"/>
  <c r="J183" i="4"/>
  <c r="I183" i="4"/>
  <c r="H183" i="4"/>
  <c r="G183" i="4"/>
  <c r="F183" i="4"/>
  <c r="E183" i="4"/>
  <c r="D183" i="4"/>
  <c r="C183" i="4"/>
  <c r="B182" i="4"/>
  <c r="A182" i="4"/>
  <c r="J182" i="4"/>
  <c r="I182" i="4"/>
  <c r="H182" i="4"/>
  <c r="G182" i="4"/>
  <c r="F182" i="4"/>
  <c r="E182" i="4"/>
  <c r="D182" i="4"/>
  <c r="C182" i="4"/>
  <c r="B181" i="4"/>
  <c r="A181" i="4"/>
  <c r="J181" i="4"/>
  <c r="I181" i="4"/>
  <c r="H181" i="4"/>
  <c r="G181" i="4"/>
  <c r="F181" i="4"/>
  <c r="E181" i="4"/>
  <c r="D181" i="4"/>
  <c r="C181" i="4"/>
  <c r="B180" i="4"/>
  <c r="A180" i="4"/>
  <c r="J180" i="4"/>
  <c r="I180" i="4"/>
  <c r="H180" i="4"/>
  <c r="G180" i="4"/>
  <c r="F180" i="4"/>
  <c r="E180" i="4"/>
  <c r="D180" i="4"/>
  <c r="C180" i="4"/>
  <c r="B179" i="4"/>
  <c r="A179" i="4"/>
  <c r="J179" i="4"/>
  <c r="I179" i="4"/>
  <c r="H179" i="4"/>
  <c r="G179" i="4"/>
  <c r="F179" i="4"/>
  <c r="E179" i="4"/>
  <c r="D179" i="4"/>
  <c r="C179" i="4"/>
  <c r="B178" i="4"/>
  <c r="A178" i="4"/>
  <c r="J178" i="4"/>
  <c r="I178" i="4"/>
  <c r="H178" i="4"/>
  <c r="G178" i="4"/>
  <c r="F178" i="4"/>
  <c r="E178" i="4"/>
  <c r="D178" i="4"/>
  <c r="C178" i="4"/>
  <c r="B177" i="4"/>
  <c r="A177" i="4"/>
  <c r="J177" i="4"/>
  <c r="I177" i="4"/>
  <c r="H177" i="4"/>
  <c r="G177" i="4"/>
  <c r="F177" i="4"/>
  <c r="E177" i="4"/>
  <c r="D177" i="4"/>
  <c r="C177" i="4"/>
  <c r="B176" i="4"/>
  <c r="A176" i="4"/>
  <c r="J176" i="4"/>
  <c r="I176" i="4"/>
  <c r="H176" i="4"/>
  <c r="G176" i="4"/>
  <c r="F176" i="4"/>
  <c r="E176" i="4"/>
  <c r="D176" i="4"/>
  <c r="C176" i="4"/>
  <c r="B175" i="4"/>
  <c r="A175" i="4"/>
  <c r="J175" i="4"/>
  <c r="I175" i="4"/>
  <c r="H175" i="4"/>
  <c r="G175" i="4"/>
  <c r="F175" i="4"/>
  <c r="E175" i="4"/>
  <c r="D175" i="4"/>
  <c r="C175" i="4"/>
  <c r="B174" i="4"/>
  <c r="A174" i="4"/>
  <c r="J174" i="4"/>
  <c r="I174" i="4"/>
  <c r="H174" i="4"/>
  <c r="G174" i="4"/>
  <c r="F174" i="4"/>
  <c r="E174" i="4"/>
  <c r="D174" i="4"/>
  <c r="C174" i="4"/>
  <c r="B173" i="4"/>
  <c r="A173" i="4"/>
  <c r="J173" i="4"/>
  <c r="I173" i="4"/>
  <c r="H173" i="4"/>
  <c r="G173" i="4"/>
  <c r="F173" i="4"/>
  <c r="E173" i="4"/>
  <c r="D173" i="4"/>
  <c r="C173" i="4"/>
  <c r="B172" i="4"/>
  <c r="A172" i="4"/>
  <c r="J172" i="4"/>
  <c r="I172" i="4"/>
  <c r="H172" i="4"/>
  <c r="G172" i="4"/>
  <c r="F172" i="4"/>
  <c r="E172" i="4"/>
  <c r="D172" i="4"/>
  <c r="C172" i="4"/>
  <c r="B171" i="4"/>
  <c r="A171" i="4"/>
  <c r="J171" i="4"/>
  <c r="I171" i="4"/>
  <c r="H171" i="4"/>
  <c r="G171" i="4"/>
  <c r="F171" i="4"/>
  <c r="E171" i="4"/>
  <c r="D171" i="4"/>
  <c r="C171" i="4"/>
  <c r="B170" i="4"/>
  <c r="A170" i="4"/>
  <c r="J170" i="4"/>
  <c r="I170" i="4"/>
  <c r="H170" i="4"/>
  <c r="G170" i="4"/>
  <c r="F170" i="4"/>
  <c r="E170" i="4"/>
  <c r="D170" i="4"/>
  <c r="C170" i="4"/>
  <c r="B169" i="4"/>
  <c r="A169" i="4"/>
  <c r="J169" i="4"/>
  <c r="I169" i="4"/>
  <c r="H169" i="4"/>
  <c r="G169" i="4"/>
  <c r="F169" i="4"/>
  <c r="E169" i="4"/>
  <c r="D169" i="4"/>
  <c r="C169" i="4"/>
  <c r="B168" i="4"/>
  <c r="A168" i="4"/>
  <c r="J168" i="4"/>
  <c r="I168" i="4"/>
  <c r="H168" i="4"/>
  <c r="G168" i="4"/>
  <c r="F168" i="4"/>
  <c r="E168" i="4"/>
  <c r="D168" i="4"/>
  <c r="C168" i="4"/>
  <c r="B167" i="4"/>
  <c r="A167" i="4"/>
  <c r="J167" i="4"/>
  <c r="I167" i="4"/>
  <c r="H167" i="4"/>
  <c r="G167" i="4"/>
  <c r="F167" i="4"/>
  <c r="E167" i="4"/>
  <c r="D167" i="4"/>
  <c r="C167" i="4"/>
  <c r="B166" i="4"/>
  <c r="A166" i="4"/>
  <c r="J166" i="4"/>
  <c r="I166" i="4"/>
  <c r="H166" i="4"/>
  <c r="G166" i="4"/>
  <c r="F166" i="4"/>
  <c r="E166" i="4"/>
  <c r="D166" i="4"/>
  <c r="C166" i="4"/>
  <c r="B165" i="4"/>
  <c r="A165" i="4"/>
  <c r="J165" i="4"/>
  <c r="I165" i="4"/>
  <c r="H165" i="4"/>
  <c r="G165" i="4"/>
  <c r="F165" i="4"/>
  <c r="E165" i="4"/>
  <c r="D165" i="4"/>
  <c r="C165" i="4"/>
  <c r="B164" i="4"/>
  <c r="A164" i="4"/>
  <c r="J164" i="4"/>
  <c r="I164" i="4"/>
  <c r="H164" i="4"/>
  <c r="G164" i="4"/>
  <c r="F164" i="4"/>
  <c r="E164" i="4"/>
  <c r="D164" i="4"/>
  <c r="C164" i="4"/>
  <c r="B163" i="4"/>
  <c r="A163" i="4"/>
  <c r="J163" i="4"/>
  <c r="I163" i="4"/>
  <c r="H163" i="4"/>
  <c r="G163" i="4"/>
  <c r="F163" i="4"/>
  <c r="E163" i="4"/>
  <c r="D163" i="4"/>
  <c r="C163" i="4"/>
  <c r="B162" i="4"/>
  <c r="A162" i="4"/>
  <c r="J162" i="4"/>
  <c r="I162" i="4"/>
  <c r="H162" i="4"/>
  <c r="G162" i="4"/>
  <c r="F162" i="4"/>
  <c r="E162" i="4"/>
  <c r="D162" i="4"/>
  <c r="C162" i="4"/>
  <c r="B161" i="4"/>
  <c r="A161" i="4"/>
  <c r="J161" i="4"/>
  <c r="I161" i="4"/>
  <c r="H161" i="4"/>
  <c r="G161" i="4"/>
  <c r="F161" i="4"/>
  <c r="E161" i="4"/>
  <c r="D161" i="4"/>
  <c r="C161" i="4"/>
  <c r="B160" i="4"/>
  <c r="A160" i="4"/>
  <c r="J160" i="4"/>
  <c r="I160" i="4"/>
  <c r="H160" i="4"/>
  <c r="G160" i="4"/>
  <c r="F160" i="4"/>
  <c r="E160" i="4"/>
  <c r="D160" i="4"/>
  <c r="C160" i="4"/>
  <c r="B159" i="4"/>
  <c r="A159" i="4"/>
  <c r="J159" i="4"/>
  <c r="I159" i="4"/>
  <c r="H159" i="4"/>
  <c r="G159" i="4"/>
  <c r="F159" i="4"/>
  <c r="E159" i="4"/>
  <c r="D159" i="4"/>
  <c r="C159" i="4"/>
  <c r="B158" i="4"/>
  <c r="A158" i="4"/>
  <c r="J158" i="4"/>
  <c r="I158" i="4"/>
  <c r="H158" i="4"/>
  <c r="G158" i="4"/>
  <c r="F158" i="4"/>
  <c r="E158" i="4"/>
  <c r="D158" i="4"/>
  <c r="C158" i="4"/>
  <c r="B157" i="4"/>
  <c r="A157" i="4"/>
  <c r="J157" i="4"/>
  <c r="I157" i="4"/>
  <c r="H157" i="4"/>
  <c r="G157" i="4"/>
  <c r="F157" i="4"/>
  <c r="E157" i="4"/>
  <c r="D157" i="4"/>
  <c r="C157" i="4"/>
  <c r="B156" i="4"/>
  <c r="A156" i="4"/>
  <c r="J156" i="4"/>
  <c r="I156" i="4"/>
  <c r="H156" i="4"/>
  <c r="G156" i="4"/>
  <c r="F156" i="4"/>
  <c r="E156" i="4"/>
  <c r="D156" i="4"/>
  <c r="C156" i="4"/>
  <c r="B155" i="4"/>
  <c r="A155" i="4"/>
  <c r="J155" i="4"/>
  <c r="I155" i="4"/>
  <c r="H155" i="4"/>
  <c r="G155" i="4"/>
  <c r="F155" i="4"/>
  <c r="E155" i="4"/>
  <c r="D155" i="4"/>
  <c r="C155" i="4"/>
  <c r="B154" i="4"/>
  <c r="A154" i="4"/>
  <c r="J154" i="4"/>
  <c r="I154" i="4"/>
  <c r="H154" i="4"/>
  <c r="G154" i="4"/>
  <c r="F154" i="4"/>
  <c r="E154" i="4"/>
  <c r="D154" i="4"/>
  <c r="C154" i="4"/>
  <c r="B153" i="4"/>
  <c r="A153" i="4"/>
  <c r="J153" i="4"/>
  <c r="I153" i="4"/>
  <c r="H153" i="4"/>
  <c r="G153" i="4"/>
  <c r="F153" i="4"/>
  <c r="E153" i="4"/>
  <c r="D153" i="4"/>
  <c r="C153" i="4"/>
  <c r="B152" i="4"/>
  <c r="A152" i="4"/>
  <c r="J152" i="4"/>
  <c r="I152" i="4"/>
  <c r="H152" i="4"/>
  <c r="G152" i="4"/>
  <c r="F152" i="4"/>
  <c r="E152" i="4"/>
  <c r="D152" i="4"/>
  <c r="C152" i="4"/>
  <c r="B151" i="4"/>
  <c r="A151" i="4"/>
  <c r="J151" i="4"/>
  <c r="I151" i="4"/>
  <c r="H151" i="4"/>
  <c r="G151" i="4"/>
  <c r="F151" i="4"/>
  <c r="E151" i="4"/>
  <c r="D151" i="4"/>
  <c r="C151" i="4"/>
  <c r="B150" i="4"/>
  <c r="A150" i="4"/>
  <c r="J150" i="4"/>
  <c r="I150" i="4"/>
  <c r="H150" i="4"/>
  <c r="G150" i="4"/>
  <c r="F150" i="4"/>
  <c r="E150" i="4"/>
  <c r="D150" i="4"/>
  <c r="C150" i="4"/>
  <c r="B149" i="4"/>
  <c r="A149" i="4"/>
  <c r="J149" i="4"/>
  <c r="I149" i="4"/>
  <c r="H149" i="4"/>
  <c r="G149" i="4"/>
  <c r="F149" i="4"/>
  <c r="E149" i="4"/>
  <c r="D149" i="4"/>
  <c r="C149" i="4"/>
  <c r="B148" i="4"/>
  <c r="A148" i="4"/>
  <c r="J148" i="4"/>
  <c r="I148" i="4"/>
  <c r="H148" i="4"/>
  <c r="G148" i="4"/>
  <c r="F148" i="4"/>
  <c r="E148" i="4"/>
  <c r="D148" i="4"/>
  <c r="C148" i="4"/>
  <c r="B147" i="4"/>
  <c r="A147" i="4"/>
  <c r="J147" i="4"/>
  <c r="I147" i="4"/>
  <c r="H147" i="4"/>
  <c r="G147" i="4"/>
  <c r="F147" i="4"/>
  <c r="E147" i="4"/>
  <c r="D147" i="4"/>
  <c r="C147" i="4"/>
  <c r="B146" i="4"/>
  <c r="A146" i="4"/>
  <c r="J146" i="4"/>
  <c r="I146" i="4"/>
  <c r="H146" i="4"/>
  <c r="G146" i="4"/>
  <c r="F146" i="4"/>
  <c r="E146" i="4"/>
  <c r="D146" i="4"/>
  <c r="C146" i="4"/>
  <c r="B145" i="4"/>
  <c r="A145" i="4"/>
  <c r="J145" i="4"/>
  <c r="I145" i="4"/>
  <c r="H145" i="4"/>
  <c r="G145" i="4"/>
  <c r="F145" i="4"/>
  <c r="E145" i="4"/>
  <c r="D145" i="4"/>
  <c r="C145" i="4"/>
  <c r="B144" i="4"/>
  <c r="A144" i="4"/>
  <c r="J144" i="4"/>
  <c r="I144" i="4"/>
  <c r="H144" i="4"/>
  <c r="G144" i="4"/>
  <c r="F144" i="4"/>
  <c r="E144" i="4"/>
  <c r="D144" i="4"/>
  <c r="C144" i="4"/>
  <c r="B143" i="4"/>
  <c r="A143" i="4"/>
  <c r="J143" i="4"/>
  <c r="I143" i="4"/>
  <c r="H143" i="4"/>
  <c r="G143" i="4"/>
  <c r="F143" i="4"/>
  <c r="E143" i="4"/>
  <c r="D143" i="4"/>
  <c r="C143" i="4"/>
  <c r="B142" i="4"/>
  <c r="A142" i="4"/>
  <c r="J142" i="4"/>
  <c r="I142" i="4"/>
  <c r="H142" i="4"/>
  <c r="G142" i="4"/>
  <c r="F142" i="4"/>
  <c r="E142" i="4"/>
  <c r="D142" i="4"/>
  <c r="C142" i="4"/>
  <c r="B141" i="4"/>
  <c r="A141" i="4"/>
  <c r="J141" i="4"/>
  <c r="I141" i="4"/>
  <c r="H141" i="4"/>
  <c r="G141" i="4"/>
  <c r="F141" i="4"/>
  <c r="E141" i="4"/>
  <c r="D141" i="4"/>
  <c r="C141" i="4"/>
  <c r="B140" i="4"/>
  <c r="A140" i="4"/>
  <c r="J140" i="4"/>
  <c r="I140" i="4"/>
  <c r="H140" i="4"/>
  <c r="G140" i="4"/>
  <c r="F140" i="4"/>
  <c r="E140" i="4"/>
  <c r="D140" i="4"/>
  <c r="C140" i="4"/>
  <c r="B139" i="4"/>
  <c r="A139" i="4"/>
  <c r="J139" i="4"/>
  <c r="I139" i="4"/>
  <c r="H139" i="4"/>
  <c r="G139" i="4"/>
  <c r="F139" i="4"/>
  <c r="E139" i="4"/>
  <c r="D139" i="4"/>
  <c r="C139" i="4"/>
  <c r="B138" i="4"/>
  <c r="A138" i="4"/>
  <c r="J138" i="4"/>
  <c r="I138" i="4"/>
  <c r="H138" i="4"/>
  <c r="G138" i="4"/>
  <c r="F138" i="4"/>
  <c r="E138" i="4"/>
  <c r="D138" i="4"/>
  <c r="C138" i="4"/>
  <c r="B137" i="4"/>
  <c r="A137" i="4"/>
  <c r="J137" i="4"/>
  <c r="I137" i="4"/>
  <c r="H137" i="4"/>
  <c r="G137" i="4"/>
  <c r="F137" i="4"/>
  <c r="E137" i="4"/>
  <c r="D137" i="4"/>
  <c r="C137" i="4"/>
  <c r="B136" i="4"/>
  <c r="A136" i="4"/>
  <c r="J136" i="4"/>
  <c r="I136" i="4"/>
  <c r="H136" i="4"/>
  <c r="G136" i="4"/>
  <c r="F136" i="4"/>
  <c r="E136" i="4"/>
  <c r="D136" i="4"/>
  <c r="C136" i="4"/>
  <c r="B135" i="4"/>
  <c r="A135" i="4"/>
  <c r="J135" i="4"/>
  <c r="I135" i="4"/>
  <c r="H135" i="4"/>
  <c r="G135" i="4"/>
  <c r="F135" i="4"/>
  <c r="E135" i="4"/>
  <c r="D135" i="4"/>
  <c r="C135" i="4"/>
  <c r="B134" i="4"/>
  <c r="A134" i="4"/>
  <c r="J134" i="4"/>
  <c r="I134" i="4"/>
  <c r="H134" i="4"/>
  <c r="G134" i="4"/>
  <c r="F134" i="4"/>
  <c r="E134" i="4"/>
  <c r="D134" i="4"/>
  <c r="C134" i="4"/>
  <c r="B133" i="4"/>
  <c r="A133" i="4"/>
  <c r="J133" i="4"/>
  <c r="I133" i="4"/>
  <c r="H133" i="4"/>
  <c r="G133" i="4"/>
  <c r="F133" i="4"/>
  <c r="E133" i="4"/>
  <c r="D133" i="4"/>
  <c r="C133" i="4"/>
  <c r="B132" i="4"/>
  <c r="A132" i="4"/>
  <c r="J132" i="4"/>
  <c r="I132" i="4"/>
  <c r="H132" i="4"/>
  <c r="G132" i="4"/>
  <c r="F132" i="4"/>
  <c r="E132" i="4"/>
  <c r="D132" i="4"/>
  <c r="C132" i="4"/>
  <c r="B131" i="4"/>
  <c r="A131" i="4"/>
  <c r="J131" i="4"/>
  <c r="I131" i="4"/>
  <c r="H131" i="4"/>
  <c r="G131" i="4"/>
  <c r="F131" i="4"/>
  <c r="E131" i="4"/>
  <c r="D131" i="4"/>
  <c r="C131" i="4"/>
  <c r="B130" i="4"/>
  <c r="A130" i="4"/>
  <c r="J130" i="4"/>
  <c r="I130" i="4"/>
  <c r="H130" i="4"/>
  <c r="G130" i="4"/>
  <c r="F130" i="4"/>
  <c r="E130" i="4"/>
  <c r="D130" i="4"/>
  <c r="C130" i="4"/>
  <c r="B129" i="4"/>
  <c r="A129" i="4"/>
  <c r="J129" i="4"/>
  <c r="I129" i="4"/>
  <c r="H129" i="4"/>
  <c r="G129" i="4"/>
  <c r="F129" i="4"/>
  <c r="E129" i="4"/>
  <c r="D129" i="4"/>
  <c r="C129" i="4"/>
  <c r="B128" i="4"/>
  <c r="A128" i="4"/>
  <c r="J128" i="4"/>
  <c r="I128" i="4"/>
  <c r="H128" i="4"/>
  <c r="G128" i="4"/>
  <c r="F128" i="4"/>
  <c r="E128" i="4"/>
  <c r="D128" i="4"/>
  <c r="C128" i="4"/>
  <c r="B127" i="4"/>
  <c r="A127" i="4"/>
  <c r="J127" i="4"/>
  <c r="I127" i="4"/>
  <c r="H127" i="4"/>
  <c r="G127" i="4"/>
  <c r="F127" i="4"/>
  <c r="E127" i="4"/>
  <c r="D127" i="4"/>
  <c r="C127" i="4"/>
  <c r="B126" i="4"/>
  <c r="A126" i="4"/>
  <c r="J126" i="4"/>
  <c r="I126" i="4"/>
  <c r="H126" i="4"/>
  <c r="G126" i="4"/>
  <c r="F126" i="4"/>
  <c r="E126" i="4"/>
  <c r="D126" i="4"/>
  <c r="C126" i="4"/>
  <c r="B125" i="4"/>
  <c r="A125" i="4"/>
  <c r="J125" i="4"/>
  <c r="I125" i="4"/>
  <c r="H125" i="4"/>
  <c r="G125" i="4"/>
  <c r="F125" i="4"/>
  <c r="E125" i="4"/>
  <c r="D125" i="4"/>
  <c r="C125" i="4"/>
  <c r="B124" i="4"/>
  <c r="A124" i="4"/>
  <c r="J124" i="4"/>
  <c r="I124" i="4"/>
  <c r="H124" i="4"/>
  <c r="G124" i="4"/>
  <c r="F124" i="4"/>
  <c r="E124" i="4"/>
  <c r="D124" i="4"/>
  <c r="C124" i="4"/>
  <c r="B123" i="4"/>
  <c r="A123" i="4"/>
  <c r="J123" i="4"/>
  <c r="I123" i="4"/>
  <c r="H123" i="4"/>
  <c r="G123" i="4"/>
  <c r="F123" i="4"/>
  <c r="E123" i="4"/>
  <c r="D123" i="4"/>
  <c r="C123" i="4"/>
  <c r="B122" i="4"/>
  <c r="A122" i="4"/>
  <c r="J122" i="4"/>
  <c r="I122" i="4"/>
  <c r="H122" i="4"/>
  <c r="G122" i="4"/>
  <c r="F122" i="4"/>
  <c r="E122" i="4"/>
  <c r="D122" i="4"/>
  <c r="C122" i="4"/>
  <c r="B121" i="4"/>
  <c r="A121" i="4"/>
  <c r="J121" i="4"/>
  <c r="I121" i="4"/>
  <c r="H121" i="4"/>
  <c r="G121" i="4"/>
  <c r="F121" i="4"/>
  <c r="E121" i="4"/>
  <c r="D121" i="4"/>
  <c r="C121" i="4"/>
  <c r="B120" i="4"/>
  <c r="A120" i="4"/>
  <c r="J120" i="4"/>
  <c r="I120" i="4"/>
  <c r="H120" i="4"/>
  <c r="G120" i="4"/>
  <c r="F120" i="4"/>
  <c r="E120" i="4"/>
  <c r="D120" i="4"/>
  <c r="C120" i="4"/>
  <c r="B119" i="4"/>
  <c r="A119" i="4"/>
  <c r="J119" i="4"/>
  <c r="I119" i="4"/>
  <c r="H119" i="4"/>
  <c r="G119" i="4"/>
  <c r="F119" i="4"/>
  <c r="E119" i="4"/>
  <c r="D119" i="4"/>
  <c r="C119" i="4"/>
  <c r="B118" i="4"/>
  <c r="A118" i="4"/>
  <c r="J118" i="4"/>
  <c r="I118" i="4"/>
  <c r="H118" i="4"/>
  <c r="G118" i="4"/>
  <c r="F118" i="4"/>
  <c r="E118" i="4"/>
  <c r="D118" i="4"/>
  <c r="C118" i="4"/>
  <c r="B117" i="4"/>
  <c r="A117" i="4"/>
  <c r="J117" i="4"/>
  <c r="I117" i="4"/>
  <c r="H117" i="4"/>
  <c r="G117" i="4"/>
  <c r="F117" i="4"/>
  <c r="E117" i="4"/>
  <c r="D117" i="4"/>
  <c r="C117" i="4"/>
  <c r="B116" i="4"/>
  <c r="A116" i="4"/>
  <c r="J116" i="4"/>
  <c r="I116" i="4"/>
  <c r="H116" i="4"/>
  <c r="G116" i="4"/>
  <c r="F116" i="4"/>
  <c r="E116" i="4"/>
  <c r="D116" i="4"/>
  <c r="C116" i="4"/>
  <c r="B115" i="4"/>
  <c r="A115" i="4"/>
  <c r="J115" i="4"/>
  <c r="I115" i="4"/>
  <c r="H115" i="4"/>
  <c r="G115" i="4"/>
  <c r="F115" i="4"/>
  <c r="E115" i="4"/>
  <c r="D115" i="4"/>
  <c r="C115" i="4"/>
  <c r="B114" i="4"/>
  <c r="A114" i="4"/>
  <c r="J114" i="4"/>
  <c r="I114" i="4"/>
  <c r="H114" i="4"/>
  <c r="G114" i="4"/>
  <c r="F114" i="4"/>
  <c r="E114" i="4"/>
  <c r="D114" i="4"/>
  <c r="C114" i="4"/>
  <c r="B113" i="4"/>
  <c r="A113" i="4"/>
  <c r="J113" i="4"/>
  <c r="I113" i="4"/>
  <c r="H113" i="4"/>
  <c r="G113" i="4"/>
  <c r="F113" i="4"/>
  <c r="E113" i="4"/>
  <c r="D113" i="4"/>
  <c r="C113" i="4"/>
  <c r="B112" i="4"/>
  <c r="A112" i="4"/>
  <c r="J112" i="4"/>
  <c r="I112" i="4"/>
  <c r="H112" i="4"/>
  <c r="G112" i="4"/>
  <c r="F112" i="4"/>
  <c r="E112" i="4"/>
  <c r="D112" i="4"/>
  <c r="C112" i="4"/>
  <c r="B111" i="4"/>
  <c r="A111" i="4"/>
  <c r="J111" i="4"/>
  <c r="I111" i="4"/>
  <c r="H111" i="4"/>
  <c r="G111" i="4"/>
  <c r="F111" i="4"/>
  <c r="E111" i="4"/>
  <c r="D111" i="4"/>
  <c r="C111" i="4"/>
  <c r="B110" i="4"/>
  <c r="A110" i="4"/>
  <c r="J110" i="4"/>
  <c r="I110" i="4"/>
  <c r="H110" i="4"/>
  <c r="G110" i="4"/>
  <c r="F110" i="4"/>
  <c r="E110" i="4"/>
  <c r="D110" i="4"/>
  <c r="C110" i="4"/>
  <c r="B109" i="4"/>
  <c r="A109" i="4"/>
  <c r="J109" i="4"/>
  <c r="I109" i="4"/>
  <c r="H109" i="4"/>
  <c r="G109" i="4"/>
  <c r="F109" i="4"/>
  <c r="E109" i="4"/>
  <c r="D109" i="4"/>
  <c r="C109" i="4"/>
  <c r="B108" i="4"/>
  <c r="A108" i="4"/>
  <c r="J108" i="4"/>
  <c r="I108" i="4"/>
  <c r="H108" i="4"/>
  <c r="G108" i="4"/>
  <c r="F108" i="4"/>
  <c r="E108" i="4"/>
  <c r="D108" i="4"/>
  <c r="C108" i="4"/>
  <c r="B107" i="4"/>
  <c r="A107" i="4"/>
  <c r="J107" i="4"/>
  <c r="I107" i="4"/>
  <c r="H107" i="4"/>
  <c r="G107" i="4"/>
  <c r="F107" i="4"/>
  <c r="E107" i="4"/>
  <c r="D107" i="4"/>
  <c r="C107" i="4"/>
  <c r="B106" i="4"/>
  <c r="A106" i="4"/>
  <c r="J106" i="4"/>
  <c r="I106" i="4"/>
  <c r="H106" i="4"/>
  <c r="G106" i="4"/>
  <c r="F106" i="4"/>
  <c r="E106" i="4"/>
  <c r="D106" i="4"/>
  <c r="C106" i="4"/>
  <c r="B105" i="4"/>
  <c r="A105" i="4"/>
  <c r="J105" i="4"/>
  <c r="I105" i="4"/>
  <c r="H105" i="4"/>
  <c r="G105" i="4"/>
  <c r="F105" i="4"/>
  <c r="E105" i="4"/>
  <c r="D105" i="4"/>
  <c r="C105" i="4"/>
  <c r="B104" i="4"/>
  <c r="A104" i="4"/>
  <c r="J104" i="4"/>
  <c r="I104" i="4"/>
  <c r="H104" i="4"/>
  <c r="G104" i="4"/>
  <c r="F104" i="4"/>
  <c r="E104" i="4"/>
  <c r="D104" i="4"/>
  <c r="C104" i="4"/>
  <c r="B103" i="4"/>
  <c r="A103" i="4"/>
  <c r="J103" i="4"/>
  <c r="I103" i="4"/>
  <c r="H103" i="4"/>
  <c r="G103" i="4"/>
  <c r="F103" i="4"/>
  <c r="E103" i="4"/>
  <c r="D103" i="4"/>
  <c r="C103" i="4"/>
  <c r="B102" i="4"/>
  <c r="A102" i="4"/>
  <c r="J102" i="4"/>
  <c r="I102" i="4"/>
  <c r="H102" i="4"/>
  <c r="G102" i="4"/>
  <c r="F102" i="4"/>
  <c r="E102" i="4"/>
  <c r="D102" i="4"/>
  <c r="C102" i="4"/>
  <c r="B101" i="4"/>
  <c r="A101" i="4"/>
  <c r="J101" i="4"/>
  <c r="I101" i="4"/>
  <c r="H101" i="4"/>
  <c r="G101" i="4"/>
  <c r="F101" i="4"/>
  <c r="E101" i="4"/>
  <c r="D101" i="4"/>
  <c r="C101" i="4"/>
  <c r="B100" i="4"/>
  <c r="A100" i="4"/>
  <c r="J100" i="4"/>
  <c r="I100" i="4"/>
  <c r="H100" i="4"/>
  <c r="G100" i="4"/>
  <c r="F100" i="4"/>
  <c r="E100" i="4"/>
  <c r="D100" i="4"/>
  <c r="C100" i="4"/>
  <c r="B99" i="4"/>
  <c r="A99" i="4"/>
  <c r="J99" i="4"/>
  <c r="I99" i="4"/>
  <c r="H99" i="4"/>
  <c r="G99" i="4"/>
  <c r="F99" i="4"/>
  <c r="E99" i="4"/>
  <c r="D99" i="4"/>
  <c r="C99" i="4"/>
  <c r="B98" i="4"/>
  <c r="A98" i="4"/>
  <c r="J98" i="4"/>
  <c r="I98" i="4"/>
  <c r="H98" i="4"/>
  <c r="G98" i="4"/>
  <c r="F98" i="4"/>
  <c r="E98" i="4"/>
  <c r="D98" i="4"/>
  <c r="C98" i="4"/>
  <c r="B97" i="4"/>
  <c r="A97" i="4"/>
  <c r="J97" i="4"/>
  <c r="I97" i="4"/>
  <c r="H97" i="4"/>
  <c r="G97" i="4"/>
  <c r="F97" i="4"/>
  <c r="E97" i="4"/>
  <c r="D97" i="4"/>
  <c r="C97" i="4"/>
  <c r="B96" i="4"/>
  <c r="A96" i="4"/>
  <c r="J96" i="4"/>
  <c r="I96" i="4"/>
  <c r="H96" i="4"/>
  <c r="G96" i="4"/>
  <c r="F96" i="4"/>
  <c r="E96" i="4"/>
  <c r="D96" i="4"/>
  <c r="C96" i="4"/>
  <c r="B95" i="4"/>
  <c r="A95" i="4"/>
  <c r="J95" i="4"/>
  <c r="I95" i="4"/>
  <c r="H95" i="4"/>
  <c r="G95" i="4"/>
  <c r="F95" i="4"/>
  <c r="E95" i="4"/>
  <c r="D95" i="4"/>
  <c r="C95" i="4"/>
  <c r="B94" i="4"/>
  <c r="A94" i="4"/>
  <c r="J94" i="4"/>
  <c r="I94" i="4"/>
  <c r="H94" i="4"/>
  <c r="G94" i="4"/>
  <c r="F94" i="4"/>
  <c r="E94" i="4"/>
  <c r="D94" i="4"/>
  <c r="C94" i="4"/>
  <c r="B93" i="4"/>
  <c r="A93" i="4"/>
  <c r="J93" i="4"/>
  <c r="I93" i="4"/>
  <c r="H93" i="4"/>
  <c r="G93" i="4"/>
  <c r="F93" i="4"/>
  <c r="E93" i="4"/>
  <c r="D93" i="4"/>
  <c r="C93" i="4"/>
  <c r="B92" i="4"/>
  <c r="A92" i="4"/>
  <c r="J92" i="4"/>
  <c r="I92" i="4"/>
  <c r="H92" i="4"/>
  <c r="G92" i="4"/>
  <c r="F92" i="4"/>
  <c r="E92" i="4"/>
  <c r="D92" i="4"/>
  <c r="C92" i="4"/>
  <c r="B91" i="4"/>
  <c r="A91" i="4"/>
  <c r="J91" i="4"/>
  <c r="I91" i="4"/>
  <c r="H91" i="4"/>
  <c r="G91" i="4"/>
  <c r="F91" i="4"/>
  <c r="E91" i="4"/>
  <c r="D91" i="4"/>
  <c r="C91" i="4"/>
  <c r="B90" i="4"/>
  <c r="A90" i="4"/>
  <c r="J90" i="4"/>
  <c r="I90" i="4"/>
  <c r="H90" i="4"/>
  <c r="G90" i="4"/>
  <c r="F90" i="4"/>
  <c r="E90" i="4"/>
  <c r="D90" i="4"/>
  <c r="C90" i="4"/>
  <c r="B89" i="4"/>
  <c r="A89" i="4"/>
  <c r="J89" i="4"/>
  <c r="I89" i="4"/>
  <c r="H89" i="4"/>
  <c r="G89" i="4"/>
  <c r="F89" i="4"/>
  <c r="E89" i="4"/>
  <c r="D89" i="4"/>
  <c r="C89" i="4"/>
  <c r="B88" i="4"/>
  <c r="A88" i="4"/>
  <c r="J88" i="4"/>
  <c r="I88" i="4"/>
  <c r="H88" i="4"/>
  <c r="G88" i="4"/>
  <c r="F88" i="4"/>
  <c r="E88" i="4"/>
  <c r="D88" i="4"/>
  <c r="C88" i="4"/>
  <c r="B87" i="4"/>
  <c r="A87" i="4"/>
  <c r="J87" i="4"/>
  <c r="I87" i="4"/>
  <c r="H87" i="4"/>
  <c r="G87" i="4"/>
  <c r="F87" i="4"/>
  <c r="E87" i="4"/>
  <c r="D87" i="4"/>
  <c r="C87" i="4"/>
  <c r="B86" i="4"/>
  <c r="A86" i="4"/>
  <c r="J86" i="4"/>
  <c r="I86" i="4"/>
  <c r="H86" i="4"/>
  <c r="G86" i="4"/>
  <c r="F86" i="4"/>
  <c r="E86" i="4"/>
  <c r="D86" i="4"/>
  <c r="C86" i="4"/>
  <c r="B85" i="4"/>
  <c r="A85" i="4"/>
  <c r="J85" i="4"/>
  <c r="I85" i="4"/>
  <c r="H85" i="4"/>
  <c r="G85" i="4"/>
  <c r="F85" i="4"/>
  <c r="E85" i="4"/>
  <c r="D85" i="4"/>
  <c r="C85" i="4"/>
  <c r="B84" i="4"/>
  <c r="A84" i="4"/>
  <c r="J84" i="4"/>
  <c r="I84" i="4"/>
  <c r="H84" i="4"/>
  <c r="G84" i="4"/>
  <c r="F84" i="4"/>
  <c r="E84" i="4"/>
  <c r="D84" i="4"/>
  <c r="C84" i="4"/>
  <c r="B83" i="4"/>
  <c r="A83" i="4"/>
  <c r="J83" i="4"/>
  <c r="I83" i="4"/>
  <c r="H83" i="4"/>
  <c r="G83" i="4"/>
  <c r="F83" i="4"/>
  <c r="E83" i="4"/>
  <c r="D83" i="4"/>
  <c r="C83" i="4"/>
  <c r="B82" i="4"/>
  <c r="A82" i="4"/>
  <c r="J82" i="4"/>
  <c r="I82" i="4"/>
  <c r="H82" i="4"/>
  <c r="G82" i="4"/>
  <c r="F82" i="4"/>
  <c r="E82" i="4"/>
  <c r="D82" i="4"/>
  <c r="C82" i="4"/>
  <c r="B81" i="4"/>
  <c r="A81" i="4"/>
  <c r="J81" i="4"/>
  <c r="I81" i="4"/>
  <c r="H81" i="4"/>
  <c r="G81" i="4"/>
  <c r="F81" i="4"/>
  <c r="E81" i="4"/>
  <c r="D81" i="4"/>
  <c r="C81" i="4"/>
  <c r="B80" i="4"/>
  <c r="A80" i="4"/>
  <c r="J80" i="4"/>
  <c r="I80" i="4"/>
  <c r="H80" i="4"/>
  <c r="G80" i="4"/>
  <c r="F80" i="4"/>
  <c r="E80" i="4"/>
  <c r="D80" i="4"/>
  <c r="C80" i="4"/>
  <c r="B79" i="4"/>
  <c r="A79" i="4"/>
  <c r="J79" i="4"/>
  <c r="I79" i="4"/>
  <c r="H79" i="4"/>
  <c r="G79" i="4"/>
  <c r="F79" i="4"/>
  <c r="E79" i="4"/>
  <c r="D79" i="4"/>
  <c r="C79" i="4"/>
  <c r="B78" i="4"/>
  <c r="A78" i="4"/>
  <c r="J78" i="4"/>
  <c r="I78" i="4"/>
  <c r="H78" i="4"/>
  <c r="G78" i="4"/>
  <c r="F78" i="4"/>
  <c r="E78" i="4"/>
  <c r="D78" i="4"/>
  <c r="C78" i="4"/>
  <c r="B77" i="4"/>
  <c r="A77" i="4"/>
  <c r="J77" i="4"/>
  <c r="I77" i="4"/>
  <c r="H77" i="4"/>
  <c r="G77" i="4"/>
  <c r="F77" i="4"/>
  <c r="E77" i="4"/>
  <c r="D77" i="4"/>
  <c r="C77" i="4"/>
  <c r="B76" i="4"/>
  <c r="A76" i="4"/>
  <c r="J76" i="4"/>
  <c r="I76" i="4"/>
  <c r="H76" i="4"/>
  <c r="G76" i="4"/>
  <c r="F76" i="4"/>
  <c r="E76" i="4"/>
  <c r="D76" i="4"/>
  <c r="C76" i="4"/>
  <c r="B75" i="4"/>
  <c r="A75" i="4"/>
  <c r="J75" i="4"/>
  <c r="I75" i="4"/>
  <c r="H75" i="4"/>
  <c r="G75" i="4"/>
  <c r="F75" i="4"/>
  <c r="E75" i="4"/>
  <c r="D75" i="4"/>
  <c r="C75" i="4"/>
  <c r="B74" i="4"/>
  <c r="A74" i="4"/>
  <c r="J74" i="4"/>
  <c r="I74" i="4"/>
  <c r="H74" i="4"/>
  <c r="G74" i="4"/>
  <c r="F74" i="4"/>
  <c r="E74" i="4"/>
  <c r="D74" i="4"/>
  <c r="C74" i="4"/>
  <c r="B73" i="4"/>
  <c r="A73" i="4"/>
  <c r="J73" i="4"/>
  <c r="I73" i="4"/>
  <c r="H73" i="4"/>
  <c r="G73" i="4"/>
  <c r="F73" i="4"/>
  <c r="E73" i="4"/>
  <c r="D73" i="4"/>
  <c r="C73" i="4"/>
  <c r="B72" i="4"/>
  <c r="A72" i="4"/>
  <c r="J72" i="4"/>
  <c r="I72" i="4"/>
  <c r="H72" i="4"/>
  <c r="G72" i="4"/>
  <c r="F72" i="4"/>
  <c r="E72" i="4"/>
  <c r="D72" i="4"/>
  <c r="C72" i="4"/>
  <c r="B71" i="4"/>
  <c r="A71" i="4"/>
  <c r="J71" i="4"/>
  <c r="I71" i="4"/>
  <c r="H71" i="4"/>
  <c r="G71" i="4"/>
  <c r="F71" i="4"/>
  <c r="E71" i="4"/>
  <c r="D71" i="4"/>
  <c r="C71" i="4"/>
  <c r="B70" i="4"/>
  <c r="A70" i="4"/>
  <c r="J70" i="4"/>
  <c r="I70" i="4"/>
  <c r="H70" i="4"/>
  <c r="G70" i="4"/>
  <c r="F70" i="4"/>
  <c r="E70" i="4"/>
  <c r="D70" i="4"/>
  <c r="C70" i="4"/>
  <c r="B69" i="4"/>
  <c r="A69" i="4"/>
  <c r="J69" i="4"/>
  <c r="I69" i="4"/>
  <c r="H69" i="4"/>
  <c r="G69" i="4"/>
  <c r="F69" i="4"/>
  <c r="E69" i="4"/>
  <c r="D69" i="4"/>
  <c r="C69" i="4"/>
  <c r="B68" i="4"/>
  <c r="A68" i="4"/>
  <c r="J68" i="4"/>
  <c r="I68" i="4"/>
  <c r="H68" i="4"/>
  <c r="G68" i="4"/>
  <c r="F68" i="4"/>
  <c r="E68" i="4"/>
  <c r="D68" i="4"/>
  <c r="C68" i="4"/>
  <c r="B67" i="4"/>
  <c r="A67" i="4"/>
  <c r="J67" i="4"/>
  <c r="I67" i="4"/>
  <c r="H67" i="4"/>
  <c r="G67" i="4"/>
  <c r="F67" i="4"/>
  <c r="E67" i="4"/>
  <c r="D67" i="4"/>
  <c r="C67" i="4"/>
  <c r="B66" i="4"/>
  <c r="A66" i="4"/>
  <c r="J66" i="4"/>
  <c r="I66" i="4"/>
  <c r="H66" i="4"/>
  <c r="G66" i="4"/>
  <c r="F66" i="4"/>
  <c r="E66" i="4"/>
  <c r="D66" i="4"/>
  <c r="C66" i="4"/>
  <c r="B65" i="4"/>
  <c r="A65" i="4"/>
  <c r="J65" i="4"/>
  <c r="I65" i="4"/>
  <c r="H65" i="4"/>
  <c r="G65" i="4"/>
  <c r="F65" i="4"/>
  <c r="E65" i="4"/>
  <c r="D65" i="4"/>
  <c r="C65" i="4"/>
  <c r="B64" i="4"/>
  <c r="A64" i="4"/>
  <c r="J64" i="4"/>
  <c r="I64" i="4"/>
  <c r="H64" i="4"/>
  <c r="G64" i="4"/>
  <c r="F64" i="4"/>
  <c r="E64" i="4"/>
  <c r="D64" i="4"/>
  <c r="C64" i="4"/>
  <c r="B63" i="4"/>
  <c r="J63" i="4"/>
  <c r="I63" i="4"/>
  <c r="H63" i="4"/>
  <c r="G63" i="4"/>
  <c r="F63" i="4"/>
  <c r="E63" i="4"/>
  <c r="D63" i="4"/>
  <c r="C63" i="4"/>
  <c r="B62" i="4"/>
  <c r="A62" i="4"/>
  <c r="J62" i="4"/>
  <c r="I62" i="4"/>
  <c r="H62" i="4"/>
  <c r="G62" i="4"/>
  <c r="F62" i="4"/>
  <c r="E62" i="4"/>
  <c r="D62" i="4"/>
  <c r="C62" i="4"/>
  <c r="B61" i="4"/>
  <c r="A61" i="4"/>
  <c r="J61" i="4"/>
  <c r="I61" i="4"/>
  <c r="H61" i="4"/>
  <c r="G61" i="4"/>
  <c r="F61" i="4"/>
  <c r="E61" i="4"/>
  <c r="D61" i="4"/>
  <c r="C61" i="4"/>
  <c r="B60" i="4"/>
  <c r="J60" i="4"/>
  <c r="I60" i="4"/>
  <c r="H60" i="4"/>
  <c r="G60" i="4"/>
  <c r="F60" i="4"/>
  <c r="E60" i="4"/>
  <c r="D60" i="4"/>
  <c r="C60" i="4"/>
  <c r="B59" i="4"/>
  <c r="H59" i="4"/>
  <c r="G59" i="4"/>
  <c r="F59" i="4"/>
  <c r="E59" i="4"/>
  <c r="D59" i="4"/>
  <c r="C59" i="4"/>
  <c r="B58" i="4"/>
  <c r="H58" i="4"/>
  <c r="G58" i="4"/>
  <c r="F58" i="4"/>
  <c r="E58" i="4"/>
  <c r="D58" i="4"/>
  <c r="C58" i="4"/>
  <c r="B57" i="4"/>
  <c r="A57" i="4"/>
  <c r="H57" i="4"/>
  <c r="G57" i="4"/>
  <c r="F57" i="4"/>
  <c r="E57" i="4"/>
  <c r="D57" i="4"/>
  <c r="C57" i="4"/>
  <c r="B56" i="4"/>
  <c r="A56" i="4"/>
  <c r="K56" i="4"/>
  <c r="I56" i="4"/>
  <c r="H56" i="4"/>
  <c r="G56" i="4"/>
  <c r="F56" i="4"/>
  <c r="E56" i="4"/>
  <c r="D56" i="4"/>
  <c r="C56" i="4"/>
  <c r="K55" i="4"/>
  <c r="I55" i="4"/>
  <c r="H55" i="4"/>
  <c r="C55" i="4"/>
  <c r="H54" i="4"/>
  <c r="C54" i="4"/>
  <c r="H53" i="4"/>
  <c r="C53" i="4"/>
  <c r="H52" i="4"/>
  <c r="C52" i="4"/>
  <c r="J51" i="4"/>
  <c r="I51" i="4"/>
  <c r="H51" i="4"/>
  <c r="C51" i="4"/>
  <c r="J50" i="4"/>
  <c r="I50" i="4"/>
  <c r="H50" i="4"/>
  <c r="C50" i="4"/>
  <c r="J49" i="4"/>
  <c r="I49" i="4"/>
  <c r="H49" i="4"/>
  <c r="C49" i="4"/>
  <c r="H48" i="4"/>
  <c r="C48" i="4"/>
  <c r="J47" i="4"/>
  <c r="I47" i="4"/>
  <c r="H47" i="4"/>
  <c r="C47" i="4"/>
  <c r="J46" i="4"/>
  <c r="I46" i="4"/>
  <c r="H46" i="4"/>
  <c r="G46" i="4"/>
  <c r="F46" i="4"/>
  <c r="E46" i="4"/>
  <c r="D46" i="4"/>
  <c r="C46" i="4"/>
  <c r="B46" i="4"/>
  <c r="A46" i="4"/>
  <c r="J45" i="4"/>
  <c r="I45" i="4"/>
  <c r="H45" i="4"/>
  <c r="G45" i="4"/>
  <c r="F45" i="4"/>
  <c r="E45" i="4"/>
  <c r="D45" i="4"/>
  <c r="C45" i="4"/>
  <c r="B45" i="4"/>
  <c r="A45" i="4"/>
  <c r="C15" i="3"/>
  <c r="C14" i="3"/>
  <c r="C13" i="3"/>
  <c r="C12" i="3"/>
  <c r="C11" i="3"/>
  <c r="C10" i="3"/>
  <c r="C9" i="3"/>
  <c r="C8" i="3"/>
  <c r="AC534" i="2"/>
  <c r="I534" i="2"/>
  <c r="AD533" i="2"/>
  <c r="AC533" i="2"/>
  <c r="AB533" i="2"/>
  <c r="AA533" i="2"/>
  <c r="I533" i="2"/>
  <c r="AD532" i="2"/>
  <c r="AC532" i="2"/>
  <c r="I532" i="2"/>
  <c r="AC531" i="2"/>
  <c r="I531" i="2"/>
  <c r="AD530" i="2"/>
  <c r="AC530" i="2"/>
  <c r="AB530" i="2"/>
  <c r="AA530" i="2"/>
  <c r="I530" i="2"/>
  <c r="AD529" i="2"/>
  <c r="AC529" i="2"/>
  <c r="AB529" i="2"/>
  <c r="AA529" i="2"/>
  <c r="I529" i="2"/>
  <c r="AD528" i="2"/>
  <c r="AC528" i="2"/>
  <c r="AB528" i="2"/>
  <c r="AA528" i="2"/>
  <c r="I528" i="2"/>
  <c r="AC527" i="2"/>
  <c r="I527" i="2"/>
  <c r="AD526" i="2"/>
  <c r="AC526" i="2"/>
  <c r="AB526" i="2"/>
  <c r="AA526" i="2"/>
  <c r="I526" i="2"/>
  <c r="AD525" i="2"/>
  <c r="AC525" i="2"/>
  <c r="AB525" i="2"/>
  <c r="AA525" i="2"/>
  <c r="I525" i="2"/>
  <c r="AC524" i="2"/>
  <c r="I524" i="2"/>
  <c r="AD523" i="2"/>
  <c r="AC523" i="2"/>
  <c r="AB523" i="2"/>
  <c r="AA523" i="2"/>
  <c r="I523" i="2"/>
  <c r="AD522" i="2"/>
  <c r="AC522" i="2"/>
  <c r="AB522" i="2"/>
  <c r="AA522" i="2"/>
  <c r="I522" i="2"/>
  <c r="AD521" i="2"/>
  <c r="AC521" i="2"/>
  <c r="AB521" i="2"/>
  <c r="AA521" i="2"/>
  <c r="I521" i="2"/>
  <c r="AC520" i="2"/>
  <c r="I520" i="2"/>
  <c r="AC519" i="2"/>
  <c r="I519" i="2"/>
  <c r="AD518" i="2"/>
  <c r="AC518" i="2"/>
  <c r="AB518" i="2"/>
  <c r="AA518" i="2"/>
  <c r="I518" i="2"/>
  <c r="AD517" i="2"/>
  <c r="AC517" i="2"/>
  <c r="AB517" i="2"/>
  <c r="AA517" i="2"/>
  <c r="I517" i="2"/>
  <c r="AC516" i="2"/>
  <c r="I516" i="2"/>
  <c r="AC515" i="2"/>
  <c r="I515" i="2"/>
  <c r="AD514" i="2"/>
  <c r="AC514" i="2"/>
  <c r="AB514" i="2"/>
  <c r="AA514" i="2"/>
  <c r="I514" i="2"/>
  <c r="AD513" i="2"/>
  <c r="AC513" i="2"/>
  <c r="AB513" i="2"/>
  <c r="AA513" i="2"/>
  <c r="I513" i="2"/>
  <c r="AD512" i="2"/>
  <c r="AC512" i="2"/>
  <c r="AD511" i="2"/>
  <c r="AC511" i="2"/>
  <c r="AB511" i="2"/>
  <c r="AA511" i="2"/>
  <c r="I511" i="2"/>
  <c r="AD510" i="2"/>
  <c r="AC510" i="2"/>
  <c r="AB510" i="2"/>
  <c r="AA510" i="2"/>
  <c r="I510" i="2"/>
  <c r="AD509" i="2"/>
  <c r="AC509" i="2"/>
  <c r="AB509" i="2"/>
  <c r="AA509" i="2"/>
  <c r="I509" i="2"/>
  <c r="AD508" i="2"/>
  <c r="AC508" i="2"/>
  <c r="AB508" i="2"/>
  <c r="AA508" i="2"/>
  <c r="I508" i="2"/>
  <c r="AD507" i="2"/>
  <c r="AC507" i="2"/>
  <c r="AB507" i="2"/>
  <c r="AA507" i="2"/>
  <c r="I507" i="2"/>
  <c r="AC506" i="2"/>
  <c r="I506" i="2"/>
  <c r="AC505" i="2"/>
  <c r="I505" i="2"/>
  <c r="AD504" i="2"/>
  <c r="AC504" i="2"/>
  <c r="AB504" i="2"/>
  <c r="AA504" i="2"/>
  <c r="I504" i="2"/>
  <c r="AD503" i="2"/>
  <c r="AC503" i="2"/>
  <c r="AB503" i="2"/>
  <c r="AA503" i="2"/>
  <c r="I503" i="2"/>
  <c r="AC502" i="2"/>
  <c r="I502" i="2"/>
  <c r="AC501" i="2"/>
  <c r="I501" i="2"/>
  <c r="AC500" i="2"/>
  <c r="I500" i="2"/>
  <c r="AC499" i="2"/>
  <c r="I499" i="2"/>
  <c r="AC498" i="2"/>
  <c r="I498" i="2"/>
  <c r="AC497" i="2"/>
  <c r="I497" i="2"/>
  <c r="AC496" i="2"/>
  <c r="I496" i="2"/>
  <c r="AC495" i="2"/>
  <c r="I495" i="2"/>
  <c r="AD494" i="2"/>
  <c r="AC494" i="2"/>
  <c r="AB494" i="2"/>
  <c r="AA494" i="2"/>
  <c r="I494" i="2"/>
  <c r="AD493" i="2"/>
  <c r="AC493" i="2"/>
  <c r="AB493" i="2"/>
  <c r="AA493" i="2"/>
  <c r="I493" i="2"/>
  <c r="AD492" i="2"/>
  <c r="AC492" i="2"/>
  <c r="I492" i="2"/>
  <c r="AD491" i="2"/>
  <c r="AC491" i="2"/>
  <c r="I491" i="2"/>
  <c r="AD490" i="2"/>
  <c r="AC490" i="2"/>
  <c r="AB490" i="2"/>
  <c r="AA490" i="2"/>
  <c r="I490" i="2"/>
  <c r="AD489" i="2"/>
  <c r="AC489" i="2"/>
  <c r="AB489" i="2"/>
  <c r="AA489" i="2"/>
  <c r="I489" i="2"/>
  <c r="AD488" i="2"/>
  <c r="AC488" i="2"/>
  <c r="I488" i="2"/>
  <c r="AD487" i="2"/>
  <c r="AC487" i="2"/>
  <c r="AD486" i="2"/>
  <c r="AC486" i="2"/>
  <c r="I486" i="2"/>
  <c r="AD485" i="2"/>
  <c r="AC485" i="2"/>
  <c r="AB485" i="2"/>
  <c r="I485" i="2"/>
  <c r="AD484" i="2"/>
  <c r="AC484" i="2"/>
  <c r="AD483" i="2"/>
  <c r="AC483" i="2"/>
  <c r="AB483" i="2"/>
  <c r="AA483" i="2"/>
  <c r="I483" i="2"/>
  <c r="AD482" i="2"/>
  <c r="AC482" i="2"/>
  <c r="AD481" i="2"/>
  <c r="AC481" i="2"/>
  <c r="AC480" i="2"/>
  <c r="I480" i="2"/>
  <c r="AC479" i="2"/>
  <c r="I479" i="2"/>
  <c r="AC478" i="2"/>
  <c r="I478" i="2"/>
  <c r="AD477" i="2"/>
  <c r="AC477" i="2"/>
  <c r="AB477" i="2"/>
  <c r="AA477" i="2"/>
  <c r="I477" i="2"/>
  <c r="AD476" i="2"/>
  <c r="AC476" i="2"/>
  <c r="AB476" i="2"/>
  <c r="AA476" i="2"/>
  <c r="I476" i="2"/>
  <c r="AC475" i="2"/>
  <c r="I475" i="2"/>
  <c r="AD474" i="2"/>
  <c r="AC474" i="2"/>
  <c r="AB474" i="2"/>
  <c r="AA474" i="2"/>
  <c r="I474" i="2"/>
  <c r="AD473" i="2"/>
  <c r="AC473" i="2"/>
  <c r="AB473" i="2"/>
  <c r="AA473" i="2"/>
  <c r="I473" i="2"/>
  <c r="AC472" i="2"/>
  <c r="I472" i="2"/>
  <c r="AD471" i="2"/>
  <c r="AC471" i="2"/>
  <c r="AB471" i="2"/>
  <c r="AA471" i="2"/>
  <c r="I471" i="2"/>
  <c r="AD470" i="2"/>
  <c r="AC470" i="2"/>
  <c r="AB470" i="2"/>
  <c r="AA470" i="2"/>
  <c r="I470" i="2"/>
  <c r="AC469" i="2"/>
  <c r="I469" i="2"/>
  <c r="AC468" i="2"/>
  <c r="I468" i="2"/>
  <c r="AD467" i="2"/>
  <c r="AC467" i="2"/>
  <c r="AB467" i="2"/>
  <c r="AA467" i="2"/>
  <c r="I467" i="2"/>
  <c r="AC466" i="2"/>
  <c r="I466" i="2"/>
  <c r="AD465" i="2"/>
  <c r="AC465" i="2"/>
  <c r="AB465" i="2"/>
  <c r="AA465" i="2"/>
  <c r="I465" i="2"/>
  <c r="AC464" i="2"/>
  <c r="I464" i="2"/>
  <c r="AD463" i="2"/>
  <c r="AC463" i="2"/>
  <c r="AB463" i="2"/>
  <c r="AA463" i="2"/>
  <c r="I463" i="2"/>
  <c r="AD462" i="2"/>
  <c r="AC462" i="2"/>
  <c r="AB462" i="2"/>
  <c r="AA462" i="2"/>
  <c r="I462" i="2"/>
  <c r="AD461" i="2"/>
  <c r="AC461" i="2"/>
  <c r="AB461" i="2"/>
  <c r="AA461" i="2"/>
  <c r="I461" i="2"/>
  <c r="AD460" i="2"/>
  <c r="AC460" i="2"/>
  <c r="AB460" i="2"/>
  <c r="AA460" i="2"/>
  <c r="I460" i="2"/>
  <c r="AD459" i="2"/>
  <c r="AC459" i="2"/>
  <c r="AB459" i="2"/>
  <c r="AA459" i="2"/>
  <c r="I459" i="2"/>
  <c r="AC458" i="2"/>
  <c r="I458" i="2"/>
  <c r="AD457" i="2"/>
  <c r="AC457" i="2"/>
  <c r="AB457" i="2"/>
  <c r="AA457" i="2"/>
  <c r="I457" i="2"/>
  <c r="AC456" i="2"/>
  <c r="I456" i="2"/>
  <c r="AC455" i="2"/>
  <c r="I455" i="2"/>
  <c r="AD454" i="2"/>
  <c r="AC454" i="2"/>
  <c r="AB454" i="2"/>
  <c r="AA454" i="2"/>
  <c r="I454" i="2"/>
  <c r="AC453" i="2"/>
  <c r="I453" i="2"/>
  <c r="AC452" i="2"/>
  <c r="I452" i="2"/>
  <c r="AD451" i="2"/>
  <c r="AC451" i="2"/>
  <c r="AB451" i="2"/>
  <c r="AA451" i="2"/>
  <c r="I451" i="2"/>
  <c r="I450" i="2"/>
  <c r="AD449" i="2"/>
  <c r="AC449" i="2"/>
  <c r="AB449" i="2"/>
  <c r="AA449" i="2"/>
  <c r="I449" i="2"/>
  <c r="AD448" i="2"/>
  <c r="AC448" i="2"/>
  <c r="AB448" i="2"/>
  <c r="AA448" i="2"/>
  <c r="I448" i="2"/>
  <c r="AD447" i="2"/>
  <c r="AC447" i="2"/>
  <c r="AB447" i="2"/>
  <c r="AA447" i="2"/>
  <c r="I447" i="2"/>
  <c r="AD446" i="2"/>
  <c r="AC446" i="2"/>
  <c r="AB446" i="2"/>
  <c r="AA446" i="2"/>
  <c r="I446" i="2"/>
  <c r="AC445" i="2"/>
  <c r="I445" i="2"/>
  <c r="AD444" i="2"/>
  <c r="AC444" i="2"/>
  <c r="AB444" i="2"/>
  <c r="AA444" i="2"/>
  <c r="I444" i="2"/>
  <c r="AC443" i="2"/>
  <c r="I443" i="2"/>
  <c r="AD442" i="2"/>
  <c r="AC442" i="2"/>
  <c r="AB442" i="2"/>
  <c r="AA442" i="2"/>
  <c r="I442" i="2"/>
  <c r="AD441" i="2"/>
  <c r="AC441" i="2"/>
  <c r="AB441" i="2"/>
  <c r="AA441" i="2"/>
  <c r="I441" i="2"/>
  <c r="AC440" i="2"/>
  <c r="I440" i="2"/>
  <c r="AC439" i="2"/>
  <c r="I439" i="2"/>
  <c r="I438" i="2"/>
  <c r="AD437" i="2"/>
  <c r="AC437" i="2"/>
  <c r="AB437" i="2"/>
  <c r="AA437" i="2"/>
  <c r="I437" i="2"/>
  <c r="AC436" i="2"/>
  <c r="I436" i="2"/>
  <c r="AC435" i="2"/>
  <c r="I435" i="2"/>
  <c r="AC434" i="2"/>
  <c r="I434" i="2"/>
  <c r="AD433" i="2"/>
  <c r="AC433" i="2"/>
  <c r="AB433" i="2"/>
  <c r="AA433" i="2"/>
  <c r="I433" i="2"/>
  <c r="AC431" i="2"/>
  <c r="I431" i="2"/>
  <c r="AC430" i="2"/>
  <c r="I430" i="2"/>
  <c r="AC429" i="2"/>
  <c r="I429" i="2"/>
  <c r="AC428" i="2"/>
  <c r="I428" i="2"/>
  <c r="AC427" i="2"/>
  <c r="I427" i="2"/>
  <c r="AC426" i="2"/>
  <c r="I426" i="2"/>
  <c r="AC425" i="2"/>
  <c r="I425" i="2"/>
  <c r="AC424" i="2"/>
  <c r="I424" i="2"/>
  <c r="AD423" i="2"/>
  <c r="AC423" i="2"/>
  <c r="AB423" i="2"/>
  <c r="AA423" i="2"/>
  <c r="I423" i="2"/>
  <c r="AD422" i="2"/>
  <c r="AC422" i="2"/>
  <c r="AB422" i="2"/>
  <c r="AA422" i="2"/>
  <c r="I422" i="2"/>
  <c r="AC421" i="2"/>
  <c r="I421" i="2"/>
  <c r="AC420" i="2"/>
  <c r="I420" i="2"/>
  <c r="AD419" i="2"/>
  <c r="AC419" i="2"/>
  <c r="AB419" i="2"/>
  <c r="AA419" i="2"/>
  <c r="I419" i="2"/>
  <c r="AD418" i="2"/>
  <c r="AC418" i="2"/>
  <c r="AB418" i="2"/>
  <c r="AA418" i="2"/>
  <c r="I418" i="2"/>
  <c r="AD417" i="2"/>
  <c r="AC417" i="2"/>
  <c r="AB417" i="2"/>
  <c r="AA417" i="2"/>
  <c r="I417" i="2"/>
  <c r="AD416" i="2"/>
  <c r="AC416" i="2"/>
  <c r="AB416" i="2"/>
  <c r="AA416" i="2"/>
  <c r="I416" i="2"/>
  <c r="AD415" i="2"/>
  <c r="AC415" i="2"/>
  <c r="AB415" i="2"/>
  <c r="AA415" i="2"/>
  <c r="AC414" i="2"/>
  <c r="I414" i="2"/>
  <c r="AD413" i="2"/>
  <c r="AC413" i="2"/>
  <c r="AB413" i="2"/>
  <c r="AA413" i="2"/>
  <c r="I413" i="2"/>
  <c r="AD412" i="2"/>
  <c r="AC412" i="2"/>
  <c r="AB412" i="2"/>
  <c r="AA412" i="2"/>
  <c r="I412" i="2"/>
  <c r="AD411" i="2"/>
  <c r="AC411" i="2"/>
  <c r="AB411" i="2"/>
  <c r="AA411" i="2"/>
  <c r="I411" i="2"/>
  <c r="AD410" i="2"/>
  <c r="AC410" i="2"/>
  <c r="AB410" i="2"/>
  <c r="AA410" i="2"/>
  <c r="I410" i="2"/>
  <c r="AD409" i="2"/>
  <c r="AC409" i="2"/>
  <c r="AB409" i="2"/>
  <c r="AA409" i="2"/>
  <c r="I409" i="2"/>
  <c r="AD408" i="2"/>
  <c r="AC408" i="2"/>
  <c r="AB408" i="2"/>
  <c r="AA408" i="2"/>
  <c r="I408" i="2"/>
  <c r="AD407" i="2"/>
  <c r="AC407" i="2"/>
  <c r="AB407" i="2"/>
  <c r="AA407" i="2"/>
  <c r="I407" i="2"/>
  <c r="AD406" i="2"/>
  <c r="AC406" i="2"/>
  <c r="AB406" i="2"/>
  <c r="AA406" i="2"/>
  <c r="I406" i="2"/>
  <c r="AD405" i="2"/>
  <c r="AC405" i="2"/>
  <c r="AB405" i="2"/>
  <c r="AA405" i="2"/>
  <c r="I405" i="2"/>
  <c r="AD404" i="2"/>
  <c r="AC404" i="2"/>
  <c r="AB404" i="2"/>
  <c r="AA404" i="2"/>
  <c r="I404" i="2"/>
  <c r="AD403" i="2"/>
  <c r="AC402" i="2"/>
  <c r="I402" i="2"/>
  <c r="AC401" i="2"/>
  <c r="I401" i="2"/>
  <c r="AD400" i="2"/>
  <c r="AC400" i="2"/>
  <c r="AB400" i="2"/>
  <c r="AA400" i="2"/>
  <c r="I400" i="2"/>
  <c r="AC399" i="2"/>
  <c r="I399" i="2"/>
  <c r="AD398" i="2"/>
  <c r="AC398" i="2"/>
  <c r="AB398" i="2"/>
  <c r="AA398" i="2"/>
  <c r="I398" i="2"/>
  <c r="AC397" i="2"/>
  <c r="I397" i="2"/>
  <c r="AD396" i="2"/>
  <c r="AC396" i="2"/>
  <c r="AB396" i="2"/>
  <c r="AA396" i="2"/>
  <c r="AD395" i="2"/>
  <c r="AC395" i="2"/>
  <c r="AB395" i="2"/>
  <c r="AA395" i="2"/>
  <c r="AD394" i="2"/>
  <c r="AC394" i="2"/>
  <c r="AB394" i="2"/>
  <c r="AA394" i="2"/>
  <c r="AD393" i="2"/>
  <c r="AC393" i="2"/>
  <c r="AB393" i="2"/>
  <c r="AA393" i="2"/>
  <c r="I393" i="2"/>
  <c r="AC392" i="2"/>
  <c r="I392" i="2"/>
  <c r="AD391" i="2"/>
  <c r="AC390" i="2"/>
  <c r="I390" i="2"/>
  <c r="AC389" i="2"/>
  <c r="I389" i="2"/>
  <c r="AD388" i="2"/>
  <c r="AC388" i="2"/>
  <c r="AB388" i="2"/>
  <c r="AA388" i="2"/>
  <c r="AC387" i="2"/>
  <c r="I387" i="2"/>
  <c r="AD386" i="2"/>
  <c r="AC386" i="2"/>
  <c r="AB386" i="2"/>
  <c r="AA386" i="2"/>
  <c r="AC385" i="2"/>
  <c r="I385" i="2"/>
  <c r="AC384" i="2"/>
  <c r="I384" i="2"/>
  <c r="AD383" i="2"/>
  <c r="AC383" i="2"/>
  <c r="AB383" i="2"/>
  <c r="AA383" i="2"/>
  <c r="AC382" i="2"/>
  <c r="I382" i="2"/>
  <c r="AC381" i="2"/>
  <c r="I381" i="2"/>
  <c r="AD380" i="2"/>
  <c r="AC380" i="2"/>
  <c r="AB380" i="2"/>
  <c r="AA380" i="2"/>
  <c r="I380" i="2"/>
  <c r="AC379" i="2"/>
  <c r="I379" i="2"/>
  <c r="AC378" i="2"/>
  <c r="I378" i="2"/>
  <c r="AD377" i="2"/>
  <c r="AC377" i="2"/>
  <c r="AB377" i="2"/>
  <c r="AA377" i="2"/>
  <c r="I377" i="2"/>
  <c r="AC376" i="2"/>
  <c r="I376" i="2"/>
  <c r="AD375" i="2"/>
  <c r="AC375" i="2"/>
  <c r="AB375" i="2"/>
  <c r="AA375" i="2"/>
  <c r="I375" i="2"/>
  <c r="AD374" i="2"/>
  <c r="AC374" i="2"/>
  <c r="AB374" i="2"/>
  <c r="AA374" i="2"/>
  <c r="AD373" i="2"/>
  <c r="AC373" i="2"/>
  <c r="AB373" i="2"/>
  <c r="AA373" i="2"/>
  <c r="I373" i="2"/>
  <c r="AD372" i="2"/>
  <c r="AC372" i="2"/>
  <c r="AB372" i="2"/>
  <c r="AA372" i="2"/>
  <c r="I372" i="2"/>
  <c r="AD370" i="2"/>
  <c r="AC370" i="2"/>
  <c r="AB370" i="2"/>
  <c r="AA370" i="2"/>
  <c r="I370" i="2"/>
  <c r="AD369" i="2"/>
  <c r="AC369" i="2"/>
  <c r="AB369" i="2"/>
  <c r="AA369" i="2"/>
  <c r="I369" i="2"/>
  <c r="AD368" i="2"/>
  <c r="AC368" i="2"/>
  <c r="AB368" i="2"/>
  <c r="AA368" i="2"/>
  <c r="I368" i="2"/>
  <c r="AD367" i="2"/>
  <c r="AC367" i="2"/>
  <c r="AB367" i="2"/>
  <c r="AA367" i="2"/>
  <c r="I367" i="2"/>
  <c r="AD366" i="2"/>
  <c r="AC366" i="2"/>
  <c r="AB366" i="2"/>
  <c r="AA366" i="2"/>
  <c r="I366" i="2"/>
  <c r="AD365" i="2"/>
  <c r="AC365" i="2"/>
  <c r="AB365" i="2"/>
  <c r="AA365" i="2"/>
  <c r="AD364" i="2"/>
  <c r="AC364" i="2"/>
  <c r="AB364" i="2"/>
  <c r="AA364" i="2"/>
  <c r="I364" i="2"/>
  <c r="AC363" i="2"/>
  <c r="I363" i="2"/>
  <c r="AC362" i="2"/>
  <c r="I362" i="2"/>
  <c r="AD361" i="2"/>
  <c r="AC361" i="2"/>
  <c r="AB361" i="2"/>
  <c r="AA361" i="2"/>
  <c r="I361" i="2"/>
  <c r="AD360" i="2"/>
  <c r="AC360" i="2"/>
  <c r="AB360" i="2"/>
  <c r="AA360" i="2"/>
  <c r="I360" i="2"/>
  <c r="AD359" i="2"/>
  <c r="AC359" i="2"/>
  <c r="AB359" i="2"/>
  <c r="AA359" i="2"/>
  <c r="I359" i="2"/>
  <c r="AD358" i="2"/>
  <c r="AC358" i="2"/>
  <c r="AB358" i="2"/>
  <c r="AA358" i="2"/>
  <c r="AD357" i="2"/>
  <c r="AC357" i="2"/>
  <c r="AB357" i="2"/>
  <c r="AA357" i="2"/>
  <c r="I357" i="2"/>
  <c r="AD356" i="2"/>
  <c r="AC356" i="2"/>
  <c r="AB356" i="2"/>
  <c r="AA356" i="2"/>
  <c r="I356" i="2"/>
  <c r="AD355" i="2"/>
  <c r="AC355" i="2"/>
  <c r="AB355" i="2"/>
  <c r="AA355" i="2"/>
  <c r="I355" i="2"/>
  <c r="AD354" i="2"/>
  <c r="AC354" i="2"/>
  <c r="AB354" i="2"/>
  <c r="AA354" i="2"/>
  <c r="I354" i="2"/>
  <c r="AD353" i="2"/>
  <c r="AC353" i="2"/>
  <c r="AB353" i="2"/>
  <c r="AA353" i="2"/>
  <c r="AD352" i="2"/>
  <c r="AC352" i="2"/>
  <c r="AB352" i="2"/>
  <c r="AA352" i="2"/>
  <c r="AC351" i="2"/>
  <c r="I351" i="2"/>
  <c r="AD350" i="2"/>
  <c r="AC350" i="2"/>
  <c r="AB350" i="2"/>
  <c r="AA350" i="2"/>
  <c r="I350" i="2"/>
  <c r="AC349" i="2"/>
  <c r="I349" i="2"/>
  <c r="AC348" i="2"/>
  <c r="I348" i="2"/>
  <c r="AC347" i="2"/>
  <c r="I347" i="2"/>
  <c r="AD346" i="2"/>
  <c r="AC346" i="2"/>
  <c r="AB346" i="2"/>
  <c r="AA346" i="2"/>
  <c r="I346" i="2"/>
  <c r="AD345" i="2"/>
  <c r="AC345" i="2"/>
  <c r="AB345" i="2"/>
  <c r="AA345" i="2"/>
  <c r="AC344" i="2"/>
  <c r="I344" i="2"/>
  <c r="AD343" i="2"/>
  <c r="AC343" i="2"/>
  <c r="AB343" i="2"/>
  <c r="AA343" i="2"/>
  <c r="I343" i="2"/>
  <c r="AD342" i="2"/>
  <c r="AC342" i="2"/>
  <c r="AB342" i="2"/>
  <c r="AA342" i="2"/>
  <c r="I342" i="2"/>
  <c r="AD341" i="2"/>
  <c r="AC341" i="2"/>
  <c r="AB341" i="2"/>
  <c r="AA341" i="2"/>
  <c r="I341" i="2"/>
  <c r="AD340" i="2"/>
  <c r="AC340" i="2"/>
  <c r="AB340" i="2"/>
  <c r="AA340" i="2"/>
  <c r="I340" i="2"/>
  <c r="AD339" i="2"/>
  <c r="AC339" i="2"/>
  <c r="AB339" i="2"/>
  <c r="AA339" i="2"/>
  <c r="I339" i="2"/>
  <c r="AD338" i="2"/>
  <c r="AC338" i="2"/>
  <c r="AB338" i="2"/>
  <c r="AA338" i="2"/>
  <c r="I338" i="2"/>
  <c r="AD337" i="2"/>
  <c r="AC337" i="2"/>
  <c r="AB337" i="2"/>
  <c r="AA337" i="2"/>
  <c r="I337" i="2"/>
  <c r="AD336" i="2"/>
  <c r="AC336" i="2"/>
  <c r="AB336" i="2"/>
  <c r="AA336" i="2"/>
  <c r="I336" i="2"/>
  <c r="AD335" i="2"/>
  <c r="AC335" i="2"/>
  <c r="AB335" i="2"/>
  <c r="AA335" i="2"/>
  <c r="I335" i="2"/>
  <c r="AC334" i="2"/>
  <c r="I334" i="2"/>
  <c r="AC333" i="2"/>
  <c r="I333" i="2"/>
  <c r="AD332" i="2"/>
  <c r="AC332" i="2"/>
  <c r="AB332" i="2"/>
  <c r="AA332" i="2"/>
  <c r="I332" i="2"/>
  <c r="AC331" i="2"/>
  <c r="I331" i="2"/>
  <c r="AC330" i="2"/>
  <c r="I330" i="2"/>
  <c r="AD329" i="2"/>
  <c r="AC329" i="2"/>
  <c r="AB329" i="2"/>
  <c r="AA329" i="2"/>
  <c r="I329" i="2"/>
  <c r="AD328" i="2"/>
  <c r="AC328" i="2"/>
  <c r="AB328" i="2"/>
  <c r="AA328" i="2"/>
  <c r="I328" i="2"/>
  <c r="AD327" i="2"/>
  <c r="AC327" i="2"/>
  <c r="AB327" i="2"/>
  <c r="AA327" i="2"/>
  <c r="I327" i="2"/>
  <c r="AD326" i="2"/>
  <c r="AC326" i="2"/>
  <c r="AB326" i="2"/>
  <c r="AA326" i="2"/>
  <c r="I326" i="2"/>
  <c r="AC325" i="2"/>
  <c r="I325" i="2"/>
  <c r="AC323" i="2"/>
  <c r="I323" i="2"/>
  <c r="AD322" i="2"/>
  <c r="AC322" i="2"/>
  <c r="AB322" i="2"/>
  <c r="AA322" i="2"/>
  <c r="AD321" i="2"/>
  <c r="AC321" i="2"/>
  <c r="AB321" i="2"/>
  <c r="AA321" i="2"/>
  <c r="I321" i="2"/>
  <c r="AC320" i="2"/>
  <c r="I320" i="2"/>
  <c r="AD319" i="2"/>
  <c r="AC319" i="2"/>
  <c r="AB319" i="2"/>
  <c r="AA319" i="2"/>
  <c r="I319" i="2"/>
  <c r="AD318" i="2"/>
  <c r="AC318" i="2"/>
  <c r="AB318" i="2"/>
  <c r="AA318" i="2"/>
  <c r="I318" i="2"/>
  <c r="AD317" i="2"/>
  <c r="AC317" i="2"/>
  <c r="AB317" i="2"/>
  <c r="AA317" i="2"/>
  <c r="I317" i="2"/>
  <c r="AC316" i="2"/>
  <c r="I316" i="2"/>
  <c r="AC315" i="2"/>
  <c r="I315" i="2"/>
  <c r="AC314" i="2"/>
  <c r="I314" i="2"/>
  <c r="AC313" i="2"/>
  <c r="I313" i="2"/>
  <c r="AC312" i="2"/>
  <c r="I312" i="2"/>
  <c r="AC311" i="2"/>
  <c r="I311" i="2"/>
  <c r="AC310" i="2"/>
  <c r="I310" i="2"/>
  <c r="AC309" i="2"/>
  <c r="I309" i="2"/>
  <c r="AC308" i="2"/>
  <c r="I308" i="2"/>
  <c r="AC307" i="2"/>
  <c r="I307" i="2"/>
  <c r="AC306" i="2"/>
  <c r="I306" i="2"/>
  <c r="AC305" i="2"/>
  <c r="I305" i="2"/>
  <c r="AC304" i="2"/>
  <c r="I304" i="2"/>
  <c r="AC303" i="2"/>
  <c r="I303" i="2"/>
  <c r="AC302" i="2"/>
  <c r="I302" i="2"/>
  <c r="AC301" i="2"/>
  <c r="I301" i="2"/>
  <c r="AC300" i="2"/>
  <c r="I300" i="2"/>
  <c r="AC299" i="2"/>
  <c r="I299" i="2"/>
  <c r="AC298" i="2"/>
  <c r="I298" i="2"/>
  <c r="AC297" i="2"/>
  <c r="I297" i="2"/>
  <c r="AC296" i="2"/>
  <c r="I296" i="2"/>
  <c r="AC295" i="2"/>
  <c r="I295" i="2"/>
  <c r="AC294" i="2"/>
  <c r="I294" i="2"/>
  <c r="AC293" i="2"/>
  <c r="I293" i="2"/>
  <c r="AC292" i="2"/>
  <c r="I292" i="2"/>
  <c r="AC291" i="2"/>
  <c r="I291" i="2"/>
  <c r="AC290" i="2"/>
  <c r="I290" i="2"/>
  <c r="AC289" i="2"/>
  <c r="I289" i="2"/>
  <c r="AC288" i="2"/>
  <c r="I288" i="2"/>
  <c r="AC287" i="2"/>
  <c r="I287" i="2"/>
  <c r="AC286" i="2"/>
  <c r="I286" i="2"/>
  <c r="AC285" i="2"/>
  <c r="I285" i="2"/>
  <c r="AC284" i="2"/>
  <c r="I284" i="2"/>
  <c r="AC283" i="2"/>
  <c r="I283" i="2"/>
  <c r="AD282" i="2"/>
  <c r="AC282" i="2"/>
  <c r="AB282" i="2"/>
  <c r="AA282" i="2"/>
  <c r="I282" i="2"/>
  <c r="AD281" i="2"/>
  <c r="AC281" i="2"/>
  <c r="AB281" i="2"/>
  <c r="AA281" i="2"/>
  <c r="I281" i="2"/>
  <c r="AD280" i="2"/>
  <c r="AC280" i="2"/>
  <c r="AB280" i="2"/>
  <c r="AA280" i="2"/>
  <c r="I280" i="2"/>
  <c r="AD279" i="2"/>
  <c r="AC279" i="2"/>
  <c r="AB279" i="2"/>
  <c r="AA279" i="2"/>
  <c r="I279" i="2"/>
  <c r="AD278" i="2"/>
  <c r="AC278" i="2"/>
  <c r="AB278" i="2"/>
  <c r="AA278" i="2"/>
  <c r="I278" i="2"/>
  <c r="AC277" i="2"/>
  <c r="I277" i="2"/>
  <c r="AC276" i="2"/>
  <c r="I276" i="2"/>
  <c r="AD275" i="2"/>
  <c r="AC275" i="2"/>
  <c r="AB275" i="2"/>
  <c r="AA275" i="2"/>
  <c r="I275" i="2"/>
  <c r="AD274" i="2"/>
  <c r="AC274" i="2"/>
  <c r="AB274" i="2"/>
  <c r="AA274" i="2"/>
  <c r="I274" i="2"/>
  <c r="AD273" i="2"/>
  <c r="AC273" i="2"/>
  <c r="AB273" i="2"/>
  <c r="AA273" i="2"/>
  <c r="I273" i="2"/>
  <c r="AC272" i="2"/>
  <c r="I272" i="2"/>
  <c r="AC271" i="2"/>
  <c r="I271" i="2"/>
  <c r="AD270" i="2"/>
  <c r="AC270" i="2"/>
  <c r="AB270" i="2"/>
  <c r="AA270" i="2"/>
  <c r="I270" i="2"/>
  <c r="AD269" i="2"/>
  <c r="AC269" i="2"/>
  <c r="AB269" i="2"/>
  <c r="AA269" i="2"/>
  <c r="I269" i="2"/>
  <c r="AD268" i="2"/>
  <c r="AC268" i="2"/>
  <c r="AB268" i="2"/>
  <c r="AA268" i="2"/>
  <c r="I268" i="2"/>
  <c r="AD267" i="2"/>
  <c r="AC267" i="2"/>
  <c r="AB267" i="2"/>
  <c r="AA267" i="2"/>
  <c r="I267" i="2"/>
  <c r="AC266" i="2"/>
  <c r="I266" i="2"/>
  <c r="AC265" i="2"/>
  <c r="I265" i="2"/>
  <c r="AC264" i="2"/>
  <c r="I264" i="2"/>
  <c r="AC263" i="2"/>
  <c r="I263" i="2"/>
  <c r="AC262" i="2"/>
  <c r="I262" i="2"/>
  <c r="AC261" i="2"/>
  <c r="I261" i="2"/>
  <c r="AD260" i="2"/>
  <c r="AC260" i="2"/>
  <c r="AB260" i="2"/>
  <c r="AA260" i="2"/>
  <c r="AD259" i="2"/>
  <c r="AC259" i="2"/>
  <c r="AB259" i="2"/>
  <c r="AA259" i="2"/>
  <c r="I259" i="2"/>
  <c r="AD258" i="2"/>
  <c r="AC258" i="2"/>
  <c r="AB258" i="2"/>
  <c r="AA258" i="2"/>
  <c r="I258" i="2"/>
  <c r="AD257" i="2"/>
  <c r="AC257" i="2"/>
  <c r="AB257" i="2"/>
  <c r="AA257" i="2"/>
  <c r="I257" i="2"/>
  <c r="AD256" i="2"/>
  <c r="AC256" i="2"/>
  <c r="AB256" i="2"/>
  <c r="AA256" i="2"/>
  <c r="I256" i="2"/>
  <c r="AC255" i="2"/>
  <c r="I255" i="2"/>
  <c r="AD254" i="2"/>
  <c r="AC254" i="2"/>
  <c r="AB254" i="2"/>
  <c r="AA254" i="2"/>
  <c r="I254" i="2"/>
  <c r="AD253" i="2"/>
  <c r="AC253" i="2"/>
  <c r="AB253" i="2"/>
  <c r="AA253" i="2"/>
  <c r="I253" i="2"/>
  <c r="AD252" i="2"/>
  <c r="AC252" i="2"/>
  <c r="AB252" i="2"/>
  <c r="AA252" i="2"/>
  <c r="I252" i="2"/>
  <c r="AD251" i="2"/>
  <c r="AC251" i="2"/>
  <c r="AB251" i="2"/>
  <c r="AA251" i="2"/>
  <c r="I251" i="2"/>
  <c r="I250" i="2"/>
  <c r="AD249" i="2"/>
  <c r="AC249" i="2"/>
  <c r="AB249" i="2"/>
  <c r="AA249" i="2"/>
  <c r="I249" i="2"/>
  <c r="AD248" i="2"/>
  <c r="AC248" i="2"/>
  <c r="AB248" i="2"/>
  <c r="AA248" i="2"/>
  <c r="I248" i="2"/>
  <c r="AD247" i="2"/>
  <c r="AC247" i="2"/>
  <c r="AB247" i="2"/>
  <c r="AA247" i="2"/>
  <c r="I247" i="2"/>
  <c r="AD246" i="2"/>
  <c r="AC246" i="2"/>
  <c r="AB246" i="2"/>
  <c r="AA246" i="2"/>
  <c r="I246" i="2"/>
  <c r="AD245" i="2"/>
  <c r="AC245" i="2"/>
  <c r="AB245" i="2"/>
  <c r="AA245" i="2"/>
  <c r="I245" i="2"/>
  <c r="AD244" i="2"/>
  <c r="AC244" i="2"/>
  <c r="AB244" i="2"/>
  <c r="AA244" i="2"/>
  <c r="I244" i="2"/>
  <c r="AD243" i="2"/>
  <c r="AC243" i="2"/>
  <c r="AB243" i="2"/>
  <c r="AA243" i="2"/>
  <c r="I243" i="2"/>
  <c r="AD242" i="2"/>
  <c r="AC242" i="2"/>
  <c r="AB242" i="2"/>
  <c r="AA242" i="2"/>
  <c r="I242" i="2"/>
  <c r="AD241" i="2"/>
  <c r="AC241" i="2"/>
  <c r="AB241" i="2"/>
  <c r="AA241" i="2"/>
  <c r="I241" i="2"/>
  <c r="AC240" i="2"/>
  <c r="I240" i="2"/>
  <c r="AD239" i="2"/>
  <c r="AC239" i="2"/>
  <c r="AB239" i="2"/>
  <c r="AA239" i="2"/>
  <c r="I239" i="2"/>
  <c r="AC238" i="2"/>
  <c r="I238" i="2"/>
  <c r="AD237" i="2"/>
  <c r="AC237" i="2"/>
  <c r="AB237" i="2"/>
  <c r="AA237" i="2"/>
  <c r="I237" i="2"/>
  <c r="AD236" i="2"/>
  <c r="AC236" i="2"/>
  <c r="AB236" i="2"/>
  <c r="AA236" i="2"/>
  <c r="I236" i="2"/>
  <c r="AD235" i="2"/>
  <c r="AC235" i="2"/>
  <c r="AB235" i="2"/>
  <c r="AA235" i="2"/>
  <c r="I235" i="2"/>
  <c r="AD234" i="2"/>
  <c r="AC234" i="2"/>
  <c r="AB234" i="2"/>
  <c r="AA234" i="2"/>
  <c r="I234" i="2"/>
  <c r="AD233" i="2"/>
  <c r="AC233" i="2"/>
  <c r="AB233" i="2"/>
  <c r="AA233" i="2"/>
  <c r="I233" i="2"/>
  <c r="AC232" i="2"/>
  <c r="I232" i="2"/>
  <c r="AD231" i="2"/>
  <c r="AC231" i="2"/>
  <c r="AB231" i="2"/>
  <c r="AA231" i="2"/>
  <c r="AD230" i="2"/>
  <c r="AC230" i="2"/>
  <c r="AB230" i="2"/>
  <c r="AA230" i="2"/>
  <c r="I230" i="2"/>
  <c r="AD229" i="2"/>
  <c r="AC229" i="2"/>
  <c r="AB229" i="2"/>
  <c r="AA229" i="2"/>
  <c r="I229" i="2"/>
  <c r="AD228" i="2"/>
  <c r="AC228" i="2"/>
  <c r="AB228" i="2"/>
  <c r="AA228" i="2"/>
  <c r="I228" i="2"/>
  <c r="AC227" i="2"/>
  <c r="I227" i="2"/>
  <c r="AD226" i="2"/>
  <c r="AC226" i="2"/>
  <c r="AB226" i="2"/>
  <c r="AA226" i="2"/>
  <c r="I226" i="2"/>
  <c r="AD225" i="2"/>
  <c r="AC225" i="2"/>
  <c r="AB225" i="2"/>
  <c r="AA225" i="2"/>
  <c r="I225" i="2"/>
  <c r="AD224" i="2"/>
  <c r="AC224" i="2"/>
  <c r="AB224" i="2"/>
  <c r="AA224" i="2"/>
  <c r="I224" i="2"/>
  <c r="AD223" i="2"/>
  <c r="AC223" i="2"/>
  <c r="AB223" i="2"/>
  <c r="AA223" i="2"/>
  <c r="AC222" i="2"/>
  <c r="I222" i="2"/>
  <c r="AC221" i="2"/>
  <c r="I221" i="2"/>
  <c r="AC220" i="2"/>
  <c r="I220" i="2"/>
  <c r="AC219" i="2"/>
  <c r="I219" i="2"/>
  <c r="AC218" i="2"/>
  <c r="I218" i="2"/>
  <c r="AC217" i="2"/>
  <c r="I217" i="2"/>
  <c r="AC216" i="2"/>
  <c r="I216" i="2"/>
  <c r="AC215" i="2"/>
  <c r="I215" i="2"/>
  <c r="AC214" i="2"/>
  <c r="I214" i="2"/>
  <c r="AC213" i="2"/>
  <c r="I213" i="2"/>
  <c r="AC212" i="2"/>
  <c r="I212" i="2"/>
  <c r="AC211" i="2"/>
  <c r="I211" i="2"/>
  <c r="AC210" i="2"/>
  <c r="I210" i="2"/>
  <c r="AC209" i="2"/>
  <c r="I209" i="2"/>
  <c r="AC208" i="2"/>
  <c r="I208" i="2"/>
  <c r="AC207" i="2"/>
  <c r="I207" i="2"/>
  <c r="AD206" i="2"/>
  <c r="AC206" i="2"/>
  <c r="AB206" i="2"/>
  <c r="AA206" i="2"/>
  <c r="I206" i="2"/>
  <c r="AC205" i="2"/>
  <c r="I205" i="2"/>
  <c r="AD204" i="2"/>
  <c r="AC204" i="2"/>
  <c r="AB204" i="2"/>
  <c r="AA204" i="2"/>
  <c r="I204" i="2"/>
  <c r="AD203" i="2"/>
  <c r="AC203" i="2"/>
  <c r="AB203" i="2"/>
  <c r="AA203" i="2"/>
  <c r="I203" i="2"/>
  <c r="AC202" i="2"/>
  <c r="I202" i="2"/>
  <c r="AD201" i="2"/>
  <c r="AC201" i="2"/>
  <c r="AB201" i="2"/>
  <c r="AA201" i="2"/>
  <c r="I201" i="2"/>
  <c r="AD200" i="2"/>
  <c r="AC200" i="2"/>
  <c r="AB200" i="2"/>
  <c r="AA200" i="2"/>
  <c r="I200" i="2"/>
  <c r="AD199" i="2"/>
  <c r="AC199" i="2"/>
  <c r="AB199" i="2"/>
  <c r="AA199" i="2"/>
  <c r="I199" i="2"/>
  <c r="AD198" i="2"/>
  <c r="AC198" i="2"/>
  <c r="AB198" i="2"/>
  <c r="AA198" i="2"/>
  <c r="I198" i="2"/>
  <c r="AD197" i="2"/>
  <c r="AC197" i="2"/>
  <c r="AB197" i="2"/>
  <c r="AA197" i="2"/>
  <c r="I197" i="2"/>
  <c r="AD196" i="2"/>
  <c r="AC196" i="2"/>
  <c r="AB196" i="2"/>
  <c r="AA196" i="2"/>
  <c r="I196" i="2"/>
  <c r="AC195" i="2"/>
  <c r="I195" i="2"/>
  <c r="AD194" i="2"/>
  <c r="AC194" i="2"/>
  <c r="AB194" i="2"/>
  <c r="AA194" i="2"/>
  <c r="I194" i="2"/>
  <c r="AD193" i="2"/>
  <c r="AC193" i="2"/>
  <c r="AB193" i="2"/>
  <c r="AA193" i="2"/>
  <c r="AD192" i="2"/>
  <c r="I192" i="2"/>
  <c r="AC191" i="2"/>
  <c r="I191" i="2"/>
  <c r="AD190" i="2"/>
  <c r="I190" i="2"/>
  <c r="AC189" i="2"/>
  <c r="I189" i="2"/>
  <c r="AC188" i="2"/>
  <c r="I188" i="2"/>
  <c r="AD187" i="2"/>
  <c r="AC187" i="2"/>
  <c r="AB187" i="2"/>
  <c r="AA187" i="2"/>
  <c r="I187" i="2"/>
  <c r="AC186" i="2"/>
  <c r="I186" i="2"/>
  <c r="AD185" i="2"/>
  <c r="AC185" i="2"/>
  <c r="AB185" i="2"/>
  <c r="AA185" i="2"/>
  <c r="I185" i="2"/>
  <c r="AD183" i="2"/>
  <c r="AC183" i="2"/>
  <c r="AB183" i="2"/>
  <c r="AA183" i="2"/>
  <c r="AD182" i="2"/>
  <c r="AC182" i="2"/>
  <c r="AB182" i="2"/>
  <c r="AA182" i="2"/>
  <c r="I182" i="2"/>
  <c r="AD181" i="2"/>
  <c r="AC181" i="2"/>
  <c r="AB181" i="2"/>
  <c r="AA181" i="2"/>
  <c r="AD180" i="2"/>
  <c r="AC180" i="2"/>
  <c r="AB180" i="2"/>
  <c r="AA180" i="2"/>
  <c r="I180" i="2"/>
  <c r="AC179" i="2"/>
  <c r="I179" i="2"/>
  <c r="AC178" i="2"/>
  <c r="I178" i="2"/>
  <c r="AC177" i="2"/>
  <c r="I177" i="2"/>
  <c r="AC176" i="2"/>
  <c r="I176" i="2"/>
  <c r="AC175" i="2"/>
  <c r="I175" i="2"/>
  <c r="AD174" i="2"/>
  <c r="AC174" i="2"/>
  <c r="AB174" i="2"/>
  <c r="AA174" i="2"/>
  <c r="I174" i="2"/>
  <c r="AD173" i="2"/>
  <c r="AC173" i="2"/>
  <c r="AB173" i="2"/>
  <c r="AA173" i="2"/>
  <c r="I173" i="2"/>
  <c r="AD172" i="2"/>
  <c r="AC172" i="2"/>
  <c r="AB172" i="2"/>
  <c r="AA172" i="2"/>
  <c r="I172" i="2"/>
  <c r="AD171" i="2"/>
  <c r="AC171" i="2"/>
  <c r="AB171" i="2"/>
  <c r="AA171" i="2"/>
  <c r="AD170" i="2"/>
  <c r="AC170" i="2"/>
  <c r="AB170" i="2"/>
  <c r="AA170" i="2"/>
  <c r="I170" i="2"/>
  <c r="AC169" i="2"/>
  <c r="I169" i="2"/>
  <c r="AD168" i="2"/>
  <c r="AC168" i="2"/>
  <c r="AB168" i="2"/>
  <c r="AA168" i="2"/>
  <c r="I168" i="2"/>
  <c r="AD167" i="2"/>
  <c r="AC167" i="2"/>
  <c r="AB167" i="2"/>
  <c r="AA167" i="2"/>
  <c r="I167" i="2"/>
  <c r="AD166" i="2"/>
  <c r="AC166" i="2"/>
  <c r="AB166" i="2"/>
  <c r="AA166" i="2"/>
  <c r="I166" i="2"/>
  <c r="AC165" i="2"/>
  <c r="I165" i="2"/>
  <c r="AD164" i="2"/>
  <c r="AC164" i="2"/>
  <c r="AA164" i="2"/>
  <c r="I164" i="2"/>
  <c r="AD163" i="2"/>
  <c r="AC163" i="2"/>
  <c r="AB163" i="2"/>
  <c r="AA163" i="2"/>
  <c r="I163" i="2"/>
  <c r="AC162" i="2"/>
  <c r="I162" i="2"/>
  <c r="AC161" i="2"/>
  <c r="I161" i="2"/>
  <c r="AC160" i="2"/>
  <c r="I160" i="2"/>
  <c r="AC159" i="2"/>
  <c r="I159" i="2"/>
  <c r="AC158" i="2"/>
  <c r="I158" i="2"/>
  <c r="AC157" i="2"/>
  <c r="I157" i="2"/>
  <c r="AC156" i="2"/>
  <c r="I156" i="2"/>
  <c r="AC155" i="2"/>
  <c r="I155" i="2"/>
  <c r="AC154" i="2"/>
  <c r="I154" i="2"/>
  <c r="AC153" i="2"/>
  <c r="I153" i="2"/>
  <c r="AC152" i="2"/>
  <c r="I152" i="2"/>
  <c r="AC151" i="2"/>
  <c r="I151" i="2"/>
  <c r="AC150" i="2"/>
  <c r="I150" i="2"/>
  <c r="AC149" i="2"/>
  <c r="I149" i="2"/>
  <c r="AD148" i="2"/>
  <c r="I148" i="2"/>
  <c r="AC147" i="2"/>
  <c r="I147" i="2"/>
  <c r="AC146" i="2"/>
  <c r="I146" i="2"/>
  <c r="AC145" i="2"/>
  <c r="I145" i="2"/>
  <c r="AC144" i="2"/>
  <c r="I144" i="2"/>
  <c r="AD143" i="2"/>
  <c r="AC143" i="2"/>
  <c r="AB143" i="2"/>
  <c r="AA143" i="2"/>
  <c r="I143" i="2"/>
  <c r="AC142" i="2"/>
  <c r="I142" i="2"/>
  <c r="AC141" i="2"/>
  <c r="I141" i="2"/>
  <c r="AD140" i="2"/>
  <c r="AC140" i="2"/>
  <c r="AB140" i="2"/>
  <c r="AA140" i="2"/>
  <c r="I140" i="2"/>
  <c r="AD139" i="2"/>
  <c r="AC139" i="2"/>
  <c r="AB139" i="2"/>
  <c r="AA139" i="2"/>
  <c r="I139" i="2"/>
  <c r="AD138" i="2"/>
  <c r="AC138" i="2"/>
  <c r="AB138" i="2"/>
  <c r="AA138" i="2"/>
  <c r="I138" i="2"/>
  <c r="AD137" i="2"/>
  <c r="AC137" i="2"/>
  <c r="AB137" i="2"/>
  <c r="AA137" i="2"/>
  <c r="I137" i="2"/>
  <c r="AD136" i="2"/>
  <c r="AC136" i="2"/>
  <c r="AB136" i="2"/>
  <c r="AA136" i="2"/>
  <c r="I136" i="2"/>
  <c r="AD135" i="2"/>
  <c r="AC135" i="2"/>
  <c r="AB135" i="2"/>
  <c r="AA135" i="2"/>
  <c r="I135" i="2"/>
  <c r="AC134" i="2"/>
  <c r="I134" i="2"/>
  <c r="AD133" i="2"/>
  <c r="AC133" i="2"/>
  <c r="AB133" i="2"/>
  <c r="AA133" i="2"/>
  <c r="I133" i="2"/>
  <c r="AD132" i="2"/>
  <c r="AC132" i="2"/>
  <c r="AB132" i="2"/>
  <c r="AA132" i="2"/>
  <c r="I132" i="2"/>
  <c r="AC131" i="2"/>
  <c r="I131" i="2"/>
  <c r="AD129" i="2"/>
  <c r="AC129" i="2"/>
  <c r="AB129" i="2"/>
  <c r="AA129" i="2"/>
  <c r="I129" i="2"/>
  <c r="AC128" i="2"/>
  <c r="I128" i="2"/>
  <c r="AD127" i="2"/>
  <c r="AC127" i="2"/>
  <c r="AB127" i="2"/>
  <c r="AA127" i="2"/>
  <c r="AC126" i="2"/>
  <c r="I126" i="2"/>
  <c r="AD125" i="2"/>
  <c r="AC125" i="2"/>
  <c r="AB125" i="2"/>
  <c r="AA125" i="2"/>
  <c r="I125" i="2"/>
  <c r="AD124" i="2"/>
  <c r="AC124" i="2"/>
  <c r="AB124" i="2"/>
  <c r="AA124" i="2"/>
  <c r="I124" i="2"/>
  <c r="AD123" i="2"/>
  <c r="AC123" i="2"/>
  <c r="AB123" i="2"/>
  <c r="AA123" i="2"/>
  <c r="AD122" i="2"/>
  <c r="AC122" i="2"/>
  <c r="AB122" i="2"/>
  <c r="AA122" i="2"/>
  <c r="I122" i="2"/>
  <c r="AD121" i="2"/>
  <c r="AC121" i="2"/>
  <c r="AB121" i="2"/>
  <c r="AA121" i="2"/>
  <c r="I121" i="2"/>
  <c r="AC120" i="2"/>
  <c r="I120" i="2"/>
  <c r="AC119" i="2"/>
  <c r="I119" i="2"/>
  <c r="AC118" i="2"/>
  <c r="I118" i="2"/>
  <c r="AC117" i="2"/>
  <c r="I117" i="2"/>
  <c r="AC116" i="2"/>
  <c r="I116" i="2"/>
  <c r="AC115" i="2"/>
  <c r="I115" i="2"/>
  <c r="AD114" i="2"/>
  <c r="AC114" i="2"/>
  <c r="AB114" i="2"/>
  <c r="AA114" i="2"/>
  <c r="I114" i="2"/>
  <c r="AD113" i="2"/>
  <c r="AC113" i="2"/>
  <c r="AB113" i="2"/>
  <c r="AA113" i="2"/>
  <c r="I113" i="2"/>
  <c r="AD112" i="2"/>
  <c r="AC112" i="2"/>
  <c r="AB112" i="2"/>
  <c r="AA112" i="2"/>
  <c r="I112" i="2"/>
  <c r="AC111" i="2"/>
  <c r="I111" i="2"/>
  <c r="AC110" i="2"/>
  <c r="I110" i="2"/>
  <c r="AC108" i="2"/>
  <c r="I108" i="2"/>
  <c r="AD107" i="2"/>
  <c r="AC107" i="2"/>
  <c r="AB107" i="2"/>
  <c r="AA107" i="2"/>
  <c r="I107" i="2"/>
  <c r="AC106" i="2"/>
  <c r="I106" i="2"/>
  <c r="AD105" i="2"/>
  <c r="AC105" i="2"/>
  <c r="AB105" i="2"/>
  <c r="AA105" i="2"/>
  <c r="I105" i="2"/>
  <c r="AC104" i="2"/>
  <c r="I104" i="2"/>
  <c r="AC103" i="2"/>
  <c r="I103" i="2"/>
  <c r="AC102" i="2"/>
  <c r="I102" i="2"/>
  <c r="AD101" i="2"/>
  <c r="AC101" i="2"/>
  <c r="AB101" i="2"/>
  <c r="AA101" i="2"/>
  <c r="I101" i="2"/>
  <c r="AC100" i="2"/>
  <c r="I100" i="2"/>
  <c r="AD98" i="2"/>
  <c r="AC98" i="2"/>
  <c r="AB98" i="2"/>
  <c r="AA98" i="2"/>
  <c r="I98" i="2"/>
  <c r="AD97" i="2"/>
  <c r="AC97" i="2"/>
  <c r="AB97" i="2"/>
  <c r="AA97" i="2"/>
  <c r="I95" i="2"/>
  <c r="AD94" i="2"/>
  <c r="AC94" i="2"/>
  <c r="AB94" i="2"/>
  <c r="AA94" i="2"/>
  <c r="I94" i="2"/>
  <c r="AC93" i="2"/>
  <c r="I93" i="2"/>
  <c r="AD92" i="2"/>
  <c r="AC92" i="2"/>
  <c r="AB92" i="2"/>
  <c r="AA92" i="2"/>
  <c r="I92" i="2"/>
  <c r="AD91" i="2"/>
  <c r="AC91" i="2"/>
  <c r="AB91" i="2"/>
  <c r="AA91" i="2"/>
  <c r="I91" i="2"/>
  <c r="AD90" i="2"/>
  <c r="AC90" i="2"/>
  <c r="AB90" i="2"/>
  <c r="AA90" i="2"/>
  <c r="I90" i="2"/>
  <c r="AD89" i="2"/>
  <c r="AC89" i="2"/>
  <c r="AB89" i="2"/>
  <c r="AA89" i="2"/>
  <c r="I89" i="2"/>
  <c r="AC88" i="2"/>
  <c r="I88" i="2"/>
  <c r="AC87" i="2"/>
  <c r="I87" i="2"/>
  <c r="AC86" i="2"/>
  <c r="I86" i="2"/>
  <c r="AD85" i="2"/>
  <c r="AC85" i="2"/>
  <c r="AB85" i="2"/>
  <c r="AA85" i="2"/>
  <c r="I85" i="2"/>
  <c r="AD84" i="2"/>
  <c r="AC84" i="2"/>
  <c r="AB84" i="2"/>
  <c r="AA84" i="2"/>
  <c r="I84" i="2"/>
  <c r="AD83" i="2"/>
  <c r="AC83" i="2"/>
  <c r="AB83" i="2"/>
  <c r="AA83" i="2"/>
  <c r="I83" i="2"/>
  <c r="AD82" i="2"/>
  <c r="AC82" i="2"/>
  <c r="AB82" i="2"/>
  <c r="AA82" i="2"/>
  <c r="I82" i="2"/>
  <c r="AD81" i="2"/>
  <c r="AC81" i="2"/>
  <c r="AB81" i="2"/>
  <c r="AA81" i="2"/>
  <c r="AD80" i="2"/>
  <c r="AC80" i="2"/>
  <c r="AB80" i="2"/>
  <c r="AA80" i="2"/>
  <c r="I80" i="2"/>
  <c r="AC79" i="2"/>
  <c r="I79" i="2"/>
  <c r="AD78" i="2"/>
  <c r="AC78" i="2"/>
  <c r="AB78" i="2"/>
  <c r="AA78" i="2"/>
  <c r="I78" i="2"/>
  <c r="AD77" i="2"/>
  <c r="AC77" i="2"/>
  <c r="AB77" i="2"/>
  <c r="AA77" i="2"/>
  <c r="I77" i="2"/>
  <c r="AD76" i="2"/>
  <c r="AC76" i="2"/>
  <c r="AB76" i="2"/>
  <c r="AA76" i="2"/>
  <c r="I76" i="2"/>
  <c r="AC75" i="2"/>
  <c r="I75" i="2"/>
  <c r="AC74" i="2"/>
  <c r="I74" i="2"/>
  <c r="AC73" i="2"/>
  <c r="I73" i="2"/>
  <c r="AC72" i="2"/>
  <c r="I72" i="2"/>
  <c r="AD71" i="2"/>
  <c r="AC71" i="2"/>
  <c r="AB71" i="2"/>
  <c r="AA71" i="2"/>
  <c r="I71" i="2"/>
  <c r="AD70" i="2"/>
  <c r="AC70" i="2"/>
  <c r="AB70" i="2"/>
  <c r="AA70" i="2"/>
  <c r="I70" i="2"/>
  <c r="AC69" i="2"/>
  <c r="I69" i="2"/>
  <c r="AD68" i="2"/>
  <c r="AC68" i="2"/>
  <c r="AB68" i="2"/>
  <c r="AA68" i="2"/>
  <c r="I68" i="2"/>
  <c r="AC67" i="2"/>
  <c r="I67" i="2"/>
  <c r="AD66" i="2"/>
  <c r="AC66" i="2"/>
  <c r="AB66" i="2"/>
  <c r="AA66" i="2"/>
  <c r="I66" i="2"/>
  <c r="AD64" i="2"/>
  <c r="AC64" i="2"/>
  <c r="AB64" i="2"/>
  <c r="AA64" i="2"/>
  <c r="I64" i="2"/>
  <c r="AD63" i="2"/>
  <c r="AC63" i="2"/>
  <c r="AB63" i="2"/>
  <c r="AA63" i="2"/>
  <c r="I63" i="2"/>
  <c r="AD62" i="2"/>
  <c r="AA62" i="2"/>
  <c r="I62" i="2"/>
  <c r="AC61" i="2"/>
  <c r="I61" i="2"/>
  <c r="AC60" i="2"/>
  <c r="I60" i="2"/>
  <c r="AD59" i="2"/>
  <c r="AC59" i="2"/>
  <c r="AB59" i="2"/>
  <c r="AA59" i="2"/>
  <c r="I59" i="2"/>
  <c r="AD58" i="2"/>
  <c r="AC58" i="2"/>
  <c r="AB58" i="2"/>
  <c r="AA58" i="2"/>
  <c r="I58" i="2"/>
  <c r="AD57" i="2"/>
  <c r="AC57" i="2"/>
  <c r="AB57" i="2"/>
  <c r="AA57" i="2"/>
  <c r="I57" i="2"/>
  <c r="AD56" i="2"/>
  <c r="AC56" i="2"/>
  <c r="AB56" i="2"/>
  <c r="AA56" i="2"/>
  <c r="I56" i="2"/>
  <c r="AD55" i="2"/>
  <c r="AC55" i="2"/>
  <c r="AB55" i="2"/>
  <c r="AA55" i="2"/>
  <c r="I55" i="2"/>
  <c r="AC54" i="2"/>
  <c r="I54" i="2"/>
  <c r="AC53" i="2"/>
  <c r="I53" i="2"/>
  <c r="AC52" i="2"/>
  <c r="I52" i="2"/>
  <c r="AD51" i="2"/>
  <c r="AC51" i="2"/>
  <c r="AB51" i="2"/>
  <c r="AA51" i="2"/>
  <c r="I51" i="2"/>
  <c r="AD50" i="2"/>
  <c r="AC50" i="2"/>
  <c r="AB50" i="2"/>
  <c r="AA50" i="2"/>
  <c r="I50" i="2"/>
  <c r="AC49" i="2"/>
  <c r="I49" i="2"/>
  <c r="AC48" i="2"/>
  <c r="I48" i="2"/>
  <c r="AD47" i="2"/>
  <c r="AC47" i="2"/>
  <c r="AB47" i="2"/>
  <c r="AA47" i="2"/>
  <c r="I47" i="2"/>
  <c r="AC46" i="2"/>
  <c r="I46" i="2"/>
  <c r="AD45" i="2"/>
  <c r="AC45" i="2"/>
  <c r="AB45" i="2"/>
  <c r="AA45" i="2"/>
  <c r="I45" i="2"/>
  <c r="AC43" i="2"/>
  <c r="I43" i="2"/>
  <c r="AD42" i="2"/>
  <c r="AC42" i="2"/>
  <c r="AB42" i="2"/>
  <c r="AA42" i="2"/>
  <c r="I42" i="2"/>
  <c r="AD41" i="2"/>
  <c r="AC41" i="2"/>
  <c r="AB41" i="2"/>
  <c r="AA41" i="2"/>
  <c r="I41" i="2"/>
  <c r="AC40" i="2"/>
  <c r="I40" i="2"/>
  <c r="AC39" i="2"/>
  <c r="I39" i="2"/>
  <c r="AC38" i="2"/>
  <c r="I38" i="2"/>
  <c r="AC37" i="2"/>
  <c r="I37" i="2"/>
  <c r="AD36" i="2"/>
  <c r="AC36" i="2"/>
  <c r="AB36" i="2"/>
  <c r="AA36" i="2"/>
  <c r="I36" i="2"/>
  <c r="AC35" i="2"/>
  <c r="I35" i="2"/>
  <c r="AC33" i="2"/>
  <c r="I33" i="2"/>
  <c r="AD32" i="2"/>
  <c r="AC32" i="2"/>
  <c r="AB32" i="2"/>
  <c r="AA32" i="2"/>
  <c r="AC31" i="2"/>
  <c r="I31" i="2"/>
  <c r="AD30" i="2"/>
  <c r="AC30" i="2"/>
  <c r="AB30" i="2"/>
  <c r="AA30" i="2"/>
  <c r="I30" i="2"/>
  <c r="AC29" i="2"/>
  <c r="I29" i="2"/>
  <c r="AC28" i="2"/>
  <c r="I28" i="2"/>
  <c r="AC27" i="2"/>
  <c r="I27" i="2"/>
  <c r="AD26" i="2"/>
  <c r="AC26" i="2"/>
  <c r="AB26" i="2"/>
  <c r="AA26" i="2"/>
  <c r="I26" i="2"/>
  <c r="AD25" i="2"/>
  <c r="AC25" i="2"/>
  <c r="AB25" i="2"/>
  <c r="AA25" i="2"/>
  <c r="AD24" i="2"/>
  <c r="AC24" i="2"/>
  <c r="AB24" i="2"/>
  <c r="AA24" i="2"/>
  <c r="I24" i="2"/>
  <c r="AD23" i="2"/>
  <c r="AC23" i="2"/>
  <c r="AB23" i="2"/>
  <c r="AA23" i="2"/>
  <c r="AD22" i="2"/>
  <c r="AC22" i="2"/>
  <c r="AB22" i="2"/>
  <c r="AA22" i="2"/>
  <c r="AD21" i="2"/>
  <c r="AC21" i="2"/>
  <c r="AB21" i="2"/>
  <c r="AA21" i="2"/>
  <c r="I21" i="2"/>
  <c r="AD20" i="2"/>
  <c r="AC20" i="2"/>
  <c r="AB20" i="2"/>
  <c r="AA20" i="2"/>
  <c r="I20" i="2"/>
  <c r="AD19" i="2"/>
  <c r="AC19" i="2"/>
  <c r="AB19" i="2"/>
  <c r="AA19" i="2"/>
  <c r="I19" i="2"/>
  <c r="AD18" i="2"/>
  <c r="AC18" i="2"/>
  <c r="AB18" i="2"/>
  <c r="AA18" i="2"/>
  <c r="I18" i="2"/>
  <c r="AD17" i="2"/>
  <c r="AC17" i="2"/>
  <c r="AB17" i="2"/>
  <c r="AA17" i="2"/>
  <c r="I17" i="2"/>
  <c r="AD16" i="2"/>
  <c r="AC16" i="2"/>
  <c r="AB16" i="2"/>
  <c r="AA16" i="2"/>
  <c r="I16" i="2"/>
  <c r="AD15" i="2"/>
  <c r="AC15" i="2"/>
  <c r="AB15" i="2"/>
  <c r="AA15" i="2"/>
  <c r="I15" i="2"/>
  <c r="AD14" i="2"/>
  <c r="AC14" i="2"/>
  <c r="AB14" i="2"/>
  <c r="AA14" i="2"/>
  <c r="I14" i="2"/>
  <c r="AC13" i="2"/>
  <c r="I13" i="2"/>
  <c r="AC12" i="2"/>
  <c r="I12" i="2"/>
  <c r="AD11" i="2"/>
  <c r="AC11" i="2"/>
  <c r="AB11" i="2"/>
  <c r="AA11" i="2"/>
  <c r="I11" i="2"/>
  <c r="AD9" i="2"/>
  <c r="AC9" i="2"/>
  <c r="AC8" i="2"/>
  <c r="I8" i="2"/>
  <c r="AD7" i="2"/>
  <c r="AD6" i="2"/>
  <c r="AC6" i="2"/>
  <c r="AB6" i="2"/>
  <c r="AA6" i="2"/>
  <c r="I6" i="2"/>
  <c r="AD5" i="2"/>
  <c r="AC5" i="2"/>
  <c r="AB5" i="2"/>
  <c r="AA5" i="2"/>
  <c r="I5" i="2"/>
  <c r="AD4" i="2"/>
  <c r="AC4" i="2"/>
  <c r="AB4" i="2"/>
  <c r="AA4" i="2"/>
  <c r="I4" i="2"/>
  <c r="AD3" i="2"/>
  <c r="AC3" i="2"/>
  <c r="AB3" i="2"/>
  <c r="AA3" i="2"/>
  <c r="I3" i="2"/>
  <c r="AD2" i="2"/>
  <c r="AC2" i="2"/>
  <c r="AB2" i="2"/>
  <c r="AA2" i="2"/>
  <c r="I2" i="2"/>
  <c r="B45" i="3" l="1"/>
  <c r="M54" i="12"/>
  <c r="B47" i="3" s="1"/>
  <c r="E58" i="12"/>
  <c r="E57" i="12"/>
  <c r="E56" i="12"/>
  <c r="E55" i="12"/>
  <c r="E54" i="12"/>
  <c r="E53" i="12"/>
  <c r="E59" i="12"/>
  <c r="Q54" i="12"/>
  <c r="B49" i="3" s="1"/>
  <c r="C4" i="3"/>
  <c r="C3" i="3"/>
  <c r="C2" i="3"/>
  <c r="B4" i="3"/>
  <c r="B2" i="3"/>
  <c r="B3" i="3"/>
  <c r="D2" i="3" l="1"/>
  <c r="D4" i="3"/>
  <c r="D3" i="3"/>
  <c r="C5" i="3"/>
  <c r="B5" i="3"/>
  <c r="O39" i="12"/>
  <c r="O31" i="12"/>
  <c r="O15" i="12"/>
  <c r="O7" i="12"/>
  <c r="O37" i="12"/>
  <c r="O29" i="12"/>
  <c r="O13" i="12"/>
  <c r="O5" i="12"/>
  <c r="O28" i="12"/>
  <c r="O20" i="12"/>
  <c r="O12" i="12"/>
  <c r="O4" i="12"/>
  <c r="O38" i="12"/>
  <c r="O30" i="12"/>
  <c r="O22" i="12"/>
  <c r="O6" i="12"/>
  <c r="O21" i="12"/>
  <c r="O27" i="12"/>
  <c r="O19" i="12"/>
  <c r="O11" i="12"/>
  <c r="O3" i="12"/>
  <c r="O36" i="12"/>
  <c r="O35" i="12"/>
  <c r="O34" i="12"/>
  <c r="O26" i="12"/>
  <c r="O18" i="12"/>
  <c r="O10" i="12"/>
  <c r="O2" i="12"/>
  <c r="O23" i="12"/>
  <c r="O14" i="12"/>
  <c r="O33" i="12"/>
  <c r="O25" i="12"/>
  <c r="O17" i="12"/>
  <c r="O9" i="12"/>
  <c r="O40" i="12"/>
  <c r="O32" i="12"/>
  <c r="O24" i="12"/>
  <c r="O16" i="12"/>
  <c r="O50" i="12"/>
  <c r="O8"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tc={776C6772-E7F4-4214-B7E9-5D144CFC255A}</author>
  </authors>
  <commentList>
    <comment ref="C44" authorId="0" shapeId="0" xr:uid="{776C6772-E7F4-4214-B7E9-5D144CFC255A}">
      <text>
        <t>[Threaded comment]
Your version of Excel allows you to read this threaded comment; however, any edits to it will get removed if the file is opened in a newer version of Excel. Learn more: https://go.microsoft.com/fwlink/?linkid=870924
Comment:
    Assumes 50 kit max per cooler</t>
      </text>
    </comment>
  </commentList>
</comments>
</file>

<file path=xl/sharedStrings.xml><?xml version="1.0" encoding="utf-8"?>
<sst xmlns="http://schemas.openxmlformats.org/spreadsheetml/2006/main" count="18511" uniqueCount="6952">
  <si>
    <t>Timestamp</t>
  </si>
  <si>
    <t>What is your name (name of nurse delivering call)?</t>
  </si>
  <si>
    <t>Which facility did you choose?</t>
  </si>
  <si>
    <t>Who did you speak with?</t>
  </si>
  <si>
    <t>What is their role at the facility?</t>
  </si>
  <si>
    <t>What is their email address?</t>
  </si>
  <si>
    <t>What is their direct phone number?</t>
  </si>
  <si>
    <t>Which option does the facility choose for mandatory staff testing?</t>
  </si>
  <si>
    <t>For Kit Delivery Option - will you require in person staff training on collecting samples?</t>
  </si>
  <si>
    <t>How many staff are in your facility that will need to be tested?</t>
  </si>
  <si>
    <t>Notes:</t>
  </si>
  <si>
    <t>How long did this call take?</t>
  </si>
  <si>
    <t>Melanie Parks</t>
  </si>
  <si>
    <t>Adams Heritage</t>
  </si>
  <si>
    <t>Maria Diaz</t>
  </si>
  <si>
    <t>Administrator</t>
  </si>
  <si>
    <t>maria.diaz@adamshealthnetwork.org</t>
  </si>
  <si>
    <t>260-623-6440 ext 2501</t>
  </si>
  <si>
    <t>Kit delivery and pickup</t>
  </si>
  <si>
    <t>Yes</t>
  </si>
  <si>
    <t>When will kits be delivered and please have them delivered directly to Maria (administrator)</t>
  </si>
  <si>
    <t>Adams Woodcrest</t>
  </si>
  <si>
    <t>Craig Prokutek</t>
  </si>
  <si>
    <t>craig.prokutek@adamshealthnetwork.org</t>
  </si>
  <si>
    <t>260-437-4860</t>
  </si>
  <si>
    <t>Esther Eisman</t>
  </si>
  <si>
    <t>Addison Pointe Health &amp; Rehabilitation Center</t>
  </si>
  <si>
    <t>Carol Whitehead</t>
  </si>
  <si>
    <t>hfa.addison@tlcmgmt.com</t>
  </si>
  <si>
    <t>260-409-4686</t>
  </si>
  <si>
    <t>No</t>
  </si>
  <si>
    <t>Jannah Mitchell</t>
  </si>
  <si>
    <t>Albany Health Care &amp; Rehabilitation Center</t>
  </si>
  <si>
    <t>Stacia Dawson</t>
  </si>
  <si>
    <t>hsa.albany@tlcmgmt.com</t>
  </si>
  <si>
    <t>765-789-4423</t>
  </si>
  <si>
    <t>Alexandria Care Center</t>
  </si>
  <si>
    <t>Sherri Smith</t>
  </si>
  <si>
    <t>administrator@alexandria.com</t>
  </si>
  <si>
    <t>765-724-4478</t>
  </si>
  <si>
    <t>Will have firm # of staff when state calls to set up testing</t>
  </si>
  <si>
    <t>Ambassador Healthcare</t>
  </si>
  <si>
    <t>Melissa Mantooth</t>
  </si>
  <si>
    <t>missymantooth@ambassadorhealthcare.com</t>
  </si>
  <si>
    <t>765-855-3424</t>
  </si>
  <si>
    <t>Aperion Care Angola</t>
  </si>
  <si>
    <t>Kristina Dewey</t>
  </si>
  <si>
    <t>kdewey@aperioncare.com</t>
  </si>
  <si>
    <t>260-665-2161</t>
  </si>
  <si>
    <t>Facility started testing staff independently at the end of May.  Will these test results be accepted or do they all need to be re-tested?</t>
  </si>
  <si>
    <t>Aperion Care Arbors Michigan City</t>
  </si>
  <si>
    <t>Sherry LaMore</t>
  </si>
  <si>
    <t>slamore@aperioncare.com</t>
  </si>
  <si>
    <t>219-613-2146</t>
  </si>
  <si>
    <t>Prefer not to use ISDH resources for employee testing</t>
  </si>
  <si>
    <t>As of June 1 have tested 124 staff members (11 left), including contact employees.  Kits dropped off by ISDH.  No response from ISDH to their calls, so facility dropped off samples at Life Scan Labs for testing.  They will complete testing on the 11 that are left and deliver them to Life Scan.</t>
  </si>
  <si>
    <t>Aperion Care Demotte</t>
  </si>
  <si>
    <t>Kelly DeYoung</t>
  </si>
  <si>
    <t>kdeyoung@aperioncare.com</t>
  </si>
  <si>
    <t>219-345-5211</t>
  </si>
  <si>
    <t>Started testing staff at end of May.</t>
  </si>
  <si>
    <t>Aperion Care Fort Wayne</t>
  </si>
  <si>
    <t>Jeannine Hiatt</t>
  </si>
  <si>
    <t>jhiatt@aparioncare.com</t>
  </si>
  <si>
    <t>260-432-7556</t>
  </si>
  <si>
    <t>Already tested staff 5/10-5/19 but will retest again in June per mandate</t>
  </si>
  <si>
    <t>Russ Evans</t>
  </si>
  <si>
    <t>Aperion Care Frankfort</t>
  </si>
  <si>
    <t>Tracy Wells</t>
  </si>
  <si>
    <t>twells@aperioncare.com</t>
  </si>
  <si>
    <t>Cell (716)756-06528</t>
  </si>
  <si>
    <t>already did all the residents</t>
  </si>
  <si>
    <t>Aperion Care Kokomo</t>
  </si>
  <si>
    <t>Joanna Clemens</t>
  </si>
  <si>
    <t>Director of Nursing</t>
  </si>
  <si>
    <t>tpeek@aperioncare.com</t>
  </si>
  <si>
    <t>765-453-4666</t>
  </si>
  <si>
    <t>New ED not available; DON prepared to take the call</t>
  </si>
  <si>
    <t>Aperion Care Marion Llc</t>
  </si>
  <si>
    <t>Joanne Denny</t>
  </si>
  <si>
    <t>jdenny@aperioncare.com</t>
  </si>
  <si>
    <t>765-662-3701</t>
  </si>
  <si>
    <t>Remainder of staff were tested June 1, 2, 3</t>
  </si>
  <si>
    <t>Aperion Care Peru</t>
  </si>
  <si>
    <t>Tammy Matthews</t>
  </si>
  <si>
    <t>tmatthews@aperioncare.com</t>
  </si>
  <si>
    <t>765-689-5000</t>
  </si>
  <si>
    <t>Aperion Care Spencer LLC</t>
  </si>
  <si>
    <t>Sarah Mitchell</t>
  </si>
  <si>
    <t>na</t>
  </si>
  <si>
    <t>765-341-6924</t>
  </si>
  <si>
    <t>Onsite sample collection by ISDH team</t>
  </si>
  <si>
    <t>full testing in May, will have to retest</t>
  </si>
  <si>
    <t>Aperion Care University Park</t>
  </si>
  <si>
    <t>Natasha Shelpman</t>
  </si>
  <si>
    <t>nshelpman@aperioncare.com</t>
  </si>
  <si>
    <t>260-484-1558</t>
  </si>
  <si>
    <t>Started testing staff independently on June 1.  Have 20 more staff to test and will do this themselves</t>
  </si>
  <si>
    <t>Aperion Care Waldron</t>
  </si>
  <si>
    <t>Manoj Berry</t>
  </si>
  <si>
    <t>mberry2@aperioncare.com</t>
  </si>
  <si>
    <t>765-525-4371</t>
  </si>
  <si>
    <t>Megan Burgess</t>
  </si>
  <si>
    <t>Asbury Towers Health Care Center</t>
  </si>
  <si>
    <t>Rodney Jackson</t>
  </si>
  <si>
    <t>rjackson@asburytowers.com</t>
  </si>
  <si>
    <t>317-513-2257</t>
  </si>
  <si>
    <t>Ashton Creek Health and Rehab</t>
  </si>
  <si>
    <t>Molly Linder</t>
  </si>
  <si>
    <t>hfa.ashton@tlcmgmt.com</t>
  </si>
  <si>
    <t>260-437-2856</t>
  </si>
  <si>
    <t>would like to stagger tests</t>
  </si>
  <si>
    <t>Auburn Village</t>
  </si>
  <si>
    <t>Tim Daugherrty</t>
  </si>
  <si>
    <t>administrator@auburnvillage.com</t>
  </si>
  <si>
    <t>260-235-9912</t>
  </si>
  <si>
    <t>May have to change number of kits needed but 150 is an estimate</t>
  </si>
  <si>
    <t>Sarah Klepfer</t>
  </si>
  <si>
    <t>Avon Health &amp; Rehabilitation Center</t>
  </si>
  <si>
    <t>Ashley Brummitt</t>
  </si>
  <si>
    <t>don.avon@tlcmgmt.com</t>
  </si>
  <si>
    <t>317-985-7391</t>
  </si>
  <si>
    <t>Jenna Beard</t>
  </si>
  <si>
    <t>Azalea Hills</t>
  </si>
  <si>
    <t>Kathy McCoun</t>
  </si>
  <si>
    <t>administrator@azalea-hills.com</t>
  </si>
  <si>
    <t>812-923-4888</t>
  </si>
  <si>
    <t>Administrator said that Magnolia Health has decided to get kits dropped off/picked up - corporate decision</t>
  </si>
  <si>
    <t>Barrington of Carmel</t>
  </si>
  <si>
    <t>Kara Owen</t>
  </si>
  <si>
    <t>kowen@thebarringtonofcarmel.com</t>
  </si>
  <si>
    <t>Stephanie Benson</t>
  </si>
  <si>
    <t>Belltower Health &amp; Rehabilitation Center</t>
  </si>
  <si>
    <t>Marti Carmean</t>
  </si>
  <si>
    <t>marticarmean@fundtlc.com</t>
  </si>
  <si>
    <t>1 574 406 6600</t>
  </si>
  <si>
    <t>Janice Shipley</t>
  </si>
  <si>
    <t>Bertha D Garten Ketcham Memorial Center</t>
  </si>
  <si>
    <t>Kathy Wittmer</t>
  </si>
  <si>
    <t>kathy@ketchammemorial.com</t>
  </si>
  <si>
    <t>812-295-6602</t>
  </si>
  <si>
    <t>Had 24 staff tested pos in April and May. Do they need to be retested for June?</t>
  </si>
  <si>
    <t>Bethel Manor</t>
  </si>
  <si>
    <t xml:space="preserve">Joshua Bowman </t>
  </si>
  <si>
    <t>jbowman@bethelmanor.com</t>
  </si>
  <si>
    <t>812-401-9402</t>
  </si>
  <si>
    <t>direct cell# added and email verified. (Majority of time was waiting on hold for ED)</t>
  </si>
  <si>
    <t>Bethel Pointe Health And Rehab</t>
  </si>
  <si>
    <t>Derek Gibson</t>
  </si>
  <si>
    <t>hfa.bethel@tlcmgmt.com</t>
  </si>
  <si>
    <t xml:space="preserve">765-289-2273      </t>
  </si>
  <si>
    <t>Erika Hellmann</t>
  </si>
  <si>
    <t>Bloomington Nursing And Rehabilitation Center</t>
  </si>
  <si>
    <t>Lisa Daughtery</t>
  </si>
  <si>
    <t>bloomington.don@chosenhc.com</t>
  </si>
  <si>
    <t>812-336-1055</t>
  </si>
  <si>
    <t>The DON &amp; MDS were tested at the Armory on June 1st and were negative. Do they need to retest?</t>
  </si>
  <si>
    <t>Braun's Nursing Home</t>
  </si>
  <si>
    <t>Margaret Braun</t>
  </si>
  <si>
    <t>mhbraun@braunsnursinghome.com</t>
  </si>
  <si>
    <t>812-760-5827</t>
  </si>
  <si>
    <t>ED is in a study with ISDH and will have NP swab and serum test both today. Independently owned and will need ISDH to come into facility to test staff. Reviewed time frame. Added ED's cell#.</t>
  </si>
  <si>
    <t>Breckenridge Health &amp; Rehabilitation</t>
  </si>
  <si>
    <t>Sarah Wall</t>
  </si>
  <si>
    <t>administrator@breckenridgerehab.com</t>
  </si>
  <si>
    <t>812-798-0339</t>
  </si>
  <si>
    <t>Briarcliff Health &amp; Rehabilitation Center</t>
  </si>
  <si>
    <t>Christopher Peter</t>
  </si>
  <si>
    <t>cpeter@briarcliffsouthbend.com</t>
  </si>
  <si>
    <t>1 574 318 4600</t>
  </si>
  <si>
    <t>Bridgewater Healthcare Center</t>
  </si>
  <si>
    <t>Todd Smith</t>
  </si>
  <si>
    <t>todsmith@chs-corp.com</t>
  </si>
  <si>
    <t>812-589-0881</t>
  </si>
  <si>
    <t>Carla Thurston</t>
  </si>
  <si>
    <t>don@bridgewatercentre.com</t>
  </si>
  <si>
    <t>765-348-2273</t>
  </si>
  <si>
    <t>ED unavailable.  DON prepared for call</t>
  </si>
  <si>
    <t>Brooke Knoll Village</t>
  </si>
  <si>
    <t>Abby Gray</t>
  </si>
  <si>
    <t>administrator@brookeknollvillage.com</t>
  </si>
  <si>
    <t>317-204-1100</t>
  </si>
  <si>
    <t>Brookside Care Strategies</t>
  </si>
  <si>
    <t>Cathy Young</t>
  </si>
  <si>
    <t>cyioung@brooksidecs.net</t>
  </si>
  <si>
    <t>765-289-1915</t>
  </si>
  <si>
    <t>Brookville Healthcare Center</t>
  </si>
  <si>
    <t>Brenda Bannon</t>
  </si>
  <si>
    <t>administrator@brookville-healthcare.com</t>
  </si>
  <si>
    <t>765-647-2527</t>
  </si>
  <si>
    <t>will have corporate do the training on sample collection</t>
  </si>
  <si>
    <t>Brownsburg Health Care Center</t>
  </si>
  <si>
    <t>Bob Owens</t>
  </si>
  <si>
    <t>admin@brownsburghealthcare.us</t>
  </si>
  <si>
    <t>317-201-6927</t>
  </si>
  <si>
    <t>Byron Health Center</t>
  </si>
  <si>
    <t>Sarah Starcher</t>
  </si>
  <si>
    <t>sstarcher@byronhealth.org</t>
  </si>
  <si>
    <t>260-637-3166 ext 226</t>
  </si>
  <si>
    <t>Camelot Care Center</t>
  </si>
  <si>
    <t>Dusty Sizemore</t>
  </si>
  <si>
    <t>administrator@camelot-care.com</t>
  </si>
  <si>
    <t>Caroleton Healthcare Center</t>
  </si>
  <si>
    <t>Daulphine Day</t>
  </si>
  <si>
    <t>daday@chs-corp.com</t>
  </si>
  <si>
    <t>765-825-7514</t>
  </si>
  <si>
    <t>Castleton Health Care Center</t>
  </si>
  <si>
    <t>Brian Lessley</t>
  </si>
  <si>
    <t>admin@castletonhealthcare.us</t>
  </si>
  <si>
    <t>765-413-6702</t>
  </si>
  <si>
    <t>Cathedral Health Care Center</t>
  </si>
  <si>
    <t>Gaddis Baysinger</t>
  </si>
  <si>
    <t>cathedral.admin@imgcares.com</t>
  </si>
  <si>
    <t>812-229-5202</t>
  </si>
  <si>
    <t>Catherine Kasper Home</t>
  </si>
  <si>
    <t>Sara Marsh</t>
  </si>
  <si>
    <t>smarsh@poorhandmaids.org</t>
  </si>
  <si>
    <t>1 574 935 1742</t>
  </si>
  <si>
    <t>Century Villa Health Care</t>
  </si>
  <si>
    <t>Mike Gerig</t>
  </si>
  <si>
    <t>michael.gerig@centuryvilla.com</t>
  </si>
  <si>
    <t>765-628-3377</t>
  </si>
  <si>
    <t>Chalet Village Health And Rehabilitation Center</t>
  </si>
  <si>
    <t>Sarah Jackman</t>
  </si>
  <si>
    <t>administrator@chalet-village.net</t>
  </si>
  <si>
    <t>260-589-2127</t>
  </si>
  <si>
    <t>Chase Center</t>
  </si>
  <si>
    <t>Lacey Schnurpel</t>
  </si>
  <si>
    <t>lschnurpel@chasecenterlogansport.com</t>
  </si>
  <si>
    <t>574-753-4137</t>
  </si>
  <si>
    <t>Chesterton Manor</t>
  </si>
  <si>
    <t>Judy Steel</t>
  </si>
  <si>
    <t>chesterton.admin@imgcares.com</t>
  </si>
  <si>
    <t>219-926-8387</t>
  </si>
  <si>
    <t>Cloverleaf Of Knightsville</t>
  </si>
  <si>
    <t>Jesse Miller</t>
  </si>
  <si>
    <t>cloverleaf.admin@imgcares.com</t>
  </si>
  <si>
    <t>812 446 2309</t>
  </si>
  <si>
    <t xml:space="preserve">If all employees unable to make the 4 hr mark, would he be able to have them tested at a later time? I advised him that he would want to speak with ISDH about that and if there was a possibility the facility could collect the sample and send to the lab. </t>
  </si>
  <si>
    <t>Colonial Nursing Home</t>
  </si>
  <si>
    <t>Ryan Holcomb</t>
  </si>
  <si>
    <t>colonial.admin@imgcares.com</t>
  </si>
  <si>
    <t>219-381-0032</t>
  </si>
  <si>
    <t>Have begun testing their staff at Optum. One done in May, rest in June</t>
  </si>
  <si>
    <t>Colonial Oaks Health Care Center</t>
  </si>
  <si>
    <t>JamieSevier</t>
  </si>
  <si>
    <t>don.colonial@tlcmgmt.com</t>
  </si>
  <si>
    <t>765-674-9791</t>
  </si>
  <si>
    <t>Core Of Dale</t>
  </si>
  <si>
    <t>Lorri Maples</t>
  </si>
  <si>
    <t>bboyd@corenursing.com</t>
  </si>
  <si>
    <t>812-937-7073</t>
  </si>
  <si>
    <t>On speaker with ED-new and DON. They did not see email and discussed best process.</t>
  </si>
  <si>
    <t>Courtyard Healthcare Center</t>
  </si>
  <si>
    <t>Tamara Coney</t>
  </si>
  <si>
    <t>director_nursing@courtyardhcc.com</t>
  </si>
  <si>
    <t>1 574 533 0351</t>
  </si>
  <si>
    <t>Creekside Health And Rehabilitation Center</t>
  </si>
  <si>
    <t>Shane Nevers</t>
  </si>
  <si>
    <t>hfa.creekside@tlcmgmt.com</t>
  </si>
  <si>
    <t>765-517-0271</t>
  </si>
  <si>
    <t>Crownpointe Of Hartford City</t>
  </si>
  <si>
    <t>Angela Workman</t>
  </si>
  <si>
    <t>aworkman@cpcommunities.com</t>
  </si>
  <si>
    <t>765-348-3250</t>
  </si>
  <si>
    <t>Definitely want training</t>
  </si>
  <si>
    <t>Decatur Township Center</t>
  </si>
  <si>
    <t>Karl Eck</t>
  </si>
  <si>
    <t>Karl.Eck@genesishcc.com</t>
  </si>
  <si>
    <t>330-559-3951</t>
  </si>
  <si>
    <t>Dyer Nursing And Rehabilitation Center</t>
  </si>
  <si>
    <t>Katie Robertson</t>
  </si>
  <si>
    <t>administrator@dyerrehab.com</t>
  </si>
  <si>
    <t>219-322-2273 x 302</t>
  </si>
  <si>
    <t>Elmcroft Of Muncie</t>
  </si>
  <si>
    <t>Dawn  Beeman</t>
  </si>
  <si>
    <t>dbeeman@elmcroft.com</t>
  </si>
  <si>
    <t>765-289-4260</t>
  </si>
  <si>
    <t>Definitely need training</t>
  </si>
  <si>
    <t>Elwood Health And Living</t>
  </si>
  <si>
    <t>Toni Maley</t>
  </si>
  <si>
    <t>toni.maley@ehsl.org</t>
  </si>
  <si>
    <t>765-203-2672</t>
  </si>
  <si>
    <t>Enmotion Recovery Care</t>
  </si>
  <si>
    <t>Melusine 'Mel' Mitchell</t>
  </si>
  <si>
    <t>melusine.mitchell@hendricks.org</t>
  </si>
  <si>
    <t>219-628-0705</t>
  </si>
  <si>
    <t>Essex Nursing And Rehabilitation Center</t>
  </si>
  <si>
    <t>Evan Caldwell</t>
  </si>
  <si>
    <t>Other</t>
  </si>
  <si>
    <t>essex.admin@chosenhc.com</t>
  </si>
  <si>
    <t>765-366-3954</t>
  </si>
  <si>
    <t>Evansville Protestant Home</t>
  </si>
  <si>
    <t>Michelle Perry</t>
  </si>
  <si>
    <t>mperry@evansvilleprotestanthome.org</t>
  </si>
  <si>
    <t>812-476-3360</t>
  </si>
  <si>
    <t>DON trained by a U-tube video provided by lab. Would like additional educational resources sent if possible. ED questioned the refrigeration time of the swabs. They are not required to refrigerate swabs unless &gt; 48hr pickup.</t>
  </si>
  <si>
    <t>Flatrock River Lodge</t>
  </si>
  <si>
    <t>Twyla Shaw</t>
  </si>
  <si>
    <t>tshaw@rphfcorp.com</t>
  </si>
  <si>
    <t>765-932-2974</t>
  </si>
  <si>
    <t>Forum At The Crossing</t>
  </si>
  <si>
    <t>Laura Burton</t>
  </si>
  <si>
    <t>lburton@5ssl.com</t>
  </si>
  <si>
    <t>317-466-2023</t>
  </si>
  <si>
    <t>Freelandville Community Home</t>
  </si>
  <si>
    <t>Donetta Breeden</t>
  </si>
  <si>
    <t>freehome@joink.com</t>
  </si>
  <si>
    <t>812-328-2134</t>
  </si>
  <si>
    <t>Friends Fellowship Community</t>
  </si>
  <si>
    <t>Christopher Fields</t>
  </si>
  <si>
    <t>cfields@ffcinc.org</t>
  </si>
  <si>
    <t>765-962-6546</t>
  </si>
  <si>
    <t>Definitely need training for nurses</t>
  </si>
  <si>
    <t>Garden Villa - Bedford</t>
  </si>
  <si>
    <t>Scott Hayes</t>
  </si>
  <si>
    <t>SHayes@gardenvillahealth.com</t>
  </si>
  <si>
    <t>812-339-1657</t>
  </si>
  <si>
    <t xml:space="preserve">Already in the process of testing staff. </t>
  </si>
  <si>
    <t>Garden Villa - Bloomington</t>
  </si>
  <si>
    <t>Angela Patterson</t>
  </si>
  <si>
    <t>APatterson@gardenvillahealth.com</t>
  </si>
  <si>
    <t xml:space="preserve">They've tested all of their staff, except two and will be testing them when they return from PTO. </t>
  </si>
  <si>
    <t>Gentlecare Of Vincennes</t>
  </si>
  <si>
    <t>Patty McNeece</t>
  </si>
  <si>
    <t>jpmac93@sbcglobal.net</t>
  </si>
  <si>
    <t>812-882-8292</t>
  </si>
  <si>
    <t>Did not see any emails. Answered multiple questions for DON on Speaker.</t>
  </si>
  <si>
    <t>George Ade Memorial Health Care Center</t>
  </si>
  <si>
    <t>Scott James</t>
  </si>
  <si>
    <t>admin@georgeade.org</t>
  </si>
  <si>
    <t>219-275-2531 x 105</t>
  </si>
  <si>
    <t>Glenburn Home</t>
  </si>
  <si>
    <t>Jean Johanningsmeier</t>
  </si>
  <si>
    <t>jjohanningsmeier@glenburn.com</t>
  </si>
  <si>
    <t>Golden Years Homestead</t>
  </si>
  <si>
    <t>Steve Schaaf</t>
  </si>
  <si>
    <t>steve.schaff@goldenyesrshome.org</t>
  </si>
  <si>
    <t>260-748-6402</t>
  </si>
  <si>
    <t>Good Samaritan Home &amp; Rehabilitative Center</t>
  </si>
  <si>
    <t>Brian Bailey</t>
  </si>
  <si>
    <t>brianbailey@asc.care.com</t>
  </si>
  <si>
    <t>812-749-4774</t>
  </si>
  <si>
    <t>ASC</t>
  </si>
  <si>
    <t>Good Samaritan Society Shakamak Retirement Comm</t>
  </si>
  <si>
    <t>Michael Moore</t>
  </si>
  <si>
    <t>mmoore23@good-sam.com</t>
  </si>
  <si>
    <t>812 665 2226</t>
  </si>
  <si>
    <t xml:space="preserve">wants to ensure they are educated properly and have advanced notice of when the kits would be dropped off so that the staff who will be educated on swabbing will be there. </t>
  </si>
  <si>
    <t>Grace Village Health Care Facility</t>
  </si>
  <si>
    <t>Kevin McKeever</t>
  </si>
  <si>
    <t>kevin@gracevillage.org</t>
  </si>
  <si>
    <t>574 372 6535</t>
  </si>
  <si>
    <t>Grand Valley Health &amp; Rehab</t>
  </si>
  <si>
    <t>Chelsea Frederick</t>
  </si>
  <si>
    <t>administrator@grandvalleysnf.com</t>
  </si>
  <si>
    <t>765-318-3399</t>
  </si>
  <si>
    <t>Great Lakes Healthcare Center</t>
  </si>
  <si>
    <t>Nathan Wolf</t>
  </si>
  <si>
    <t>nwolf@chs-corp.com</t>
  </si>
  <si>
    <t>219-322-3555</t>
  </si>
  <si>
    <t>Green House Cottages Of Carmel</t>
  </si>
  <si>
    <t>Aneish Patel</t>
  </si>
  <si>
    <t>apatel@greenhouseseniorliving.com</t>
  </si>
  <si>
    <t>317-552-9077</t>
  </si>
  <si>
    <t>Green Valley Care Center</t>
  </si>
  <si>
    <t>Blossom Bach</t>
  </si>
  <si>
    <t>blossom_bach@lcca.com</t>
  </si>
  <si>
    <t>812-945-2341</t>
  </si>
  <si>
    <t>definitely wants to know ahead of time when the kit delivery will be dropped off so that she can try to coordinate as many staff as possible to be tested in the 2 day window</t>
  </si>
  <si>
    <t>Greencroft Healthcare</t>
  </si>
  <si>
    <t>John Eley</t>
  </si>
  <si>
    <t>john.eley@greencroft.org</t>
  </si>
  <si>
    <t>1 574 537 4000</t>
  </si>
  <si>
    <t>Greenwood Village South</t>
  </si>
  <si>
    <t>Pamela Seegers</t>
  </si>
  <si>
    <t>pseegers@gvsnet.org</t>
  </si>
  <si>
    <t>812-327-7206</t>
  </si>
  <si>
    <t>Hammond-Whiting Care Center</t>
  </si>
  <si>
    <t>Kelly DuHaime</t>
  </si>
  <si>
    <t>kelly _duhaime@lcca.com</t>
  </si>
  <si>
    <t>574-370-0045</t>
  </si>
  <si>
    <t>Hanover Nursing Center</t>
  </si>
  <si>
    <t>Markietta Burns</t>
  </si>
  <si>
    <t>hanover.admin@chosenhc.com</t>
  </si>
  <si>
    <t>812-866-2625</t>
  </si>
  <si>
    <t>mentioned PPE kits being dropped off in addition to testing kits, looking forward to communications on scheduling the drop off and training for 2 nurses</t>
  </si>
  <si>
    <t>Harrison Healthcare Center</t>
  </si>
  <si>
    <t>Kathy Dearing</t>
  </si>
  <si>
    <t>kdearing@chs-corp.com</t>
  </si>
  <si>
    <t>812-738-0550</t>
  </si>
  <si>
    <t>It sounds like Communicare corporate has opted for the onsite testing from the state</t>
  </si>
  <si>
    <t>Healthwin</t>
  </si>
  <si>
    <t>Jen Armendariz CCO</t>
  </si>
  <si>
    <t>jarmendariz@healthwin.org</t>
  </si>
  <si>
    <t>1 574 272 0100</t>
  </si>
  <si>
    <t>Heritage Center</t>
  </si>
  <si>
    <t>Courtney Cashman</t>
  </si>
  <si>
    <t>ccashman@holidayhealthcare.com</t>
  </si>
  <si>
    <t>812-429-0700</t>
  </si>
  <si>
    <t>answered 6 questions.</t>
  </si>
  <si>
    <t>Heritage Healthcare</t>
  </si>
  <si>
    <t>Megan Gaylor</t>
  </si>
  <si>
    <t>megan_gaylor@lcca.com</t>
  </si>
  <si>
    <t>765-463-1541</t>
  </si>
  <si>
    <t>have staff to do this</t>
  </si>
  <si>
    <t>Heritage House Of Greensburg</t>
  </si>
  <si>
    <t>Pamela DePrez</t>
  </si>
  <si>
    <t>pamela_wr@yahoo.com</t>
  </si>
  <si>
    <t>765-529-2961</t>
  </si>
  <si>
    <t>90ish per facility - this overrides any other Heritage House facilities as I spoke to a corporate nurse, Greensburg, New Castle, Richmond, and Shelbyville</t>
  </si>
  <si>
    <t>Heritage House Of Richmond</t>
  </si>
  <si>
    <t>Merry Goodwin</t>
  </si>
  <si>
    <t>mgoodwin@heritagehousein.com</t>
  </si>
  <si>
    <t>765-962-3543</t>
  </si>
  <si>
    <t>Heritage Of Fort Wayne, The</t>
  </si>
  <si>
    <t>Linda Shuttleworth</t>
  </si>
  <si>
    <t>lshuttleworth@ummh.org</t>
  </si>
  <si>
    <t>260-917-2580</t>
  </si>
  <si>
    <t>Heritage Of Huntington</t>
  </si>
  <si>
    <t>Jodie Stanley</t>
  </si>
  <si>
    <t>jstanley@ummh.org</t>
  </si>
  <si>
    <t>260-355-2750  ext 2204</t>
  </si>
  <si>
    <t>Plans to send some staff to OPTUM site</t>
  </si>
  <si>
    <t>Heritage Pointe</t>
  </si>
  <si>
    <t>Brenda Johns</t>
  </si>
  <si>
    <t>bjohns@ummh.org</t>
  </si>
  <si>
    <t>260-375-2201  ext 4253</t>
  </si>
  <si>
    <t>Hickory Creek At Columbus</t>
  </si>
  <si>
    <t>Alecia Moore</t>
  </si>
  <si>
    <t>Columbus_DON@hchfi.org</t>
  </si>
  <si>
    <t>812-372-6136</t>
  </si>
  <si>
    <t>Jade Parker</t>
  </si>
  <si>
    <t>Hickory Creek At Connersville</t>
  </si>
  <si>
    <t>Lea Loy</t>
  </si>
  <si>
    <t>Connersville_admin@hchfi.org</t>
  </si>
  <si>
    <t>260-729-2128</t>
  </si>
  <si>
    <t>Lea states that per Hickory Creek corporate, whole corporation has decided to go with Option #1:  Kit Delivery and Pickup</t>
  </si>
  <si>
    <t>Hickory Creek At Greensburg</t>
  </si>
  <si>
    <t>Ashley Rapp</t>
  </si>
  <si>
    <t>greensburg_admin@hchfi.org</t>
  </si>
  <si>
    <t>812-663-7503</t>
  </si>
  <si>
    <t>Hickory Creek At Madison</t>
  </si>
  <si>
    <t>Joey Kring</t>
  </si>
  <si>
    <t>madison_admin@hchfi.org</t>
  </si>
  <si>
    <t>812-273-4696</t>
  </si>
  <si>
    <t>would appreciate flexibility in drop-off/pick-up scheduling as staff are now able to go on vacations and the ED herself will be out of town 6/20-6/27</t>
  </si>
  <si>
    <t>Hickory Creek At New Castle</t>
  </si>
  <si>
    <t>Britney Longnecker</t>
  </si>
  <si>
    <t>newcastle_admin@hchfi.org</t>
  </si>
  <si>
    <t>765-529-4695</t>
  </si>
  <si>
    <t>Hickory Creek At Rochester</t>
  </si>
  <si>
    <t>Shawna Sopher</t>
  </si>
  <si>
    <t>winamac_admin@hchfi.org</t>
  </si>
  <si>
    <t>1 574 223 5100</t>
  </si>
  <si>
    <t>Hickory Creek At Scottsburg</t>
  </si>
  <si>
    <t>JoAnn McIntosh</t>
  </si>
  <si>
    <t>scottsburg_don@hchfi.org</t>
  </si>
  <si>
    <t>812-752-5065</t>
  </si>
  <si>
    <t>DON was talking to ED while on the phone, but I talked to the DON primarily. They would like the training - they have not done any collection themselves at this point.</t>
  </si>
  <si>
    <t>Hickory Creek At Winamac</t>
  </si>
  <si>
    <t>tina Burnacchi</t>
  </si>
  <si>
    <t>winamac_admin@hch.org</t>
  </si>
  <si>
    <t>1 574 946 6143</t>
  </si>
  <si>
    <t>Holy Cross Village At Notre Dame Inc</t>
  </si>
  <si>
    <t>Linda Lewis</t>
  </si>
  <si>
    <t>llewis@holycrossvillage.com</t>
  </si>
  <si>
    <t>1 574 287 1838</t>
  </si>
  <si>
    <t>Brittany Monday</t>
  </si>
  <si>
    <t>Homestead Healthcare Center</t>
  </si>
  <si>
    <t>Paige Metzler</t>
  </si>
  <si>
    <t>pmetzler@chs-corp.com</t>
  </si>
  <si>
    <t>618-780-5339</t>
  </si>
  <si>
    <t>would like at least a couple days notice for established test date</t>
  </si>
  <si>
    <t>Homeview Center Of Franklin</t>
  </si>
  <si>
    <t>Mark</t>
  </si>
  <si>
    <t>hfa.homeview@tlcmgmt.com</t>
  </si>
  <si>
    <t>317.736.6414</t>
  </si>
  <si>
    <t>Hoosier Christian Village</t>
  </si>
  <si>
    <t>Krista Garrison</t>
  </si>
  <si>
    <t>KGarrison@chliving.org</t>
  </si>
  <si>
    <t>812-358-2504</t>
  </si>
  <si>
    <t>Hoosier Village</t>
  </si>
  <si>
    <t>Mindy</t>
  </si>
  <si>
    <t>mkantz@hoosiervillage.com</t>
  </si>
  <si>
    <t>317.873.3349</t>
  </si>
  <si>
    <t>Hooverwood</t>
  </si>
  <si>
    <t>Tonya</t>
  </si>
  <si>
    <t>tstrong@hooverwood.org</t>
  </si>
  <si>
    <t>317.251.2261</t>
  </si>
  <si>
    <t>Indian Creek Healthcare Center</t>
  </si>
  <si>
    <t>Samantha Lawson</t>
  </si>
  <si>
    <t>salawson@chs-corp.com</t>
  </si>
  <si>
    <t>812-738-8127</t>
  </si>
  <si>
    <t>most staff have already been tested using OPTUM sites - she mentioned they were part of a pilot. I explained some of the "cons" to the onsite testing set-up, but she still preferred that method.</t>
  </si>
  <si>
    <t>Indiana Masonic Home Health Center</t>
  </si>
  <si>
    <t>Bill Pierce</t>
  </si>
  <si>
    <t>bpierce@compasspark.com</t>
  </si>
  <si>
    <t>317.346.1402</t>
  </si>
  <si>
    <t>Kendallville Manor</t>
  </si>
  <si>
    <t>Mark Gephart</t>
  </si>
  <si>
    <t>kendallville.admin@imgcares.com</t>
  </si>
  <si>
    <t>260-347-4374</t>
  </si>
  <si>
    <t>Facility started testing staff on 5/27 and completed them on 6/1.  They will retest the the May staff if needed.</t>
  </si>
  <si>
    <t>Kokomo Healthcare Center</t>
  </si>
  <si>
    <t>Julie Flick-Palmer</t>
  </si>
  <si>
    <t xml:space="preserve"> jfpalmer@chs-corp.com</t>
  </si>
  <si>
    <t>317-385-9856</t>
  </si>
  <si>
    <t>Lake County Nursing And Rehabilitation Center</t>
  </si>
  <si>
    <t>Sherry Shelby</t>
  </si>
  <si>
    <t>administrator@lakecountynursingandrehab.com</t>
  </si>
  <si>
    <t>219-771-9615</t>
  </si>
  <si>
    <t>Lake Park Residential Care</t>
  </si>
  <si>
    <t>Joelynn Miller-Johnson</t>
  </si>
  <si>
    <t>joelynn.johnson@regionalmentalhealth.org</t>
  </si>
  <si>
    <t>708-466-2231</t>
  </si>
  <si>
    <t>Lakeview Manor</t>
  </si>
  <si>
    <t>Patrick</t>
  </si>
  <si>
    <t>Administrator@LakeViewManor.com</t>
  </si>
  <si>
    <t>317.243.3721</t>
  </si>
  <si>
    <t>Laurels Of Dekalb</t>
  </si>
  <si>
    <t>Erin Tuttle</t>
  </si>
  <si>
    <t>etuttle@laurelhealth.com</t>
  </si>
  <si>
    <t xml:space="preserve">   Tel: (260)868-2164</t>
  </si>
  <si>
    <t>Liberty Village</t>
  </si>
  <si>
    <t>Suzanne Wagner</t>
  </si>
  <si>
    <t>administrator@libertyvillage-healthcare.com</t>
  </si>
  <si>
    <t>765-469-0931</t>
  </si>
  <si>
    <t>Becky Ridder</t>
  </si>
  <si>
    <t>Life Care Center Of Fort Wayne</t>
  </si>
  <si>
    <t>Holly Gentry</t>
  </si>
  <si>
    <t>holly_gentry@lcca.com</t>
  </si>
  <si>
    <t xml:space="preserve">   Tel: (260)422-8520</t>
  </si>
  <si>
    <t>-if new staff prior to 7/3 - will they need to be tested
-agency staff - if someone new comes to facility that was not tested, what will need to be done</t>
  </si>
  <si>
    <t>Life Care Center Of Lagrange</t>
  </si>
  <si>
    <t>Leah Bennett</t>
  </si>
  <si>
    <t>leah_bennett@lcca.com</t>
  </si>
  <si>
    <t xml:space="preserve">   Tel: (260)463-7445</t>
  </si>
  <si>
    <t>need to provide feedback -if staff + in a neg bldg. - are they considered +</t>
  </si>
  <si>
    <t>Life Care Center Of Rochester</t>
  </si>
  <si>
    <t>Mike Meadows</t>
  </si>
  <si>
    <t>michael_meadows@lcca.com</t>
  </si>
  <si>
    <t>1 574 223 4331</t>
  </si>
  <si>
    <t>Life Care Center Of The Willows</t>
  </si>
  <si>
    <t>Tami Adams</t>
  </si>
  <si>
    <t>tami_adams@lcca.com</t>
  </si>
  <si>
    <t>219-531-8315</t>
  </si>
  <si>
    <t>Life Care Center Of Valparaiso</t>
  </si>
  <si>
    <t>Amber Janeczko</t>
  </si>
  <si>
    <t>amber_janeczko@lcca.com</t>
  </si>
  <si>
    <t>219-462-1023</t>
  </si>
  <si>
    <t>Lincolnshire Health &amp; Rehabilitation Center</t>
  </si>
  <si>
    <t>Rita Gatson</t>
  </si>
  <si>
    <t>administrator@lincolnshirehrc.com</t>
  </si>
  <si>
    <t>219-769-9009</t>
  </si>
  <si>
    <t>Lindberg Crossing Senior Living</t>
  </si>
  <si>
    <t>Chloe Alexander</t>
  </si>
  <si>
    <t>don@lindbergcrossing.com</t>
  </si>
  <si>
    <t>765-648-2532</t>
  </si>
  <si>
    <t>Spoke with Chloe, DON at facility re: Mandated ISDH LTC Staff Testing in June.  Per DON, facility has chosen Option #1:  Kit Delivery &amp; Pickup.  Email address confirmed at don@lindbergcrossing.com
ED currently out, unsure of return to office, per Chloe.  OK to cc admin, Cindi Cooper at administrator@lindbergcrossing.com</t>
  </si>
  <si>
    <t>Lodge Of The Wabash</t>
  </si>
  <si>
    <t>Greg Matheis</t>
  </si>
  <si>
    <t>gmatheis@rphfcorp.com</t>
  </si>
  <si>
    <t>812-882-8787</t>
  </si>
  <si>
    <t xml:space="preserve">Answered 5 questions </t>
  </si>
  <si>
    <t>Loogootee Healthcare &amp; Rehabilitation Center</t>
  </si>
  <si>
    <t>Scott Swaby</t>
  </si>
  <si>
    <t>loog.hfa@att.net</t>
  </si>
  <si>
    <t>812-295-4433</t>
  </si>
  <si>
    <t>This is total for both Loogootee HC Rehab and Loogootee Nursing Center SNFs -2 facilities.</t>
  </si>
  <si>
    <t>Lutheran Community Home</t>
  </si>
  <si>
    <t>Marissa Meahl</t>
  </si>
  <si>
    <t>MMeahl@Lutherancommhome.org</t>
  </si>
  <si>
    <t>812-522-5927</t>
  </si>
  <si>
    <t>Lutheran Life Villages</t>
  </si>
  <si>
    <t>Shauna Shafer</t>
  </si>
  <si>
    <t>sshafer@lutheranlifevillages.org</t>
  </si>
  <si>
    <t xml:space="preserve">   Tel: (260)447-1591</t>
  </si>
  <si>
    <t>Lutheran Life Villages At Pine Valley</t>
  </si>
  <si>
    <t>Ashley Douglas</t>
  </si>
  <si>
    <t>adouglas@lutheranlifevillages.org</t>
  </si>
  <si>
    <t>(260) 205-8557</t>
  </si>
  <si>
    <t>Majestic Care Of Avon</t>
  </si>
  <si>
    <t xml:space="preserve"> Rachel </t>
  </si>
  <si>
    <t>ipsd.avon@majesticcare.com</t>
  </si>
  <si>
    <t xml:space="preserve">317-745-2522 </t>
  </si>
  <si>
    <t>Majestic Care Of Fort Wayne</t>
  </si>
  <si>
    <t>Alice Martin</t>
  </si>
  <si>
    <t>ed.fortwayne@majesticcare.com</t>
  </si>
  <si>
    <t xml:space="preserve">   (260)747-7435</t>
  </si>
  <si>
    <t>negative facility</t>
  </si>
  <si>
    <t>Majestic Care Of New Haven</t>
  </si>
  <si>
    <t>Gregg  Fuller</t>
  </si>
  <si>
    <t>ed.newhaven@majesticcare.com</t>
  </si>
  <si>
    <t xml:space="preserve">   (260)749-0413</t>
  </si>
  <si>
    <t>Majestic Care Of North Vernon</t>
  </si>
  <si>
    <t>Dan Kern</t>
  </si>
  <si>
    <t>ed.northvernon@majesticcare.com</t>
  </si>
  <si>
    <t>812-346-9333</t>
  </si>
  <si>
    <t>Majestic is going to be doing their own testing in-house</t>
  </si>
  <si>
    <t>Majestic Care Of Sheridan</t>
  </si>
  <si>
    <t xml:space="preserve">Zack </t>
  </si>
  <si>
    <t>adon.sheridan@majesticcare.com</t>
  </si>
  <si>
    <t>317.758.4426</t>
  </si>
  <si>
    <t>Majestic Care Of West Allen</t>
  </si>
  <si>
    <t>Wayne Noble</t>
  </si>
  <si>
    <t>ed.westallen@majesticcar.com</t>
  </si>
  <si>
    <t xml:space="preserve"> (260)625-3545</t>
  </si>
  <si>
    <t>Manderley Health Care Center</t>
  </si>
  <si>
    <t>Molly Negangard</t>
  </si>
  <si>
    <t>manderleyshawn@comcast.net</t>
  </si>
  <si>
    <t>812-689-4143</t>
  </si>
  <si>
    <t>staggering the testing in case of positives would be needed - no sister facilities to rely on or agency to help</t>
  </si>
  <si>
    <t>Manor Care Health Services Summer Trace</t>
  </si>
  <si>
    <t>Janet Kent</t>
  </si>
  <si>
    <t>janet.kent2@hcr-manorcare.com</t>
  </si>
  <si>
    <t>317-677-4168</t>
  </si>
  <si>
    <t>Manorcare Health Services</t>
  </si>
  <si>
    <t>Al Mollozzi</t>
  </si>
  <si>
    <t>alfred.mollozzi@hcr-manorcare.com</t>
  </si>
  <si>
    <t>859-816-1704</t>
  </si>
  <si>
    <t>Maple Manor Christian Home Inc</t>
  </si>
  <si>
    <t>Monica Broady</t>
  </si>
  <si>
    <t>Infection Prevention</t>
  </si>
  <si>
    <t>s.cunningham@mymmch.com</t>
  </si>
  <si>
    <t>812-246-4866</t>
  </si>
  <si>
    <t>spoke with Infection Prevention Nurse, but email address is for administrator. they understand the scheduling limitations of having the team come out for testing, but they think it's the best option for their facility</t>
  </si>
  <si>
    <t>Marquette</t>
  </si>
  <si>
    <t>Jake</t>
  </si>
  <si>
    <t>coxjake@marquetterc.org</t>
  </si>
  <si>
    <t>317.875.9700</t>
  </si>
  <si>
    <t>Mason Health Care Center</t>
  </si>
  <si>
    <t>Jason Metzer</t>
  </si>
  <si>
    <t>hfa.mason@tlcmgmt.com</t>
  </si>
  <si>
    <t>1 574 371 2500</t>
  </si>
  <si>
    <t>Mcgivney Health Care Center</t>
  </si>
  <si>
    <t>Randall</t>
  </si>
  <si>
    <t>randall.shera@gibault.org</t>
  </si>
  <si>
    <t>317.846.0265</t>
  </si>
  <si>
    <t>Not stocked about testing everyone</t>
  </si>
  <si>
    <t>Meadowood Health Pavilion</t>
  </si>
  <si>
    <t>Larry Diersing</t>
  </si>
  <si>
    <t>LDiersing@5ssl.com</t>
  </si>
  <si>
    <t>812-336-7060</t>
  </si>
  <si>
    <t>Meadows Manor East</t>
  </si>
  <si>
    <t>Pam Clevenger</t>
  </si>
  <si>
    <t>east@sunsetharborinc.com</t>
  </si>
  <si>
    <t>Meadows Manor North</t>
  </si>
  <si>
    <t>Wendy McNamara-Baker</t>
  </si>
  <si>
    <t>north@sunsetharborinc.com</t>
  </si>
  <si>
    <t>(812) 466-5217</t>
  </si>
  <si>
    <t>Meridian Nursing And Rehabilitation Center</t>
  </si>
  <si>
    <t>Sheila</t>
  </si>
  <si>
    <t>meridian.don@chosenhc.com</t>
  </si>
  <si>
    <t>317.786.9426</t>
  </si>
  <si>
    <t>Middletown Nursing And Rehabilitation Center</t>
  </si>
  <si>
    <t>Jared Moore</t>
  </si>
  <si>
    <t>JMoore@MiddletownNursing.com</t>
  </si>
  <si>
    <t>765-354-2223</t>
  </si>
  <si>
    <t>Per ED Jared, leaning towards Option #2: Onsite sample collection by ISDH team, but will talk it over with team.</t>
  </si>
  <si>
    <t>Milner Community Health Care</t>
  </si>
  <si>
    <t>Greg Jackson</t>
  </si>
  <si>
    <t>gregg@milnercommunityhealthcare.org</t>
  </si>
  <si>
    <t>was utilizing local OPTUM, but still too far away.  would like to have the onsite help</t>
  </si>
  <si>
    <t>Milton Home, The</t>
  </si>
  <si>
    <t>Kevin Baker</t>
  </si>
  <si>
    <t>kbaker@themiltonhome.com</t>
  </si>
  <si>
    <t>1 574 233 0165</t>
  </si>
  <si>
    <t>Mitchell Manor</t>
  </si>
  <si>
    <t>Kathi Hignite-Owens</t>
  </si>
  <si>
    <t>Kathi_HigniteOwens@lcca.com</t>
  </si>
  <si>
    <t>812-849-2221</t>
  </si>
  <si>
    <t>They tested all employees May 13th and 14th, do they need to repeat testing?</t>
  </si>
  <si>
    <t>Morgantown Health Care</t>
  </si>
  <si>
    <t>Dale Hartman</t>
  </si>
  <si>
    <t>MHCINN@gmail.com</t>
  </si>
  <si>
    <t>812-525-8606</t>
  </si>
  <si>
    <t>New Albany Nursing And Rehabilitation Center</t>
  </si>
  <si>
    <t>Sherry Haney</t>
  </si>
  <si>
    <t>newalbany.don@chosenhc.com</t>
  </si>
  <si>
    <t>812-945-9517</t>
  </si>
  <si>
    <t>Newburgh Health Care</t>
  </si>
  <si>
    <t>Suzanne Weigel</t>
  </si>
  <si>
    <t>sweigel@newburghhealthcare.com</t>
  </si>
  <si>
    <t>812-853-2931</t>
  </si>
  <si>
    <t xml:space="preserve">Contracted with Labcore. </t>
  </si>
  <si>
    <t>North Ridge Village Nursing &amp; Rehabilitation Cente</t>
  </si>
  <si>
    <t>Marlene Powell</t>
  </si>
  <si>
    <t>m.powell@chosenhc.com</t>
  </si>
  <si>
    <t xml:space="preserve">   (260)636-1000</t>
  </si>
  <si>
    <t>Northern Lakes Nursing And Rehabilitation Center</t>
  </si>
  <si>
    <t>DeeAnna Smalllman</t>
  </si>
  <si>
    <t>deesmallman@northernlakesnursing.com</t>
  </si>
  <si>
    <t xml:space="preserve"> (260)665-9467</t>
  </si>
  <si>
    <t>using OPTUM at no charge - to continue</t>
  </si>
  <si>
    <t>Northview Health And Living</t>
  </si>
  <si>
    <t>Pam Sipes</t>
  </si>
  <si>
    <t>pam.sipes@eshl.org</t>
  </si>
  <si>
    <t>765-617-6566</t>
  </si>
  <si>
    <t>Northwest Manor Health Care Center</t>
  </si>
  <si>
    <t>Bryce Reagan</t>
  </si>
  <si>
    <t>breagan@northwesthealthcare.net</t>
  </si>
  <si>
    <t>317.293.4930</t>
  </si>
  <si>
    <t>Northwood Retirement Community</t>
  </si>
  <si>
    <t>Diane Jones</t>
  </si>
  <si>
    <t>djones20@good-sam.com</t>
  </si>
  <si>
    <t>812-482-1722</t>
  </si>
  <si>
    <t>Strike Team in yesterday to train 5 nurses d/t pos residents in facility.</t>
  </si>
  <si>
    <t>Oak Grove Christian Retirement Village</t>
  </si>
  <si>
    <t>Rosemary Weeks</t>
  </si>
  <si>
    <t>rosemary.weeks@oakgrovecrv.org</t>
  </si>
  <si>
    <t>219-987-9204</t>
  </si>
  <si>
    <t>Oak Village</t>
  </si>
  <si>
    <t>Cassie Abel</t>
  </si>
  <si>
    <t>oakvillage.admin@imgcares.com</t>
  </si>
  <si>
    <t>812-745-2360</t>
  </si>
  <si>
    <t>Oakbrook Village</t>
  </si>
  <si>
    <t>Patti Templar</t>
  </si>
  <si>
    <t>administrator@oakbrook-village.com</t>
  </si>
  <si>
    <t xml:space="preserve">   Tel: (260)358-0047</t>
  </si>
  <si>
    <t>Oakwood Health Campus</t>
  </si>
  <si>
    <t>Mary Blocker</t>
  </si>
  <si>
    <t>marycayte.blocker@oakwoodhs.com</t>
  </si>
  <si>
    <t>812-547-2333</t>
  </si>
  <si>
    <t>Park Place Health And Wellness Center</t>
  </si>
  <si>
    <t>Mark Vanderzee</t>
  </si>
  <si>
    <t>mvanderzee@provlife.com</t>
  </si>
  <si>
    <t>219-308-9820</t>
  </si>
  <si>
    <t>Parkview Haven</t>
  </si>
  <si>
    <t>Glenn Wagner</t>
  </si>
  <si>
    <t>administrator@parkviewhaven.com</t>
  </si>
  <si>
    <t>1 219 567 9149</t>
  </si>
  <si>
    <t>Has a nurse that use to do NP test and can do but would like IP nurse also trained</t>
  </si>
  <si>
    <t>Persimmon Ridge Rehabilitation Centre</t>
  </si>
  <si>
    <t>Melinda Hodgson</t>
  </si>
  <si>
    <t>administrator@persimmonridgerehab.com</t>
  </si>
  <si>
    <t>260-273-0837</t>
  </si>
  <si>
    <t>Pilgrim Manor</t>
  </si>
  <si>
    <t>Susan Wagners</t>
  </si>
  <si>
    <t>swagers@pilgrim-manor.com</t>
  </si>
  <si>
    <t>1 574 936 9943</t>
  </si>
  <si>
    <t>Pineknoll Rehabilitation Centre</t>
  </si>
  <si>
    <t>Rosalind Thorn</t>
  </si>
  <si>
    <t>administrator@pineknollrehab.com</t>
  </si>
  <si>
    <t>765-482-6400</t>
  </si>
  <si>
    <t>Plainfield Health Care Center</t>
  </si>
  <si>
    <t>Chris</t>
  </si>
  <si>
    <t>admin@plainfieldhealthcare.us</t>
  </si>
  <si>
    <t>317.839.6577</t>
  </si>
  <si>
    <t>Pleasant View Lodge</t>
  </si>
  <si>
    <t>Colleen</t>
  </si>
  <si>
    <t>pvl@hrtc.net</t>
  </si>
  <si>
    <t>317.335.2159</t>
  </si>
  <si>
    <t>Premier Healthcare Of New Harmony</t>
  </si>
  <si>
    <t>Tina Tolley</t>
  </si>
  <si>
    <t>dmorgan@premierofnewharmony.com</t>
  </si>
  <si>
    <t>812-682-4104</t>
  </si>
  <si>
    <t>Providence Health Care Center</t>
  </si>
  <si>
    <t>Mandy Lynch</t>
  </si>
  <si>
    <t>mlynch@phcwoods.org</t>
  </si>
  <si>
    <t>812-535-4001</t>
  </si>
  <si>
    <t>Rensselaer Care Center</t>
  </si>
  <si>
    <t>Kimberly Ready</t>
  </si>
  <si>
    <t>kimberly  _ ready@lccr.com</t>
  </si>
  <si>
    <t>219-204-0237</t>
  </si>
  <si>
    <t>Ripley Crossing</t>
  </si>
  <si>
    <t>Trina Johnson</t>
  </si>
  <si>
    <t>tjohnson@ripleycrossing.com</t>
  </si>
  <si>
    <t>812-654-2231</t>
  </si>
  <si>
    <t>brought up staggering pick up of kits just because of large number of staff, willing to drop off kits to other neighboring facilities if that's where the state would be picking up that day or be creative in trying to make the staggering happen</t>
  </si>
  <si>
    <t>River Terrace Health Care Center</t>
  </si>
  <si>
    <t>Alicia Bauer</t>
  </si>
  <si>
    <t>riverterrace.admin@imgcares.com</t>
  </si>
  <si>
    <t xml:space="preserve"> (260) 8248940</t>
  </si>
  <si>
    <t>Riverwalk Communities</t>
  </si>
  <si>
    <t>Brandi Huffman</t>
  </si>
  <si>
    <t>brandihuffman@riverwalkcommunities.org</t>
  </si>
  <si>
    <t>812-425-1041</t>
  </si>
  <si>
    <t>DON quit and 3rd day for Admin. Several questions r/t email.</t>
  </si>
  <si>
    <t>Rural Health Care Center</t>
  </si>
  <si>
    <t>Olivia</t>
  </si>
  <si>
    <t>rural.admin@chosenhc.com</t>
  </si>
  <si>
    <t>317.635.1355</t>
  </si>
  <si>
    <t>Presence Sacred Heart Home</t>
  </si>
  <si>
    <t>David Deffenbaugh</t>
  </si>
  <si>
    <t>david.deffenbaugh@ascension.org</t>
  </si>
  <si>
    <t>260-897-3498</t>
  </si>
  <si>
    <t>Sanctuary At Holy Cross</t>
  </si>
  <si>
    <t>Shari Brinkley</t>
  </si>
  <si>
    <t xml:space="preserve">brinkleys@trinity-health.org </t>
  </si>
  <si>
    <t>1 574 247 7500</t>
  </si>
  <si>
    <t>Shady Nook Care Center</t>
  </si>
  <si>
    <t>Desiree Dotson</t>
  </si>
  <si>
    <t>ddotson@shadynookrehab.com</t>
  </si>
  <si>
    <t>812-537-0930</t>
  </si>
  <si>
    <t>will they provide coolers at drop off?</t>
  </si>
  <si>
    <t>Signature Healthcare At Parkwood</t>
  </si>
  <si>
    <t>Trisha</t>
  </si>
  <si>
    <t>Admin.Parkwood@SignatureHealthcareLLC.com</t>
  </si>
  <si>
    <t>765.482.6400</t>
  </si>
  <si>
    <t>Signature Healthcare Of Bremen</t>
  </si>
  <si>
    <t>Katie Robinson</t>
  </si>
  <si>
    <t>admin.bremen@shccs.com</t>
  </si>
  <si>
    <t>1 574 546 3494</t>
  </si>
  <si>
    <t>Signature Healthcare Of Lafayette</t>
  </si>
  <si>
    <t>Mary Oliver</t>
  </si>
  <si>
    <t>admin.lafayette@signaturehealthcarellc.com</t>
  </si>
  <si>
    <t>appreciative of the state support</t>
  </si>
  <si>
    <t>Signature Healthcare Of Newburgh</t>
  </si>
  <si>
    <t>Tina Wolfinger</t>
  </si>
  <si>
    <t>admin.newburgh@signaturehealthcarellc.com</t>
  </si>
  <si>
    <t>812-473-4761</t>
  </si>
  <si>
    <t xml:space="preserve">Admin been on phone all day with ISDH with COVID issues d/t 4 residents and 1 staff who were pos with S/S in April tested neg x2 later and now are positive again with S/S. </t>
  </si>
  <si>
    <t>Signature Healthcare Of Terre Haute</t>
  </si>
  <si>
    <t>Diane Brenton</t>
  </si>
  <si>
    <t>dbrenton@signaturehealthcarellc.com</t>
  </si>
  <si>
    <t>Southfield Village</t>
  </si>
  <si>
    <t>Joe Doran</t>
  </si>
  <si>
    <t>joe.doran@southfieldvillage.org</t>
  </si>
  <si>
    <t>1 574 231 1000</t>
  </si>
  <si>
    <t>Sprenger Health Care Of Mishawaka</t>
  </si>
  <si>
    <t>Ravaan Carroll</t>
  </si>
  <si>
    <t>rcarroll@sprengerhealthcare.com</t>
  </si>
  <si>
    <t>1 574 222 1234</t>
  </si>
  <si>
    <t>St Augustine Home For The Aged</t>
  </si>
  <si>
    <t xml:space="preserve">Virginia </t>
  </si>
  <si>
    <t>DNSIndianapolis@littlesistersofthepoor.org</t>
  </si>
  <si>
    <t>317.415.5767</t>
  </si>
  <si>
    <t>7 minutes on hold</t>
  </si>
  <si>
    <t>St Paul Hermitage</t>
  </si>
  <si>
    <t>Sister Heather</t>
  </si>
  <si>
    <t>administrator@stpaulhermitage.org</t>
  </si>
  <si>
    <t>317.786.2261</t>
  </si>
  <si>
    <t>Summerfield Health Care Center</t>
  </si>
  <si>
    <t>Tasheena Duncan</t>
  </si>
  <si>
    <t>summerfield.admin@chosenhc.com</t>
  </si>
  <si>
    <t>(765) 795-4260</t>
  </si>
  <si>
    <t>The Residence At Waterford Crossing</t>
  </si>
  <si>
    <t>Cassandra Seedorff</t>
  </si>
  <si>
    <t>cassandra.seedorf@waterfordcrossingsl.com</t>
  </si>
  <si>
    <t>1 574 538 4594</t>
  </si>
  <si>
    <t>The Village At Hamilton Pointe</t>
  </si>
  <si>
    <t>Shawn Cates</t>
  </si>
  <si>
    <t>hfa.hamilton@tlcmgmt.com</t>
  </si>
  <si>
    <t>812-858-5300</t>
  </si>
  <si>
    <t>Multiple questions!</t>
  </si>
  <si>
    <t>Timber Creek Village</t>
  </si>
  <si>
    <t>Shannon Logan</t>
  </si>
  <si>
    <t>timbercreekvillage6@outlook.com</t>
  </si>
  <si>
    <t>317.642.9169</t>
  </si>
  <si>
    <t>Timbercrest Church Of The Brethren Home</t>
  </si>
  <si>
    <t>Melissa Miller</t>
  </si>
  <si>
    <t>mmiller@timbercrest.org</t>
  </si>
  <si>
    <t>260-982-2118</t>
  </si>
  <si>
    <t>Transcendent Healthcare Of Boonville</t>
  </si>
  <si>
    <t>Melanie Lutz</t>
  </si>
  <si>
    <t>melanielutz@transcendenthealthcare.com</t>
  </si>
  <si>
    <t>812-897-1375</t>
  </si>
  <si>
    <t>Wants to do testing over 1 week.</t>
  </si>
  <si>
    <t>Transcendent Healthcare Of Boonville - North</t>
  </si>
  <si>
    <t>Erin Whitehouse</t>
  </si>
  <si>
    <t>erinwhitehouse@transcendenthealthcare.com</t>
  </si>
  <si>
    <t>812-897-2810</t>
  </si>
  <si>
    <t>several questions r/t contracted workers</t>
  </si>
  <si>
    <t>Transcendent Healthcare Of Owensville</t>
  </si>
  <si>
    <t>Robert O'Niones</t>
  </si>
  <si>
    <t>robertoniones@transcendenthealthcare.com</t>
  </si>
  <si>
    <t>812-890-3609</t>
  </si>
  <si>
    <t>Twin City Health Care</t>
  </si>
  <si>
    <t xml:space="preserve">Amanda Kilgore	</t>
  </si>
  <si>
    <t>administrator@twincity-healthcare.com</t>
  </si>
  <si>
    <t>765-674-8516</t>
  </si>
  <si>
    <t>University Place Health Center And Assisted Living</t>
  </si>
  <si>
    <t>David Kinder</t>
  </si>
  <si>
    <t>would really like to have more time to get the test kits back to the state...several pickups maybe?</t>
  </si>
  <si>
    <t>Vermillion Convalescent Center</t>
  </si>
  <si>
    <t>Amy Gum</t>
  </si>
  <si>
    <t>administrator@vermillioncc.net</t>
  </si>
  <si>
    <t>(765) 832-3573</t>
  </si>
  <si>
    <t>Spoke with Amy Gum regional director</t>
  </si>
  <si>
    <t>Vernon Health &amp; Rehabilitation</t>
  </si>
  <si>
    <t>Brenda Alfrey</t>
  </si>
  <si>
    <t>brenda.alfrey@vernonhealthandrehab.com</t>
  </si>
  <si>
    <t>260-563-8438</t>
  </si>
  <si>
    <t>Villas Of Guerin Woods</t>
  </si>
  <si>
    <t>Katrina Wilson</t>
  </si>
  <si>
    <t>don@pssmsi.org</t>
  </si>
  <si>
    <t>they have people scheduled to be tested next week - should they cancel</t>
  </si>
  <si>
    <t>Warsaw Meadows</t>
  </si>
  <si>
    <t>Carol McGuigan</t>
  </si>
  <si>
    <t>warsaw.admin@imgcares.com</t>
  </si>
  <si>
    <t>1 574 267 8922</t>
  </si>
  <si>
    <t>Waters Of Covington, The</t>
  </si>
  <si>
    <t>Fay Pruitt</t>
  </si>
  <si>
    <t>administrator@watersofcovington.com</t>
  </si>
  <si>
    <t>765-793-4818</t>
  </si>
  <si>
    <t>Waters Of Greencastle, The</t>
  </si>
  <si>
    <t>Holly Wachtel</t>
  </si>
  <si>
    <t>administrator@watersofgreencastle.com</t>
  </si>
  <si>
    <t>Cari Alcorn</t>
  </si>
  <si>
    <t>administrator@watersofnewcastle.com</t>
  </si>
  <si>
    <t>765-521-1420</t>
  </si>
  <si>
    <t>Waters Of Martinsville, The</t>
  </si>
  <si>
    <t>Zack</t>
  </si>
  <si>
    <t>administrator@watersofmartinsville.com</t>
  </si>
  <si>
    <t>812.360.1178</t>
  </si>
  <si>
    <t>Waters Of Muncie, The</t>
  </si>
  <si>
    <t>Shawn Dent</t>
  </si>
  <si>
    <t>administrator@watersofmuncie.com</t>
  </si>
  <si>
    <t>765-747-9044</t>
  </si>
  <si>
    <t>Waters Of Rising Sun, The</t>
  </si>
  <si>
    <t>Steve Grubb</t>
  </si>
  <si>
    <t>administrator@watersofrisingsun.com</t>
  </si>
  <si>
    <t>812-584-8500</t>
  </si>
  <si>
    <t>Waters Of Scottsburg, The</t>
  </si>
  <si>
    <t>Gary Preece</t>
  </si>
  <si>
    <t>administrator@watersofscottsburg.com</t>
  </si>
  <si>
    <t>502-819-7399</t>
  </si>
  <si>
    <t>Wesley Manor Health Center</t>
  </si>
  <si>
    <t>Genny Commer</t>
  </si>
  <si>
    <t>gcromer@wesleymanor.org</t>
  </si>
  <si>
    <t>189 tested in may and June, used local labs and OPTUM.  All negative</t>
  </si>
  <si>
    <t>Wesleyan Health Care Center</t>
  </si>
  <si>
    <t>Deb Smith</t>
  </si>
  <si>
    <t>don.wesleyan@tlcmgmt.com</t>
  </si>
  <si>
    <t>317-674-3371</t>
  </si>
  <si>
    <t>DON would like to know if staff testing currently being conducted at OPTUM sites are still approved and OK to use? Some staff members have began testing at those sites the last week of May 27, 28, &amp; 29.</t>
  </si>
  <si>
    <t>Westminster Village - West Lafayette</t>
  </si>
  <si>
    <t>Greg Steele</t>
  </si>
  <si>
    <t>gsteele@wvwl.org</t>
  </si>
  <si>
    <t>CRCC would like to have guidance around other areas, question about staggering testing</t>
  </si>
  <si>
    <t>Westminster Village Health &amp; Rehab</t>
  </si>
  <si>
    <t>Tyler Eason</t>
  </si>
  <si>
    <t>teason@westminstervillagein.com</t>
  </si>
  <si>
    <t>(812) 242-4600</t>
  </si>
  <si>
    <t>Westminster Village Muncie Inc</t>
  </si>
  <si>
    <t>Jen Peterson</t>
  </si>
  <si>
    <t>jpeterson@wvmuncie.com</t>
  </si>
  <si>
    <t>765-288-2155</t>
  </si>
  <si>
    <t>Westridge Health Care Center</t>
  </si>
  <si>
    <t>Laura Cleghorn</t>
  </si>
  <si>
    <t>don@westridge-healthcare.com</t>
  </si>
  <si>
    <t>812-232-3311</t>
  </si>
  <si>
    <t>White River Lodge</t>
  </si>
  <si>
    <t>Leah Hillenburg</t>
  </si>
  <si>
    <t>LHillenburg@rphfcorp.com</t>
  </si>
  <si>
    <t>812-374-7718</t>
  </si>
  <si>
    <t>Will they need to set these up in Limsnet?</t>
  </si>
  <si>
    <t>Willow Crossing Health &amp; Rehabilitation Center</t>
  </si>
  <si>
    <t>Mandy Spall</t>
  </si>
  <si>
    <t>Administrator@willow-crossing.com</t>
  </si>
  <si>
    <t>812-379-9669</t>
  </si>
  <si>
    <t>Willowbend Living Center</t>
  </si>
  <si>
    <t>Glen Burke</t>
  </si>
  <si>
    <t>administrator@willowbend-living.com</t>
  </si>
  <si>
    <t>765-747-7820</t>
  </si>
  <si>
    <t>Wintersong Village</t>
  </si>
  <si>
    <t>BOM - Phyllis Milbourn</t>
  </si>
  <si>
    <t>wintersong.bom@chosenhc.com</t>
  </si>
  <si>
    <t>1 574 772 5826</t>
  </si>
  <si>
    <t>Spoke with B.O.M who stated admin already left but told her to anticipate call and they want test dropped off and picked up</t>
  </si>
  <si>
    <t>Woodland Hills Care Center</t>
  </si>
  <si>
    <t>Bev Packitt</t>
  </si>
  <si>
    <t>administrator@woodlandhills-center.com</t>
  </si>
  <si>
    <t>812-614-6196</t>
  </si>
  <si>
    <t>Woodland Manor</t>
  </si>
  <si>
    <t>Deidre Moore</t>
  </si>
  <si>
    <t>woodland.don.imgcare.com</t>
  </si>
  <si>
    <t>1 574 295 0096</t>
  </si>
  <si>
    <t>Said their corporate guided them to have ISDH go to facility and do the testing</t>
  </si>
  <si>
    <t>Randolph Nursing Home</t>
  </si>
  <si>
    <t>Marilyn Alberson</t>
  </si>
  <si>
    <t>marilyn.alberson@rnh.org</t>
  </si>
  <si>
    <t>765-584-2201</t>
  </si>
  <si>
    <t>Westminster Village Health And Rehab</t>
  </si>
  <si>
    <t>Billy Ledbetter</t>
  </si>
  <si>
    <t>billy.ledbetter@rhf.org</t>
  </si>
  <si>
    <t>812-207-4899</t>
  </si>
  <si>
    <t>have had staff that have done this testing before</t>
  </si>
  <si>
    <t>Morning Breeze Retirement Community and Healthcare</t>
  </si>
  <si>
    <t>April Hughes</t>
  </si>
  <si>
    <t>april.hughes@morningbreeze.org</t>
  </si>
  <si>
    <t>317-662-7778</t>
  </si>
  <si>
    <t>3 questions answered</t>
  </si>
  <si>
    <t>Richland Bean Blossom Health Care Center</t>
  </si>
  <si>
    <t>Luan Deskins</t>
  </si>
  <si>
    <t>luan.deskins@rbbhcc.com</t>
  </si>
  <si>
    <t>812-876-6400</t>
  </si>
  <si>
    <t>Cedars The</t>
  </si>
  <si>
    <t>Chad Forth</t>
  </si>
  <si>
    <t>cforth@thecedarsrc.com</t>
  </si>
  <si>
    <t>(260) 627-2191</t>
  </si>
  <si>
    <t>Whitewater Commons Senior Living</t>
  </si>
  <si>
    <t>Shawn Steele</t>
  </si>
  <si>
    <t>administrator@whitewatercommons.com</t>
  </si>
  <si>
    <t>765-458-5117</t>
  </si>
  <si>
    <t>Kingston Care Center Of Fort Wayne</t>
  </si>
  <si>
    <t>Catherine Palace</t>
  </si>
  <si>
    <t>cpalace@kingstonhealthcare.com</t>
  </si>
  <si>
    <t>260-489-2552</t>
  </si>
  <si>
    <t>Heritage House Of New Castle</t>
  </si>
  <si>
    <t>Angela Durr</t>
  </si>
  <si>
    <t>adurr@heritagehousein.com</t>
  </si>
  <si>
    <t>765-529-9694</t>
  </si>
  <si>
    <t>Would like additional training information.</t>
  </si>
  <si>
    <t>Heritage House Of Shelbyville</t>
  </si>
  <si>
    <t>David Deprez</t>
  </si>
  <si>
    <t>ddeprez@heritagehousein.com</t>
  </si>
  <si>
    <t>317-398-9781</t>
  </si>
  <si>
    <t>SAINT ANNE HOME</t>
  </si>
  <si>
    <t>Elaine Wilson</t>
  </si>
  <si>
    <t>elaine.wilson@sacfw.org</t>
  </si>
  <si>
    <t>260-484-5555</t>
  </si>
  <si>
    <t>Lane House, The</t>
  </si>
  <si>
    <t>Gloria McGowen</t>
  </si>
  <si>
    <t>gloria_mcgowen@lcca.com</t>
  </si>
  <si>
    <t>765-362-0007</t>
  </si>
  <si>
    <t>Columbus Transitional Care And Rehabilitation</t>
  </si>
  <si>
    <t>Bridget Bartlet</t>
  </si>
  <si>
    <t>don@columbustransitional.com</t>
  </si>
  <si>
    <t>(812) 372-8447</t>
  </si>
  <si>
    <t>Tranquility Nursing And Rehab</t>
  </si>
  <si>
    <t>Nikki Ferguson</t>
  </si>
  <si>
    <t>don@tranquilitynr.com</t>
  </si>
  <si>
    <t>317-225-2462</t>
  </si>
  <si>
    <t>SAINT ANTHONY REHAB AND NURSING CENTER</t>
  </si>
  <si>
    <t>Nicole Hardy</t>
  </si>
  <si>
    <t>don@sahc.net</t>
  </si>
  <si>
    <t>765-423-4861</t>
  </si>
  <si>
    <t>Witham Extended Care</t>
  </si>
  <si>
    <t>Theresa Snyder</t>
  </si>
  <si>
    <t>tsnyder@witham.org</t>
  </si>
  <si>
    <t>765-485-8325</t>
  </si>
  <si>
    <t>Mulberry Health &amp; Rehabilitation Center</t>
  </si>
  <si>
    <t xml:space="preserve">Mark Wolfschlag  </t>
  </si>
  <si>
    <t>markwolfschlag@mulberryhealth.com</t>
  </si>
  <si>
    <t>765-296-2911</t>
  </si>
  <si>
    <t>ED wants written "Proof" of mandate to show employees</t>
  </si>
  <si>
    <t>Tara Trevino</t>
  </si>
  <si>
    <t>woodland.admin@imgcares.com</t>
  </si>
  <si>
    <t>574-596-7113</t>
  </si>
  <si>
    <t>This corporation was proactive and started testing large# of employees last week of May. Instructed that Corp should call someone higher up at ISDH r/t this question since guidance stated to be done in June.</t>
  </si>
  <si>
    <t>Swiss Village</t>
  </si>
  <si>
    <t>Alma Ahmetovic</t>
  </si>
  <si>
    <t>almaa@swissvillage.org</t>
  </si>
  <si>
    <t>260-301-4450</t>
  </si>
  <si>
    <t>Hubbard Hill Estates Inc</t>
  </si>
  <si>
    <t>Kathy Gonsalves</t>
  </si>
  <si>
    <t>KGonsalves@Hubbardhill.org</t>
  </si>
  <si>
    <t>574-295-6260</t>
  </si>
  <si>
    <t>Westside Retirement Village</t>
  </si>
  <si>
    <t>Joshua Davis</t>
  </si>
  <si>
    <t>joshua_davis@lcca.com</t>
  </si>
  <si>
    <t>317-209-2800​</t>
  </si>
  <si>
    <t>Wittenberg Village</t>
  </si>
  <si>
    <t>Goran Prentoski</t>
  </si>
  <si>
    <t>Goran.Presntoski@LULIFE.org</t>
  </si>
  <si>
    <t>219-663-3860</t>
  </si>
  <si>
    <t>Life Care Center Of Michigan City</t>
  </si>
  <si>
    <t>Terri Phillips</t>
  </si>
  <si>
    <t>terri_phillips@lcca.com</t>
  </si>
  <si>
    <t>219-872-7251</t>
  </si>
  <si>
    <t>Facility ED is requesting that they be one of the first bldgs to implement testing in test kit rollout, if possible.</t>
  </si>
  <si>
    <t>Hillside Manor Nursing Home</t>
  </si>
  <si>
    <t>Julie Chapman</t>
  </si>
  <si>
    <t>jhelmchapman@yahoo.com</t>
  </si>
  <si>
    <t>812-254-7159</t>
  </si>
  <si>
    <t>Lutheran Life Villages - Village At Kendallville</t>
  </si>
  <si>
    <t>Sadie Fenstermaker</t>
  </si>
  <si>
    <t>sfenstermaker@lutheranlifevillages.org</t>
  </si>
  <si>
    <t>260-316-3389</t>
  </si>
  <si>
    <t>Skilled Caring Center Of Memorial Hospital And Health Care Center</t>
  </si>
  <si>
    <t>CHERYL WELP</t>
  </si>
  <si>
    <t>cwelp@mhhcc.org</t>
  </si>
  <si>
    <t>812-630-4401</t>
  </si>
  <si>
    <t>Crown Point Christian Village</t>
  </si>
  <si>
    <t>Nicole Prom</t>
  </si>
  <si>
    <t>nprom@chliving.com</t>
  </si>
  <si>
    <t>Grey Stone Health and Rehab</t>
  </si>
  <si>
    <t>Shari Scott-Bellinger</t>
  </si>
  <si>
    <t>Shari.Bellinger@saberhealth.com</t>
  </si>
  <si>
    <t>260-341-4035</t>
  </si>
  <si>
    <t>Symphony Of Chesterton Llc</t>
  </si>
  <si>
    <t>Colleen Miller</t>
  </si>
  <si>
    <t>admch@symphonypan.com</t>
  </si>
  <si>
    <t>219-304-6700</t>
  </si>
  <si>
    <t>Diversicare Of Providence</t>
  </si>
  <si>
    <t>Kellie Arnold</t>
  </si>
  <si>
    <t>kellie.arnold@dvcr.com</t>
  </si>
  <si>
    <t>812-945-5221</t>
  </si>
  <si>
    <t>Indiana Veterans Home</t>
  </si>
  <si>
    <t>Joy Grow</t>
  </si>
  <si>
    <t>JGrow1@IVH.IN.gov</t>
  </si>
  <si>
    <t>765-490-0679</t>
  </si>
  <si>
    <t>Signature Healthcare Of Fort Wayne</t>
  </si>
  <si>
    <t>David Holbrook</t>
  </si>
  <si>
    <t>dholbrook@shccs.com</t>
  </si>
  <si>
    <t xml:space="preserve"> 260-486-3001</t>
  </si>
  <si>
    <t>Symphony Of Crown Point Llc</t>
  </si>
  <si>
    <t>Amy Morris</t>
  </si>
  <si>
    <t>admcp@symphonypan.com</t>
  </si>
  <si>
    <t>219-323-8700</t>
  </si>
  <si>
    <t>Signature Healthcare Of Bluffton</t>
  </si>
  <si>
    <t>Tomi Cobb</t>
  </si>
  <si>
    <t>admin.bluffton@signaturehealhcarellc.com</t>
  </si>
  <si>
    <t>260-824-4320</t>
  </si>
  <si>
    <t>South Shore Health &amp; Rehabilitation Center</t>
  </si>
  <si>
    <t>Ronald Arndt</t>
  </si>
  <si>
    <t>rarndt@southshoregary.com</t>
  </si>
  <si>
    <t>219-229-4076</t>
  </si>
  <si>
    <t>Signature Healthcare Of South Bend</t>
  </si>
  <si>
    <t>Michael Roby</t>
  </si>
  <si>
    <t>mrobey@shccs.com</t>
  </si>
  <si>
    <t>574-277-8710</t>
  </si>
  <si>
    <t>SAGE BLUFF HEALTH &amp; REHAB CENTER</t>
  </si>
  <si>
    <t>Melissa Jean Reese</t>
  </si>
  <si>
    <t>melissa.reese@saberhealth.com</t>
  </si>
  <si>
    <t>260-443-7300</t>
  </si>
  <si>
    <t>Hamilton Pointe Health and Rehab</t>
  </si>
  <si>
    <t>Corrected # of staff from # given to state yesterday, 6/3/20</t>
  </si>
  <si>
    <t>Summit Health And Living</t>
  </si>
  <si>
    <t>Anastasia Key</t>
  </si>
  <si>
    <t>anastasia.key@eshl.org</t>
  </si>
  <si>
    <t>(765)203-2671</t>
  </si>
  <si>
    <t>Bridgewater Rehabilitation Centre</t>
  </si>
  <si>
    <t>Bob Cook</t>
  </si>
  <si>
    <t>administrator@bridgewatercentre.com</t>
  </si>
  <si>
    <t xml:space="preserve">  (765)348-2273</t>
  </si>
  <si>
    <t>Someone called yesterday and spoke with DON.</t>
  </si>
  <si>
    <t>Christian Care Retirement Community</t>
  </si>
  <si>
    <t>Donna Emshwiller</t>
  </si>
  <si>
    <t>demshwiller@christiancarerc.org</t>
  </si>
  <si>
    <t>(260) 565-3000</t>
  </si>
  <si>
    <t>Especially Kidz Health and Rehab</t>
  </si>
  <si>
    <t>Dawn Wendel</t>
  </si>
  <si>
    <t>administrator@especiallykidz.com</t>
  </si>
  <si>
    <t>317-392-3287</t>
  </si>
  <si>
    <t>Ossian Health Care and Rehabilitation Center</t>
  </si>
  <si>
    <t>Travis Owsley</t>
  </si>
  <si>
    <t>hfa.ossian@tlcmgmt.com</t>
  </si>
  <si>
    <t>260-622-7821</t>
  </si>
  <si>
    <t>Parker Health Care and Rehabilitation Center</t>
  </si>
  <si>
    <t>Melissa Huser</t>
  </si>
  <si>
    <t>hfa.parker@tlcmgmt.com</t>
  </si>
  <si>
    <t>765-468-8280</t>
  </si>
  <si>
    <t>Four Seasons Retirement Center</t>
  </si>
  <si>
    <t>Jackie Stancil</t>
  </si>
  <si>
    <t>jstancil@fourseasonsretirement.com</t>
  </si>
  <si>
    <t>1 812 372 8481</t>
  </si>
  <si>
    <t>Green-Hill Manor</t>
  </si>
  <si>
    <t>Stephanie Anderson</t>
  </si>
  <si>
    <t>greenhill.admin@chosenhc.com</t>
  </si>
  <si>
    <t>1 765 884 1470</t>
  </si>
  <si>
    <t>Exceoptional Living Center of Brazil</t>
  </si>
  <si>
    <t>Deborah Davis</t>
  </si>
  <si>
    <t>deborah.davis@elcbrazil.com</t>
  </si>
  <si>
    <t>812-585-7608</t>
  </si>
  <si>
    <t>Several questions.</t>
  </si>
  <si>
    <t>University Heights Health And Living Community</t>
  </si>
  <si>
    <t>Terry McNeely</t>
  </si>
  <si>
    <t>university.admin@chosenhc.com</t>
  </si>
  <si>
    <t>1 812 464 3607</t>
  </si>
  <si>
    <t>ROLLING MEADOWS HEALTH CARE CENTER</t>
  </si>
  <si>
    <t>Brad Needler</t>
  </si>
  <si>
    <t xml:space="preserve">hfa.rolling@tlcmgmt.com   </t>
  </si>
  <si>
    <t>765-662-9350</t>
  </si>
  <si>
    <t>Washington Nursing Center</t>
  </si>
  <si>
    <t>Reba Driskill</t>
  </si>
  <si>
    <t>washington.admin@chosenhc.com</t>
  </si>
  <si>
    <t>1 812 254 5117</t>
  </si>
  <si>
    <t>Spring Mill Health Campus</t>
  </si>
  <si>
    <t>Dianne O'Connor</t>
  </si>
  <si>
    <t>administrator@springmillhc.com</t>
  </si>
  <si>
    <t>708-951-9982</t>
  </si>
  <si>
    <t>Pulaski Health Care Center</t>
  </si>
  <si>
    <t>Sharon McKinley</t>
  </si>
  <si>
    <t>administrator@phcc-phc.com</t>
  </si>
  <si>
    <t>574-595-5002</t>
  </si>
  <si>
    <t>Aperion Care Tolleston Park</t>
  </si>
  <si>
    <t>Christina Admin</t>
  </si>
  <si>
    <t>swinchestergilstrap@aperioncare.com</t>
  </si>
  <si>
    <t>1 219 977 2600</t>
  </si>
  <si>
    <t>Willow Manor</t>
  </si>
  <si>
    <t>Eric Ahlbrand</t>
  </si>
  <si>
    <t>e.ahlbrand@chosenhc.com</t>
  </si>
  <si>
    <t>765-401-0131</t>
  </si>
  <si>
    <t>2 questions</t>
  </si>
  <si>
    <t>Core of Bedford</t>
  </si>
  <si>
    <t>Charles Brazzell</t>
  </si>
  <si>
    <t>abrazzell@corenursing.com</t>
  </si>
  <si>
    <t>Gabriella Pries</t>
  </si>
  <si>
    <t>gpries@aperioncare.com</t>
  </si>
  <si>
    <t>1 765 689 5000</t>
  </si>
  <si>
    <t xml:space="preserve">Facility was on conference call with ISDH and Dr. Dan and was told they could start testing right away.  They started their testing on Sunday May 31st and the rest of the staff were done in June and swabs were picked up yesterday June 4th.  Admin reached out to ISDH for direction on what to do with the 20-25 staff members that were testing on Sunday May 31st to see if they would need to have them redone and is awaiting a return call from ISDH on their decision.  Unable to complete survey as they do not have direction from ISDH at this time to know if this is going to be required. </t>
  </si>
  <si>
    <t>Providence Anderson</t>
  </si>
  <si>
    <t>Skyler Smith</t>
  </si>
  <si>
    <t>skyler.smith@providenceanderson.com</t>
  </si>
  <si>
    <t>765-644-2888</t>
  </si>
  <si>
    <t>Sugar Creek Rehabilitation And Convalescent Center</t>
  </si>
  <si>
    <t>Matthew Daley Shafer</t>
  </si>
  <si>
    <t>sugarcreek.admin@chosenhc.com</t>
  </si>
  <si>
    <t>1 317 894 3301</t>
  </si>
  <si>
    <t>Yorktown Manor</t>
  </si>
  <si>
    <t>Jennifer Bailey</t>
  </si>
  <si>
    <t>yorktown.admin@imgcares.com</t>
  </si>
  <si>
    <t>765-499-9396</t>
  </si>
  <si>
    <t>This facility has their employees tested every week at Armory on Country Club Rd. Instructed they will just need to get the results to ISDH and watch for further info to come. 31 employees have tested pos since weekly testing began ? in May. 42 Neg.</t>
  </si>
  <si>
    <t>Rehabilitation Center At Hartsfield Village</t>
  </si>
  <si>
    <t>Susan Seydel</t>
  </si>
  <si>
    <t>susan.m.seydel@comhs.org</t>
  </si>
  <si>
    <t>773-510-7454</t>
  </si>
  <si>
    <t>Westminster Village North</t>
  </si>
  <si>
    <t>Shannon Poole</t>
  </si>
  <si>
    <t>spoole@westminstervillage.com</t>
  </si>
  <si>
    <t>few from last week</t>
  </si>
  <si>
    <t>Green House village of Goshen</t>
  </si>
  <si>
    <t>Tonya Detweiler, Owner</t>
  </si>
  <si>
    <t>tonya@bluediamondcommunities.com</t>
  </si>
  <si>
    <t>317 653 5767</t>
  </si>
  <si>
    <t xml:space="preserve">They are planning on doing the testing on June 24th and would like the test kits before this date, hoping by June 15th in case they need to change plans. </t>
  </si>
  <si>
    <t>Towne House Retirement Community</t>
  </si>
  <si>
    <t>Amy Scheffer</t>
  </si>
  <si>
    <t>ascheffer@townehouse.org</t>
  </si>
  <si>
    <t>1 260 483 3116</t>
  </si>
  <si>
    <t>Facility</t>
  </si>
  <si>
    <t>Corporation</t>
  </si>
  <si>
    <t xml:space="preserve">Facility Zip Code: </t>
  </si>
  <si>
    <t>City</t>
  </si>
  <si>
    <t>County</t>
  </si>
  <si>
    <t>Within 10 mi OPTUM</t>
  </si>
  <si>
    <t>Number of Staff</t>
  </si>
  <si>
    <t>Status</t>
  </si>
  <si>
    <t>Designation</t>
  </si>
  <si>
    <t>Notes</t>
  </si>
  <si>
    <t>No test kits</t>
  </si>
  <si>
    <t>Lack personnel to adminster test</t>
  </si>
  <si>
    <t>No nearby testing sites</t>
  </si>
  <si>
    <t>Not enough PPE</t>
  </si>
  <si>
    <t>No established relationship with lab</t>
  </si>
  <si>
    <t>Need Consult to plan</t>
  </si>
  <si>
    <t>Please describe what else you would need to accomplish testing in 2 weeks</t>
  </si>
  <si>
    <t>Please describe how you would accomplish this:</t>
  </si>
  <si>
    <t>Are you supportive of testing all staff in your facility?</t>
  </si>
  <si>
    <t>Any other comments regarding this proposal:</t>
  </si>
  <si>
    <t>Complete?</t>
  </si>
  <si>
    <t>Initial Category</t>
  </si>
  <si>
    <t>Phone</t>
  </si>
  <si>
    <t>Address 1</t>
  </si>
  <si>
    <t>Address 2</t>
  </si>
  <si>
    <t>Require Training of Staff?</t>
  </si>
  <si>
    <t>Total Employees</t>
  </si>
  <si>
    <t>Monroeville</t>
  </si>
  <si>
    <t>Allen</t>
  </si>
  <si>
    <t>Local Hospital</t>
  </si>
  <si>
    <t xml:space="preserve">Testing is cost prohibitive.  In a Covid-19 naive building  this is an unnecessary cost and use of manpower.  </t>
  </si>
  <si>
    <t>Complete</t>
  </si>
  <si>
    <t xml:space="preserve">   Tel: (260)623-6440</t>
  </si>
  <si>
    <t xml:space="preserve">   12011 Whittern Rd</t>
  </si>
  <si>
    <t xml:space="preserve">   Monroeville, In 46773</t>
  </si>
  <si>
    <t>Decatur</t>
  </si>
  <si>
    <t>Adams</t>
  </si>
  <si>
    <t>Testing is cost prohibitive.  In a Covid-19 naive building and in a county where only 10 cases have  been reported out of 275 tested this is an unnecessary cost and use of manpower.</t>
  </si>
  <si>
    <t xml:space="preserve">   Tel: (260)724-3311</t>
  </si>
  <si>
    <t xml:space="preserve">   1300 Mercer Ave</t>
  </si>
  <si>
    <t xml:space="preserve">   Decatur, In 46733</t>
  </si>
  <si>
    <t>TLC</t>
  </si>
  <si>
    <t>Chesterton</t>
  </si>
  <si>
    <t>Porter</t>
  </si>
  <si>
    <t>Non-Specific Plan/Hypothetical/Local Sites</t>
  </si>
  <si>
    <t>we could refer to a free testing site through our medical director. This may take longer than 2 weeks to accomplish based of numbers that would be using in area.</t>
  </si>
  <si>
    <t xml:space="preserve">what is the guideline for employees who refuse to be tested? </t>
  </si>
  <si>
    <t xml:space="preserve">   Tel: (219)921-2200</t>
  </si>
  <si>
    <t xml:space="preserve">   780 Dickinson Road</t>
  </si>
  <si>
    <t xml:space="preserve">   Chesterton, In 46304</t>
  </si>
  <si>
    <t>Albany</t>
  </si>
  <si>
    <t>Delaware</t>
  </si>
  <si>
    <t>Plan to do testing themselves</t>
  </si>
  <si>
    <t xml:space="preserve">   Tel: (765)789-4423</t>
  </si>
  <si>
    <t xml:space="preserve">   910 W Walnut St</t>
  </si>
  <si>
    <t xml:space="preserve">   Albany, In 47320</t>
  </si>
  <si>
    <t>Summitville</t>
  </si>
  <si>
    <t>Madison</t>
  </si>
  <si>
    <t>Optum Testing</t>
  </si>
  <si>
    <t>We are concerned that should we have multiple "asymptomatic" staff test positive, it could leave insufficient staff remaining to meet the needs of the residents. Conducting all testing within the same time frame and same geographical area may not allow staff support from other sister facilities should testing warrant multiple staff members to be off duty for ten days simultaneously.</t>
  </si>
  <si>
    <t xml:space="preserve">   Tel: (765)724-4478</t>
  </si>
  <si>
    <t xml:space="preserve">   1912 S Park Ave</t>
  </si>
  <si>
    <t xml:space="preserve">   Alexandria, In 46001</t>
  </si>
  <si>
    <t>Allison Pointe Healthcare Center</t>
  </si>
  <si>
    <t>CommuniCare</t>
  </si>
  <si>
    <t>Indianapolis</t>
  </si>
  <si>
    <t>Marion</t>
  </si>
  <si>
    <t>5226 E 82Nd St</t>
  </si>
  <si>
    <t>Allisonville Meadows</t>
  </si>
  <si>
    <t>Fishers</t>
  </si>
  <si>
    <t>Hamilton</t>
  </si>
  <si>
    <t xml:space="preserve">   Tel: (317)841-8777</t>
  </si>
  <si>
    <t xml:space="preserve">   10312 Allisonville Rd</t>
  </si>
  <si>
    <t xml:space="preserve">   Fishers, In 46038</t>
  </si>
  <si>
    <t>no</t>
  </si>
  <si>
    <t>Alpha Home - A Waters Community</t>
  </si>
  <si>
    <t>Waters</t>
  </si>
  <si>
    <t>2640 Cold Spring Rd</t>
  </si>
  <si>
    <t>Altenheim Health &amp; Living Community</t>
  </si>
  <si>
    <t>CarDon</t>
  </si>
  <si>
    <t>3525 E Hanna Ave</t>
  </si>
  <si>
    <t>Centerville</t>
  </si>
  <si>
    <t>Wayne</t>
  </si>
  <si>
    <t>The issue that we would have with testing all employees is the fact that the test costs $150 per test.  Total cost to test all employees would be $24,750.  The facility could not sustain this cost on a weekly basis.</t>
  </si>
  <si>
    <t xml:space="preserve">   Tel: (765)855-3424</t>
  </si>
  <si>
    <t xml:space="preserve">   705 E Main St</t>
  </si>
  <si>
    <t xml:space="preserve">   Centerville, In 47330</t>
  </si>
  <si>
    <t>Amber Manor Care Center</t>
  </si>
  <si>
    <t>Trilogy</t>
  </si>
  <si>
    <t>Petersburg</t>
  </si>
  <si>
    <t>Pike</t>
  </si>
  <si>
    <t xml:space="preserve">Who plans to pay for the testing? How would facilities be reimbursed by the state?  </t>
  </si>
  <si>
    <t xml:space="preserve">   Tel: (812)354-3001</t>
  </si>
  <si>
    <t xml:space="preserve">   801 E Illinois St</t>
  </si>
  <si>
    <t xml:space="preserve">   Petersburg, In 47567</t>
  </si>
  <si>
    <t>American Village</t>
  </si>
  <si>
    <t xml:space="preserve">   Tel: (317)253-6950</t>
  </si>
  <si>
    <t xml:space="preserve">   2026 East 54Th St</t>
  </si>
  <si>
    <t xml:space="preserve">   Indianapolis, In 46220</t>
  </si>
  <si>
    <t>Aperion Care</t>
  </si>
  <si>
    <t>Angola</t>
  </si>
  <si>
    <t>Steuben</t>
  </si>
  <si>
    <t>Other/Need State Resources to help</t>
  </si>
  <si>
    <t>It would require a combination of strategies. We have staff members who reside in other states. They cannot be tested at the Optum sites. There is a respiratory testing clinic provided by Cameron Hospital in the community who we may be able to partner with as well. We can also partner with a private lab to conduct testing.</t>
  </si>
  <si>
    <t>The challenge would be ongoing testing. We have already had indications from staff that if ongoing testing is required, they would decline to continue employment.  This would cause increased pressure on our staffing.</t>
  </si>
  <si>
    <t xml:space="preserve">   Tel: (260)665-2161</t>
  </si>
  <si>
    <t xml:space="preserve">   500 N Williams St</t>
  </si>
  <si>
    <t xml:space="preserve">   Angola, In 46703</t>
  </si>
  <si>
    <t>Michigan City</t>
  </si>
  <si>
    <t>LaPorte</t>
  </si>
  <si>
    <t xml:space="preserve">   Tel: (219)874-5211</t>
  </si>
  <si>
    <t xml:space="preserve">   1101 E Coolspring Ave</t>
  </si>
  <si>
    <t xml:space="preserve">   Michigan City, In 46360</t>
  </si>
  <si>
    <t>Demotte</t>
  </si>
  <si>
    <t>Jasper</t>
  </si>
  <si>
    <t xml:space="preserve">I am supportive of staff testing although concerned about staffing if we have numerous positive results . </t>
  </si>
  <si>
    <t xml:space="preserve">   Tel: (219)345-5211</t>
  </si>
  <si>
    <t xml:space="preserve">   10352 N 600 E  County Line Rd</t>
  </si>
  <si>
    <t xml:space="preserve">   Demotte, In 46310</t>
  </si>
  <si>
    <t>Fort Wayne</t>
  </si>
  <si>
    <t>None</t>
  </si>
  <si>
    <t xml:space="preserve">   Tel: (260)432-7556</t>
  </si>
  <si>
    <t xml:space="preserve">   5700 Wilkie Dr</t>
  </si>
  <si>
    <t xml:space="preserve">   Fort Wayne, In 46804</t>
  </si>
  <si>
    <t>Frankfort</t>
  </si>
  <si>
    <t>Clinton</t>
  </si>
  <si>
    <t>We have referred staff to the local optum site started last week. Next week those that didn't get tested office will be swabbed at the facility and sent to lab for results</t>
  </si>
  <si>
    <t>The logistics of a two week period puts risk on staffing levels should a large # be positive. I believe guidance on A symptomatic should be implemented by state guidance vs missing 14 days of work.</t>
  </si>
  <si>
    <t xml:space="preserve">   Tel: (765)654-8783</t>
  </si>
  <si>
    <t xml:space="preserve">   809 W Freeman St</t>
  </si>
  <si>
    <t xml:space="preserve">   Frankfort, In 46041</t>
  </si>
  <si>
    <t>Kokomo</t>
  </si>
  <si>
    <t>Howard</t>
  </si>
  <si>
    <t xml:space="preserve">   Tel: (765)453-4666</t>
  </si>
  <si>
    <t xml:space="preserve">   3518 S Lafountain St</t>
  </si>
  <si>
    <t xml:space="preserve">   Kokomo, In 46902</t>
  </si>
  <si>
    <t>Grant</t>
  </si>
  <si>
    <t xml:space="preserve">   Tel: (765)662-3701</t>
  </si>
  <si>
    <t xml:space="preserve">   614 West 14Th Street</t>
  </si>
  <si>
    <t xml:space="preserve">   Marion, In 46953</t>
  </si>
  <si>
    <t>Peru</t>
  </si>
  <si>
    <t>Miami</t>
  </si>
  <si>
    <t>My hope is if your are asking for our opinion that it is seriously taken into consideration with any future decisions that are made.</t>
  </si>
  <si>
    <t xml:space="preserve">   Tel: (765)689-5000</t>
  </si>
  <si>
    <t xml:space="preserve">   1850 West Matador St</t>
  </si>
  <si>
    <t xml:space="preserve">   Peru, In 46970</t>
  </si>
  <si>
    <t>Aperion Care Spencer Llc</t>
  </si>
  <si>
    <t>Spencer</t>
  </si>
  <si>
    <t>Owen</t>
  </si>
  <si>
    <t>210 State Hwy 43</t>
  </si>
  <si>
    <t>Gary</t>
  </si>
  <si>
    <t>Lake</t>
  </si>
  <si>
    <t>2350 Taft St</t>
  </si>
  <si>
    <t xml:space="preserve">   Tel: (260)484-1558</t>
  </si>
  <si>
    <t xml:space="preserve">   1400 Medical Park Dr</t>
  </si>
  <si>
    <t xml:space="preserve">   Fort Wayne, In 46825</t>
  </si>
  <si>
    <t>Waldron</t>
  </si>
  <si>
    <t>Shelby</t>
  </si>
  <si>
    <t>505 N Main St</t>
  </si>
  <si>
    <t>Aperion Estates Peru, Llc</t>
  </si>
  <si>
    <t>If tests could be sent to our facility, we could then test our own staff</t>
  </si>
  <si>
    <t xml:space="preserve">   Tel: (765)689-7305</t>
  </si>
  <si>
    <t xml:space="preserve">   1200 Kitty Hawk Drive</t>
  </si>
  <si>
    <t>Arbor Grove Village</t>
  </si>
  <si>
    <t>Greensburg</t>
  </si>
  <si>
    <t>Our infection control measures, screening, and isolation procedures are working.</t>
  </si>
  <si>
    <t xml:space="preserve">   Tel: (812)663-8553</t>
  </si>
  <si>
    <t xml:space="preserve">   1021 E Central Ave</t>
  </si>
  <si>
    <t xml:space="preserve">   Greensburg, In 47240</t>
  </si>
  <si>
    <t>Arbor Trace Health &amp; Living Community</t>
  </si>
  <si>
    <t>Richmond</t>
  </si>
  <si>
    <t xml:space="preserve">Testing all associates within 2 weeks is not feasible. </t>
  </si>
  <si>
    <t xml:space="preserve">   Tel: (765)939-3701</t>
  </si>
  <si>
    <t xml:space="preserve">   3701 Hodgin Rd</t>
  </si>
  <si>
    <t xml:space="preserve">   Richmond, In 47374</t>
  </si>
  <si>
    <t>Arlington Place Health Campus</t>
  </si>
  <si>
    <t xml:space="preserve">   Tel: (317)353-6000</t>
  </si>
  <si>
    <t xml:space="preserve">   1635 N Arlington Ave</t>
  </si>
  <si>
    <t xml:space="preserve">   Indianapolis, In 46218</t>
  </si>
  <si>
    <t>Greencastle</t>
  </si>
  <si>
    <t>Putnam</t>
  </si>
  <si>
    <t>This is a great opportunity to get a handle on all cases and find out who are the carriers who are not actually infected.</t>
  </si>
  <si>
    <t xml:space="preserve">   Tel: (765)653-5148</t>
  </si>
  <si>
    <t xml:space="preserve">   102 W Poplar St</t>
  </si>
  <si>
    <t xml:space="preserve">   Greencastle, In 46135</t>
  </si>
  <si>
    <t>Ashford Place Health Campus</t>
  </si>
  <si>
    <t>Shelbyville</t>
  </si>
  <si>
    <t xml:space="preserve">   Tel: (317)398-8422</t>
  </si>
  <si>
    <t xml:space="preserve">   2200 N Riley Hwy</t>
  </si>
  <si>
    <t xml:space="preserve">   Shelbyville, In 46176</t>
  </si>
  <si>
    <t>4111 Park Place Drive</t>
  </si>
  <si>
    <t>Aspen Place Health Campus</t>
  </si>
  <si>
    <t xml:space="preserve">   Tel: (812)527-2222</t>
  </si>
  <si>
    <t xml:space="preserve">   2320 N Montgomery Road</t>
  </si>
  <si>
    <t>Aspen Trace Health &amp; Living Community</t>
  </si>
  <si>
    <t>Greenwood</t>
  </si>
  <si>
    <t>Johnson</t>
  </si>
  <si>
    <t>3154 South State Road 135</t>
  </si>
  <si>
    <t>Aster Place</t>
  </si>
  <si>
    <t>Lafayette</t>
  </si>
  <si>
    <t>Tippecanoe</t>
  </si>
  <si>
    <t>Cannot Accomplish</t>
  </si>
  <si>
    <t>(765) 446-3540</t>
  </si>
  <si>
    <t>741 Park E Blvd</t>
  </si>
  <si>
    <t>Lafayette, In  47905</t>
  </si>
  <si>
    <t>Auburn</t>
  </si>
  <si>
    <t>DeKalb</t>
  </si>
  <si>
    <t>It would be a waste of resources which the information would be worthless as soon as they left the facility</t>
  </si>
  <si>
    <t xml:space="preserve">   Tel: (260)925-5494</t>
  </si>
  <si>
    <t xml:space="preserve">   1751 Wesley Road</t>
  </si>
  <si>
    <t xml:space="preserve">   Auburn, In 46706</t>
  </si>
  <si>
    <t>Autumn Ridge Rehabilitation Centre</t>
  </si>
  <si>
    <t>Wabash</t>
  </si>
  <si>
    <t xml:space="preserve">   Tel: (260)563-8402</t>
  </si>
  <si>
    <t xml:space="preserve">   600 Washington Ave</t>
  </si>
  <si>
    <t xml:space="preserve">   Wabash, In 46992</t>
  </si>
  <si>
    <t>Autumn Woods Health Campus</t>
  </si>
  <si>
    <t>New Albany</t>
  </si>
  <si>
    <t>Floyd</t>
  </si>
  <si>
    <t xml:space="preserve">   Tel: (812)941-9893</t>
  </si>
  <si>
    <t xml:space="preserve">   2911 Green Valley Rd</t>
  </si>
  <si>
    <t xml:space="preserve">   New Albany, In 47150</t>
  </si>
  <si>
    <t>Avalon Springs Health Campus</t>
  </si>
  <si>
    <t>Valparaiso</t>
  </si>
  <si>
    <t xml:space="preserve">   Tel: (219)462-1778</t>
  </si>
  <si>
    <t xml:space="preserve">   2400 Silhavy Road</t>
  </si>
  <si>
    <t xml:space="preserve">   Valparaiso, In 46383</t>
  </si>
  <si>
    <t>Avalon Village</t>
  </si>
  <si>
    <t>Ligonier</t>
  </si>
  <si>
    <t>Noble</t>
  </si>
  <si>
    <t xml:space="preserve">   Tel: (260)894-7131</t>
  </si>
  <si>
    <t xml:space="preserve">   200 Kingston Cir</t>
  </si>
  <si>
    <t xml:space="preserve">   Ligonier, In 46767</t>
  </si>
  <si>
    <t>Avon</t>
  </si>
  <si>
    <t>Hendricks</t>
  </si>
  <si>
    <t xml:space="preserve">   Tel: (317)745-5184</t>
  </si>
  <si>
    <t xml:space="preserve">   4171 Forest Pointe Circle</t>
  </si>
  <si>
    <t xml:space="preserve">   Avon, In 46123</t>
  </si>
  <si>
    <t>Barrington Of Carmel</t>
  </si>
  <si>
    <t>BHI</t>
  </si>
  <si>
    <t>Carmel</t>
  </si>
  <si>
    <t>Already Testing Staff</t>
  </si>
  <si>
    <t xml:space="preserve">We would appreciate guidance on how to manage possible refusals to test when simultaneously facing staffing challenges. </t>
  </si>
  <si>
    <t xml:space="preserve">   Tel: (317)810-1800</t>
  </si>
  <si>
    <t xml:space="preserve">   1335 S Guilford Road</t>
  </si>
  <si>
    <t xml:space="preserve">   Carmel, In 46032</t>
  </si>
  <si>
    <t>Beech Grove Meadows</t>
  </si>
  <si>
    <t>Beech Grove</t>
  </si>
  <si>
    <t xml:space="preserve">   Tel: (317)783-2911</t>
  </si>
  <si>
    <t xml:space="preserve">   2002 Albany St</t>
  </si>
  <si>
    <t xml:space="preserve">   Beech Grove, In 46107</t>
  </si>
  <si>
    <t>Bell Trace Health And Living Center</t>
  </si>
  <si>
    <t>Bloomington</t>
  </si>
  <si>
    <t>Monroe</t>
  </si>
  <si>
    <t>725 Bell Trace Circle</t>
  </si>
  <si>
    <t>Granger</t>
  </si>
  <si>
    <t>St. Joseph</t>
  </si>
  <si>
    <t xml:space="preserve">Request that testing be voluntary vs. being mandatory </t>
  </si>
  <si>
    <t xml:space="preserve">   Tel: (574)406-6600</t>
  </si>
  <si>
    <t xml:space="preserve">   5805 North Fir Road</t>
  </si>
  <si>
    <t xml:space="preserve">   Granger, In 46530</t>
  </si>
  <si>
    <t>Ben Hur Health And Rehabilitation</t>
  </si>
  <si>
    <t>Crawfordsville</t>
  </si>
  <si>
    <t>Montgomery</t>
  </si>
  <si>
    <t xml:space="preserve">   Tel: (765)362-0905</t>
  </si>
  <si>
    <t xml:space="preserve">   1375 S Grant Ave</t>
  </si>
  <si>
    <t xml:space="preserve">   Crawfordsville, In 47933</t>
  </si>
  <si>
    <t>Odon</t>
  </si>
  <si>
    <t>Daviess</t>
  </si>
  <si>
    <t>I believe all staff should be tested that show any signs or symptoms or answer any of the required questions with yes! But, if  you have already been through the process we should not be forced to go thru again.</t>
  </si>
  <si>
    <t xml:space="preserve">   Tel: (812)636-4920</t>
  </si>
  <si>
    <t xml:space="preserve">   601 E Race St</t>
  </si>
  <si>
    <t xml:space="preserve">   Odon, In 47562</t>
  </si>
  <si>
    <t>Bethany Pointe Health Campus</t>
  </si>
  <si>
    <t>Anderson</t>
  </si>
  <si>
    <t xml:space="preserve">   Tel: (765)622-1211</t>
  </si>
  <si>
    <t xml:space="preserve">   1707 Bethany Rd</t>
  </si>
  <si>
    <t xml:space="preserve">   Anderson, In 46012</t>
  </si>
  <si>
    <t>Bethany Village</t>
  </si>
  <si>
    <t xml:space="preserve">   Tel: (317)783-4042</t>
  </si>
  <si>
    <t xml:space="preserve">   3518 S Shelby St</t>
  </si>
  <si>
    <t xml:space="preserve">   Indianapolis, In 46227</t>
  </si>
  <si>
    <t>Evansville</t>
  </si>
  <si>
    <t>Vanderburgh</t>
  </si>
  <si>
    <t>We would like ISDH to provide collection kits and process samples collected. This seems to be happening in other states.</t>
  </si>
  <si>
    <t>Facilities aren't able to just do this on their own. We need assistance from ISDH.</t>
  </si>
  <si>
    <t xml:space="preserve">   Tel: (812)425-8182</t>
  </si>
  <si>
    <t xml:space="preserve">   6015 Kratzville Rd</t>
  </si>
  <si>
    <t xml:space="preserve">   Evansville, In 47710</t>
  </si>
  <si>
    <t>Muncie</t>
  </si>
  <si>
    <t xml:space="preserve">   Tel: (765)289-2273</t>
  </si>
  <si>
    <t xml:space="preserve">   3400 W Community Dr</t>
  </si>
  <si>
    <t xml:space="preserve">   Muncie, In 47304</t>
  </si>
  <si>
    <t>Bethlehem Woods Nursing And Rehabilitation</t>
  </si>
  <si>
    <t xml:space="preserve">   Tel: (260)485-8157</t>
  </si>
  <si>
    <t xml:space="preserve">   4430 Elsdale Dr</t>
  </si>
  <si>
    <t xml:space="preserve">   Fort Wayne, In 46835</t>
  </si>
  <si>
    <t>Betz Nursing Home</t>
  </si>
  <si>
    <t xml:space="preserve">   Tel: (260)925-3814</t>
  </si>
  <si>
    <t xml:space="preserve">   116 Betz Rd</t>
  </si>
  <si>
    <t>Blair Ridge Health Campus</t>
  </si>
  <si>
    <t xml:space="preserve">   Tel: (765)472-8049</t>
  </si>
  <si>
    <t xml:space="preserve">   269 Meadowview Dr</t>
  </si>
  <si>
    <t>Chosen</t>
  </si>
  <si>
    <t>Not all staff has insurance to pay for the testing.</t>
  </si>
  <si>
    <t xml:space="preserve">   Tel: (812)336-1055</t>
  </si>
  <si>
    <t xml:space="preserve">   120 E Miller Dr</t>
  </si>
  <si>
    <t xml:space="preserve">   Bloomington, In 47401</t>
  </si>
  <si>
    <t>Bluffton Regional Medical Center Care Center</t>
  </si>
  <si>
    <t>Bluffton</t>
  </si>
  <si>
    <t>Wells</t>
  </si>
  <si>
    <t>Guidelines on work restrictions.</t>
  </si>
  <si>
    <t xml:space="preserve">   Tel: (260)824-3210</t>
  </si>
  <si>
    <t xml:space="preserve">   303 S Main St</t>
  </si>
  <si>
    <t xml:space="preserve">   Bluffton, In 46714</t>
  </si>
  <si>
    <t xml:space="preserve">When this is mandated, the State must provide the tests to the facility.  </t>
  </si>
  <si>
    <t xml:space="preserve">   Tel: (812)423-6214</t>
  </si>
  <si>
    <t xml:space="preserve">   909 First Ave</t>
  </si>
  <si>
    <t>Sullivan</t>
  </si>
  <si>
    <t>We are concerned that should we have multiple "asymptomatic" staff test positive, it could leave insufficientstaff remaining to meet the needs of the residents. Conducting all testing within the same timeframe and same geographical area may not allow staff support from other sister facilities should testing warrant multiple staff members to be off duty for ten days simultaneously.</t>
  </si>
  <si>
    <t xml:space="preserve">   Tel: (812)268-3351</t>
  </si>
  <si>
    <t xml:space="preserve">   325 W Northwood Dr</t>
  </si>
  <si>
    <t xml:space="preserve">   Sullivan, In 47882</t>
  </si>
  <si>
    <t>South Bend</t>
  </si>
  <si>
    <t xml:space="preserve">   Tel: (574)318-4600</t>
  </si>
  <si>
    <t xml:space="preserve">   5024 Western Avenue</t>
  </si>
  <si>
    <t xml:space="preserve">   South Bend, In 46619</t>
  </si>
  <si>
    <t>Bridgepointe Health Campus</t>
  </si>
  <si>
    <t>Vincennes</t>
  </si>
  <si>
    <t>Knox</t>
  </si>
  <si>
    <t xml:space="preserve">   Tel: (812)886-9870</t>
  </si>
  <si>
    <t xml:space="preserve">   1900 College Ave</t>
  </si>
  <si>
    <t xml:space="preserve">   Vincennes, In 47591</t>
  </si>
  <si>
    <t>NA</t>
  </si>
  <si>
    <t xml:space="preserve">   Tel: (317)575-2208</t>
  </si>
  <si>
    <t xml:space="preserve">   14751 Carey Road</t>
  </si>
  <si>
    <t xml:space="preserve">   Carmel, In 46033</t>
  </si>
  <si>
    <t>INHCF</t>
  </si>
  <si>
    <t>Hartford City</t>
  </si>
  <si>
    <t>Blackford</t>
  </si>
  <si>
    <t>We are concerned that should we have multiple "asymptomatic" staff test positive, it could leave insufficient staff remaining to meet the needs of the residents. Conducting all testing within the same timeframe and same geographical area may not allow staff support from other sister facilities should testing warrant multiple staff members to be off duty for ten days simultaneously.</t>
  </si>
  <si>
    <t xml:space="preserve">   Tel: (765)348-2273</t>
  </si>
  <si>
    <t xml:space="preserve">   715 N Mill St</t>
  </si>
  <si>
    <t xml:space="preserve">   Hartford City, In 47348</t>
  </si>
  <si>
    <t xml:space="preserve">   Tel: (317)271-7052</t>
  </si>
  <si>
    <t xml:space="preserve">   1108 Kingwood Drive</t>
  </si>
  <si>
    <t xml:space="preserve">   Tel: (765)289-1915</t>
  </si>
  <si>
    <t xml:space="preserve">   505 N Gavin St</t>
  </si>
  <si>
    <t xml:space="preserve">   Muncie, In 47303</t>
  </si>
  <si>
    <t>Brookside Village Inc</t>
  </si>
  <si>
    <t>Dubois</t>
  </si>
  <si>
    <t>1111 Church Ave</t>
  </si>
  <si>
    <t>Brookville</t>
  </si>
  <si>
    <t>Franklin</t>
  </si>
  <si>
    <t>We are concerned that should we have multiple "asymptomatic" staff test positive, it could leave insufficient staff remaining to meet the needs of residents. Conducting all testing within the same time frame and same geographical area may not allow staff support from other sister facilities should testing warrant multiple staff members to be off duty for ten days simultaneously.</t>
  </si>
  <si>
    <t xml:space="preserve">   Tel: (765)647-2527</t>
  </si>
  <si>
    <t xml:space="preserve">   11049 State Road 101</t>
  </si>
  <si>
    <t xml:space="preserve">   Brookville, In 47012</t>
  </si>
  <si>
    <t>Brown County Health And Living Community</t>
  </si>
  <si>
    <t>Nashville</t>
  </si>
  <si>
    <t>Brown</t>
  </si>
  <si>
    <t>Need Kits</t>
  </si>
  <si>
    <t xml:space="preserve">   Tel: (812)988-6666</t>
  </si>
  <si>
    <t xml:space="preserve">   55 E Willow St</t>
  </si>
  <si>
    <t xml:space="preserve">   Nashville, In 47448</t>
  </si>
  <si>
    <t>Brownsburg</t>
  </si>
  <si>
    <t xml:space="preserve">   Tel: (317)852-3123</t>
  </si>
  <si>
    <t xml:space="preserve">   1010 Hornaday Rd</t>
  </si>
  <si>
    <t xml:space="preserve">   Brownsburg, In 46112</t>
  </si>
  <si>
    <t>Brownsburg Meadows</t>
  </si>
  <si>
    <t xml:space="preserve">   Tel: (317)852-8585</t>
  </si>
  <si>
    <t xml:space="preserve">   2 E Tilden</t>
  </si>
  <si>
    <t xml:space="preserve">This would solve nothing. </t>
  </si>
  <si>
    <t xml:space="preserve">   Tel: (260)637-3166</t>
  </si>
  <si>
    <t xml:space="preserve">   12101 Lima Rd</t>
  </si>
  <si>
    <t xml:space="preserve">   Fort Wayne, In 46818</t>
  </si>
  <si>
    <t>Logansport</t>
  </si>
  <si>
    <t>Cass</t>
  </si>
  <si>
    <t>We are concerned that should we have multiple "asymptomatic" staff test positive, it could leave insufficient staff remaining to meet the needs of the residents. Conducting all testing within the same time-frame and same geographical area may not allow staff support from other sister facilities should testing warrant multiple staff members to be off duty for ten days simultaneously.</t>
  </si>
  <si>
    <t xml:space="preserve">   Tel: (574)753-0404</t>
  </si>
  <si>
    <t xml:space="preserve">   1555 Commerce St</t>
  </si>
  <si>
    <t xml:space="preserve">   Logansport, In 46947</t>
  </si>
  <si>
    <t>Canterbury Nursing And Rehabilitation Center</t>
  </si>
  <si>
    <t xml:space="preserve">   Tel: (260)492-1400</t>
  </si>
  <si>
    <t xml:space="preserve">   2827 Northgate Blvd</t>
  </si>
  <si>
    <t>Cardinal Nursing And Rehabilitation Center</t>
  </si>
  <si>
    <t xml:space="preserve">   Tel: (574)287-6501</t>
  </si>
  <si>
    <t xml:space="preserve">   1121 E Lasalle Ave</t>
  </si>
  <si>
    <t xml:space="preserve">   South Bend, In 46617</t>
  </si>
  <si>
    <t>Carmel Health &amp; Living Community</t>
  </si>
  <si>
    <t xml:space="preserve">   Tel: (317)844-4211</t>
  </si>
  <si>
    <t xml:space="preserve">   118 Medical Dr</t>
  </si>
  <si>
    <t>Connersville</t>
  </si>
  <si>
    <t>Fayette</t>
  </si>
  <si>
    <t xml:space="preserve">   Tel: (765)825-7514</t>
  </si>
  <si>
    <t xml:space="preserve">   2500 Iowa Ave</t>
  </si>
  <si>
    <t xml:space="preserve">   Connersville, In 47331</t>
  </si>
  <si>
    <t xml:space="preserve">   Tel: (317)845-0032</t>
  </si>
  <si>
    <t xml:space="preserve">   7630 E 86Th St</t>
  </si>
  <si>
    <t xml:space="preserve">   Indianapolis, In 46256</t>
  </si>
  <si>
    <t>IMG</t>
  </si>
  <si>
    <t>PPE supplies will need to be more readily available once we begin testing all employees.  If we identify any positive staff members, we will also need ability to test all Residents as well.</t>
  </si>
  <si>
    <t xml:space="preserve">   Tel: (812)482-6603</t>
  </si>
  <si>
    <t xml:space="preserve">   520 W 9Th St</t>
  </si>
  <si>
    <t xml:space="preserve">   Jasper, In 47546</t>
  </si>
  <si>
    <t>Donaldson</t>
  </si>
  <si>
    <t>Fulton</t>
  </si>
  <si>
    <t xml:space="preserve">   Tel: (574)935-1742</t>
  </si>
  <si>
    <t xml:space="preserve">   9601 S Union Rd</t>
  </si>
  <si>
    <t xml:space="preserve">   Donaldson, In 46513</t>
  </si>
  <si>
    <t>Cedar Creek Health Campus</t>
  </si>
  <si>
    <t>Lowell</t>
  </si>
  <si>
    <t>Who plans to pay for the testing? How would facilities be reimbursed by the state?</t>
  </si>
  <si>
    <t xml:space="preserve">   Tel: (219)696-6750</t>
  </si>
  <si>
    <t xml:space="preserve">   18275 Burr Street</t>
  </si>
  <si>
    <t xml:space="preserve">   Lowell, In 46356</t>
  </si>
  <si>
    <t>Cedars, The</t>
  </si>
  <si>
    <t>Leo</t>
  </si>
  <si>
    <t>A test is only a snapshot in time and not indication of future infections. Also the testing is expensive. The numbers that i am seeing that are real do not indicate this is significantly worse than the seasonal flu. I will however comply with the State and Federal requirements as decided.</t>
  </si>
  <si>
    <t xml:space="preserve">   Tel: (260)627-2191</t>
  </si>
  <si>
    <t xml:space="preserve">   14409 Sunrise Ct</t>
  </si>
  <si>
    <t xml:space="preserve">   Leo, In 46765</t>
  </si>
  <si>
    <t>Exceptional</t>
  </si>
  <si>
    <t>Greentown</t>
  </si>
  <si>
    <t>705 N Meridian St</t>
  </si>
  <si>
    <t>Berne</t>
  </si>
  <si>
    <t xml:space="preserve">   Tel: (260)589-2127</t>
  </si>
  <si>
    <t xml:space="preserve">   1065 Parkway St</t>
  </si>
  <si>
    <t xml:space="preserve">   Berne, In 46711</t>
  </si>
  <si>
    <t xml:space="preserve">We would schedule the employees for a scheduled time frame and coordinate with ISDH Strike team to complete the testing. </t>
  </si>
  <si>
    <t>1. If an employee tests positive and they are not symptomatic, how long would they be required to be off of work.  2. When do we know they are cleared to return to work?  3. If an employee tests positive, what is the plan to treat or test the family of the employee.</t>
  </si>
  <si>
    <t xml:space="preserve">   Tel: (574)753-4137</t>
  </si>
  <si>
    <t xml:space="preserve">   2 Chase Park</t>
  </si>
  <si>
    <t>Additional PPE resources will need to be readily available once all staff are tested.  We will also need access to test for all Residents as well.</t>
  </si>
  <si>
    <t xml:space="preserve">   Tel: (219)926-8387</t>
  </si>
  <si>
    <t xml:space="preserve">   110 Beverly Dr</t>
  </si>
  <si>
    <t xml:space="preserve">Regarding accomplishing the testing (If it is made mandatory), we would work with whatever option is most readily available in our area (Optum site, local hospital, on-site tests sent to us and performed in house by us). </t>
  </si>
  <si>
    <t xml:space="preserve">   Tel: (260)565-3000</t>
  </si>
  <si>
    <t xml:space="preserve">   720 E Dustman Rd</t>
  </si>
  <si>
    <t>Clark Rehabilitation And Skilled Nursing Center</t>
  </si>
  <si>
    <t>Clarksville</t>
  </si>
  <si>
    <t>Clark</t>
  </si>
  <si>
    <t>We would refer staff to be tested at one of the nearby Optum testing sites</t>
  </si>
  <si>
    <t xml:space="preserve">   Tel: (812)282-8406</t>
  </si>
  <si>
    <t xml:space="preserve">   517 N Little League Blvd</t>
  </si>
  <si>
    <t xml:space="preserve">   Clarksville, In 47129</t>
  </si>
  <si>
    <t>Clearvista Lake Health Campus</t>
  </si>
  <si>
    <t xml:space="preserve">   Tel: (317)578-7500</t>
  </si>
  <si>
    <t xml:space="preserve">   8405 Clearvista Place</t>
  </si>
  <si>
    <t>Clinton Gardens</t>
  </si>
  <si>
    <t>Vermillion</t>
  </si>
  <si>
    <t xml:space="preserve">   Tel: (765)832-2491</t>
  </si>
  <si>
    <t xml:space="preserve">   375 S 11Th St</t>
  </si>
  <si>
    <t xml:space="preserve">   Clinton, In 47842</t>
  </si>
  <si>
    <t>Knightsville</t>
  </si>
  <si>
    <t>Clay</t>
  </si>
  <si>
    <t xml:space="preserve">   Tel: (812)446-2309</t>
  </si>
  <si>
    <t xml:space="preserve">   9325 N Crawford St</t>
  </si>
  <si>
    <t xml:space="preserve">   Knightsville, In 47857</t>
  </si>
  <si>
    <t>Cobblestone Crossings Health Campus</t>
  </si>
  <si>
    <t>Terre Haute</t>
  </si>
  <si>
    <t>Vigo</t>
  </si>
  <si>
    <t xml:space="preserve">   Tel: (812)232-0406</t>
  </si>
  <si>
    <t xml:space="preserve">   1850 E Howard Wayne Dr</t>
  </si>
  <si>
    <t xml:space="preserve">   Terre Haute, In 47802</t>
  </si>
  <si>
    <t>Crown Point</t>
  </si>
  <si>
    <t xml:space="preserve">   Tel: (219)663-2532</t>
  </si>
  <si>
    <t xml:space="preserve">   119 N Indiana Ave</t>
  </si>
  <si>
    <t xml:space="preserve">   Crown Point, In 46307</t>
  </si>
  <si>
    <t xml:space="preserve">   Tel: (765)674-9791</t>
  </si>
  <si>
    <t xml:space="preserve">   4725 S Colonial Oaks Dr</t>
  </si>
  <si>
    <t>Columbia Healthcare Center</t>
  </si>
  <si>
    <t xml:space="preserve">   Tel: (812)428-5678</t>
  </si>
  <si>
    <t xml:space="preserve">   621 W Columbia St</t>
  </si>
  <si>
    <t>Columbus</t>
  </si>
  <si>
    <t>Bartholomew</t>
  </si>
  <si>
    <t xml:space="preserve">   Tel: (812)372-8447</t>
  </si>
  <si>
    <t xml:space="preserve">   2100 Midway St</t>
  </si>
  <si>
    <t xml:space="preserve">   Columbus, In 47201</t>
  </si>
  <si>
    <t>Community Nursing And Rehabilitation Center</t>
  </si>
  <si>
    <t xml:space="preserve">   Tel: (317)356-0911</t>
  </si>
  <si>
    <t xml:space="preserve">   5600 E 16Th St</t>
  </si>
  <si>
    <t>Copper Trace Health &amp; Living Community</t>
  </si>
  <si>
    <t>Westfield</t>
  </si>
  <si>
    <t>1250 W 146Th Street</t>
  </si>
  <si>
    <t>Core Of Bedford</t>
  </si>
  <si>
    <t>Bedford</t>
  </si>
  <si>
    <t>Lawrence</t>
  </si>
  <si>
    <t>514 E 16Th St</t>
  </si>
  <si>
    <t>Dale</t>
  </si>
  <si>
    <t xml:space="preserve">   Tel: (812)937-7073</t>
  </si>
  <si>
    <t xml:space="preserve">   510 W Medcalf Road</t>
  </si>
  <si>
    <t xml:space="preserve">   Dale, In 47523</t>
  </si>
  <si>
    <t>Countryside Manor Health &amp; Living Community</t>
  </si>
  <si>
    <t>205 Marine Dr</t>
  </si>
  <si>
    <t>Countryside Meadows</t>
  </si>
  <si>
    <t xml:space="preserve">   Tel: (317)495-7200</t>
  </si>
  <si>
    <t xml:space="preserve">   762 N Dan Jones Rd</t>
  </si>
  <si>
    <t>Goshen</t>
  </si>
  <si>
    <t>Elkhart</t>
  </si>
  <si>
    <t xml:space="preserve">   Tel: (574)533-0351</t>
  </si>
  <si>
    <t xml:space="preserve">   2400 College Ave</t>
  </si>
  <si>
    <t xml:space="preserve">   Goshen, In 46526</t>
  </si>
  <si>
    <t>Coventry Meadows</t>
  </si>
  <si>
    <t xml:space="preserve">   Tel: (260)432-4848</t>
  </si>
  <si>
    <t xml:space="preserve">   7843 W Jefferson Blvd</t>
  </si>
  <si>
    <t>Covered Bridge Health Campus</t>
  </si>
  <si>
    <t>Seymour</t>
  </si>
  <si>
    <t>Jackson</t>
  </si>
  <si>
    <t xml:space="preserve">   Tel: (812)523-6405</t>
  </si>
  <si>
    <t xml:space="preserve">   1675 W Tipton St</t>
  </si>
  <si>
    <t xml:space="preserve">   Seymour, In 47274</t>
  </si>
  <si>
    <t>Creasy Springs Health Campus</t>
  </si>
  <si>
    <t xml:space="preserve">   Tel: (765)447-6600</t>
  </si>
  <si>
    <t xml:space="preserve">   1750 S Creasy Ln</t>
  </si>
  <si>
    <t xml:space="preserve">   Lafayette, In 47905</t>
  </si>
  <si>
    <t xml:space="preserve">   Tel: (317)920-7888</t>
  </si>
  <si>
    <t xml:space="preserve">   3114 East 46Th Street</t>
  </si>
  <si>
    <t xml:space="preserve">   Indianapolis, In 46205</t>
  </si>
  <si>
    <t>Creekside Village</t>
  </si>
  <si>
    <t>Mishawaka</t>
  </si>
  <si>
    <t xml:space="preserve">   Tel: (574)307-7200</t>
  </si>
  <si>
    <t xml:space="preserve">   1420 E Douglas Rd</t>
  </si>
  <si>
    <t xml:space="preserve">   Mishawaka, In 46545</t>
  </si>
  <si>
    <t>We would need test kits from the strike team or another resource.</t>
  </si>
  <si>
    <t xml:space="preserve"> Supportive of testing, both yes and no. Yes so we can identify the staff that are positive.  No because depending on the number of staff that come back positive it would create a staffing crisis.</t>
  </si>
  <si>
    <t xml:space="preserve">   Tel: (219)662-0642</t>
  </si>
  <si>
    <t xml:space="preserve">   6685 East 117Th Avenue</t>
  </si>
  <si>
    <t>Cumberland Pointe Health Campus</t>
  </si>
  <si>
    <t>West Lafayette</t>
  </si>
  <si>
    <t xml:space="preserve">   Tel: (765)463-2571</t>
  </si>
  <si>
    <t xml:space="preserve">   1051 Cumberland Ave</t>
  </si>
  <si>
    <t xml:space="preserve">   West Lafayette, In 47906</t>
  </si>
  <si>
    <t>Cumberland Trace Health &amp; Living Community</t>
  </si>
  <si>
    <t>Plainfield</t>
  </si>
  <si>
    <t>1925 Reeves Road</t>
  </si>
  <si>
    <t>Cypress Grove Rehabilitation Center</t>
  </si>
  <si>
    <t>Newburgh</t>
  </si>
  <si>
    <t>Warrick</t>
  </si>
  <si>
    <t xml:space="preserve">   Tel: (812)853-2993</t>
  </si>
  <si>
    <t xml:space="preserve">   4255 Medwell Dr</t>
  </si>
  <si>
    <t xml:space="preserve">   Newburgh, In 47630</t>
  </si>
  <si>
    <t>Danville Regional Rehabilitation</t>
  </si>
  <si>
    <t>Danville</t>
  </si>
  <si>
    <t xml:space="preserve">   Tel: (317)745-5451</t>
  </si>
  <si>
    <t xml:space="preserve">   255 Meadow Dr</t>
  </si>
  <si>
    <t xml:space="preserve">   Danville, In 46122</t>
  </si>
  <si>
    <t xml:space="preserve">   Tel: (317)856-4851</t>
  </si>
  <si>
    <t xml:space="preserve">   4851 Tincher Rd</t>
  </si>
  <si>
    <t xml:space="preserve">   Indianapolis, In 46221</t>
  </si>
  <si>
    <t xml:space="preserve">   Tel: (812)945-5221</t>
  </si>
  <si>
    <t xml:space="preserve">   4915 Charlestown Rd</t>
  </si>
  <si>
    <t>Dyer</t>
  </si>
  <si>
    <t>We have 5 facilities within ECC- we would want to coordinate testing so we don't do more than 1 facility at a time in case multiple staff come back positive. We would need the Consultant company to assist with staffing- we wouldn't do that if we test multiple facilities at a time.    What do we do if staff refuse testing?</t>
  </si>
  <si>
    <t xml:space="preserve">   Tel: (219)322-2273</t>
  </si>
  <si>
    <t xml:space="preserve">   601 Sheffield Ave</t>
  </si>
  <si>
    <t xml:space="preserve">   Dyer, In 46311</t>
  </si>
  <si>
    <t>Eagle Creek Healthcare Center</t>
  </si>
  <si>
    <t xml:space="preserve">Yes, we believe in testing employees if a building has symptomatic residents, or has had symptomatic residents. It is unreasonable to complete testing in a 2 week time frame.  The building has to prepare for testing, secure staff if a large portion of the employees test positive, the test needs to be systematic over a period of time and each building will be different based on resident needs and the employee ratios.  </t>
  </si>
  <si>
    <t xml:space="preserve">   Tel: (317)347-9051</t>
  </si>
  <si>
    <t xml:space="preserve">   4102 Shore Dr</t>
  </si>
  <si>
    <t xml:space="preserve">   Indianapolis, In 46254</t>
  </si>
  <si>
    <t>Eagle Valley Meadows</t>
  </si>
  <si>
    <t xml:space="preserve">   Tel: (317)293-2555</t>
  </si>
  <si>
    <t xml:space="preserve">   3017 Valley Farms Rd</t>
  </si>
  <si>
    <t xml:space="preserve">   Indianapolis, In 46214</t>
  </si>
  <si>
    <t>East Lake Nursing &amp; Rehabilitation Center</t>
  </si>
  <si>
    <t xml:space="preserve">   Tel: (574)264-1133</t>
  </si>
  <si>
    <t xml:space="preserve">   1900 Jeanwood Dr</t>
  </si>
  <si>
    <t xml:space="preserve">   Elkhart, In 46514</t>
  </si>
  <si>
    <t>Eastgate Manor Nursing And Rehabilitation</t>
  </si>
  <si>
    <t>Washington</t>
  </si>
  <si>
    <t xml:space="preserve">   Tel: (812)254-3301</t>
  </si>
  <si>
    <t xml:space="preserve">   2119 E National Hwy</t>
  </si>
  <si>
    <t xml:space="preserve">   Washington, In 47501</t>
  </si>
  <si>
    <t>Edgewater Woods</t>
  </si>
  <si>
    <t xml:space="preserve">   Tel: (765)644-0903</t>
  </si>
  <si>
    <t xml:space="preserve">   1809 N Madison Ave</t>
  </si>
  <si>
    <t xml:space="preserve">   Anderson, In 46011</t>
  </si>
  <si>
    <t>Elkhart Meadows</t>
  </si>
  <si>
    <t xml:space="preserve">   Tel: (574)295-8800</t>
  </si>
  <si>
    <t xml:space="preserve">   2600 Morehouse Ave</t>
  </si>
  <si>
    <t xml:space="preserve">   Elkhart, In 46517</t>
  </si>
  <si>
    <t>Elwood</t>
  </si>
  <si>
    <t xml:space="preserve">Contract with a lab testing provider.  Which may or may not mean we would complete the swabbing ourselves. </t>
  </si>
  <si>
    <t xml:space="preserve">I think this is a poor costly plan.  I believe like all tests, we should only complete them when indicated.  I believe symptoms and known exposure are the only true reasons to test at this time. </t>
  </si>
  <si>
    <t xml:space="preserve">   Tel: (765)203-2672</t>
  </si>
  <si>
    <t xml:space="preserve">   2300 Parkview Ln</t>
  </si>
  <si>
    <t xml:space="preserve">   Elwood, In 46036</t>
  </si>
  <si>
    <t xml:space="preserve">   Tel: (317)745-8774</t>
  </si>
  <si>
    <t xml:space="preserve">   1000 E Main Street</t>
  </si>
  <si>
    <t>Especially Kidz Health &amp; Rehab</t>
  </si>
  <si>
    <t>2325 S Miller St</t>
  </si>
  <si>
    <t>Lebanon</t>
  </si>
  <si>
    <t>Boone</t>
  </si>
  <si>
    <t xml:space="preserve">   Tel: (765)482-1950</t>
  </si>
  <si>
    <t xml:space="preserve">   301 W Essex St</t>
  </si>
  <si>
    <t xml:space="preserve">   Lebanon, In 46052</t>
  </si>
  <si>
    <t>It is very costly- and it is only as good as that moment. Someone could have exposure the next day</t>
  </si>
  <si>
    <t>(812) 476-3360</t>
  </si>
  <si>
    <t>3701 Washington Ave</t>
  </si>
  <si>
    <t>Evansville, In  47714</t>
  </si>
  <si>
    <t>Evergreen Crossing And The Lofts</t>
  </si>
  <si>
    <t>We believe in testing employees if a building has had symptomatic residents.  It is unreasonable to complete this in a two week timeframe.</t>
  </si>
  <si>
    <t xml:space="preserve">Yes, we believe in testing employees if a building has symptomatic residents, or has had symptomatic residents.   It is unreasonable to complete statewide testing in a 2 week time frame as it has the potential to leave the industry critically understaffed.  A building has to prepare for testing, secure staff if a large portion of the employees test positive, the test needs to be systematic over a period of time and each building will be different based on resident needs and the employee ratios.    </t>
  </si>
  <si>
    <t xml:space="preserve">   Tel: (317)291-5404</t>
  </si>
  <si>
    <t xml:space="preserve">   5404 Georgetown Road</t>
  </si>
  <si>
    <t>Exceptional Living Center Of Brazil</t>
  </si>
  <si>
    <t>Brazil</t>
  </si>
  <si>
    <t>501 S Murphy Ave</t>
  </si>
  <si>
    <t>Fairway Village</t>
  </si>
  <si>
    <t xml:space="preserve">   Tel: (317)787-8951</t>
  </si>
  <si>
    <t xml:space="preserve">   2630 S Keystone Ave</t>
  </si>
  <si>
    <t xml:space="preserve">   Indianapolis, In 46203</t>
  </si>
  <si>
    <t>Rushville</t>
  </si>
  <si>
    <t>Rush</t>
  </si>
  <si>
    <t xml:space="preserve">   Tel: (765)932-2974</t>
  </si>
  <si>
    <t xml:space="preserve">   904 E 11Th St</t>
  </si>
  <si>
    <t xml:space="preserve">   Rushville, In 46173</t>
  </si>
  <si>
    <t>Forest Creek Village</t>
  </si>
  <si>
    <t>525 E Thompson Rd</t>
  </si>
  <si>
    <t>Forest Park Health Campus</t>
  </si>
  <si>
    <t xml:space="preserve">   Tel: (765)966-5705</t>
  </si>
  <si>
    <t xml:space="preserve">   2401 South L St</t>
  </si>
  <si>
    <t xml:space="preserve">   Tel: (317)466-2020</t>
  </si>
  <si>
    <t xml:space="preserve">   8505 Woodfield Crossing Blvd</t>
  </si>
  <si>
    <t xml:space="preserve">   Indianapolis, In 46240</t>
  </si>
  <si>
    <t xml:space="preserve">Testing is expensive. Our local hospital has provided us with tests, and the tests are processed through the hospital's lab services at a cost of about $100 per employee. Our facility's contracted lab services was not able to provide the number of tests we needed to test our staff. </t>
  </si>
  <si>
    <t xml:space="preserve">   Tel: (812)372-8481</t>
  </si>
  <si>
    <t xml:space="preserve">   1901 Taylor Rd</t>
  </si>
  <si>
    <t xml:space="preserve">   Columbus, In 47203</t>
  </si>
  <si>
    <t>Franklin Meadows</t>
  </si>
  <si>
    <t xml:space="preserve">   Tel: (317)736-9113</t>
  </si>
  <si>
    <t xml:space="preserve">   1285 W Jefferson St</t>
  </si>
  <si>
    <t xml:space="preserve">   Franklin, In 46131</t>
  </si>
  <si>
    <t>Freelandville</t>
  </si>
  <si>
    <t>Need Kits and PPE</t>
  </si>
  <si>
    <t>Staff cooperativeness - staff stating refusals</t>
  </si>
  <si>
    <t xml:space="preserve">Testing via nasopharyngeal is not effective as a confirmation if employee has the virus as it has been proven that testing in ASYMPTOMATIC individuals can produce a false positive. Also the CDC has released statements of "tainted" testing swabs that produce again a false positive.   Also, many employees have stated refusals for testing due to no symptoms.   During conversations with local testing sites regarding proposal, they state they WILL NOT test asymptomatic individuals.   </t>
  </si>
  <si>
    <t xml:space="preserve">   Tel: (812)328-2134</t>
  </si>
  <si>
    <t xml:space="preserve">   310 W Carlisle St, Po Box 288</t>
  </si>
  <si>
    <t xml:space="preserve">   Freelandville, In 47535</t>
  </si>
  <si>
    <t>Who would be the primary payer source for the facility staff to obtain testing? Would this be a part of a government funding?</t>
  </si>
  <si>
    <t xml:space="preserve">   Tel: (765)962-6546</t>
  </si>
  <si>
    <t xml:space="preserve">   2030 Chester Blvd</t>
  </si>
  <si>
    <t xml:space="preserve">   Tel: (812)277-3730</t>
  </si>
  <si>
    <t xml:space="preserve">   2111 Norton Ln</t>
  </si>
  <si>
    <t xml:space="preserve">   Bedford, In 47421</t>
  </si>
  <si>
    <t xml:space="preserve">We have 170 in our Bloomington building and 145 in Bedford. How are we supposed to test. When we find out who is asymptotic then how will we cover the shifts?  I'm sure the state is t going to help, they haven't helped yet. I understand the need to keep our folks safe, but at what risk are you willing to do this. This will destroy long term care or small buildings to prove what point?  </t>
  </si>
  <si>
    <t xml:space="preserve">Waste of resources when they are already hard to get. Instead of pointing fingers at LTC try helping not making the public happy. It's easy to sit behind a desk, try working through all this like the rest of us. </t>
  </si>
  <si>
    <t xml:space="preserve">   Tel: (812)339-1657</t>
  </si>
  <si>
    <t xml:space="preserve">   1100 S Curry Pk</t>
  </si>
  <si>
    <t xml:space="preserve">   Bloomington, In 47403</t>
  </si>
  <si>
    <t xml:space="preserve">at what point will cms or  isdh require facilities to pay for this testing? a small stand alone facility would be unable to sustain such a financial burden at approximately 148.00 per test.  </t>
  </si>
  <si>
    <t xml:space="preserve">   Tel: (812)882-8292</t>
  </si>
  <si>
    <t xml:space="preserve">   1202 S 16Th St</t>
  </si>
  <si>
    <t>Brook</t>
  </si>
  <si>
    <t>Newton</t>
  </si>
  <si>
    <t>How will this be funded, is this something that will be mandatory.</t>
  </si>
  <si>
    <t xml:space="preserve">   Tel: (219)275-2531</t>
  </si>
  <si>
    <t xml:space="preserve">   3623 In-16</t>
  </si>
  <si>
    <t xml:space="preserve">   Brook, In 47922</t>
  </si>
  <si>
    <t>Glen Oaks Health Campus</t>
  </si>
  <si>
    <t>New Castle</t>
  </si>
  <si>
    <t>Henry</t>
  </si>
  <si>
    <t xml:space="preserve">   Tel: (765)529-5796</t>
  </si>
  <si>
    <t xml:space="preserve">   601 W Cr 200 S</t>
  </si>
  <si>
    <t xml:space="preserve">   New Castle, In 47362</t>
  </si>
  <si>
    <t>Glenbrook Rehabilitation &amp; Skilled Nursing Center</t>
  </si>
  <si>
    <t xml:space="preserve">   Tel: (260)482-4651</t>
  </si>
  <si>
    <t xml:space="preserve">   3811 Parnell Ave</t>
  </si>
  <si>
    <t xml:space="preserve">   Fort Wayne, In 46805</t>
  </si>
  <si>
    <t>Linton</t>
  </si>
  <si>
    <t>Greene</t>
  </si>
  <si>
    <t xml:space="preserve">With almost 200 staff members, testing should be on a symptom basis. If the staff member develops symptoms, it is reported and they are referred at that point. The inaccuracy of the tests are proven not reliable. False positives, false negatives. If a staff member is reporting symptoms and are sick, they shouldn't be working regardless if positive or negative. </t>
  </si>
  <si>
    <t>(812) 847-2221</t>
  </si>
  <si>
    <t>618 W Glenburn Road</t>
  </si>
  <si>
    <t>Linton, In  47441</t>
  </si>
  <si>
    <t>Golden Living Center - Willow Springs</t>
  </si>
  <si>
    <t>Golden Living</t>
  </si>
  <si>
    <t xml:space="preserve">Free testing available from the state of other resources would be used. If those resources are unavailable at the time testing is done, a private lab is currently available as a testing resource. </t>
  </si>
  <si>
    <t>None.</t>
  </si>
  <si>
    <t xml:space="preserve">   Tel: (317)872-8811</t>
  </si>
  <si>
    <t xml:space="preserve">   2002 West 86Th Street</t>
  </si>
  <si>
    <t xml:space="preserve">   Indianapolis, In 46260</t>
  </si>
  <si>
    <t>Golden Living Center-Bloomington</t>
  </si>
  <si>
    <t>Martinsville</t>
  </si>
  <si>
    <t>Morgan</t>
  </si>
  <si>
    <t>Free testing available from the State or other resources would be used; if those resources are unavailable at the time testing is done, a private lab currently is available as a testing resource.</t>
  </si>
  <si>
    <t>none</t>
  </si>
  <si>
    <t xml:space="preserve">   Tel: (812)332-4437</t>
  </si>
  <si>
    <t xml:space="preserve">   155 E Burks Dr</t>
  </si>
  <si>
    <t>Golden Living Center-Brandywine</t>
  </si>
  <si>
    <t>Greenfield</t>
  </si>
  <si>
    <t>Hancock</t>
  </si>
  <si>
    <t xml:space="preserve">Free testing available from the State or other resources would be used; if those resources are unavailable at the time testing is done, a private lab currently is available as a testing resource.    </t>
  </si>
  <si>
    <t xml:space="preserve">   Tel: (317)462-9221</t>
  </si>
  <si>
    <t xml:space="preserve">   745 N Swope St</t>
  </si>
  <si>
    <t xml:space="preserve">   Greenfield, In 46140</t>
  </si>
  <si>
    <t>Golden Living Center-Brentwood</t>
  </si>
  <si>
    <t>Free testing from the State or other resources would be used if those resources are unavailable at the time testing is done.  A private lab is currently available as a testing resource</t>
  </si>
  <si>
    <t>As of today the answer is No because your question does not indicate the frequency of any proposed testing and this issue is currently under evaluation as recognized by the CDC and CMS.  Testing all employees could result in significant staff departures which could have a domino effect on available staffing resources if all facilities test simultaneously.  Departures could be either temporary or permanent due to CO  VID-19 positive results or unwillingness to work in and COVID-19 facility.  Employee screening, PPE and infection control expectations and processes are in place as recommended by the CDC in an effort to minimize risk of Covid-19 exposure.  The CDC and CMS have expressly recognized the concerns related to all healthcare providers having sufficient personnel to care for patients.  We continue to prepare for COVID-19 presence and surge using available sources.</t>
  </si>
  <si>
    <t xml:space="preserve">   Tel: (812)423-6019</t>
  </si>
  <si>
    <t xml:space="preserve">   30 E Chandler Ave</t>
  </si>
  <si>
    <t xml:space="preserve">   Evansville, In 47713</t>
  </si>
  <si>
    <t>Golden Living Center-Brookview</t>
  </si>
  <si>
    <t xml:space="preserve">   Tel: (317)356-0977</t>
  </si>
  <si>
    <t xml:space="preserve">   7145 E 21St Street</t>
  </si>
  <si>
    <t xml:space="preserve">   Indianapolis, In 46219</t>
  </si>
  <si>
    <t>Golden Living Center-Elkhart</t>
  </si>
  <si>
    <t xml:space="preserve">ISDH has offered free testing.  We have also been contacted by IU/Probari and informed that testing can be done by us and picked up by Eli Lilly at no charge.  </t>
  </si>
  <si>
    <t xml:space="preserve">The environment we have in LTCF is already being challenged when the rest of the world is "opening up" now and we have to have families continue to wait until July or after before they can even visit their loved ones.  Facilities should be focusing all time and energies on maintaining the resident and resident family relationships.  Blanket testing would only push those already stressed relationships even further.  I appreciate that the State and other sources have reached out and offered testing, if we choose to use those resources.  The resources are there.  It should be left up to the facility, residents and families as to whether blanket testing happens at a particular facility.  </t>
  </si>
  <si>
    <t xml:space="preserve">   Tel: (574)294-7641</t>
  </si>
  <si>
    <t xml:space="preserve">   1001 W Hively Ave</t>
  </si>
  <si>
    <t>Golden Living Center-Fountainview Place</t>
  </si>
  <si>
    <t>Portage</t>
  </si>
  <si>
    <t xml:space="preserve">I am open to staff Testing for safety </t>
  </si>
  <si>
    <t xml:space="preserve">   Tel: (219)762-9571</t>
  </si>
  <si>
    <t xml:space="preserve">   3175 Lancer St</t>
  </si>
  <si>
    <t xml:space="preserve">   Portage, In 46368</t>
  </si>
  <si>
    <t>Golden Living Center-Fountainview Terrace</t>
  </si>
  <si>
    <t>La Porte</t>
  </si>
  <si>
    <t xml:space="preserve">   Tel: (219)362-7014</t>
  </si>
  <si>
    <t xml:space="preserve">   1900 Andrew Ave</t>
  </si>
  <si>
    <t xml:space="preserve">   La Porte, In 46350</t>
  </si>
  <si>
    <t>Golden Living Center-Knox</t>
  </si>
  <si>
    <t>Starke</t>
  </si>
  <si>
    <t xml:space="preserve">   Tel: (574)772-6248</t>
  </si>
  <si>
    <t xml:space="preserve">   300 E Culver Rd</t>
  </si>
  <si>
    <t xml:space="preserve">   Knox, In 46534</t>
  </si>
  <si>
    <t>Golden Living Center-Laporte</t>
  </si>
  <si>
    <t xml:space="preserve">   Tel: (219)362-6234</t>
  </si>
  <si>
    <t xml:space="preserve">   1700 I Street</t>
  </si>
  <si>
    <t>Golden Living Center-Merrillville</t>
  </si>
  <si>
    <t>Merrillville</t>
  </si>
  <si>
    <t xml:space="preserve">   Tel: (219)736-1310</t>
  </si>
  <si>
    <t xml:space="preserve">   8800 Virginia Place</t>
  </si>
  <si>
    <t xml:space="preserve">   Merrillville, In 46410</t>
  </si>
  <si>
    <t>Golden Living Center-Mishawaka</t>
  </si>
  <si>
    <t xml:space="preserve">   Tel: (574)259-1917</t>
  </si>
  <si>
    <t xml:space="preserve">   811 E 12Th Street</t>
  </si>
  <si>
    <t xml:space="preserve">   Mishawaka, In 46544</t>
  </si>
  <si>
    <t>Golden Living Center-Muncie</t>
  </si>
  <si>
    <t xml:space="preserve">   Tel: (765)286-5979</t>
  </si>
  <si>
    <t xml:space="preserve">   2701 Lyn-Mar Dr</t>
  </si>
  <si>
    <t>Golden Living Center-Petersburg</t>
  </si>
  <si>
    <t xml:space="preserve">   Tel: (812)354-8833</t>
  </si>
  <si>
    <t xml:space="preserve">   309 W Pike Ave</t>
  </si>
  <si>
    <t>Golden Living Center-Richmond</t>
  </si>
  <si>
    <t>A negative test today can be changed within minutes if exposed.  Waste of money and time.</t>
  </si>
  <si>
    <t xml:space="preserve">   Tel: (765)966-7788</t>
  </si>
  <si>
    <t xml:space="preserve">   1042 Oak Dr</t>
  </si>
  <si>
    <t>Golden Living Center-Sycamore Village</t>
  </si>
  <si>
    <t xml:space="preserve">   Tel: (765)452-5491</t>
  </si>
  <si>
    <t xml:space="preserve">   2905 W Sycamore St</t>
  </si>
  <si>
    <t xml:space="preserve">   Kokomo, In 46901</t>
  </si>
  <si>
    <t>Golden Living Center-Valparaiso</t>
  </si>
  <si>
    <t xml:space="preserve">Unless you are testing staff daily, you can test and have a negative result and within 14 days be positive. This proposal appears to be extreme and will not protect our residents as noted by my last sentence. While a human life is invaluable, the resources and expenses without the ability to prevent the spread appears not to be inappropriate. Spend the money in PPE. </t>
  </si>
  <si>
    <t xml:space="preserve">   Tel: (219)462-6158</t>
  </si>
  <si>
    <t xml:space="preserve">   251 Sturdy Rd</t>
  </si>
  <si>
    <t>Golden Living Center-Woodbridge</t>
  </si>
  <si>
    <t xml:space="preserve">   Tel: (812)426-2841</t>
  </si>
  <si>
    <t xml:space="preserve">   816 N First Ave</t>
  </si>
  <si>
    <t>Golden Living Center-Woodlands</t>
  </si>
  <si>
    <t xml:space="preserve">   Tel: (812)853-9567</t>
  </si>
  <si>
    <t xml:space="preserve">   4088 Frame Rd</t>
  </si>
  <si>
    <t xml:space="preserve">We also have 32 employee in our AL facility that we would like to test if possible. </t>
  </si>
  <si>
    <t xml:space="preserve">   Tel: (260)749-9655</t>
  </si>
  <si>
    <t xml:space="preserve">   3136 Goeglein Rd</t>
  </si>
  <si>
    <t xml:space="preserve">   Fort Wayne, In 46815</t>
  </si>
  <si>
    <t>Oakland City</t>
  </si>
  <si>
    <t>Gibson</t>
  </si>
  <si>
    <t xml:space="preserve">Testing would ease anxiety </t>
  </si>
  <si>
    <t xml:space="preserve">   Tel: (812)749-4774</t>
  </si>
  <si>
    <t xml:space="preserve">   231 N Jackson St</t>
  </si>
  <si>
    <t xml:space="preserve">   Oakland City, In 47660</t>
  </si>
  <si>
    <t>Good Samaritan Home Health Center And Residential</t>
  </si>
  <si>
    <t>Feel that many staff will not want to get tested. We are already experiencing (before COVID) staffing challenges, Positive test results could dramatically affect our staffing patterns. We are screening staff as they enter and exit the facility. With the reports of false test results, even a 5% error rate would be a significant hardship to our staffing levels.</t>
  </si>
  <si>
    <t xml:space="preserve">   Tel: (812)476-4912</t>
  </si>
  <si>
    <t xml:space="preserve">   601 N Boeke Rd</t>
  </si>
  <si>
    <t xml:space="preserve">   Evansville, In 47711</t>
  </si>
  <si>
    <t>Jasonville</t>
  </si>
  <si>
    <t xml:space="preserve">Testing for testing's sake is not an assurance. It may identify some potential carriers of the virus, but will not reduce the spread unless it is done daily. </t>
  </si>
  <si>
    <t xml:space="preserve">   Tel: (812)665-2226</t>
  </si>
  <si>
    <t xml:space="preserve">   800 E Ohio St</t>
  </si>
  <si>
    <t xml:space="preserve">   Jasonville, In 47438</t>
  </si>
  <si>
    <t>Winona Lake</t>
  </si>
  <si>
    <t>Kosciusko</t>
  </si>
  <si>
    <t>Do antibody testing instead and lets see who has already had it and had no symptoms and is better now.  That would be far more useful to us than a test at single point in time to see if it is present now despite no signs or symptoms.</t>
  </si>
  <si>
    <t xml:space="preserve">   Tel: (574)372-6100</t>
  </si>
  <si>
    <t xml:space="preserve">   337 Grace Village Dr</t>
  </si>
  <si>
    <t xml:space="preserve">   Winona Lake, In 46590</t>
  </si>
  <si>
    <t xml:space="preserve">   Tel: (765)342-7114</t>
  </si>
  <si>
    <t xml:space="preserve">   621 Grand Valley Boulevard</t>
  </si>
  <si>
    <t xml:space="preserve">   Martinsville, In 46151</t>
  </si>
  <si>
    <t xml:space="preserve">It is unreasonable to complete testing in a 2 week time frame.  The building has to prepare for testing, secure staff if a large portion of the employees test positive, the test needs to be systematic over a period of time and each building will be different based on resident needs and the employee ratios.  </t>
  </si>
  <si>
    <t xml:space="preserve">   Tel: (219)322-3555</t>
  </si>
  <si>
    <t xml:space="preserve">   2300 Great Lakes Dr</t>
  </si>
  <si>
    <t>Plan to partner with Local Lab (Aria Diagnostics)</t>
  </si>
  <si>
    <t xml:space="preserve">   Tel: (317)816-3151</t>
  </si>
  <si>
    <t xml:space="preserve">   616 Green House Way</t>
  </si>
  <si>
    <t>Green House Village Of Goshen</t>
  </si>
  <si>
    <t>1640 Autumn Blaze Drive</t>
  </si>
  <si>
    <t>Life Care Center</t>
  </si>
  <si>
    <t>The only issue I see is some sites are still not performing test unless you are symptomatic. Also would the site if willing to test be able to complete 134 test in a 2 week period.</t>
  </si>
  <si>
    <t xml:space="preserve">   Tel: (812)945-2341</t>
  </si>
  <si>
    <t xml:space="preserve">   3118 Green Valley Rd</t>
  </si>
  <si>
    <t>Goodland</t>
  </si>
  <si>
    <t xml:space="preserve">   Tel: (574)537-4000</t>
  </si>
  <si>
    <t xml:space="preserve">   1225 Greencroft Dr</t>
  </si>
  <si>
    <t xml:space="preserve">   Goshen, In 46527</t>
  </si>
  <si>
    <t>Greenfield Healthcare Center</t>
  </si>
  <si>
    <t>It is redundant to test all staff members if the state is not going to mandate testing for temporary staffing. We are using agency like most LTC facilities and I have requested for them to be tested and there is no follow up on their part and we.</t>
  </si>
  <si>
    <t xml:space="preserve">   Tel: (317)462-3311</t>
  </si>
  <si>
    <t xml:space="preserve">   200 Green Meadows Dr</t>
  </si>
  <si>
    <t>Greenleaf Health Campus</t>
  </si>
  <si>
    <t xml:space="preserve">   Tel: (574)206-0086</t>
  </si>
  <si>
    <t xml:space="preserve">   1201 E Beardsley Ave</t>
  </si>
  <si>
    <t>Greenwood Health And Living Community</t>
  </si>
  <si>
    <t xml:space="preserve">   Tel: (317)881-3535</t>
  </si>
  <si>
    <t xml:space="preserve">   937 Fry Rd</t>
  </si>
  <si>
    <t xml:space="preserve">   Greenwood, In 46142</t>
  </si>
  <si>
    <t>Greenwood Healthcare Center</t>
  </si>
  <si>
    <t xml:space="preserve">   Tel: (317)888-4948</t>
  </si>
  <si>
    <t xml:space="preserve">   377 Westridge Blvd</t>
  </si>
  <si>
    <t>Greenwood Meadows</t>
  </si>
  <si>
    <t xml:space="preserve">   Tel: (317)300-2200</t>
  </si>
  <si>
    <t xml:space="preserve">   1200 N State Road 135</t>
  </si>
  <si>
    <t>There are significant costs associated with this initiative. The financial costs of the testing itself as well as the cost of pulling staff from resident care to get tested/collect samples are two of the major concerns. The challenges with both regards are already immense. The continued push for more regulations, while well-intended, often have negative impacts on the ability to care for seniors. Additionally, I would like to know from the state if the contracted testing sites have the capacity to test the entire state's long-term care facility staff in a two-week period. It is easy to say we would refer to one of the sites but the ability to take on that much more additional testing in a two week period, in addition to the current testing being performed, has yet to be evidenced.</t>
  </si>
  <si>
    <t xml:space="preserve">   Tel: (317)859-4444</t>
  </si>
  <si>
    <t xml:space="preserve">   295 Village Lane</t>
  </si>
  <si>
    <t xml:space="preserve">   Greenwood, In 46143</t>
  </si>
  <si>
    <t>Grey Stone Health &amp; Rehabilitation Center</t>
  </si>
  <si>
    <t>10445 Dupont Oaks Blvd</t>
  </si>
  <si>
    <t>Hamilton Grove</t>
  </si>
  <si>
    <t>New Carlisle</t>
  </si>
  <si>
    <t xml:space="preserve">   Tel: (574)654-2200</t>
  </si>
  <si>
    <t xml:space="preserve">   31869 Chicago Trail</t>
  </si>
  <si>
    <t xml:space="preserve">   New Carlisle, In 46552</t>
  </si>
  <si>
    <t>Hamilton Pointe Health And Rehab</t>
  </si>
  <si>
    <t>3800 Eli Place</t>
  </si>
  <si>
    <t>Hamilton Trace Of Fishers</t>
  </si>
  <si>
    <t>Cardon</t>
  </si>
  <si>
    <t>11851 Cumberland Rd</t>
  </si>
  <si>
    <t>Whiting</t>
  </si>
  <si>
    <t xml:space="preserve">   Tel: (219)659-2770</t>
  </si>
  <si>
    <t xml:space="preserve">   1000 114Th St</t>
  </si>
  <si>
    <t xml:space="preserve">   Whiting, In 46394</t>
  </si>
  <si>
    <t>Hampton Oaks Health Campus</t>
  </si>
  <si>
    <t>Scottsburg</t>
  </si>
  <si>
    <t>Scott</t>
  </si>
  <si>
    <t xml:space="preserve">   Tel: (812)752-2694</t>
  </si>
  <si>
    <t xml:space="preserve">   966 N Wilson Rd</t>
  </si>
  <si>
    <t xml:space="preserve">   Scottsburg, In 47170</t>
  </si>
  <si>
    <t>Hanover</t>
  </si>
  <si>
    <t>Jefferson</t>
  </si>
  <si>
    <t>N/A</t>
  </si>
  <si>
    <t xml:space="preserve">   Tel: (812)866-2625</t>
  </si>
  <si>
    <t xml:space="preserve">   410 W Lagrange Rd</t>
  </si>
  <si>
    <t xml:space="preserve">   Hanover, In 47243</t>
  </si>
  <si>
    <t>Harcourt Terrace Nursing And Rehabilitation</t>
  </si>
  <si>
    <t xml:space="preserve">   Tel: (317)872-7261</t>
  </si>
  <si>
    <t xml:space="preserve">   8181 Harcourt Rd</t>
  </si>
  <si>
    <t>Corydon</t>
  </si>
  <si>
    <t>Harrison</t>
  </si>
  <si>
    <t xml:space="preserve">We would request tests from local health department and would want to plan so that we did this in a way that we would maintain staff through the process.  Mindful of resident needs and staffing numbers.  We already recommend testing when staff is symptomatic.  </t>
  </si>
  <si>
    <t xml:space="preserve">Yes, we believe in testing employees if a building has symptomatic residents, or has had symptomatic residents.   It is unreasonable to complete testing in a 2 week time frame.  The building has to prepare for testing, secure staff if a large portion of the employees test positive, the test needs to be systematic over a period of time and each building will be different based on resident needs and the employee ratios.  Please make sure all Indiana buildings respond to the survey.  </t>
  </si>
  <si>
    <t xml:space="preserve">   Tel: (812)738-0550</t>
  </si>
  <si>
    <t xml:space="preserve">   150 Beechmont Dr</t>
  </si>
  <si>
    <t xml:space="preserve">   Corydon, In 47112</t>
  </si>
  <si>
    <t>Harrison Springs Health Campus</t>
  </si>
  <si>
    <t xml:space="preserve">   Tel: (812)738-0317</t>
  </si>
  <si>
    <t xml:space="preserve">   871 Pacer Drive Nw</t>
  </si>
  <si>
    <t>Harrison Terrace</t>
  </si>
  <si>
    <t xml:space="preserve">   Tel: (317)353-6270</t>
  </si>
  <si>
    <t xml:space="preserve">   1924 Wellesley Blvd</t>
  </si>
  <si>
    <t>Harrison'S Crossing Health Campus</t>
  </si>
  <si>
    <t xml:space="preserve">   Tel: (812)234-7111</t>
  </si>
  <si>
    <t xml:space="preserve">   395 8Th Avenue</t>
  </si>
  <si>
    <t xml:space="preserve">   Terre Haute, In 47804</t>
  </si>
  <si>
    <t>kit delivery and pickup</t>
  </si>
  <si>
    <t>Healthcare Center At Wittenberg Village</t>
  </si>
  <si>
    <t>1200 E Luther Dr</t>
  </si>
  <si>
    <t xml:space="preserve">   Tel: (574)272-0100</t>
  </si>
  <si>
    <t xml:space="preserve">   20531 Darden Rd</t>
  </si>
  <si>
    <t xml:space="preserve">   South Bend, In 46637</t>
  </si>
  <si>
    <t>Hearthstone Health Campus</t>
  </si>
  <si>
    <t xml:space="preserve">   Tel: (812)333-7622</t>
  </si>
  <si>
    <t xml:space="preserve">   3043 North Lintel Drive</t>
  </si>
  <si>
    <t xml:space="preserve">   Bloomington, In 47404</t>
  </si>
  <si>
    <t xml:space="preserve">   Tel: (812)429-0700</t>
  </si>
  <si>
    <t xml:space="preserve">   1201 W Buena Vista Rd</t>
  </si>
  <si>
    <t>Would ISDH be able to provide quick swabs for the facilities to use instead of going through a lab that could take 48-72 hours for results and then do lab when quick swab is positive? Would we be able to do blood test for antibodies with staff to see who has already had the virus?</t>
  </si>
  <si>
    <t xml:space="preserve">   Tel: (765)463-1541</t>
  </si>
  <si>
    <t xml:space="preserve">   3401 Soldiers Home Rd</t>
  </si>
  <si>
    <t>Heritage House</t>
  </si>
  <si>
    <t xml:space="preserve">We do, as a company, and industry, long for the day we can open our doors to our loved ones in the public. But we feel there are so many issues, currently, that we don't see it safely occurring anytime in the near future. We would love to have sustained testing, but the results must be immediate or within a short time frame to truly prevent spread. The current standards, that we have seen, of 2-5 days, are virtually worthless for our day to day operations. If someone is asymptomatic, which our own state's study finds to be nearly 44% of those infected, means we could have someone positive in our building for nearly a week before we get the results. The false negatives, that we have seen, leave us a sense of distrust of the results we do receive regardless of the length of time to get them.   Assuming the end goal for the testing is to be able to allow back in visitors then our concerns fall to the next pressing issue of ppe. We still cannot find readily available ppe in any substantial quantity to cover our own staff, certainly not to the guidelines from the cdc pre-covid, let alone providing for the amount needed for visitors. Much of the equipment we do find tends to be counterfeit or we must spend hours assuring it isn't, even though it is being sold from some of the biggest, most well-known vendors in the industry. Most of this equipment we spend hours training our staff yearly on how to properly don/doff and yet the industry is frequently cited for failures in staff procedures in this category. How will we ever train the visitors? Whose responsibility will it be for the cost of supplying, training, monitoring and ultimately increased liability from these visitors? So, while we hope and pray for better days, we feel there is so much needed improvement before we get there.   </t>
  </si>
  <si>
    <t xml:space="preserve">   Tel: (812)663-7543</t>
  </si>
  <si>
    <t xml:space="preserve">   410 Park Rd</t>
  </si>
  <si>
    <t xml:space="preserve">   Tel: (765)529-9694</t>
  </si>
  <si>
    <t xml:space="preserve">   1023 N 20Th St</t>
  </si>
  <si>
    <t xml:space="preserve">   Tel: (765)962-3543</t>
  </si>
  <si>
    <t xml:space="preserve">   2070 Chester Blvd</t>
  </si>
  <si>
    <t xml:space="preserve">   Tel: (317)398-9781</t>
  </si>
  <si>
    <t xml:space="preserve">   2309 S Miller St</t>
  </si>
  <si>
    <t>Heritage House Rehabilitation &amp; Health Care Center</t>
  </si>
  <si>
    <t xml:space="preserve">   Tel: (765)825-2148</t>
  </si>
  <si>
    <t xml:space="preserve">   281 S County Road 200 East</t>
  </si>
  <si>
    <t xml:space="preserve">   Tel: (260)209-6279</t>
  </si>
  <si>
    <t xml:space="preserve">   5250 Heritage Parkway</t>
  </si>
  <si>
    <t>Huntington</t>
  </si>
  <si>
    <t xml:space="preserve">   Tel: (260)355-2750</t>
  </si>
  <si>
    <t xml:space="preserve">   1180 West 500 North</t>
  </si>
  <si>
    <t xml:space="preserve">   Huntington, In 46750</t>
  </si>
  <si>
    <t>Heritage Park</t>
  </si>
  <si>
    <t xml:space="preserve">   Tel: (260)484-9557</t>
  </si>
  <si>
    <t xml:space="preserve">   2001 Hobson Rd</t>
  </si>
  <si>
    <t>Warren</t>
  </si>
  <si>
    <t>Need Kits and pickup</t>
  </si>
  <si>
    <t>I am not certain how we could accomplish this with our size of facility. I have reached out to the local hospitals and our contracted lab to see what assistance they could offer. I am currently awaiting some return phone calls.</t>
  </si>
  <si>
    <t>I think the surrounding community prevalence as well as in facility prevalence should be reviewed prior to determining if baseline testing is needed. I am uncertain as to what the baseline testing is going to provide as it is only a snap shot of that day/point in time with false positive/negative results being obtained due to the lack of 100% accuracy with testing. I have concerns that testing all residents and staff will give many residents/family and employees a false sense of hope and they will become non-compliant/less strict with their infection control practices, and social distancing. Although I strongly disagree with the baseline testing approach, I obviously will carry out any mandates in regards to the testing.</t>
  </si>
  <si>
    <t xml:space="preserve">   Tel: (260)375-2201</t>
  </si>
  <si>
    <t xml:space="preserve">   801 N Huntington Ave</t>
  </si>
  <si>
    <t xml:space="preserve">   Warren, In 46792</t>
  </si>
  <si>
    <t>Hickory Creek</t>
  </si>
  <si>
    <t>I feel this is discriminatory toward nursing facilities.  Most plagues and diseases always hit the young and the old.  As long as infection control practices are in place and being followed, I don't see how testing everyone and putting undue costs and procedures on facilities are going to help.  What would help is providing hazard pay for the frontline workers and the state helping to provide sufficient staffing during pandemics for facilities who have been hurt by their staff falling ill.</t>
  </si>
  <si>
    <t xml:space="preserve">   Tel: (812)372-6136</t>
  </si>
  <si>
    <t xml:space="preserve">   5480 E 25Th Street</t>
  </si>
  <si>
    <t>The State needs to move with caution as to what the next step will be if staffing shortage is created due to asymptomatic staff test positive.</t>
  </si>
  <si>
    <t xml:space="preserve">   Tel: (765)825-9771</t>
  </si>
  <si>
    <t xml:space="preserve">   2600 N Grand Ave</t>
  </si>
  <si>
    <t>Hickory Creek At Crawfordsville</t>
  </si>
  <si>
    <t xml:space="preserve">   Tel: (765)362-8590</t>
  </si>
  <si>
    <t xml:space="preserve">   817 N Whitlock Ave</t>
  </si>
  <si>
    <t>Hickory Creek At Franklin</t>
  </si>
  <si>
    <t xml:space="preserve">   Tel: (317)736-8214</t>
  </si>
  <si>
    <t xml:space="preserve">   580 Lemley Street</t>
  </si>
  <si>
    <t xml:space="preserve">   Tel: (812)663-7503</t>
  </si>
  <si>
    <t xml:space="preserve">   1620 N Lincoln St</t>
  </si>
  <si>
    <t>Hickory Creek At Huntington</t>
  </si>
  <si>
    <t xml:space="preserve">   Tel: (260)356-4867</t>
  </si>
  <si>
    <t xml:space="preserve">   1425 Grant St</t>
  </si>
  <si>
    <t>Hickory Creek At Kendallville</t>
  </si>
  <si>
    <t>Kendallville</t>
  </si>
  <si>
    <t xml:space="preserve">   Tel: (260)347-3612</t>
  </si>
  <si>
    <t xml:space="preserve">   1433 S Main Street</t>
  </si>
  <si>
    <t xml:space="preserve">   Kendallville, In 46755</t>
  </si>
  <si>
    <t xml:space="preserve">   Tel: (812)273-4696</t>
  </si>
  <si>
    <t xml:space="preserve">   1945 Cragmont St</t>
  </si>
  <si>
    <t xml:space="preserve">   Madison, In 47250</t>
  </si>
  <si>
    <t xml:space="preserve">   Tel: (765)529-4695</t>
  </si>
  <si>
    <t xml:space="preserve">   901 N 16Th Street</t>
  </si>
  <si>
    <t>Hickory Creek At Peru</t>
  </si>
  <si>
    <t xml:space="preserve">We do not have any at this time.  </t>
  </si>
  <si>
    <t xml:space="preserve">   Tel: (765)473-4900</t>
  </si>
  <si>
    <t xml:space="preserve">   390 W Boulevard</t>
  </si>
  <si>
    <t>Rochester</t>
  </si>
  <si>
    <t xml:space="preserve">   Tel: (574)223-5100</t>
  </si>
  <si>
    <t xml:space="preserve">   340 E 18Th Street</t>
  </si>
  <si>
    <t xml:space="preserve">   Rochester, In 46975</t>
  </si>
  <si>
    <t>We have a testing site at our National Guard Armory that is offering testing for symptomatic and healthcare workers</t>
  </si>
  <si>
    <t xml:space="preserve">   Tel: (812)752-5065</t>
  </si>
  <si>
    <t xml:space="preserve">   1100 N Gardner Ave</t>
  </si>
  <si>
    <t>Hickory Creek At Sunset</t>
  </si>
  <si>
    <t>Blanket testing is also not compliant nor takes into account  patient personal decisions of their healthcare.</t>
  </si>
  <si>
    <t xml:space="preserve">   Tel: (765)653-3143</t>
  </si>
  <si>
    <t xml:space="preserve">   1109 S Indiana Street</t>
  </si>
  <si>
    <t>Winamac</t>
  </si>
  <si>
    <t>Pulaski</t>
  </si>
  <si>
    <t xml:space="preserve">   Tel: (574)946-6143</t>
  </si>
  <si>
    <t xml:space="preserve">   515 E 13Th St</t>
  </si>
  <si>
    <t xml:space="preserve">   Winamac, In 46996</t>
  </si>
  <si>
    <t>Hildegard Health Center Inc</t>
  </si>
  <si>
    <t>Ferdinand</t>
  </si>
  <si>
    <t xml:space="preserve">   Tel: (812)367-2022</t>
  </si>
  <si>
    <t xml:space="preserve">   802 E 10Th St</t>
  </si>
  <si>
    <t xml:space="preserve">   Ferdinand, In 47532</t>
  </si>
  <si>
    <t>Hillcrest Village</t>
  </si>
  <si>
    <t>Jeffersonville</t>
  </si>
  <si>
    <t xml:space="preserve">   Tel: (812)283-7918</t>
  </si>
  <si>
    <t xml:space="preserve">   203 Sparks Ave</t>
  </si>
  <si>
    <t xml:space="preserve">   Jeffersonville, In 47130</t>
  </si>
  <si>
    <t>1109 E National Highway</t>
  </si>
  <si>
    <t>Notre Dame</t>
  </si>
  <si>
    <t>Unrealistic.  Who is paying for all the tests?  This would represent a hardship for all facilities.</t>
  </si>
  <si>
    <t xml:space="preserve">   Tel: (574)287-1838</t>
  </si>
  <si>
    <t xml:space="preserve">   54515 State Road 933 North</t>
  </si>
  <si>
    <t xml:space="preserve">   Notre Dame, In 46556</t>
  </si>
  <si>
    <t xml:space="preserve">Yes, we believe in testing employees if a building has symptomatic residents, or has had symptomatic residents.   It is unreasonable to complete testing in a 2 week time frame.  The building has to prepare for testing, secure staff if a large portion of the employees test positive, the test needs to be systematic over a period of time and each building will be different based on resident needs and the employee ratios.  </t>
  </si>
  <si>
    <t xml:space="preserve">   Tel: (317)788-3000</t>
  </si>
  <si>
    <t xml:space="preserve">   7465 Madison Ave</t>
  </si>
  <si>
    <t>We have test about 24 employees base on Symptom with no positive test. We had one contractor a Therapist with Symptom in which she was positive. Continue to rest based any one with a fever 99 or above or other know symptoms.</t>
  </si>
  <si>
    <t xml:space="preserve">   Tel: (317)736-6414</t>
  </si>
  <si>
    <t xml:space="preserve">   651 South State Street</t>
  </si>
  <si>
    <t>Homewood Health Campus</t>
  </si>
  <si>
    <t xml:space="preserve">   Tel: (765)482-2076</t>
  </si>
  <si>
    <t xml:space="preserve">   2494 N Lebanon St</t>
  </si>
  <si>
    <t>Brownstown</t>
  </si>
  <si>
    <t>Testing all staff at once is concerning for the cost as well as feasibility of staffing to give appropriate care.</t>
  </si>
  <si>
    <t xml:space="preserve">   Tel: (812)358-2504</t>
  </si>
  <si>
    <t xml:space="preserve">   621 S Sugar St</t>
  </si>
  <si>
    <t xml:space="preserve">   Brownstown, In 47220</t>
  </si>
  <si>
    <t>We are concerned about the availability of tests given the number of facilities in the state and the frequency of testing.  If weekly tests are required, there is further concern that results would be slowed and we may be doing the next round of tests prior to receiving the results from the first.</t>
  </si>
  <si>
    <t xml:space="preserve">   Tel: (317)873-3349</t>
  </si>
  <si>
    <t xml:space="preserve">   9875 Cherryleaf Dr</t>
  </si>
  <si>
    <t xml:space="preserve">   Indianapolis, In 46268</t>
  </si>
  <si>
    <t xml:space="preserve">how would organizations pay for this and how can we ensure others follow this as well and how do we make it mandatory </t>
  </si>
  <si>
    <t xml:space="preserve">   Tel: (317)251-2261</t>
  </si>
  <si>
    <t xml:space="preserve">   7001 Hoover Rd</t>
  </si>
  <si>
    <t>28070 Cr 24</t>
  </si>
  <si>
    <t>Yes, we believe in testing employees if a building has symptomatic residents, or has had symptomatic residents. It is unreasonable to complete testing in a 2 week time frame.  The building has to prepare for testing, secure staff if a large portion of the employees test positive, the test needs to be systematic over a period of time and each building will be different based on resident needs and the employee ratios.</t>
  </si>
  <si>
    <t xml:space="preserve">   Tel: (812)738-8127</t>
  </si>
  <si>
    <t xml:space="preserve">   240 Beechmont Dr</t>
  </si>
  <si>
    <t xml:space="preserve">For the scope of number of the HC employees to be tested in our area, the current test sites locally would be challenged to reasonably accommodate the volume. If testing were conducted in-house, there has been no information provided as to how the test kits would be allocated and associate costs for testing. As stated in the facility response, one time testing is only a snapshot at that time and will not provide long term surveillance which would require at least weekly of not twice weekly testing. </t>
  </si>
  <si>
    <t xml:space="preserve">   Tel: (317)736-6141</t>
  </si>
  <si>
    <t xml:space="preserve">   800 Freemason Parkway</t>
  </si>
  <si>
    <t xml:space="preserve">   Tel: (765)463-1502</t>
  </si>
  <si>
    <t xml:space="preserve">   3851 N River Rd</t>
  </si>
  <si>
    <t xml:space="preserve">   Tel: (260)347-4374</t>
  </si>
  <si>
    <t xml:space="preserve">   1802 E Dowling St</t>
  </si>
  <si>
    <t>Kingston Care</t>
  </si>
  <si>
    <t>If this is a directive the best way to accomplish this would be to have a testing site set up on campus over 2-3 days so our employees could drive to our campus and test before shifts...</t>
  </si>
  <si>
    <t xml:space="preserve">   Tel: (260)489-2552</t>
  </si>
  <si>
    <t xml:space="preserve">   1010 W Washington Center Rd</t>
  </si>
  <si>
    <t>Kingston Residence Of Fort Wayne</t>
  </si>
  <si>
    <t>Schedule them out because they cannot be all tested with a two week period dt we would not have enough staff to cover the building and care.</t>
  </si>
  <si>
    <t xml:space="preserve">   Tel: (260)747-1523</t>
  </si>
  <si>
    <t xml:space="preserve">   7515 Winchester Rd</t>
  </si>
  <si>
    <t xml:space="preserve">   Fort Wayne, In 46819</t>
  </si>
  <si>
    <t>Any staff member requesting to be tested will be completed</t>
  </si>
  <si>
    <t xml:space="preserve">   Tel: (765)453-5600</t>
  </si>
  <si>
    <t xml:space="preserve">   429 W Lincoln Rd</t>
  </si>
  <si>
    <t>East Chicago</t>
  </si>
  <si>
    <t xml:space="preserve">are we prepared to quarantine even 10% of the work force let alone ....... ???   we are practicing the mask, social distancing and many other interventions that are wise.   </t>
  </si>
  <si>
    <t xml:space="preserve">   Tel: (219)397-0380</t>
  </si>
  <si>
    <t xml:space="preserve">   5025 Mccook Ave</t>
  </si>
  <si>
    <t xml:space="preserve">   East Chicago, In 46312</t>
  </si>
  <si>
    <t>Lake Pointe Village</t>
  </si>
  <si>
    <t xml:space="preserve">   Tel: (812)752-3499</t>
  </si>
  <si>
    <t xml:space="preserve">   545 W Moonglo Rd</t>
  </si>
  <si>
    <t xml:space="preserve">conducting all the testing within the time frame and same geographical area may not allow staff support from other sister facilities should testing warrant multiple staff members to be off duty for the ten days simultaneously </t>
  </si>
  <si>
    <t xml:space="preserve">   Tel: (317)243-3721</t>
  </si>
  <si>
    <t xml:space="preserve">   45 Beachway Dr</t>
  </si>
  <si>
    <t xml:space="preserve">   Indianapolis, In 46224</t>
  </si>
  <si>
    <t>Life Care</t>
  </si>
  <si>
    <t xml:space="preserve">   Tel: (765)362-0007</t>
  </si>
  <si>
    <t xml:space="preserve">   1000 Lane Ave</t>
  </si>
  <si>
    <t>We are concerned that should we have multiple "asymptomatic" staff test positive, it could leave insufficient staff remaining to meet the needs of the residents.  Conducting testing within the same time frame and same geographical area may not allow staff support from other sister facilities should testing warrant multiple staff members to be off duty for ten days simultaneously.</t>
  </si>
  <si>
    <t xml:space="preserve">   Tel: (765)282-1416</t>
  </si>
  <si>
    <t xml:space="preserve">   4600 E Jackson St</t>
  </si>
  <si>
    <t xml:space="preserve">Life Care </t>
  </si>
  <si>
    <t xml:space="preserve">   1649 Spy Run Avenue</t>
  </si>
  <si>
    <t>Lagrange</t>
  </si>
  <si>
    <t>LaGrange</t>
  </si>
  <si>
    <t xml:space="preserve">I would put our focus on making testing readily available with fast turn around </t>
  </si>
  <si>
    <t xml:space="preserve">   0770 North 075 East</t>
  </si>
  <si>
    <t xml:space="preserve">   Lagrange, In 46761</t>
  </si>
  <si>
    <t xml:space="preserve">I think this will be a monumental task that the Optum tests sites will not be able to handle.  between ALS and SNF is LaPorte county there may be well over 1000 workers to be tested at a total of 4 sites.  Each site would have to complete 250 tests in this two week period.  I have no idea if they are even able to handle an additional 250 tests.  It would be easier if we could pick up the swabs do them ourselves and drop off at the test site.  If we do not go to a free site, how is payment going to occur for the tests?  If we allow staff to go to a variety of sites how do we get results?  do the results go to facility or staff?  Can they go to both? it would be nice if we could get tests and antibody tests for potential past infection.  If we do not go to optim sites, will we need an order for the tests?  Will staff have to get an order from MD?  if so, maybe blanket orders from ISDH could be written for tests? Are the test sites open after hours or on weekends?  many staff work long hours and getting to an off site test site would be a burden.  Could the test sites come to us?  it would be easier if they showed up at facilities on specific dates and times.  We could get our staff here for the testing much easier. </t>
  </si>
  <si>
    <t xml:space="preserve">   Tel: (219)872-7251</t>
  </si>
  <si>
    <t xml:space="preserve">   802 Us Highway 20 East</t>
  </si>
  <si>
    <t xml:space="preserve">   </t>
  </si>
  <si>
    <t xml:space="preserve">   Tel: (574)223-4331</t>
  </si>
  <si>
    <t xml:space="preserve">   827 W 13Th St</t>
  </si>
  <si>
    <t xml:space="preserve">Who would pay for test? </t>
  </si>
  <si>
    <t xml:space="preserve">   Tel: (219)464-4858</t>
  </si>
  <si>
    <t xml:space="preserve">   1000 Elizabeth Dr</t>
  </si>
  <si>
    <t xml:space="preserve">I am only supportive if it could be done in an efficient way and if the hospital was on board. They would need to agree to send the results to us to make it more efficient. There are still many unanswered questions regarding if this is considered paid time, who covers cost, are there enough test kits out there, etc. I think there has to be a strong system before this should be considered. There are pros to doing it, but there are also barriers as stated above. Thank you. </t>
  </si>
  <si>
    <t xml:space="preserve">   Tel: (219)462-1023</t>
  </si>
  <si>
    <t xml:space="preserve">   3405 N Campbell Rd</t>
  </si>
  <si>
    <t xml:space="preserve">   Valparaiso, In 46385</t>
  </si>
  <si>
    <t>Lincoln Hills</t>
  </si>
  <si>
    <t>Tell City</t>
  </si>
  <si>
    <t>Perry</t>
  </si>
  <si>
    <t>Utilize the ISDH testing site</t>
  </si>
  <si>
    <t xml:space="preserve"> We would test ourselves with the Consultant / Management assistance</t>
  </si>
  <si>
    <t xml:space="preserve">We have 5 facilities within ECC - we would want to coordinate testing so we don't do more than 1 facility at a time in case multiple staff come back positive we would need Consultant company to assist with staffing - we wouldn't do that if we test multiple facilities at a time.      </t>
  </si>
  <si>
    <t xml:space="preserve">   Tel: (219)769-9009</t>
  </si>
  <si>
    <t xml:space="preserve">   8380 Virginia St</t>
  </si>
  <si>
    <t xml:space="preserve">   Tel: (765)649-2532</t>
  </si>
  <si>
    <t xml:space="preserve">   1821 Lindberg Rd</t>
  </si>
  <si>
    <t xml:space="preserve">   Tel: (812)882-8787</t>
  </si>
  <si>
    <t xml:space="preserve">   723 E Ramsey Rd</t>
  </si>
  <si>
    <t>Loogootee</t>
  </si>
  <si>
    <t>Martin</t>
  </si>
  <si>
    <t xml:space="preserve">We are supportive of 15 minutes testing on all employees prior to starting their shift. </t>
  </si>
  <si>
    <t xml:space="preserve">   Tel: (812)295-4433</t>
  </si>
  <si>
    <t xml:space="preserve">   313 Poplar St</t>
  </si>
  <si>
    <t xml:space="preserve">   Loogootee, In 47553</t>
  </si>
  <si>
    <t>Lowell Healthcare</t>
  </si>
  <si>
    <t xml:space="preserve">   Tel: (219)696-7791</t>
  </si>
  <si>
    <t xml:space="preserve">   710 Michigan St</t>
  </si>
  <si>
    <t xml:space="preserve">   Tel: (812)522-5927</t>
  </si>
  <si>
    <t xml:space="preserve">   111 W Church Ave</t>
  </si>
  <si>
    <t xml:space="preserve">*We are supportive of testing if it is meaningful, if results could be received in "real time" and one test would be a valid test versus obtaining two negative tests within 24 hours to be a valid COVID free result for that time period only.  We have found that two negative tests also convert to a positive test given a few days and exposure.  Testing all staff would be a benefit when we have a "real time test result" (rapid test) at the time of testing with 90% plus efficacy, so we would know how to handle a positive result in the moment of time to provide the best protection for both residents and staff. We just simply are not there yet.  *One time testing only reflects a result for the moment the test occurred.  However, we do not have an appropriate real time test to bring value to testing at this time.  If there is a COVID positive building, employee testing makes sense to identify when to bring employees back to work and where to assign positive tested employees.  Otherwise, a test result that takes 3-5 days doesn't mean anything; if someone was positive, they have already spread it to others working while waiting for results.  It is also noted the staff member is contagious 48 hours prior to showing the first COVID s/s.  *If mandated testing starts, how would this ever stop?  Would we need to continue this until there is a vaccine or a valid antibody test? How is this sustainable?  *Currently, we test employees based on COVID s/s or a direct exposure as needed. The employee remains at home until the test result is received and/or 10 days passed the onset of s/s; or a 14 day quarantine if a direct exposure.  We could not afford to have every employee stay at home pending test results for routine testing.  This would create a burden on our work force with no one left to provide care.  *At this time, we are relying on employee/resident screening two times a day, face masks with eye protection for all employees, full PPE in isolation rooms, increased sanitizing surfaces, and IC measures.     </t>
  </si>
  <si>
    <t xml:space="preserve">   6701 S Anthony Blvd</t>
  </si>
  <si>
    <t xml:space="preserve">   Fort Wayne, In 46816</t>
  </si>
  <si>
    <t>Lutheran Life</t>
  </si>
  <si>
    <t xml:space="preserve">*We are supportive of testing if it is meaningful, if results could be received in "real time" and one test would be a valid test versus obtaining two negative tests within 24 hours to be a valid COVID free result for that time period only.  We have found that two negative tests also convert to a positive test given a few days and exposure.  Testing all staff would be a benefit when we have a "real time test result" (rapid test) at the time of testing with 90% plus efficacy, so we would know how to handle a positive result in the moment of time to provide the best protection for both residents and staff. We just simply are not there yet.  *One time testing only reflects a result for the moment the test occurred.  However, we do not have an appropriate real time test to bring value to testing at this time.  If there is a COVID positive building, employee testing makes sense to identify when to bring employees back to work and where to assign positive tested employees.  Otherwise, a test result that takes 3-5 days doesn't mean anything; if someone was positive, they have already spread it to others working while waiting for results.  It is also noted the staff member is contagious 48 hours prior to showing the first COVID s/s.  *If mandated testing starts, how would this ever stop?  Would we need to continue this until there is a vaccine or a valid antibody test? How is this sustainable?  *Currently, we test employees based on COVID s/s or a direct exposure as needed. The employee remains at home until the test result is received and/or 10 days passed the onset of s/s; or a 14 day quarantine if a direct exposure.  We could not afford to have every employee stay at home pending test results for routine testing.  This would create a burden on our work force with no one left to provide care.  *At this time, we are relying on employee/resident screening two times a day, face masks with eye protection for all employees, full PPE in isolation rooms, increased sanitizing surfaces, and IC measures.   </t>
  </si>
  <si>
    <t>351 N Allen Chapel Road</t>
  </si>
  <si>
    <t>Kendallville, In  46755</t>
  </si>
  <si>
    <t>(260) 469-0600</t>
  </si>
  <si>
    <t>9802 Coldwater Road</t>
  </si>
  <si>
    <t>Fort Wayne, In  46825</t>
  </si>
  <si>
    <t>Lynhurst Healthcare</t>
  </si>
  <si>
    <t>5225 W Morris St</t>
  </si>
  <si>
    <t>Majestic</t>
  </si>
  <si>
    <t>I feel that it would be more effective to test symptomatic staff, considering that we are using full PPE and have not had an outbreak.</t>
  </si>
  <si>
    <t xml:space="preserve">   Tel: (317)745-2522</t>
  </si>
  <si>
    <t xml:space="preserve">   445 S County Road 525 E</t>
  </si>
  <si>
    <t xml:space="preserve">I believe this is a good intended effort to protect the residents and staff. Non- positive facilities should not have the task of fulfilling this proposed request and all buildings should be considered case-by-case. </t>
  </si>
  <si>
    <t xml:space="preserve">   Tel: (260)747-7435</t>
  </si>
  <si>
    <t xml:space="preserve">   7519 Winchester Rd</t>
  </si>
  <si>
    <t>New Haven</t>
  </si>
  <si>
    <t xml:space="preserve">Concerns on so many false tests and the lack of staff as is at times. This is a concern on how to manage all of the moving pieces with a high fail rate of tests. </t>
  </si>
  <si>
    <t xml:space="preserve">   Tel: (260)749-0413</t>
  </si>
  <si>
    <t xml:space="preserve">   1201 Daly Drive</t>
  </si>
  <si>
    <t xml:space="preserve">   New Haven, In 46774</t>
  </si>
  <si>
    <t>North Vernon</t>
  </si>
  <si>
    <t>Jennings</t>
  </si>
  <si>
    <t xml:space="preserve">   Tel: (812)346-9333</t>
  </si>
  <si>
    <t xml:space="preserve">   701 Henry Street</t>
  </si>
  <si>
    <t xml:space="preserve">   North Vernon, In 47265</t>
  </si>
  <si>
    <t>Sheridan</t>
  </si>
  <si>
    <t xml:space="preserve">Testing for those with symptoms or answering YES to questions on State recommended screening form would be ideal.  </t>
  </si>
  <si>
    <t xml:space="preserve">   Tel: (317)758-4426</t>
  </si>
  <si>
    <t xml:space="preserve">   803 S Hamilton St</t>
  </si>
  <si>
    <t xml:space="preserve">   Sheridan, In 46069</t>
  </si>
  <si>
    <t xml:space="preserve">I understand the safety and well-being of all our residents are the most important factor that matter. </t>
  </si>
  <si>
    <t xml:space="preserve">   Tel: (260)625-3545</t>
  </si>
  <si>
    <t xml:space="preserve">   6050 S Cr 800 E 92</t>
  </si>
  <si>
    <t xml:space="preserve">   Fort Wayne, In 46814</t>
  </si>
  <si>
    <t>Osgood</t>
  </si>
  <si>
    <t>Ripley</t>
  </si>
  <si>
    <t xml:space="preserve">   Tel: (812)689-4143</t>
  </si>
  <si>
    <t xml:space="preserve">   806 S Buckeye St</t>
  </si>
  <si>
    <t xml:space="preserve">   Osgood, In 47037</t>
  </si>
  <si>
    <t xml:space="preserve">If is a requirement we will comply per CMS Guidelines </t>
  </si>
  <si>
    <t xml:space="preserve">   Tel: (317)848-2448</t>
  </si>
  <si>
    <t xml:space="preserve">   12999 N Pennsylvania St</t>
  </si>
  <si>
    <t>While cumbersome testing can be accomplished in a 2 week period. Hospital, Optum Test Sites and local Health Dept. would have to be utilized.</t>
  </si>
  <si>
    <t xml:space="preserve">   Tel: (317)881-9164</t>
  </si>
  <si>
    <t xml:space="preserve">   8549 S Madison Ave</t>
  </si>
  <si>
    <t>Sellersburg</t>
  </si>
  <si>
    <t xml:space="preserve">Concerns us that there would be further staffing difficulties if they were to be mandated for testing and they refuse.  </t>
  </si>
  <si>
    <t xml:space="preserve">   Tel: (812)246-4866</t>
  </si>
  <si>
    <t xml:space="preserve">   643 W Utica St</t>
  </si>
  <si>
    <t xml:space="preserve">   Sellersburg, In 47172</t>
  </si>
  <si>
    <t>Maple Park Village</t>
  </si>
  <si>
    <t xml:space="preserve">   Tel: (317)896-2515</t>
  </si>
  <si>
    <t xml:space="preserve">   776 N Union St</t>
  </si>
  <si>
    <t xml:space="preserve">   Westfield, In 46074</t>
  </si>
  <si>
    <t>Markle Health &amp; Rehabilitation</t>
  </si>
  <si>
    <t>Markle</t>
  </si>
  <si>
    <t xml:space="preserve">   Tel: (260)758-2131</t>
  </si>
  <si>
    <t xml:space="preserve">   170 N Tracy St</t>
  </si>
  <si>
    <t xml:space="preserve">   Markle, In 46770</t>
  </si>
  <si>
    <t xml:space="preserve">   Tel: (317)875-9700</t>
  </si>
  <si>
    <t xml:space="preserve">   8140 Township Line Rd</t>
  </si>
  <si>
    <t>Warsaw</t>
  </si>
  <si>
    <t>If facilities have positive cases, routine testing should be done.  Facilities that have no positives should not have mandated facility wide testing.  Our precautions are working and are effective as of now.  Testing is not reliable and we should not use testing as a factor in making decisions.  Using precautions and screening for symptoms is our best option currently.</t>
  </si>
  <si>
    <t xml:space="preserve">   Tel: (574)371-2500</t>
  </si>
  <si>
    <t xml:space="preserve">   900 Provident Drive</t>
  </si>
  <si>
    <t xml:space="preserve">   Warsaw, In 46580</t>
  </si>
  <si>
    <t>I support long as someone is paying for it. If I have to pay no deal!</t>
  </si>
  <si>
    <t xml:space="preserve">   Tel: (317)846-0265</t>
  </si>
  <si>
    <t xml:space="preserve">   2907 East 136Th St</t>
  </si>
  <si>
    <t>Meadow Lakes</t>
  </si>
  <si>
    <t>Mooresville</t>
  </si>
  <si>
    <t>Possibly test in interdisciplinary groups so not all one dept gets tested at the same time on the same day.</t>
  </si>
  <si>
    <t xml:space="preserve">   Tel: (317)834-1791</t>
  </si>
  <si>
    <t xml:space="preserve">   200 Meadow Lake Dr</t>
  </si>
  <si>
    <t xml:space="preserve">   Mooresville, In 46158</t>
  </si>
  <si>
    <t>Meadow View Health And Rehabilitation</t>
  </si>
  <si>
    <t>Salem</t>
  </si>
  <si>
    <t xml:space="preserve">   Tel: (812)883-4681</t>
  </si>
  <si>
    <t xml:space="preserve">   900 Anson St</t>
  </si>
  <si>
    <t xml:space="preserve">   Salem, In 47167</t>
  </si>
  <si>
    <t>we have already tested most of our staff this was on a voluntary basis and not everyone chose to do it.</t>
  </si>
  <si>
    <t xml:space="preserve">   Tel: (812)336-7060</t>
  </si>
  <si>
    <t xml:space="preserve">   2455 Tamarack Trail</t>
  </si>
  <si>
    <t xml:space="preserve">   Bloomington, In 47408</t>
  </si>
  <si>
    <t xml:space="preserve">   Tel: (812)235-6281</t>
  </si>
  <si>
    <t xml:space="preserve">   3300 Poplar St</t>
  </si>
  <si>
    <t xml:space="preserve">   Terre Haute, In 47803</t>
  </si>
  <si>
    <t>I think it needs to be done more often then just once.  We test today and someone could be exposed tom.  I think it may give  false since of security.</t>
  </si>
  <si>
    <t xml:space="preserve">   Tel: (812)466-5217</t>
  </si>
  <si>
    <t xml:space="preserve">   3150 N Seventh St</t>
  </si>
  <si>
    <t xml:space="preserve">   Tel: (317)786-9426</t>
  </si>
  <si>
    <t xml:space="preserve">   2102 S Meridian St</t>
  </si>
  <si>
    <t xml:space="preserve">   Indianapolis, In 46225</t>
  </si>
  <si>
    <t>Middletown</t>
  </si>
  <si>
    <t>testing would be nice but it might scare people more if someone does have a positive reading while still being asymptomatic.</t>
  </si>
  <si>
    <t xml:space="preserve">   Tel: (765)354-2223</t>
  </si>
  <si>
    <t xml:space="preserve">   131 S 10Th St</t>
  </si>
  <si>
    <t xml:space="preserve">   Middletown, In 47356</t>
  </si>
  <si>
    <t>Mill Pond Health Campus</t>
  </si>
  <si>
    <t xml:space="preserve">   Tel: (765)653-4397</t>
  </si>
  <si>
    <t xml:space="preserve">   1014 Mill Pond Lane</t>
  </si>
  <si>
    <t>Miller'S At Oak Pointe</t>
  </si>
  <si>
    <t>Millers</t>
  </si>
  <si>
    <t>Columbia City</t>
  </si>
  <si>
    <t>Whitley</t>
  </si>
  <si>
    <t>Financial Burden</t>
  </si>
  <si>
    <t xml:space="preserve">   Tel: (260)248-8141</t>
  </si>
  <si>
    <t xml:space="preserve">   411 N Wolf Rd</t>
  </si>
  <si>
    <t xml:space="preserve">   Columbia City, In 46725</t>
  </si>
  <si>
    <t>Miller'S Health &amp; Rehab</t>
  </si>
  <si>
    <t xml:space="preserve">   Tel: (219)841-8020</t>
  </si>
  <si>
    <t xml:space="preserve">   3530 Monroe Street</t>
  </si>
  <si>
    <t>Miller'S Merry Manor (Chesterfield)</t>
  </si>
  <si>
    <t xml:space="preserve">  </t>
  </si>
  <si>
    <t xml:space="preserve">   Tel: (765)378-0213</t>
  </si>
  <si>
    <t xml:space="preserve">   524 Anderson Rd</t>
  </si>
  <si>
    <t xml:space="preserve">   Chesterfield, In 46017</t>
  </si>
  <si>
    <t>Miller'S Merry Manor (Columbia City)</t>
  </si>
  <si>
    <t xml:space="preserve">   Tel: (260)248-8101</t>
  </si>
  <si>
    <t xml:space="preserve">   640 W Ellsworth St</t>
  </si>
  <si>
    <t>Miller'S Merry Manor (Culver)</t>
  </si>
  <si>
    <t>Culver</t>
  </si>
  <si>
    <t xml:space="preserve">   Tel: (574)842-3337</t>
  </si>
  <si>
    <t xml:space="preserve">   730 School St</t>
  </si>
  <si>
    <t xml:space="preserve">   Culver, In 46511</t>
  </si>
  <si>
    <t>Miller'S Merry Manor (Dunkirk)</t>
  </si>
  <si>
    <t>Dunkirk</t>
  </si>
  <si>
    <t xml:space="preserve">   Tel: (765)768-7537</t>
  </si>
  <si>
    <t xml:space="preserve">   11563 W 300 S</t>
  </si>
  <si>
    <t xml:space="preserve">   Dunkirk, In 47336</t>
  </si>
  <si>
    <t>Miller'S Merry Manor (Fort Wayne)</t>
  </si>
  <si>
    <t xml:space="preserve">   Tel: (260)749-9506</t>
  </si>
  <si>
    <t xml:space="preserve">   5544 E State Blvd</t>
  </si>
  <si>
    <t>Miller'S Merry Manor (Garrett)</t>
  </si>
  <si>
    <t>Garrett</t>
  </si>
  <si>
    <t xml:space="preserve">   Tel: (260)357-5174</t>
  </si>
  <si>
    <t xml:space="preserve">   1367 S Randolph St</t>
  </si>
  <si>
    <t xml:space="preserve">   Garrett, In 46738</t>
  </si>
  <si>
    <t>Miller'S Merry Manor (Hartford City)</t>
  </si>
  <si>
    <t xml:space="preserve">   Tel: (765)348-1072</t>
  </si>
  <si>
    <t xml:space="preserve">   0548 S 100 W</t>
  </si>
  <si>
    <t>Miller'S Merry Manor (Hobart)</t>
  </si>
  <si>
    <t>Hobart</t>
  </si>
  <si>
    <t xml:space="preserve">   Tel: (219)942-2170</t>
  </si>
  <si>
    <t xml:space="preserve">   2901 W 37Th Ave</t>
  </si>
  <si>
    <t xml:space="preserve">   Hobart, In 46342</t>
  </si>
  <si>
    <t>Miller'S Merry Manor (Hope)</t>
  </si>
  <si>
    <t>Hope</t>
  </si>
  <si>
    <t xml:space="preserve">   Tel: (812)546-4416</t>
  </si>
  <si>
    <t xml:space="preserve">   7440 N County Road 825 E</t>
  </si>
  <si>
    <t xml:space="preserve">   Hope, In 47246</t>
  </si>
  <si>
    <t>Miller'S Merry Manor (Huntington)</t>
  </si>
  <si>
    <t xml:space="preserve">   Tel: (260)356-5713</t>
  </si>
  <si>
    <t xml:space="preserve">   1500 Grant St</t>
  </si>
  <si>
    <t>Miller'S Merry Manor (Indianapolis East)</t>
  </si>
  <si>
    <t xml:space="preserve">   Tel: (317)357-8040</t>
  </si>
  <si>
    <t xml:space="preserve">   1651 N Campbell St</t>
  </si>
  <si>
    <t>Miller'S Merry Manor (Lagrange)</t>
  </si>
  <si>
    <t xml:space="preserve">   Tel: (260)463-2172</t>
  </si>
  <si>
    <t xml:space="preserve">   787 N Detroit St</t>
  </si>
  <si>
    <t>Miller'S Merry Manor (Logansport)</t>
  </si>
  <si>
    <t xml:space="preserve">   Tel: (574)722-4006</t>
  </si>
  <si>
    <t xml:space="preserve">   200 26Th St</t>
  </si>
  <si>
    <t>Miller'S Merry Manor (Marion)</t>
  </si>
  <si>
    <t xml:space="preserve">   Tel: (765)662-3981</t>
  </si>
  <si>
    <t xml:space="preserve">   505 N Bradner Ave</t>
  </si>
  <si>
    <t xml:space="preserve">   Marion, In 46952</t>
  </si>
  <si>
    <t>Miller'S Merry Manor (Middletown)</t>
  </si>
  <si>
    <t xml:space="preserve">   Tel: (765)354-2278</t>
  </si>
  <si>
    <t xml:space="preserve">   981 Beechwood Ave</t>
  </si>
  <si>
    <t>Miller'S Merry Manor (Mooresville)</t>
  </si>
  <si>
    <t xml:space="preserve">   Tel: (317)831-6272</t>
  </si>
  <si>
    <t xml:space="preserve">   259 W Harrison St</t>
  </si>
  <si>
    <t>Miller'S Merry Manor (New Carlisle)</t>
  </si>
  <si>
    <t xml:space="preserve">   Tel: (574)654-7244</t>
  </si>
  <si>
    <t xml:space="preserve">   220 E Dunn Rd</t>
  </si>
  <si>
    <t>Miller'S Merry Manor (Peru)</t>
  </si>
  <si>
    <t xml:space="preserve">   Tel: (765)473-4426</t>
  </si>
  <si>
    <t xml:space="preserve">   317 Blair Pike</t>
  </si>
  <si>
    <t>Miller'S Merry Manor (Plymouth)</t>
  </si>
  <si>
    <t>Plymouth</t>
  </si>
  <si>
    <t>Marshall</t>
  </si>
  <si>
    <t xml:space="preserve">   Tel: (574)936-9981</t>
  </si>
  <si>
    <t xml:space="preserve">   635 Oakhill Ave</t>
  </si>
  <si>
    <t xml:space="preserve">   Plymouth, In 46563</t>
  </si>
  <si>
    <t>Miller'S Merry Manor (Portage)</t>
  </si>
  <si>
    <t xml:space="preserve">   Tel: (219)763-2273</t>
  </si>
  <si>
    <t xml:space="preserve">   5909 Lute Rd</t>
  </si>
  <si>
    <t>Miller'S Merry Manor (Rockport)</t>
  </si>
  <si>
    <t>Rockport</t>
  </si>
  <si>
    <t xml:space="preserve">   Tel: (812)649-2276</t>
  </si>
  <si>
    <t xml:space="preserve">   815 W Washington St</t>
  </si>
  <si>
    <t xml:space="preserve">   Rockport, In 47635</t>
  </si>
  <si>
    <t>Miller'S Merry Manor (Rushville)</t>
  </si>
  <si>
    <t xml:space="preserve">   Tel: (765)932-4127</t>
  </si>
  <si>
    <t xml:space="preserve">   612 E 11Th St</t>
  </si>
  <si>
    <t>Miller'S Merry Manor (Sullivan)</t>
  </si>
  <si>
    <t xml:space="preserve">   Tel: (812)268-6361</t>
  </si>
  <si>
    <t xml:space="preserve">   505 W Wolfe St</t>
  </si>
  <si>
    <t>Miller'S Merry Manor (Syracuse)</t>
  </si>
  <si>
    <t>Syracuse</t>
  </si>
  <si>
    <t xml:space="preserve">   Tel: (574)457-4401</t>
  </si>
  <si>
    <t xml:space="preserve">   500 E Pickwick Dr</t>
  </si>
  <si>
    <t xml:space="preserve">   Syracuse, In 46567</t>
  </si>
  <si>
    <t>Miller'S Merry Manor (Tipton)</t>
  </si>
  <si>
    <t>Tipton</t>
  </si>
  <si>
    <t xml:space="preserve">   Tel: (765)675-8791</t>
  </si>
  <si>
    <t xml:space="preserve">   300 Fairgrounds Rd</t>
  </si>
  <si>
    <t xml:space="preserve">   Tipton, In 46072</t>
  </si>
  <si>
    <t>Miller'S Merry Manor (Wabash East)</t>
  </si>
  <si>
    <t xml:space="preserve">   Tel: (260)563-4112</t>
  </si>
  <si>
    <t xml:space="preserve">   1720 Alber St</t>
  </si>
  <si>
    <t>Miller'S Merry Manor (Wabash West)</t>
  </si>
  <si>
    <t xml:space="preserve">   Tel: (260)563-7427</t>
  </si>
  <si>
    <t xml:space="preserve">   1900  N  Alber St</t>
  </si>
  <si>
    <t>Miller'S Merry Manor (Wakarusa)</t>
  </si>
  <si>
    <t>Wakarusa</t>
  </si>
  <si>
    <t xml:space="preserve">   Tel: (574)862-4511</t>
  </si>
  <si>
    <t xml:space="preserve">   300 N Washington St</t>
  </si>
  <si>
    <t xml:space="preserve">   Wakarusa, In 46573</t>
  </si>
  <si>
    <t>Miller'S Merry Manor (Walkerton)</t>
  </si>
  <si>
    <t>Walkerton</t>
  </si>
  <si>
    <t xml:space="preserve">   Tel: (574)586-3133</t>
  </si>
  <si>
    <t xml:space="preserve">   500 Walkerton Tr</t>
  </si>
  <si>
    <t xml:space="preserve">   Walkerton, In 46574</t>
  </si>
  <si>
    <t>Miller'S Merry Manor (Warsaw)</t>
  </si>
  <si>
    <t xml:space="preserve">   Tel: (574)267-8196</t>
  </si>
  <si>
    <t xml:space="preserve">   1630 S County Farm Rd</t>
  </si>
  <si>
    <t>Miller'S Senior Living Community</t>
  </si>
  <si>
    <t xml:space="preserve">   Tel: (317)845-0464</t>
  </si>
  <si>
    <t xml:space="preserve">   8400 Clearvista Pl</t>
  </si>
  <si>
    <t>Rossville</t>
  </si>
  <si>
    <t>We also agree with Dr. Box that this is only a snap shot of that day and it might give staff a false sense of security.  No matter how much education we do there is always those few people who don't take it as seriously as they should.  We are also concerned over the unnecessary exposure risk off all of our staff going through a testing site with symptomatic people</t>
  </si>
  <si>
    <t xml:space="preserve">   Tel: (765)379-2112</t>
  </si>
  <si>
    <t xml:space="preserve">   370 E Main St</t>
  </si>
  <si>
    <t xml:space="preserve">   Rossville, In 46065</t>
  </si>
  <si>
    <t>This not a cheap option for a small facility to perform, however, with all of the unknowns surrounding the virus it gives the facility a base line for tracking</t>
  </si>
  <si>
    <t xml:space="preserve">   Tel: (574)233-0165</t>
  </si>
  <si>
    <t xml:space="preserve">   206 E Marion St</t>
  </si>
  <si>
    <t xml:space="preserve">   South Bend, In 46601</t>
  </si>
  <si>
    <t>Mitchell</t>
  </si>
  <si>
    <t xml:space="preserve">Weekly testing would be cost prohibitive.  The cost to the facility for the testing already completed was $60 per test and 16 hours of nursing time. </t>
  </si>
  <si>
    <t xml:space="preserve">   Tel: (812)849-2221</t>
  </si>
  <si>
    <t xml:space="preserve">   24 Teke Burton Dr</t>
  </si>
  <si>
    <t xml:space="preserve">   Mitchell, In 47446</t>
  </si>
  <si>
    <t>Monticello Healthcare</t>
  </si>
  <si>
    <t>Monticello</t>
  </si>
  <si>
    <t>White</t>
  </si>
  <si>
    <t xml:space="preserve">   Tel: (574)583-7073</t>
  </si>
  <si>
    <t xml:space="preserve">   1120 N Main St</t>
  </si>
  <si>
    <t xml:space="preserve">   Monticello, In 47960</t>
  </si>
  <si>
    <t>Morgantown</t>
  </si>
  <si>
    <t>We have no current staff or residents with symptoms. Any staff who did has been tested and received negative results. We do not feel there is a current need for testing at our facility. If there are needs for staff we will refer them to outside testing facilities.</t>
  </si>
  <si>
    <t xml:space="preserve">   Tel: (812)597-4418</t>
  </si>
  <si>
    <t xml:space="preserve">   140 W Washington St</t>
  </si>
  <si>
    <t xml:space="preserve">   Morgantown, In 46160</t>
  </si>
  <si>
    <t>Morning Breeze Retirement Community And Healthcare</t>
  </si>
  <si>
    <t>950 N Lakeview Dr</t>
  </si>
  <si>
    <t>Morrison Woods Health Campus</t>
  </si>
  <si>
    <t xml:space="preserve">   Tel: (765)286-9066</t>
  </si>
  <si>
    <t xml:space="preserve">   4100 N Morrison Rd</t>
  </si>
  <si>
    <t>Morristown Manor</t>
  </si>
  <si>
    <t>Morristown</t>
  </si>
  <si>
    <t>868 S Washington St</t>
  </si>
  <si>
    <t>Mount Vernon Nursing And Rehabilitation</t>
  </si>
  <si>
    <t>Mount Vernon</t>
  </si>
  <si>
    <t>Posey</t>
  </si>
  <si>
    <t xml:space="preserve">we would likely work with our medical director and health department to ensure testing for staff is completed. </t>
  </si>
  <si>
    <t xml:space="preserve">What if they refuse to be tested? </t>
  </si>
  <si>
    <t xml:space="preserve">   Tel: (812)838-6554</t>
  </si>
  <si>
    <t xml:space="preserve">   1415 Country Club Rd</t>
  </si>
  <si>
    <t xml:space="preserve">   Mount Vernon, In 47620</t>
  </si>
  <si>
    <t>Mulberry</t>
  </si>
  <si>
    <t xml:space="preserve">Although this may be achievable as a base line for all staff I have concerns about our hospital being willing to do this indefinitely on an on going basis at no cost. If the expectation will be for facilities to test staff routinely it will be necessary to have a means to pay for it, and access to enough swabs to complete testing as required. </t>
  </si>
  <si>
    <t xml:space="preserve">   Tel: (765)296-2911</t>
  </si>
  <si>
    <t xml:space="preserve">   502 W Jackson St</t>
  </si>
  <si>
    <t xml:space="preserve">   Mulberry, In 46058</t>
  </si>
  <si>
    <t>Munster Med-Inn</t>
  </si>
  <si>
    <t>Tinley Park</t>
  </si>
  <si>
    <t>Cook</t>
  </si>
  <si>
    <t xml:space="preserve">We have 5 facilities within ECC - we would want to coordinate testing so we don't do more than 1 facility at a time in case multiple staff come back positive we would need Consultant company to assist with staffing - we wouldn't do that if we test multiple facilities at a time.  </t>
  </si>
  <si>
    <t xml:space="preserve">   Tel: (219)836-8300</t>
  </si>
  <si>
    <t xml:space="preserve">   7935 Calumet Ave</t>
  </si>
  <si>
    <t xml:space="preserve">   Munster, In 46321</t>
  </si>
  <si>
    <t>I think this is going to be very hard to accomplish getting all employees done. I have 120 full time employees and 50 part time and PRN staff.</t>
  </si>
  <si>
    <t xml:space="preserve">   Tel: (812)945-9517</t>
  </si>
  <si>
    <t xml:space="preserve">   201 E Elm St</t>
  </si>
  <si>
    <t xml:space="preserve">There is not a lot of information at hand currently regarding the test results. We answered the question to the best of our knowledge we currently have. Regarding the previous question- are we supportive of testing? We answered yes. However, we question what kind of tests will be used, and if staff are allowed to object and continue to work. What will the test tell us? Will it just be if we are active now, have been exposed and asymptomatic, and what now? </t>
  </si>
  <si>
    <t xml:space="preserve">   Tel: (812)853-2931</t>
  </si>
  <si>
    <t xml:space="preserve">   10466 Pollack Ave</t>
  </si>
  <si>
    <t>North Capitol Nursing &amp; Rehabilitation Center</t>
  </si>
  <si>
    <t xml:space="preserve">   Tel: (317)924-5821</t>
  </si>
  <si>
    <t xml:space="preserve">   2010 N Capitol Ave</t>
  </si>
  <si>
    <t xml:space="preserve">   Indianapolis, In 46202</t>
  </si>
  <si>
    <t>North Park Nursing Center</t>
  </si>
  <si>
    <t xml:space="preserve">   Tel: (812)425-5243</t>
  </si>
  <si>
    <t xml:space="preserve">   650 Fairway Dr</t>
  </si>
  <si>
    <t>Albion</t>
  </si>
  <si>
    <t xml:space="preserve">   Tel: (260)636-1000</t>
  </si>
  <si>
    <t xml:space="preserve">   600 Trail Ridge Rd</t>
  </si>
  <si>
    <t xml:space="preserve">   Albion, In 46701</t>
  </si>
  <si>
    <t>North River Health Campus</t>
  </si>
  <si>
    <t xml:space="preserve">   Tel: (812)867-7256</t>
  </si>
  <si>
    <t xml:space="preserve">   811 E Baseline Road</t>
  </si>
  <si>
    <t xml:space="preserve">   Evansville, In 47725</t>
  </si>
  <si>
    <t>North Woods Village</t>
  </si>
  <si>
    <t xml:space="preserve">   Tel: (765)457-9175</t>
  </si>
  <si>
    <t xml:space="preserve">   2233 W Jefferson St</t>
  </si>
  <si>
    <t>North Woods Village At Inverness Lake</t>
  </si>
  <si>
    <t xml:space="preserve">Who will pay for this testing?  Who will provide the staff resources to do this testing? </t>
  </si>
  <si>
    <t xml:space="preserve">   Tel: (260)420-1866</t>
  </si>
  <si>
    <t xml:space="preserve">   8075 Glencarin Boulevard</t>
  </si>
  <si>
    <t>Of course we will do what we are directed to do.  My other question or concern, does the employee have the right to refuse testing, and if so what will the State or Federal Government say about that?</t>
  </si>
  <si>
    <t xml:space="preserve">   Tel: (260)665-9467</t>
  </si>
  <si>
    <t xml:space="preserve">   516 N Williams St</t>
  </si>
  <si>
    <t xml:space="preserve">   Tel: (765)203-2409</t>
  </si>
  <si>
    <t xml:space="preserve">   1235 W Cross St</t>
  </si>
  <si>
    <t>Independent</t>
  </si>
  <si>
    <t>Concerned with having convenient and frequent testing available on a ongoing basis. I am unclear of the purpose of a one time test</t>
  </si>
  <si>
    <t xml:space="preserve">   Tel: (317)293-4930</t>
  </si>
  <si>
    <t xml:space="preserve">   6440 W 34Th St</t>
  </si>
  <si>
    <t>Mandated testing will not prevent the spread of this virus...</t>
  </si>
  <si>
    <t>(812) 482-1722</t>
  </si>
  <si>
    <t>2515 N Newton St</t>
  </si>
  <si>
    <t>Jasper, In  47546</t>
  </si>
  <si>
    <t>Someone would have to supply us with testing material</t>
  </si>
  <si>
    <t>Testing would only prove current status, one  could be exposed and catch the following week...</t>
  </si>
  <si>
    <t xml:space="preserve">   Tel: (219)987-7005</t>
  </si>
  <si>
    <t xml:space="preserve">   221 W Division St</t>
  </si>
  <si>
    <t>Oaktown</t>
  </si>
  <si>
    <t xml:space="preserve">   Tel: (812)745-2360</t>
  </si>
  <si>
    <t xml:space="preserve">   200 W Fourth St</t>
  </si>
  <si>
    <t xml:space="preserve">   Oaktown, In 47561</t>
  </si>
  <si>
    <t xml:space="preserve">We are concerned that should we have multiple "asymptomatic" staff test positive, it could leave insufficient staff remaining to meet the needs of the residents. Conducting all testing within the same timeframe and same geographical area may not allow staff support from other sister facilities should testing warrant multiple staff members to be off duty for ten days simultaneously. </t>
  </si>
  <si>
    <t xml:space="preserve">   850 Ash St</t>
  </si>
  <si>
    <t xml:space="preserve">   Tel: (812)547-2333</t>
  </si>
  <si>
    <t xml:space="preserve">   1143 23Rd St</t>
  </si>
  <si>
    <t xml:space="preserve">   Tell City, In 47586</t>
  </si>
  <si>
    <t>Orchard Pointe Health Campus</t>
  </si>
  <si>
    <t xml:space="preserve">   Tel: (260)347-3333</t>
  </si>
  <si>
    <t xml:space="preserve">   702 Sawyer Road</t>
  </si>
  <si>
    <t>Ossian Health Care And Rehabilitation Center</t>
  </si>
  <si>
    <t>Ossian</t>
  </si>
  <si>
    <t>215 Davis Rd</t>
  </si>
  <si>
    <t>Otterbein Franklin Seniorlife Comm Res &amp; Com Care</t>
  </si>
  <si>
    <t xml:space="preserve">   Tel: (317)736-7185</t>
  </si>
  <si>
    <t xml:space="preserve">   1070 W Jefferson St</t>
  </si>
  <si>
    <t>Owen Valley Health Campus</t>
  </si>
  <si>
    <t xml:space="preserve">   Tel: (812)829-2331</t>
  </si>
  <si>
    <t xml:space="preserve">   920 W Hwy 46</t>
  </si>
  <si>
    <t xml:space="preserve">   Spencer, In 47460</t>
  </si>
  <si>
    <t>Paddock Springs</t>
  </si>
  <si>
    <t xml:space="preserve">   Tel: (574)658-9455</t>
  </si>
  <si>
    <t xml:space="preserve">   2695 Sheldon Street</t>
  </si>
  <si>
    <t xml:space="preserve">   Warsaw, In 46582</t>
  </si>
  <si>
    <t>Paoli Health And Living Community</t>
  </si>
  <si>
    <t>Paoli</t>
  </si>
  <si>
    <t>Orange</t>
  </si>
  <si>
    <t xml:space="preserve">   Tel: (812)723-2595</t>
  </si>
  <si>
    <t xml:space="preserve">   559 W Longest St</t>
  </si>
  <si>
    <t xml:space="preserve">   Paoli, In 47454</t>
  </si>
  <si>
    <t>Saint John</t>
  </si>
  <si>
    <t xml:space="preserve">I'm not positive the best approach for us at this time. We would either utilize testing on-site ourselves through our lab as they are able to sell us the testing, or we would use one of the Optum testing sites. </t>
  </si>
  <si>
    <t xml:space="preserve">I'm not sure I see the overall benefit to us testing everyone in our facility as we currently have 0 cases. If that were not the case I would see more benefit. This could potentially be a great financial burden for us and lead to staffing shortages-not sure how sustainable weekly testing is at this point. We will certainly move forward as directed by CDC/ISDH/LCHD/White House. </t>
  </si>
  <si>
    <t xml:space="preserve">   Tel: (219)525-4658</t>
  </si>
  <si>
    <t xml:space="preserve">   10820 Park Place</t>
  </si>
  <si>
    <t xml:space="preserve">   Saint John, In 46373</t>
  </si>
  <si>
    <t>Park Terrace Village</t>
  </si>
  <si>
    <t xml:space="preserve">   Tel: (812)423-7468</t>
  </si>
  <si>
    <t xml:space="preserve">   25 S Boehne Camp Rd</t>
  </si>
  <si>
    <t xml:space="preserve">   Evansville, In 47712</t>
  </si>
  <si>
    <t>Parker Health Care &amp; Rehabilitation Center</t>
  </si>
  <si>
    <t>Parker City</t>
  </si>
  <si>
    <t>Randolph</t>
  </si>
  <si>
    <t>359 Randolph St</t>
  </si>
  <si>
    <t>Parkview Care Center</t>
  </si>
  <si>
    <t>2819 North St Joseph Ave</t>
  </si>
  <si>
    <t>Francesville</t>
  </si>
  <si>
    <t>Need Onsite Lab Team</t>
  </si>
  <si>
    <t>Does not have trained staff and has not talked in detail with local hospital</t>
  </si>
  <si>
    <t>Who is paying for testing ?</t>
  </si>
  <si>
    <t xml:space="preserve">   Tel: (219)567-9149</t>
  </si>
  <si>
    <t xml:space="preserve">   101 Constitution Dr</t>
  </si>
  <si>
    <t xml:space="preserve">   Francesville, In 47946</t>
  </si>
  <si>
    <t>Peabody Retirement Community</t>
  </si>
  <si>
    <t>North Manchester</t>
  </si>
  <si>
    <t xml:space="preserve">   Tel: (260)982-8616</t>
  </si>
  <si>
    <t xml:space="preserve">   400 W Seventh St</t>
  </si>
  <si>
    <t xml:space="preserve">   North Manchester, In 46962</t>
  </si>
  <si>
    <t>Portland</t>
  </si>
  <si>
    <t>Jay</t>
  </si>
  <si>
    <t xml:space="preserve">   Tel: (260)726-9355</t>
  </si>
  <si>
    <t xml:space="preserve">   200 N Park St</t>
  </si>
  <si>
    <t xml:space="preserve">   Portland, In 47371</t>
  </si>
  <si>
    <t xml:space="preserve">With the communication, infection control procedures, ensuring all regulatory recommendations are implemented and maintain and providing excellent care to our residents our plates are already full, we do not need one more thing to track and maintain.  Let's focus on our resident, staff, and community safety with processes already implemented.  </t>
  </si>
  <si>
    <t xml:space="preserve">   Tel: (574)936-9943</t>
  </si>
  <si>
    <t xml:space="preserve">   222 Parkview St</t>
  </si>
  <si>
    <t>Pine Haven Health And Rehabilitation Center</t>
  </si>
  <si>
    <t>3400 Stocker Dr</t>
  </si>
  <si>
    <t>Winchester</t>
  </si>
  <si>
    <t xml:space="preserve">   Tel: (765)584-5084</t>
  </si>
  <si>
    <t xml:space="preserve">   160 N Middle School Rd</t>
  </si>
  <si>
    <t xml:space="preserve">   Winchester, In 47394</t>
  </si>
  <si>
    <t xml:space="preserve">   Tel: (317)839-6577</t>
  </si>
  <si>
    <t xml:space="preserve">   3700 Clarks Creek Rd</t>
  </si>
  <si>
    <t xml:space="preserve">   Plainfield, In 46168</t>
  </si>
  <si>
    <t>Mc Cordsville</t>
  </si>
  <si>
    <t xml:space="preserve">   Tel: (317)335-2159</t>
  </si>
  <si>
    <t xml:space="preserve">   7476 W Lane Rd</t>
  </si>
  <si>
    <t xml:space="preserve">   Mc Cordsville, In 46055</t>
  </si>
  <si>
    <t>Prairie Lakes Health Campus</t>
  </si>
  <si>
    <t>Noblesville</t>
  </si>
  <si>
    <t xml:space="preserve">   Tel: (317)770-3644</t>
  </si>
  <si>
    <t xml:space="preserve">   9730 Prairie Lakes Blvd East</t>
  </si>
  <si>
    <t xml:space="preserve">   Noblesville, In 46060</t>
  </si>
  <si>
    <t>Prairie Village Nursing And Rehabilitation</t>
  </si>
  <si>
    <t xml:space="preserve">   Tel: (812)254-4516</t>
  </si>
  <si>
    <t xml:space="preserve">   801 S Sr 57</t>
  </si>
  <si>
    <t>New Harmony</t>
  </si>
  <si>
    <t xml:space="preserve">Will send to texting site </t>
  </si>
  <si>
    <t xml:space="preserve">   Tel: (812)682-4104</t>
  </si>
  <si>
    <t xml:space="preserve">   251 Highway 66</t>
  </si>
  <si>
    <t xml:space="preserve">   New Harmony, In 47631</t>
  </si>
  <si>
    <t>Avilla</t>
  </si>
  <si>
    <t>515 N Main St</t>
  </si>
  <si>
    <t>Primrose Of Mishawaka</t>
  </si>
  <si>
    <t xml:space="preserve">I think its great how productive the state has been and support any action they come up with. </t>
  </si>
  <si>
    <t xml:space="preserve">   Tel: (574)259-3211</t>
  </si>
  <si>
    <t xml:space="preserve">   820 Fulmer Road</t>
  </si>
  <si>
    <t>I'm supportive, but I do not believe it is feasible and I think there are better ways to use our resources.</t>
  </si>
  <si>
    <t xml:space="preserve">   Tel: (765)644-2888</t>
  </si>
  <si>
    <t xml:space="preserve">   1345 N Madison Ave</t>
  </si>
  <si>
    <t>Saint Mary Of The Woods</t>
  </si>
  <si>
    <t xml:space="preserve">   Tel: (812)535-4001</t>
  </si>
  <si>
    <t xml:space="preserve">   1 Sisters Of Providence</t>
  </si>
  <si>
    <t xml:space="preserve">   St Mary Of The Woods, In 47876</t>
  </si>
  <si>
    <t>would like training as well</t>
  </si>
  <si>
    <t xml:space="preserve">   Tel: (574)946-3394</t>
  </si>
  <si>
    <t xml:space="preserve">   624 E 13Th St</t>
  </si>
  <si>
    <t xml:space="preserve">   Tel: (765)584-2201</t>
  </si>
  <si>
    <t xml:space="preserve">   701 S Oak St</t>
  </si>
  <si>
    <t>Rawlins House Health &amp; Living Community</t>
  </si>
  <si>
    <t>Pendleton</t>
  </si>
  <si>
    <t>300 J H Walker Dr</t>
  </si>
  <si>
    <t>Munster</t>
  </si>
  <si>
    <t xml:space="preserve">Without the support of ISDH, particularly with ensuring facilities have the appropriate testing supplies, we do not feel this is an attainable goal. Our employees would have to make an appointment at a state testing site. Given the limited site options, we feel this would be burdensome for any type of routine testing beyond a baseline. </t>
  </si>
  <si>
    <t xml:space="preserve">   Tel: (219)934-0590</t>
  </si>
  <si>
    <t xml:space="preserve">   503 Otis R Bowen Dr</t>
  </si>
  <si>
    <t>Rensselaer</t>
  </si>
  <si>
    <t xml:space="preserve">I'm unsure we would be able to fully complete all testing within 2 week period.  It would depend on testing availability. </t>
  </si>
  <si>
    <t xml:space="preserve">   Tel: (219)866-4181</t>
  </si>
  <si>
    <t xml:space="preserve">   1309 E Grace St</t>
  </si>
  <si>
    <t xml:space="preserve">   Rensselaer, In 47978</t>
  </si>
  <si>
    <t>Retreat At The Stratford, The</t>
  </si>
  <si>
    <t>2460 Glebe St</t>
  </si>
  <si>
    <t>Ellettsville</t>
  </si>
  <si>
    <t xml:space="preserve">   Tel: (812)876-6400</t>
  </si>
  <si>
    <t xml:space="preserve">   5911 State Road 46</t>
  </si>
  <si>
    <t xml:space="preserve">   Ellettsville, In 47429</t>
  </si>
  <si>
    <t>Ridgewood Health Campus</t>
  </si>
  <si>
    <t>Lawrenceburg</t>
  </si>
  <si>
    <t>Dearborn</t>
  </si>
  <si>
    <t xml:space="preserve">   Tel: (812)537-5700</t>
  </si>
  <si>
    <t xml:space="preserve">   181 Campus Dr</t>
  </si>
  <si>
    <t xml:space="preserve">   Lawrenceburg, In 47025</t>
  </si>
  <si>
    <t>Milan</t>
  </si>
  <si>
    <t>We may also have to refer staff to be tested at a offsite test center do to the amount of staff and the 24 hour nature of our business.</t>
  </si>
  <si>
    <t xml:space="preserve">   Tel: (812)654-2231</t>
  </si>
  <si>
    <t xml:space="preserve">   1200 Whitlatch Way</t>
  </si>
  <si>
    <t xml:space="preserve">   Milan, In 47031</t>
  </si>
  <si>
    <t>River Pointe Health Campus</t>
  </si>
  <si>
    <t xml:space="preserve">   Tel: (812)475-2822</t>
  </si>
  <si>
    <t xml:space="preserve">   3001 Galaxy Dr</t>
  </si>
  <si>
    <t xml:space="preserve">   Evansville, In 47715</t>
  </si>
  <si>
    <t>River Terrace Health Campus</t>
  </si>
  <si>
    <t xml:space="preserve">   Tel: (812)265-0080</t>
  </si>
  <si>
    <t xml:space="preserve">   120 Presbyterian Ave</t>
  </si>
  <si>
    <t xml:space="preserve">   Tel: (260)824-8940</t>
  </si>
  <si>
    <t xml:space="preserve">   400 Caylor Blvd</t>
  </si>
  <si>
    <t>Riveroaks Health Campus</t>
  </si>
  <si>
    <t>Princeton</t>
  </si>
  <si>
    <t xml:space="preserve">   Tel: (812)385-0794</t>
  </si>
  <si>
    <t xml:space="preserve">   1244 Vail St</t>
  </si>
  <si>
    <t xml:space="preserve">   Princeton, In 47670</t>
  </si>
  <si>
    <t>Riverside Village</t>
  </si>
  <si>
    <t>n/a</t>
  </si>
  <si>
    <t xml:space="preserve">   Tel: (574)522-2020</t>
  </si>
  <si>
    <t xml:space="preserve">   1400 W Franklin St</t>
  </si>
  <si>
    <t xml:space="preserve">   Elkhart, In 46516</t>
  </si>
  <si>
    <t>Riverview Tcu</t>
  </si>
  <si>
    <t>395 Westfield Rd Tcu</t>
  </si>
  <si>
    <t>Riverview Village</t>
  </si>
  <si>
    <t xml:space="preserve">   Tel: (812)282-6663</t>
  </si>
  <si>
    <t xml:space="preserve">   586 Eastern Blvd</t>
  </si>
  <si>
    <t>Riverwalk Village</t>
  </si>
  <si>
    <t xml:space="preserve">   Tel: (317)773-3760</t>
  </si>
  <si>
    <t xml:space="preserve">   295 Westfield Rd</t>
  </si>
  <si>
    <t>Robin Run Health Center</t>
  </si>
  <si>
    <t>Brookdale</t>
  </si>
  <si>
    <t>6370 Robin Run W</t>
  </si>
  <si>
    <t>Rolling Hills Healthcare Center</t>
  </si>
  <si>
    <t>We would call for the Strike team from the local Board of health to help us get everyone tested .</t>
  </si>
  <si>
    <t>We would be supportive of group testing if we had reason to believe any of our staff has the virus. We screen our staff at the beginning of their shifts and Line listing is performed every day. We have had one employee that tested positive while off on vacation. She has been off since April 28th and will be returning Monday. We have had no positive residents.</t>
  </si>
  <si>
    <t xml:space="preserve">   Tel: (812)948-0670</t>
  </si>
  <si>
    <t xml:space="preserve">   3625 St Joseph Rd</t>
  </si>
  <si>
    <t>Rolling Meadows Health Care Center</t>
  </si>
  <si>
    <t>La Fontaine</t>
  </si>
  <si>
    <t>604 Rennaker St</t>
  </si>
  <si>
    <t>Rosebud Village</t>
  </si>
  <si>
    <t>Facility would create a system to ensure all staff were tested and results were received and monitored</t>
  </si>
  <si>
    <t xml:space="preserve">   Tel: (765)935-4440</t>
  </si>
  <si>
    <t xml:space="preserve">   2050 Chester Blvd</t>
  </si>
  <si>
    <t>Rosegate Village</t>
  </si>
  <si>
    <t xml:space="preserve">We feel as if the anti-body testing prior to implementation of OP or NP testing would be beneficial as the swabs are only showing a snap shot of time and may not always be true to the time frame. </t>
  </si>
  <si>
    <t xml:space="preserve">   Tel: (317)889-9300</t>
  </si>
  <si>
    <t xml:space="preserve">   7510 Rosegate Dr</t>
  </si>
  <si>
    <t xml:space="preserve">   Indianapolis, In 46237</t>
  </si>
  <si>
    <t>Rosewalk Village</t>
  </si>
  <si>
    <t>1302 N Lesley Ave</t>
  </si>
  <si>
    <t>Rosewalk Village At Lafayette</t>
  </si>
  <si>
    <t xml:space="preserve">   Tel: (765)447-9431</t>
  </si>
  <si>
    <t xml:space="preserve">   1903 Union St</t>
  </si>
  <si>
    <t xml:space="preserve">   Lafayette, In 47904</t>
  </si>
  <si>
    <t xml:space="preserve">   Tel: (317)635-1355</t>
  </si>
  <si>
    <t xml:space="preserve">   1747 N Rural St</t>
  </si>
  <si>
    <t>Sage Bluff Health &amp; Rehab Center</t>
  </si>
  <si>
    <t>4180 Sage Bluff Crossing</t>
  </si>
  <si>
    <t>Saint Anne Home</t>
  </si>
  <si>
    <t>1900 Randallia Dr</t>
  </si>
  <si>
    <t>Saint Anthony Rehab And Nursing Center</t>
  </si>
  <si>
    <t>1205 N 14Th St</t>
  </si>
  <si>
    <t>Salem Crossing</t>
  </si>
  <si>
    <t xml:space="preserve">   Tel: (812)883-1877</t>
  </si>
  <si>
    <t xml:space="preserve">   200 Connie Ave</t>
  </si>
  <si>
    <t>Trinity</t>
  </si>
  <si>
    <t>This will not solve anything.  Infection Control procedures and handwashing are the key.</t>
  </si>
  <si>
    <t xml:space="preserve">   Tel: (574)247-7500</t>
  </si>
  <si>
    <t xml:space="preserve">   17475 Dugdale Dr</t>
  </si>
  <si>
    <t xml:space="preserve">   South Bend, In 46635</t>
  </si>
  <si>
    <t>Scenic Hills At The Monastery</t>
  </si>
  <si>
    <t xml:space="preserve">   Tel: (812)504-2048</t>
  </si>
  <si>
    <t xml:space="preserve">   710 Sunrise Drive</t>
  </si>
  <si>
    <t>Sebo'S Nursing And Rehabilitation Center</t>
  </si>
  <si>
    <t>We would test ourselves with the consultant/management assistance.</t>
  </si>
  <si>
    <t xml:space="preserve">   Tel: (219)947-1507</t>
  </si>
  <si>
    <t xml:space="preserve">   4410 W 49Th Ave</t>
  </si>
  <si>
    <t>Sellersburg Healthcare Center</t>
  </si>
  <si>
    <t>See Below</t>
  </si>
  <si>
    <t>Yes, we believe in testing employees if a building has symptomatic residents, or has had symptomatic residents.  It is unreasonable to complete testing in a 2-week time frame.  The building has to prepare for testing, secure staff if a large portion of the employees test positive, the test needs to be systematic over a period of time and each building will be different based on resident needs and the employee ratio.</t>
  </si>
  <si>
    <t xml:space="preserve">   Tel: (812)246-4272</t>
  </si>
  <si>
    <t xml:space="preserve">   7823 Old Hwy # 60</t>
  </si>
  <si>
    <t>Senior Living At Forest Ridge</t>
  </si>
  <si>
    <t>(765) 388-4771</t>
  </si>
  <si>
    <t>2800 Forest Ridge Pkwy</t>
  </si>
  <si>
    <t>New Castle, In  47362</t>
  </si>
  <si>
    <t>Seymour Crossing</t>
  </si>
  <si>
    <t>707 S Jackson Park Dr</t>
  </si>
  <si>
    <t xml:space="preserve">   Tel: (812)537-0930</t>
  </si>
  <si>
    <t xml:space="preserve">   36 Valley Dr</t>
  </si>
  <si>
    <t>Signature</t>
  </si>
  <si>
    <t>We have tested all of the staff once in April &amp; again last week. We test in house.</t>
  </si>
  <si>
    <t xml:space="preserve">   Tel: (765)482-6400</t>
  </si>
  <si>
    <t xml:space="preserve">   1001 N Grant St</t>
  </si>
  <si>
    <t xml:space="preserve">   Tel: (260)824-4320</t>
  </si>
  <si>
    <t xml:space="preserve">   1529 W Lancaster St</t>
  </si>
  <si>
    <t>Bremen</t>
  </si>
  <si>
    <t xml:space="preserve">   Tel: (574)546-3494</t>
  </si>
  <si>
    <t xml:space="preserve">   316 Woodies Ln</t>
  </si>
  <si>
    <t xml:space="preserve">   Bremen, In 46506</t>
  </si>
  <si>
    <t xml:space="preserve">   Tel: (260)486-3001</t>
  </si>
  <si>
    <t xml:space="preserve">   6006 Brandy Chase Cove</t>
  </si>
  <si>
    <t xml:space="preserve">   Tel: (765)477-7791</t>
  </si>
  <si>
    <t xml:space="preserve">   300 Windy Hill Dr</t>
  </si>
  <si>
    <t xml:space="preserve">   Tel: (812)473-4761</t>
  </si>
  <si>
    <t xml:space="preserve">   5233 Rosebud Lane</t>
  </si>
  <si>
    <t>We are COVID free with no staff or residents having symptoms. Why should we be forced to make our residents and staff complete this invasive test?</t>
  </si>
  <si>
    <t xml:space="preserve">   Tel: (574)277-8710</t>
  </si>
  <si>
    <t xml:space="preserve">   52654 N Ironwood Rd</t>
  </si>
  <si>
    <t xml:space="preserve">   Tel: (812)238-1555</t>
  </si>
  <si>
    <t xml:space="preserve">   3500 Maple Ave</t>
  </si>
  <si>
    <t>Silver Memories Health Care</t>
  </si>
  <si>
    <t>Versailles</t>
  </si>
  <si>
    <t xml:space="preserve">   Tel: (812)689-6222</t>
  </si>
  <si>
    <t xml:space="preserve">   6996 South  Us421</t>
  </si>
  <si>
    <t xml:space="preserve">   Versailles, In 47042</t>
  </si>
  <si>
    <t>Silver Oaks Health Campus</t>
  </si>
  <si>
    <t xml:space="preserve">   Tel: (812)373-0787</t>
  </si>
  <si>
    <t xml:space="preserve">   2011 Chapa Street</t>
  </si>
  <si>
    <t>Simmons Loving Care Health Facility</t>
  </si>
  <si>
    <t>700 E 21St Ave</t>
  </si>
  <si>
    <t xml:space="preserve">This is difficult. Expecting everyone to be tested in a two week time then expecting staff to have to be tested weekly will be a tracking nightmare. We are not getting results from Optum site, they email or text results to person, so that would need to change and they should be required to send facilities a list of the employees who were done there and their results. In addition we will have to spread out the testing as  if positive they will be required to be off 10 days. Who covers those shifts, if I lose staff because of this requirement. Right now I have oncall and PRN staff who cover if I have a staff member out.  Who is paying for all these tests? Our facility and our employees should not have to pay for something mandated by the government. We are a small 14 bed unit that is hospital based. The hospital employees are not being mandated to do this, so this will be very challenging to accomplish. Since we are a short stay facility it wound be nice if they would waive this requirement. I would prefer to restrict visitation to end of life care as we do now.  It would be different if they made hospital employees do it as well. We most likely will have staff who will want to transfer to other areas to work, because of this. The Test is very physically uncomfortable. We have several PRN and on-call staff who don't even work every week so ensuring they have been tested will be a challenge. It makes more sense limiting visitors and having them provide proof of being tested. Have them wear protective gear before entry to protect our patients. </t>
  </si>
  <si>
    <t>WHAT IF THE EMPLOYEE REFUSES?  CAN THEY WORK WHILE TEST IS PENDING?  WILL CAUSE A STAFFING CRISIS.</t>
  </si>
  <si>
    <t xml:space="preserve">   Tel: (219)886-7070</t>
  </si>
  <si>
    <t xml:space="preserve">   353 Tyler St</t>
  </si>
  <si>
    <t xml:space="preserve">   Gary, In 46402</t>
  </si>
  <si>
    <t>Southern Indiana Rehabilitation Hospital - Snf</t>
  </si>
  <si>
    <t xml:space="preserve">we are an IRF hospital-based SNF, so would need to test all hospital staff. </t>
  </si>
  <si>
    <t xml:space="preserve">   Tel: (812)941-8300</t>
  </si>
  <si>
    <t xml:space="preserve">   3104 Blackiston Blvd - Progressive Care Unit</t>
  </si>
  <si>
    <t>Not sure, but think it is a good idea.</t>
  </si>
  <si>
    <t>We would do testing if availability of supplies and lab to send it too.</t>
  </si>
  <si>
    <t xml:space="preserve">   Tel: (574)231-1000</t>
  </si>
  <si>
    <t xml:space="preserve">   6450 Miami Cir</t>
  </si>
  <si>
    <t xml:space="preserve">   South Bend, In 46614</t>
  </si>
  <si>
    <t>Southpointe Healthcare Center</t>
  </si>
  <si>
    <t>we believe in testing employees if a building has symptomatic residents, or has had symptomatic residents.   It is unreasonable to complete testing in a 2 week time frame.  The building has to prepare for testing, secure staff if a large portion of the employees test positive, the test needs to be systematic over a period of time and each building will be different based on resident needs and the employee ratios.</t>
  </si>
  <si>
    <t xml:space="preserve">   Tel: (317)885-3333</t>
  </si>
  <si>
    <t xml:space="preserve">   4904 War Admiral Drive</t>
  </si>
  <si>
    <t>Southwood Healthcare Center</t>
  </si>
  <si>
    <t>It is unreasonable to complete testing in a 2 week time frame.  The building has to prepare for testing, secure staff if a large portion of the employees test positive, the tests needs to be systematic over a period of time and each building will be different based on resident needs and the employee ratios.</t>
  </si>
  <si>
    <t>We believe in testing employees if a building has symptomatic residents, or has had symptomatic residents.</t>
  </si>
  <si>
    <t xml:space="preserve">   Tel: (812)232-2223</t>
  </si>
  <si>
    <t xml:space="preserve">   2222 Margaret Ave</t>
  </si>
  <si>
    <t xml:space="preserve">We will follow any guidance from State and Local Governing Agencies. </t>
  </si>
  <si>
    <t xml:space="preserve">   Tel: (574)222-1234</t>
  </si>
  <si>
    <t xml:space="preserve">   60257 Bodnar Blvd</t>
  </si>
  <si>
    <t xml:space="preserve">I do have concerns that testing everyone will give some a false sense of security causing staff not to be vigilant with infection control practices.  Testing is only a snapshot.  Negative today/positive next week.  Also work for a company that manages 5 facilities and would want one at a time so management/consultants can support the facility.   </t>
  </si>
  <si>
    <t xml:space="preserve">   Tel: (219)756-0744</t>
  </si>
  <si>
    <t xml:space="preserve">   101 W 87Th Ave</t>
  </si>
  <si>
    <t>Spring Mill Meadows</t>
  </si>
  <si>
    <t xml:space="preserve">   Tel: (317)872-7211</t>
  </si>
  <si>
    <t xml:space="preserve">   2140 W 86Th St</t>
  </si>
  <si>
    <t>Springhill Village</t>
  </si>
  <si>
    <t xml:space="preserve">   Tel: (812)299-6300</t>
  </si>
  <si>
    <t xml:space="preserve">   1001 E Springhill Dr</t>
  </si>
  <si>
    <t>Springhurst Health Campus</t>
  </si>
  <si>
    <t xml:space="preserve">   Tel: (317)462-7067</t>
  </si>
  <si>
    <t xml:space="preserve">   628 N Meridian Rd</t>
  </si>
  <si>
    <t>Springs At Lafayette, The</t>
  </si>
  <si>
    <t xml:space="preserve">   Tel: (765)446-9229</t>
  </si>
  <si>
    <t xml:space="preserve">   2402 South Street</t>
  </si>
  <si>
    <t>Springs Of Mooresville, The</t>
  </si>
  <si>
    <t xml:space="preserve">   Tel: (317)831-9033</t>
  </si>
  <si>
    <t xml:space="preserve">   302 North Johnson Road</t>
  </si>
  <si>
    <t>Springs Of Richmond, The</t>
  </si>
  <si>
    <t xml:space="preserve">   Tel: (765)935-0135</t>
  </si>
  <si>
    <t xml:space="preserve">   400 Industries Road</t>
  </si>
  <si>
    <t>Springs Valley Meadows</t>
  </si>
  <si>
    <t>French Lick</t>
  </si>
  <si>
    <t xml:space="preserve">   Tel: (812)936-9991</t>
  </si>
  <si>
    <t xml:space="preserve">   457 S Sr 145</t>
  </si>
  <si>
    <t xml:space="preserve">   French Lick, In 47432</t>
  </si>
  <si>
    <t>St Andrews Health Campus</t>
  </si>
  <si>
    <t>Batesville</t>
  </si>
  <si>
    <t xml:space="preserve">   Tel: (812)934-5090</t>
  </si>
  <si>
    <t xml:space="preserve">   1400 Lammers Pike</t>
  </si>
  <si>
    <t xml:space="preserve">   Batesville, In 47006</t>
  </si>
  <si>
    <t>St Anthony Home - Crown Point</t>
  </si>
  <si>
    <t>203 Franciscan Dr</t>
  </si>
  <si>
    <t>We would partner with a non Optum sight to do majority/all of our staff at our facility.  Staff unable to come to be tested would be directed to a nearby Optum sight.</t>
  </si>
  <si>
    <t xml:space="preserve">Perhaps test direct care staff one week.  2nd Week -  Indirect care staff next week.  3rd Week - Office staff   </t>
  </si>
  <si>
    <t xml:space="preserve">   Tel: (317)415-5767</t>
  </si>
  <si>
    <t xml:space="preserve">   2345 W 86Th St</t>
  </si>
  <si>
    <t>St Charles Health Campus</t>
  </si>
  <si>
    <t xml:space="preserve">   Tel: (812)634-6570</t>
  </si>
  <si>
    <t xml:space="preserve">   3150 St Charles St</t>
  </si>
  <si>
    <t>St Elizabeth Healthcare Center</t>
  </si>
  <si>
    <t>Delphi</t>
  </si>
  <si>
    <t>Carroll</t>
  </si>
  <si>
    <t xml:space="preserve">   Tel: (765)564-6380</t>
  </si>
  <si>
    <t xml:space="preserve">   701 Armory Rd</t>
  </si>
  <si>
    <t xml:space="preserve">   Delphi, In 46923</t>
  </si>
  <si>
    <t>St Mary Healthcare Center</t>
  </si>
  <si>
    <t xml:space="preserve">   Tel: (765)447-4102</t>
  </si>
  <si>
    <t xml:space="preserve">   2201 Cason St</t>
  </si>
  <si>
    <t xml:space="preserve">   Tel: (317)786-2261</t>
  </si>
  <si>
    <t xml:space="preserve">   501 N 17Th Ave</t>
  </si>
  <si>
    <t>Stonebridge Health Campus</t>
  </si>
  <si>
    <t xml:space="preserve">   Tel: (812)278-8195</t>
  </si>
  <si>
    <t xml:space="preserve">   3100 Shawnee Dr S</t>
  </si>
  <si>
    <t>Stonebrooke Rehabilitation Center</t>
  </si>
  <si>
    <t xml:space="preserve">   Tel: (765)529-0230</t>
  </si>
  <si>
    <t xml:space="preserve">   990 N 16Th St</t>
  </si>
  <si>
    <t>Stonecroft Health Campus</t>
  </si>
  <si>
    <t xml:space="preserve">   Tel: (812)825-0551</t>
  </si>
  <si>
    <t xml:space="preserve">   363 South Fieldstone Blvd</t>
  </si>
  <si>
    <t xml:space="preserve">   Tel: (317)894-3301</t>
  </si>
  <si>
    <t xml:space="preserve">   5430 W Us 40</t>
  </si>
  <si>
    <t>Cloverdale</t>
  </si>
  <si>
    <t xml:space="preserve">I think we should focus on keeping facilities fully stocked with supplies that are needed and not worry about test individuals that have no s/s </t>
  </si>
  <si>
    <t xml:space="preserve">   Tel: (765)795-4260</t>
  </si>
  <si>
    <t xml:space="preserve">   34 S Main St</t>
  </si>
  <si>
    <t xml:space="preserve">   Cloverdale, In 46120</t>
  </si>
  <si>
    <t>Summit City Nursing And Rehabilitation</t>
  </si>
  <si>
    <t xml:space="preserve">   Tel: (260)484-0602</t>
  </si>
  <si>
    <t xml:space="preserve">   2940 N Clinton St</t>
  </si>
  <si>
    <t xml:space="preserve">   Tel: (765)203-2671</t>
  </si>
  <si>
    <t xml:space="preserve">   701 S Main St</t>
  </si>
  <si>
    <t xml:space="preserve">   Summitville, In 46070</t>
  </si>
  <si>
    <t>Swiss Villa Nursing And Rehabilitation</t>
  </si>
  <si>
    <t>Vevay</t>
  </si>
  <si>
    <t>Switzerland</t>
  </si>
  <si>
    <t xml:space="preserve">   Tel: (812)427-2803</t>
  </si>
  <si>
    <t xml:space="preserve">   1023 W Main St</t>
  </si>
  <si>
    <t xml:space="preserve">   Vevay, In 47043</t>
  </si>
  <si>
    <t>Need Kits / PPE / Pickup</t>
  </si>
  <si>
    <t xml:space="preserve">We reached out to the local hospital to help us complete testing but have not heard if this would be possible. We also do not have enough PPE to use for weekly testing of all staff. We are not aware of any labs who can complete the testing in our area. </t>
  </si>
  <si>
    <t xml:space="preserve">We have also heard of inaccuracy (false positive or false negative tests) of the testing from other facilities who have already done ALL staff testing. How are we going to staff facility if many staff test end up being positive? We are already working short staffed most of the days. We rather test staff and residents if they present with respiratory symptoms and not ALL !! </t>
  </si>
  <si>
    <t xml:space="preserve">   Tel: (260)589-3173</t>
  </si>
  <si>
    <t xml:space="preserve">   1350 W Main St</t>
  </si>
  <si>
    <t>Symphony</t>
  </si>
  <si>
    <t>we would possibly reach out to the task force and whatever state testing sites available in our area to send staff</t>
  </si>
  <si>
    <t xml:space="preserve">I truly support testing any symptomatic staff, but testing non-symptomatic staff does not seem financially sound nor does it prevent that staff member from getting sick days later and needing to be retested. </t>
  </si>
  <si>
    <t xml:space="preserve">   Tel: (219)304-6700</t>
  </si>
  <si>
    <t xml:space="preserve">   2775 Village Point</t>
  </si>
  <si>
    <t xml:space="preserve">   Tel: (219)323-8700</t>
  </si>
  <si>
    <t xml:space="preserve">   1555 S Main Street</t>
  </si>
  <si>
    <t>Symphony Of Dyer Llc</t>
  </si>
  <si>
    <t xml:space="preserve">The only barrier we can think of is getting all staff agree to having this test done.  </t>
  </si>
  <si>
    <t xml:space="preserve">   Tel: (219)515-4700</t>
  </si>
  <si>
    <t xml:space="preserve">   1532 Calumet Avenue</t>
  </si>
  <si>
    <t>Terrace At Solarbron The</t>
  </si>
  <si>
    <t xml:space="preserve">   Tel: (812)985-0055</t>
  </si>
  <si>
    <t xml:space="preserve">   1701 Mcdowell Rd</t>
  </si>
  <si>
    <t>(574) 538-4394</t>
  </si>
  <si>
    <t>1212 Waterford Cir</t>
  </si>
  <si>
    <t>Goshen, In  46526</t>
  </si>
  <si>
    <t>The Villages At Historic Silvercrest</t>
  </si>
  <si>
    <t>(812) 399-3970</t>
  </si>
  <si>
    <t>1 Silvercrest Dr</t>
  </si>
  <si>
    <t>New Albany, In  47150</t>
  </si>
  <si>
    <t>Thornton Terrace Health Campus</t>
  </si>
  <si>
    <t xml:space="preserve">   Tel: (812)866-8396</t>
  </si>
  <si>
    <t xml:space="preserve">   188 Thornton Rd</t>
  </si>
  <si>
    <t>This is a qualified yes.  It would be extremely difficult for us to financially support a mandated testing weekly as a not-for-profit facility.  So if the testing is funded by the regulatory body or the state requiring the test as a justifiable expenditure of taxpayers dollars, then we could hire staffing or contract the testing to be done.</t>
  </si>
  <si>
    <t xml:space="preserve">   Tel: (260)982-2118</t>
  </si>
  <si>
    <t xml:space="preserve">   2201 East St</t>
  </si>
  <si>
    <t>Timbers Of Jasper The</t>
  </si>
  <si>
    <t xml:space="preserve">   Tel: (812)482-6161</t>
  </si>
  <si>
    <t xml:space="preserve">   2909 Howard Dr</t>
  </si>
  <si>
    <t>Todd-Dickey Nursing And Rehabilitation</t>
  </si>
  <si>
    <t>Leavenworth</t>
  </si>
  <si>
    <t>Crawford</t>
  </si>
  <si>
    <t xml:space="preserve">   Tel: (812)739-2292</t>
  </si>
  <si>
    <t xml:space="preserve">   712 W 2Nd St</t>
  </si>
  <si>
    <t xml:space="preserve">   Leavenworth, In 47137</t>
  </si>
  <si>
    <t>I think if a baseline test is performed on all residents and staff, that is sufficient, then testing only upon onset of symptoms thereafter would be agreeable and realistic.</t>
  </si>
  <si>
    <t xml:space="preserve">   Tel: (260)483-3116</t>
  </si>
  <si>
    <t xml:space="preserve">   2209 St Joe Center Rd</t>
  </si>
  <si>
    <t>Trailpoint Village</t>
  </si>
  <si>
    <t xml:space="preserve">   Tel: (574)291-6722</t>
  </si>
  <si>
    <t xml:space="preserve">   1950 Ridgedale Rd</t>
  </si>
  <si>
    <t xml:space="preserve">   Tel: (317)480-0806</t>
  </si>
  <si>
    <t xml:space="preserve">   3640 N Central Avenue</t>
  </si>
  <si>
    <t>Boonville</t>
  </si>
  <si>
    <t>Considering partner facility, may be good to have onsite help</t>
  </si>
  <si>
    <t xml:space="preserve">   Tel: (812)897-1375</t>
  </si>
  <si>
    <t xml:space="preserve">   725 S Second St</t>
  </si>
  <si>
    <t xml:space="preserve">   Boonville, In 47601</t>
  </si>
  <si>
    <t>Very uncertain of capabilities and local hospital</t>
  </si>
  <si>
    <t xml:space="preserve">   Tel: (812)897-2810</t>
  </si>
  <si>
    <t xml:space="preserve">   305 E North St</t>
  </si>
  <si>
    <t>Owensville</t>
  </si>
  <si>
    <t xml:space="preserve">   Tel: (812)729-7901</t>
  </si>
  <si>
    <t xml:space="preserve">   Hwy 165 W Po Box 369</t>
  </si>
  <si>
    <t xml:space="preserve">   Owensville, In 47665</t>
  </si>
  <si>
    <t>Gas City</t>
  </si>
  <si>
    <t xml:space="preserve">We are concerned that should we have multiple asymptomatic staff test positive, it could leave insufficient staff remaining to meet the needs of the residents.  Conducting all testing within the same timeframe and same geographical area may not allow staff support from other sister facilities, should testing warrant multiple staff members to be off duty for ten days simultaneously. </t>
  </si>
  <si>
    <t xml:space="preserve">   Tel: (765)674-8516</t>
  </si>
  <si>
    <t xml:space="preserve">   627 E North H Street</t>
  </si>
  <si>
    <t xml:space="preserve">   Gas City, In 46933</t>
  </si>
  <si>
    <t>We would refer to a local testing site.</t>
  </si>
  <si>
    <t>Testing all associates within 2 weeks is not feasible nor is it safe for our residents.  If a community has a large number of positives, who will care for our residents?</t>
  </si>
  <si>
    <t xml:space="preserve">   Tel: (317)885-7050</t>
  </si>
  <si>
    <t xml:space="preserve">   1380 E County Line Rd S</t>
  </si>
  <si>
    <t>University Nursing And Rehabilitation Center</t>
  </si>
  <si>
    <t>I do not believe a snapshot of testing is worth the anxiety it will create. I understand the need for solid information and being able to work better and more effectively; but, knowing someone is negative on a Tuesday does not negate them becoming positive on a Wednesday. Being prepared for the potential of active cases and using the time to educate and money for more supplies of PPE makes more logical sense in regard to what has been working for our campus thus far.</t>
  </si>
  <si>
    <t xml:space="preserve">   Tel: (812)464-3607</t>
  </si>
  <si>
    <t xml:space="preserve">   1236 Lincoln Ave</t>
  </si>
  <si>
    <t xml:space="preserve">   Evansville, In 47714</t>
  </si>
  <si>
    <t>University Nursing Center</t>
  </si>
  <si>
    <t>Upland</t>
  </si>
  <si>
    <t xml:space="preserve">   Tel: (765)998-2761</t>
  </si>
  <si>
    <t xml:space="preserve">   1564 S University Blvd</t>
  </si>
  <si>
    <t xml:space="preserve">   Upland, In 46989</t>
  </si>
  <si>
    <t>We would have to use a combination of local hospital(s) and Optum testing site. If provided with testing supplies, we could do in-house and then someone would have to pick up or we take to the place that provided the tests.</t>
  </si>
  <si>
    <t>Worry that there would not be enough testing supplies available in a specified 2 week window with all SNF/LTC testing during a certain time frame, also wonder if there would be issues with HR and the possibility of right of refusal, worried about the availability of tests and the timeliness of completion if all SNF/LTC mandated to do weekly in an ongoing manner, worry about individual staff compliance if not completed on site (could say they couldn't come to work if not completed but that would then cause staffing worries)</t>
  </si>
  <si>
    <t xml:space="preserve">   Tel: (765)464-5600</t>
  </si>
  <si>
    <t xml:space="preserve">   1750 Lindberg Rd</t>
  </si>
  <si>
    <t>Valley View Healthcare Center</t>
  </si>
  <si>
    <t xml:space="preserve">   Tel: (574)293-1550</t>
  </si>
  <si>
    <t xml:space="preserve">   333 W Mishawaka Rd</t>
  </si>
  <si>
    <t>Valparaiso Care &amp; Rehabilitation</t>
  </si>
  <si>
    <t xml:space="preserve">   Tel: (219)464-4976</t>
  </si>
  <si>
    <t xml:space="preserve">   606 Wall Street</t>
  </si>
  <si>
    <t xml:space="preserve">   Tel: (765)832-3573</t>
  </si>
  <si>
    <t xml:space="preserve">   1705 S Main St</t>
  </si>
  <si>
    <t xml:space="preserve">   Tel: (260)563-8438</t>
  </si>
  <si>
    <t xml:space="preserve">   1955 S Vernon St</t>
  </si>
  <si>
    <t>Villages At Oak Ridge, The</t>
  </si>
  <si>
    <t xml:space="preserve">   Tel: (812)254-3800</t>
  </si>
  <si>
    <t xml:space="preserve">   1694 Troy Road</t>
  </si>
  <si>
    <t>Georgetown</t>
  </si>
  <si>
    <t>We are unsure at this time how we would accomplish all staff testing.</t>
  </si>
  <si>
    <t xml:space="preserve">   Tel: (812)951-1878</t>
  </si>
  <si>
    <t xml:space="preserve">   1002 Sister Barbara Way</t>
  </si>
  <si>
    <t xml:space="preserve">   Georgetown, In 47122</t>
  </si>
  <si>
    <t xml:space="preserve">   Tel: (574)267-8922</t>
  </si>
  <si>
    <t xml:space="preserve">   300 E Prairie St</t>
  </si>
  <si>
    <t>Washington Healthcare Center</t>
  </si>
  <si>
    <t xml:space="preserve">   Tel: (317)244-6848</t>
  </si>
  <si>
    <t xml:space="preserve">   8201 W Washington St</t>
  </si>
  <si>
    <t xml:space="preserve">   Indianapolis, In 46231</t>
  </si>
  <si>
    <t xml:space="preserve">   Tel: (812)254-5117</t>
  </si>
  <si>
    <t xml:space="preserve">   603 E National Hwy</t>
  </si>
  <si>
    <t>Waterford At Edison Lakes, The</t>
  </si>
  <si>
    <t>Capitol</t>
  </si>
  <si>
    <t>We would need time to order the test kits and would need direction on where to get 50 of them</t>
  </si>
  <si>
    <t xml:space="preserve">   Tel: (574)247-1552</t>
  </si>
  <si>
    <t xml:space="preserve">   1025 Park Place</t>
  </si>
  <si>
    <t>Waterford Crossing</t>
  </si>
  <si>
    <t xml:space="preserve">   Tel: (574)534-3920</t>
  </si>
  <si>
    <t xml:space="preserve">   1332 Waterford Cir</t>
  </si>
  <si>
    <t>Waterford Place Health Campus</t>
  </si>
  <si>
    <t xml:space="preserve">   Tel: (765)236-1239</t>
  </si>
  <si>
    <t xml:space="preserve">   800 St Joseph Dr</t>
  </si>
  <si>
    <t>Waters Edge Village</t>
  </si>
  <si>
    <t>Springport</t>
  </si>
  <si>
    <t xml:space="preserve">   Tel: (765)289-3341</t>
  </si>
  <si>
    <t xml:space="preserve">   2200 West White River Blvd</t>
  </si>
  <si>
    <t>Waters Of Batesville, The</t>
  </si>
  <si>
    <t>958 E Hwy 46</t>
  </si>
  <si>
    <t>Waters Of Clifty Falls, The</t>
  </si>
  <si>
    <t>950 Cross Ave</t>
  </si>
  <si>
    <t>Covington</t>
  </si>
  <si>
    <t xml:space="preserve">   Tel: (765)793-4818</t>
  </si>
  <si>
    <t xml:space="preserve">   1600 E Liberty St</t>
  </si>
  <si>
    <t xml:space="preserve">   Covington, In 47932</t>
  </si>
  <si>
    <t>Waters Of Dillsboro-Ross Manor, The</t>
  </si>
  <si>
    <t>Dillsboro</t>
  </si>
  <si>
    <t>12803 Lenover St</t>
  </si>
  <si>
    <t xml:space="preserve">   Tel: (765)653-2602</t>
  </si>
  <si>
    <t xml:space="preserve">   1601 Hospital Dr</t>
  </si>
  <si>
    <t>Waters Of Huntingburg, The</t>
  </si>
  <si>
    <t>Winslow</t>
  </si>
  <si>
    <t xml:space="preserve">   Tel: (812)683-4090</t>
  </si>
  <si>
    <t xml:space="preserve">   1712 Leland Dr</t>
  </si>
  <si>
    <t xml:space="preserve">   Huntingburg, In 47542</t>
  </si>
  <si>
    <t>Waters Of Indianapolis, The</t>
  </si>
  <si>
    <t>3895 S Keystone Ave</t>
  </si>
  <si>
    <t>Waters Of Lebanon, The</t>
  </si>
  <si>
    <t>Very costly and ineffective approach to prevention.</t>
  </si>
  <si>
    <t xml:space="preserve">   Tel: (765)482-6391</t>
  </si>
  <si>
    <t xml:space="preserve">   1585 Perry Worth Rd</t>
  </si>
  <si>
    <t xml:space="preserve">   Tel: (765)342-3305</t>
  </si>
  <si>
    <t xml:space="preserve">   2055 Heritage Dr</t>
  </si>
  <si>
    <t>NO.</t>
  </si>
  <si>
    <t xml:space="preserve">   Tel: (765)747-9044</t>
  </si>
  <si>
    <t xml:space="preserve">   2400 Chateau Dr</t>
  </si>
  <si>
    <t>Waters Of New Castle, The</t>
  </si>
  <si>
    <t xml:space="preserve">   Tel: (765)521-1420</t>
  </si>
  <si>
    <t xml:space="preserve">   1000 N 16Th St</t>
  </si>
  <si>
    <t>Waters Of Princeton, The</t>
  </si>
  <si>
    <t xml:space="preserve">   Tel: (812)385-5238</t>
  </si>
  <si>
    <t xml:space="preserve">   1020 W Vine St</t>
  </si>
  <si>
    <t>Rising Sun</t>
  </si>
  <si>
    <t>Ohio</t>
  </si>
  <si>
    <t xml:space="preserve">Have optum supply facilities testing kits to test all employees and we will drop off to a testing site for pick up. It will be too costly for facilities to test every staff member once if not weekly moving forward. </t>
  </si>
  <si>
    <t xml:space="preserve">   Tel: (812)438-2219</t>
  </si>
  <si>
    <t xml:space="preserve">   405 Rio Vista Ln</t>
  </si>
  <si>
    <t xml:space="preserve">   Rising Sun, In 47040</t>
  </si>
  <si>
    <t>All staff and residents were tested 5/20/2020</t>
  </si>
  <si>
    <t xml:space="preserve">   Tel: (812)752-5663</t>
  </si>
  <si>
    <t xml:space="preserve">   1350 N Todd Dr</t>
  </si>
  <si>
    <t>Wedgewood Healthcare Center</t>
  </si>
  <si>
    <t xml:space="preserve">   Tel: (812)948-0808</t>
  </si>
  <si>
    <t xml:space="preserve">   101 Potters Ln</t>
  </si>
  <si>
    <t>Wellbrooke Of Avon</t>
  </si>
  <si>
    <t xml:space="preserve">   Tel: (317)273-2144</t>
  </si>
  <si>
    <t xml:space="preserve">   10307 East County Road 100 North</t>
  </si>
  <si>
    <t xml:space="preserve">   Indianapolis, In 46234</t>
  </si>
  <si>
    <t>Wellbrooke Of Carmel</t>
  </si>
  <si>
    <t xml:space="preserve">   Tel: (317)569-7200</t>
  </si>
  <si>
    <t xml:space="preserve">   12315 Pennsylvania Street</t>
  </si>
  <si>
    <t>Wellbrooke Of Crawfordsville</t>
  </si>
  <si>
    <t xml:space="preserve">   Tel: (765)362-9122</t>
  </si>
  <si>
    <t xml:space="preserve">   517 Concord Road</t>
  </si>
  <si>
    <t>Wellbrooke Of Kokomo</t>
  </si>
  <si>
    <t xml:space="preserve">   Tel: (765)455-4443</t>
  </si>
  <si>
    <t xml:space="preserve">   2200 South Dixon Road</t>
  </si>
  <si>
    <t>Wellbrooke Of South Bend</t>
  </si>
  <si>
    <t xml:space="preserve">   Tel: (574)247-7044</t>
  </si>
  <si>
    <t xml:space="preserve">   52565 State Road 933</t>
  </si>
  <si>
    <t>Wellbrooke Of Wabash</t>
  </si>
  <si>
    <t xml:space="preserve">   Tel: (260)274-0444</t>
  </si>
  <si>
    <t xml:space="preserve">   20 John Kissinger Drive</t>
  </si>
  <si>
    <t>Wellbrooke Of Westfield</t>
  </si>
  <si>
    <t xml:space="preserve">   Tel: (317)804-8044</t>
  </si>
  <si>
    <t xml:space="preserve">   937 E 186Th Street</t>
  </si>
  <si>
    <t xml:space="preserve">We are already testing all staff using a local Optum testing site. </t>
  </si>
  <si>
    <t xml:space="preserve">   Tel: (765)659-1811</t>
  </si>
  <si>
    <t xml:space="preserve">   1555 N Main St</t>
  </si>
  <si>
    <t xml:space="preserve">   Tel: (765)674-3371</t>
  </si>
  <si>
    <t xml:space="preserve">   729 West 35Th St</t>
  </si>
  <si>
    <t>West Bend Nursing And Rehabilitation</t>
  </si>
  <si>
    <t xml:space="preserve">   Tel: (574)282-1294</t>
  </si>
  <si>
    <t xml:space="preserve">   4600 W Washington Ave</t>
  </si>
  <si>
    <t>West River Health Campus</t>
  </si>
  <si>
    <t xml:space="preserve">   Tel: (812)985-9878</t>
  </si>
  <si>
    <t xml:space="preserve">   714 S Eickhoff Rd</t>
  </si>
  <si>
    <t>Due to loss of revenue, the financial impact on the community would be significant if the test kits are not provided by ISDH.      Furthermore, we do not have the test kits to perform the tests.</t>
  </si>
  <si>
    <t>Testing fees may be 10-15k per test and this is a near impossible ask for all communities.</t>
  </si>
  <si>
    <t xml:space="preserve">   Tel: (765)463-7546</t>
  </si>
  <si>
    <t xml:space="preserve">   2741 N Salisbury St</t>
  </si>
  <si>
    <t>Funding - giving census declines and additional expenses during this pandemic, the community's ability to pay for the testing is not reasonable at this time.</t>
  </si>
  <si>
    <t>We are concerned about our ability to provide quality care should all staff be tested with tests that are giving false positives.</t>
  </si>
  <si>
    <t xml:space="preserve">   Tel: (812)232-7533</t>
  </si>
  <si>
    <t xml:space="preserve">   1120 E Davis Dr</t>
  </si>
  <si>
    <t>Testing would need to be done on a regular bases to be effective.</t>
  </si>
  <si>
    <t xml:space="preserve">   Tel: (812)282-5911</t>
  </si>
  <si>
    <t xml:space="preserve">   2210 Greentree N</t>
  </si>
  <si>
    <t xml:space="preserve">We are not an industry that is looking to reopen, and therefore set a baseline.  We have been eating, sleeping and breathing it every day since its onset.  Our baseline is non-existent.  We will however, adhere to guidance set forth by the state.  </t>
  </si>
  <si>
    <t xml:space="preserve">   Tel: (765)288-2155</t>
  </si>
  <si>
    <t xml:space="preserve">   5801 W Bethel Ave</t>
  </si>
  <si>
    <t xml:space="preserve">Employee oncerns would be staff refusal of those who have been recently tested.   Cost is a concern.  Employees' fear of getting the test.    Facility concern would be staffing issues if a number of asymptomatic employees test positive.   It would be cost prohibitive for our stand alone facility to pay to test every employee on our own.  </t>
  </si>
  <si>
    <t xml:space="preserve">   Tel: (317)823-6841</t>
  </si>
  <si>
    <t xml:space="preserve">   11050 Presbyterian Dr</t>
  </si>
  <si>
    <t xml:space="preserve">   Indianapolis, In 46236</t>
  </si>
  <si>
    <t>Westpark A Waters Community</t>
  </si>
  <si>
    <t>1316 N Tibbs Ave</t>
  </si>
  <si>
    <t xml:space="preserve">   Tel: (812)232-3311</t>
  </si>
  <si>
    <t xml:space="preserve">   125 W Margaret Ave</t>
  </si>
  <si>
    <t xml:space="preserve">I feel this is unneeded.  There would be a potential MASSIVE shortage of staff due to asymptomatic positive results that would only endanger the residents who live here and cause the staff that are capable of working to become burnt out even faster. </t>
  </si>
  <si>
    <t xml:space="preserve">   Tel: (317)209-2800</t>
  </si>
  <si>
    <t xml:space="preserve">   8616 W 10Th St</t>
  </si>
  <si>
    <t>Westview Nursing And Rehabilitation Center</t>
  </si>
  <si>
    <t xml:space="preserve">   Tel: (812)279-4494</t>
  </si>
  <si>
    <t xml:space="preserve">   1510 Clinic Dr</t>
  </si>
  <si>
    <t>White Oak Health Campus</t>
  </si>
  <si>
    <t xml:space="preserve">   Tel: (574)583-0324</t>
  </si>
  <si>
    <t xml:space="preserve">   814 S 6Th St</t>
  </si>
  <si>
    <t xml:space="preserve">   Tel: (812)275-7006</t>
  </si>
  <si>
    <t xml:space="preserve">   3710 Kenny Simpson Ln</t>
  </si>
  <si>
    <t>Liberty</t>
  </si>
  <si>
    <t>Union</t>
  </si>
  <si>
    <t xml:space="preserve">   Tel: (765)458-5117</t>
  </si>
  <si>
    <t xml:space="preserve">   215 W High St</t>
  </si>
  <si>
    <t xml:space="preserve">   Liberty, In 47353</t>
  </si>
  <si>
    <t>Wildwood Healthcare Center</t>
  </si>
  <si>
    <t xml:space="preserve">   Tel: (317)353-1290</t>
  </si>
  <si>
    <t xml:space="preserve">   7301 E 16Th St</t>
  </si>
  <si>
    <t>Williamsport Nursing And Rehabilitation</t>
  </si>
  <si>
    <t>Williamsport</t>
  </si>
  <si>
    <t xml:space="preserve">   Tel: (765)762-6111</t>
  </si>
  <si>
    <t xml:space="preserve">   200 Short St</t>
  </si>
  <si>
    <t xml:space="preserve">   Williamsport, In 47993</t>
  </si>
  <si>
    <t>We are concerned that should we have multiple "asymptomatic" staff test positive, it could leave insufficient staff remaining to meet the needs of the residents. Conducting all testing within the same timeframe and same geographical area may not allow staff support from other sister facilities should testing warrant multiple staff members to be off duty for 10 days simultaneously.</t>
  </si>
  <si>
    <t xml:space="preserve">   Tel: (812)379-9669</t>
  </si>
  <si>
    <t xml:space="preserve">   3550 Central Ave</t>
  </si>
  <si>
    <t xml:space="preserve">   Tel: (812)882-1783</t>
  </si>
  <si>
    <t xml:space="preserve">   3801 Old Bruceville Road, Box 136</t>
  </si>
  <si>
    <t>We are concerned that should we have multiple "asymptomatic" staff test positive , it could leave insufficient remaining staff to meet the needs of the residents.  Conducting all testing within the same timeframe and same geographical area may not allow staff support from other sister facilities should testing warrant multiple staff members be off duty for 10 days simultaneously.</t>
  </si>
  <si>
    <t xml:space="preserve">   Tel: (765)747-7820</t>
  </si>
  <si>
    <t xml:space="preserve">   7524 E Jackson St</t>
  </si>
  <si>
    <t xml:space="preserve">   Muncie, In 47302</t>
  </si>
  <si>
    <t>Willowdale Village</t>
  </si>
  <si>
    <t xml:space="preserve">   Tel: (812)937-4489</t>
  </si>
  <si>
    <t xml:space="preserve">   404 W Willow Rd</t>
  </si>
  <si>
    <t xml:space="preserve">   Tel: (574)772-5826</t>
  </si>
  <si>
    <t xml:space="preserve">   1005 South Edgewood Drive</t>
  </si>
  <si>
    <t xml:space="preserve">   Tel: (765)485-8300</t>
  </si>
  <si>
    <t xml:space="preserve">   2605 N Lebanon Street</t>
  </si>
  <si>
    <t>Woodbridge Health Campus</t>
  </si>
  <si>
    <t xml:space="preserve">   Tel: (574)753-3223</t>
  </si>
  <si>
    <t xml:space="preserve">   602 Woodbridge Ave</t>
  </si>
  <si>
    <t>We are concerned that should we have multiple "asymptomatic" staff test positive, it could leave insufficient staff remaining to meet the needs of the residents. Conducting all testing within the same timeframe and the same geographical area may not allow staff support from other sister facilities should testing warrant multiple staff members to be off duty for ten days simultaneously</t>
  </si>
  <si>
    <t xml:space="preserve">   Tel: (812)537-1132</t>
  </si>
  <si>
    <t xml:space="preserve">   403 Bielby Rd</t>
  </si>
  <si>
    <t xml:space="preserve">   Tel: (574)295-0096</t>
  </si>
  <si>
    <t xml:space="preserve">   343 S Nappanee St</t>
  </si>
  <si>
    <t>Woodlands The</t>
  </si>
  <si>
    <t xml:space="preserve">   Tel: (765)289-3451</t>
  </si>
  <si>
    <t xml:space="preserve">   3820 W Jackson St</t>
  </si>
  <si>
    <t>Woodmont Health Campus</t>
  </si>
  <si>
    <t xml:space="preserve">   Tel: (812)897-4114</t>
  </si>
  <si>
    <t xml:space="preserve">   1325 Rockport Rd</t>
  </si>
  <si>
    <t>Woodview A Waters Community</t>
  </si>
  <si>
    <t>There are currently no staff members in the facility with any signs or symptoms at this time</t>
  </si>
  <si>
    <t>If signs and symptoms appear or facility has first positive COVID test then staff testing would be considered.</t>
  </si>
  <si>
    <t xml:space="preserve">   Tel: (260)484-3120</t>
  </si>
  <si>
    <t xml:space="preserve">   3420 East State Blvd</t>
  </si>
  <si>
    <t>Yorktown</t>
  </si>
  <si>
    <t>PPE and staffing have been the most critical needs post testing of staff.</t>
  </si>
  <si>
    <t xml:space="preserve">   Tel: (765)759-7740</t>
  </si>
  <si>
    <t xml:space="preserve">   2000 S Andrews Rd</t>
  </si>
  <si>
    <t xml:space="preserve">   Yorktown, In 47396</t>
  </si>
  <si>
    <t>Zionsville Meadows</t>
  </si>
  <si>
    <t>Zionsville</t>
  </si>
  <si>
    <t xml:space="preserve">   Tel: (317)873-5205</t>
  </si>
  <si>
    <t xml:space="preserve">   675 S Ford Rd</t>
  </si>
  <si>
    <t xml:space="preserve">   Zionsville, In 46077</t>
  </si>
  <si>
    <t>Facilities</t>
  </si>
  <si>
    <t>Employees</t>
  </si>
  <si>
    <t xml:space="preserve">Avg. Emp/Facility </t>
  </si>
  <si>
    <t>Total</t>
  </si>
  <si>
    <t>Intervention</t>
  </si>
  <si>
    <t>Number of Facilities</t>
  </si>
  <si>
    <t>Est Employees</t>
  </si>
  <si>
    <t>Contact</t>
  </si>
  <si>
    <t>email</t>
  </si>
  <si>
    <t>Kits</t>
  </si>
  <si>
    <t>Alicia Sims</t>
  </si>
  <si>
    <t>AliciaSims@ASCSeniorCare.com</t>
  </si>
  <si>
    <t>Barbara DMercuiro</t>
  </si>
  <si>
    <t>502-762-4254</t>
  </si>
  <si>
    <t>Barbara.Dimercurio@trilogyhs.com</t>
  </si>
  <si>
    <t>Kara Lickey</t>
  </si>
  <si>
    <t>klickey@millershealthsystems.com</t>
  </si>
  <si>
    <t>Audrey Sweesy</t>
  </si>
  <si>
    <t>610-505-4955</t>
  </si>
  <si>
    <t>Yvonne Tanner</t>
  </si>
  <si>
    <t>Yvonne.Tanner@goldenlivingcenters.com</t>
  </si>
  <si>
    <t>Barb Sword</t>
  </si>
  <si>
    <t>317-570-0266</t>
  </si>
  <si>
    <t>bsword@hchfi.org</t>
  </si>
  <si>
    <t>Onsite Tseting</t>
  </si>
  <si>
    <t>Kathryn Bailey</t>
  </si>
  <si>
    <t>502-438-6568</t>
  </si>
  <si>
    <t>kabailey@chs-corp.com</t>
  </si>
  <si>
    <t>KIts</t>
  </si>
  <si>
    <t>Bryanna Wegner</t>
  </si>
  <si>
    <t>812-870-5926</t>
  </si>
  <si>
    <t>BWegner@majesticcare.com</t>
  </si>
  <si>
    <t>Ken Pflumm</t>
  </si>
  <si>
    <t>317-385-8575</t>
  </si>
  <si>
    <t>kpflumm@infinityofin.com</t>
  </si>
  <si>
    <t xml:space="preserve">St. Joseph </t>
  </si>
  <si>
    <t xml:space="preserve">Steuben </t>
  </si>
  <si>
    <t>Parke</t>
  </si>
  <si>
    <t xml:space="preserve">Brown </t>
  </si>
  <si>
    <t xml:space="preserve">Perry </t>
  </si>
  <si>
    <t>Benton</t>
  </si>
  <si>
    <t xml:space="preserve">Martin </t>
  </si>
  <si>
    <t xml:space="preserve">Pulaski </t>
  </si>
  <si>
    <t xml:space="preserve">Switzerland </t>
  </si>
  <si>
    <t xml:space="preserve">Jefferson </t>
  </si>
  <si>
    <t>Fountain</t>
  </si>
  <si>
    <t xml:space="preserve">Warrick </t>
  </si>
  <si>
    <t xml:space="preserve">Wells </t>
  </si>
  <si>
    <t xml:space="preserve">Clark </t>
  </si>
  <si>
    <t xml:space="preserve">Gibson </t>
  </si>
  <si>
    <t xml:space="preserve">Vanderburgh </t>
  </si>
  <si>
    <t xml:space="preserve">Harrison </t>
  </si>
  <si>
    <t xml:space="preserve">Posey </t>
  </si>
  <si>
    <t>Time (Min)</t>
  </si>
  <si>
    <t xml:space="preserve">Max testing hrs/site </t>
  </si>
  <si>
    <t>Assumptions:</t>
  </si>
  <si>
    <t>Time Per Patient</t>
  </si>
  <si>
    <t>0-50</t>
  </si>
  <si>
    <t xml:space="preserve">min/person for registration walk-through and check-in </t>
  </si>
  <si>
    <t xml:space="preserve">ISDH Staff/Site </t>
  </si>
  <si>
    <t>51-100</t>
  </si>
  <si>
    <t xml:space="preserve">min/person for swab testing, explanation, storage  </t>
  </si>
  <si>
    <t>Per Site Setup Time</t>
  </si>
  <si>
    <t>101-150</t>
  </si>
  <si>
    <t xml:space="preserve">Number of patients each 3 person team can see per hour (5 min stagger between first patients) </t>
  </si>
  <si>
    <t>Drive time Between Sites</t>
  </si>
  <si>
    <t>151-200</t>
  </si>
  <si>
    <t xml:space="preserve">Number of lines each 9 person strike force can see per hour (1 site lead, 3 swabbers, 5 registration personnel) </t>
  </si>
  <si>
    <t># of Patients/Hr</t>
  </si>
  <si>
    <t>201-250</t>
  </si>
  <si>
    <t xml:space="preserve">Minutes for site setup and tear-down </t>
  </si>
  <si>
    <t xml:space="preserve">Lunch/Breaks </t>
  </si>
  <si>
    <t>60 min</t>
  </si>
  <si>
    <t>251-300</t>
  </si>
  <si>
    <t xml:space="preserve">Minutes for transportation between sites </t>
  </si>
  <si>
    <t>301-350</t>
  </si>
  <si>
    <t xml:space="preserve">Minutes lunch and breaks </t>
  </si>
  <si>
    <t>Date</t>
  </si>
  <si>
    <t xml:space="preserve">Max Samples Collected </t>
  </si>
  <si>
    <t xml:space="preserve">Max Coolers Needed </t>
  </si>
  <si>
    <t>TEAM LEAD</t>
  </si>
  <si>
    <t>Optum Registration</t>
  </si>
  <si>
    <t>INNG Position 1</t>
  </si>
  <si>
    <t>INNG Position 2</t>
  </si>
  <si>
    <t>INNG Position 3</t>
  </si>
  <si>
    <t>ISDH Team Lead</t>
  </si>
  <si>
    <t>Optum Team Lead</t>
  </si>
  <si>
    <t>Name</t>
  </si>
  <si>
    <t>Phone #</t>
  </si>
  <si>
    <t>Email</t>
  </si>
  <si>
    <t xml:space="preserve">Name </t>
  </si>
  <si>
    <t xml:space="preserve">ISDH Provided Data Input </t>
  </si>
  <si>
    <t xml:space="preserve">Optum Provided Data Input </t>
  </si>
  <si>
    <t>Optum Printers</t>
  </si>
  <si>
    <t>ISDH Printers</t>
  </si>
  <si>
    <t>Team 1</t>
  </si>
  <si>
    <t xml:space="preserve">Alexandra Hayes </t>
  </si>
  <si>
    <t>463.201.9036</t>
  </si>
  <si>
    <t>pwaters@isdh.in.gov</t>
  </si>
  <si>
    <t>Amy Prieto</t>
  </si>
  <si>
    <t>219-405-1187</t>
  </si>
  <si>
    <t>Adam Wagner</t>
  </si>
  <si>
    <t>awagner85@gmail.com</t>
  </si>
  <si>
    <t>AURIEL FROMME</t>
  </si>
  <si>
    <t>aslong301322@gmail.com</t>
  </si>
  <si>
    <t>ABIGAIL GATES</t>
  </si>
  <si>
    <t>abigailgates2495@yahoo.com</t>
  </si>
  <si>
    <t>Team 2</t>
  </si>
  <si>
    <t>Kristee Erquhart</t>
  </si>
  <si>
    <t>574-250-9929</t>
  </si>
  <si>
    <t>etskristee@gmail.com</t>
  </si>
  <si>
    <t>Dwight Wood</t>
  </si>
  <si>
    <t>507-226-2444</t>
  </si>
  <si>
    <t>KERRI WASKOM</t>
  </si>
  <si>
    <t>waskomkerri@yahoo.com</t>
  </si>
  <si>
    <t>ANDREA SPIEGLER</t>
  </si>
  <si>
    <t>andrea.rose.spiegler@gmail.com</t>
  </si>
  <si>
    <t>DEVIN STRICKLAND</t>
  </si>
  <si>
    <t>dkayestrickland@gmail.com</t>
  </si>
  <si>
    <t>Team 3</t>
  </si>
  <si>
    <t>Phil Waters</t>
  </si>
  <si>
    <t>509.499.0505</t>
  </si>
  <si>
    <t>alhayes@isdh.in.gov</t>
  </si>
  <si>
    <t>Nancy Slavin</t>
  </si>
  <si>
    <t>619-540-1932</t>
  </si>
  <si>
    <t>Harrison Jerrils</t>
  </si>
  <si>
    <t>harrison.jerrils@gmail.com</t>
  </si>
  <si>
    <t>Darion Peters</t>
  </si>
  <si>
    <t>dalexpeters@yahoo.com</t>
  </si>
  <si>
    <t>Aaron Allen</t>
  </si>
  <si>
    <t>Team 4</t>
  </si>
  <si>
    <t>Kyla Putman</t>
  </si>
  <si>
    <t>816-916-2836</t>
  </si>
  <si>
    <t>kylaputman@sbcglobal.net</t>
  </si>
  <si>
    <t>Amanda Lauer</t>
  </si>
  <si>
    <t>260-667-1826</t>
  </si>
  <si>
    <t>ZACHARY SYRA</t>
  </si>
  <si>
    <t>triiim3e@gmail.com</t>
  </si>
  <si>
    <t>STEPHEN BARTELS</t>
  </si>
  <si>
    <t>sjb134@outlook.com</t>
  </si>
  <si>
    <t>Dillon Williams</t>
  </si>
  <si>
    <t>Team 5</t>
  </si>
  <si>
    <t>Ondreya Witmer</t>
  </si>
  <si>
    <t>317.518.0726</t>
  </si>
  <si>
    <t>owitmer@isdh.in.gov</t>
  </si>
  <si>
    <t>Deb Ledger</t>
  </si>
  <si>
    <t>616-822-6273</t>
  </si>
  <si>
    <t>Isaac Miller</t>
  </si>
  <si>
    <t>imiller1994@yahoo.com</t>
  </si>
  <si>
    <t>Kenneth Edwards</t>
  </si>
  <si>
    <t>Marcus Calhoun</t>
  </si>
  <si>
    <t>Team 6</t>
  </si>
  <si>
    <t>Kaitlin Kruse</t>
  </si>
  <si>
    <t>317.601.4749</t>
  </si>
  <si>
    <t>kkruse1@isdh.in.gov</t>
  </si>
  <si>
    <t>Anna Feller</t>
  </si>
  <si>
    <t>260-667-7471</t>
  </si>
  <si>
    <t>Matthew Hollen</t>
  </si>
  <si>
    <t>MATTHEW.R.HOLLEN.MIL@MAIL.MIL</t>
  </si>
  <si>
    <t>Alyssa Phillips</t>
  </si>
  <si>
    <t>Team 7</t>
  </si>
  <si>
    <t>Gloria McKinney</t>
  </si>
  <si>
    <t>765-434-0864</t>
  </si>
  <si>
    <t>dapadge78@hotmail.com</t>
  </si>
  <si>
    <t>Zach McKinney</t>
  </si>
  <si>
    <t>765-366-6262</t>
  </si>
  <si>
    <t>Ryan Gibson</t>
  </si>
  <si>
    <t>RYAN.R.GIBSON2.MIL@MAIL.MIL</t>
  </si>
  <si>
    <t>Jaxon Tina</t>
  </si>
  <si>
    <t>JAXON.E.TINA.MIL@MAIL.MIL</t>
  </si>
  <si>
    <t>Jamari Averhart</t>
  </si>
  <si>
    <t>Team 8</t>
  </si>
  <si>
    <t>Brandon Halleck</t>
  </si>
  <si>
    <t>317.416.6595</t>
  </si>
  <si>
    <t>bhalleck@isdh.in.gov</t>
  </si>
  <si>
    <t>Omie DeAnda</t>
  </si>
  <si>
    <t>317-749-6265</t>
  </si>
  <si>
    <t>Heather MOON</t>
  </si>
  <si>
    <t>heather.moon33@yahoo.com</t>
  </si>
  <si>
    <t>Mariela RETANA</t>
  </si>
  <si>
    <t>mretana1@ivytech.edu</t>
  </si>
  <si>
    <t>Adam Campos</t>
  </si>
  <si>
    <t>Team 9</t>
  </si>
  <si>
    <t>Sydney Larkey</t>
  </si>
  <si>
    <t>563-321-0838</t>
  </si>
  <si>
    <t>sydneylarkey6@gmail.com</t>
  </si>
  <si>
    <t>Dylan Mroczek</t>
  </si>
  <si>
    <t>574-580-1507</t>
  </si>
  <si>
    <t>RYAN BROWN</t>
  </si>
  <si>
    <t>ryanb415@gmail.com</t>
  </si>
  <si>
    <t>COLBY HADINGER</t>
  </si>
  <si>
    <t>colbyhadinger@gmail.com</t>
  </si>
  <si>
    <t>Team 10</t>
  </si>
  <si>
    <t>Andrew Pappas</t>
  </si>
  <si>
    <t>317.407.1822</t>
  </si>
  <si>
    <t>apappas@isdh.in.gov</t>
  </si>
  <si>
    <t>James Kerr</t>
  </si>
  <si>
    <t>812-360-9821</t>
  </si>
  <si>
    <t>Christa Sutton</t>
  </si>
  <si>
    <t>CHRISTA.C.SUTTON.MIL@MAIL.MIL</t>
  </si>
  <si>
    <t>Jessica Alexander</t>
  </si>
  <si>
    <t>Whitney Nunn</t>
  </si>
  <si>
    <t>Team 11</t>
  </si>
  <si>
    <t>Patricia Truelove</t>
  </si>
  <si>
    <t>317.719.4664</t>
  </si>
  <si>
    <t>ptruelove@isdh.in.gov</t>
  </si>
  <si>
    <t>Judy Anderson</t>
  </si>
  <si>
    <t>317-937-5362</t>
  </si>
  <si>
    <t>Kaela Taylor</t>
  </si>
  <si>
    <t>Brandon Rodriguez</t>
  </si>
  <si>
    <t>brod1094@gmail.com</t>
  </si>
  <si>
    <t>Xavier Mcnutt</t>
  </si>
  <si>
    <t>Team 12</t>
  </si>
  <si>
    <t>Henry Vargas (Hotel)</t>
  </si>
  <si>
    <t>336-250-2079</t>
  </si>
  <si>
    <t>henry@highpoint-audio.com</t>
  </si>
  <si>
    <t>Meredith Kelly</t>
  </si>
  <si>
    <t>317-501-0641</t>
  </si>
  <si>
    <t>Jonathan Lewis</t>
  </si>
  <si>
    <t>john.l.lewis1020@gmail.com</t>
  </si>
  <si>
    <t>Ralph Myars</t>
  </si>
  <si>
    <t>RALPH.T.MYARS.MIL@MAIL.MIL</t>
  </si>
  <si>
    <t>Joshua Pawlak</t>
  </si>
  <si>
    <t>Team 13</t>
  </si>
  <si>
    <t>Grant Cheney - Apex</t>
  </si>
  <si>
    <t>323-533-3170</t>
  </si>
  <si>
    <t>grantcheney@yahoo.com</t>
  </si>
  <si>
    <t>Kristina Piperevska</t>
  </si>
  <si>
    <t>317-702-3322</t>
  </si>
  <si>
    <t>Kelsey Sever</t>
  </si>
  <si>
    <t>kelseylsever@gmail.com</t>
  </si>
  <si>
    <t>Simbara Cheshire</t>
  </si>
  <si>
    <t>cheshire.simbara@gmail.com</t>
  </si>
  <si>
    <t>Katleen Rocha</t>
  </si>
  <si>
    <t>Team 14</t>
  </si>
  <si>
    <t>Teresa Lutes - Apex</t>
  </si>
  <si>
    <t>812-343-7920</t>
  </si>
  <si>
    <t>Teresa_lutes@yahoo.com</t>
  </si>
  <si>
    <t>Darla Tompkins</t>
  </si>
  <si>
    <t>812-361-6024</t>
  </si>
  <si>
    <t xml:space="preserve">Shelby Ricketts </t>
  </si>
  <si>
    <t>Adam Berg</t>
  </si>
  <si>
    <t>Brianna Polter</t>
  </si>
  <si>
    <t>briana.polter21@gmail.com</t>
  </si>
  <si>
    <t>Team 15</t>
  </si>
  <si>
    <t>Sarah Briley</t>
  </si>
  <si>
    <t>317.954.4441</t>
  </si>
  <si>
    <t>sbriley@isdh.in.gov</t>
  </si>
  <si>
    <t>Ann Parker</t>
  </si>
  <si>
    <t>419-515-9986</t>
  </si>
  <si>
    <t>Garrett Boggs</t>
  </si>
  <si>
    <t>Samuel Boone</t>
  </si>
  <si>
    <t>samboone02@gmail.com</t>
  </si>
  <si>
    <t>Team 16</t>
  </si>
  <si>
    <t>Kenya Hemingway - Blackwell</t>
  </si>
  <si>
    <t>312-282-4787</t>
  </si>
  <si>
    <t>khemin1@yahoo.com</t>
  </si>
  <si>
    <t>Maureen Randall</t>
  </si>
  <si>
    <t>Leslie Keiser</t>
  </si>
  <si>
    <t>Brandon Greenfield</t>
  </si>
  <si>
    <t>Bridget Devries</t>
  </si>
  <si>
    <t>BRIDGET.K.DEVRIES.MIL@MAIL.MIL</t>
  </si>
  <si>
    <t>Team 17</t>
  </si>
  <si>
    <t>Alyssa Tucker - Apex</t>
  </si>
  <si>
    <t>812-341-6957</t>
  </si>
  <si>
    <t>alyntuck@iu.edu</t>
  </si>
  <si>
    <t>Candace Feruson</t>
  </si>
  <si>
    <t>765-914-0053</t>
  </si>
  <si>
    <t>John Lees</t>
  </si>
  <si>
    <t>football64john@gmail.com</t>
  </si>
  <si>
    <t>Ellis Hall</t>
  </si>
  <si>
    <t>Team 18</t>
  </si>
  <si>
    <t>Tracy Brunette</t>
  </si>
  <si>
    <t>317.606.5091</t>
  </si>
  <si>
    <t>tbrunette@isdh.in.gov</t>
  </si>
  <si>
    <t>April McGaha</t>
  </si>
  <si>
    <t>812-264-1036</t>
  </si>
  <si>
    <t>Robert Reynolds</t>
  </si>
  <si>
    <t>rodreyno@indiana.edu</t>
  </si>
  <si>
    <t>Travis Chittum</t>
  </si>
  <si>
    <t>techittum@gmail.com</t>
  </si>
  <si>
    <t>ERIK FOSTER</t>
  </si>
  <si>
    <t>ERIK.R.FOSTER4.MIL@MAIL.MIL</t>
  </si>
  <si>
    <t>Team 19</t>
  </si>
  <si>
    <t>Chris Gilbert</t>
  </si>
  <si>
    <t>317.439.9731</t>
  </si>
  <si>
    <t>chgilbert@isdh.in.gov</t>
  </si>
  <si>
    <t>Quisha Jackson</t>
  </si>
  <si>
    <t>812-344-1391</t>
  </si>
  <si>
    <t>Isadora Gurnell</t>
  </si>
  <si>
    <t>igurnell@gmail.com</t>
  </si>
  <si>
    <t>JARRETT ALLEN</t>
  </si>
  <si>
    <t>jarrett.w.allen.mil@mail.mil</t>
  </si>
  <si>
    <t>Daniel Enriquez</t>
  </si>
  <si>
    <t>daniel.enriquez24.mil@mail.mil</t>
  </si>
  <si>
    <t>Team 20</t>
  </si>
  <si>
    <t>Millie Jines</t>
  </si>
  <si>
    <t>317.519.2611</t>
  </si>
  <si>
    <t>mjines@isdh.in.gov</t>
  </si>
  <si>
    <t>Jamisha Pantoja</t>
  </si>
  <si>
    <t>812-545-1696</t>
  </si>
  <si>
    <t>Brooke Hansen</t>
  </si>
  <si>
    <t>Sierra Jones</t>
  </si>
  <si>
    <t>thelaughinggal@gmail.com</t>
  </si>
  <si>
    <t>Benjamin Laloux</t>
  </si>
  <si>
    <t>laloux20@gmail.com</t>
  </si>
  <si>
    <t>Team 21</t>
  </si>
  <si>
    <t>Sheldon "Alex" Lasher</t>
  </si>
  <si>
    <t>812-719-1071</t>
  </si>
  <si>
    <t>alex.lasher94@yahoo.com</t>
  </si>
  <si>
    <t>Brad Ables</t>
  </si>
  <si>
    <t>812-631-6047</t>
  </si>
  <si>
    <t>Billy Conner</t>
  </si>
  <si>
    <t>1billyconner1@gmail.com</t>
  </si>
  <si>
    <t>Aaron Grayson</t>
  </si>
  <si>
    <t>AARON.M.GRAYSON2.MIL@MAIL.MIL</t>
  </si>
  <si>
    <t>Drake McKee</t>
  </si>
  <si>
    <t>maverick48172@aol.com</t>
  </si>
  <si>
    <t xml:space="preserve">Team 22 </t>
  </si>
  <si>
    <t>Katie Lamoreaux</t>
  </si>
  <si>
    <t>317.376.9273</t>
  </si>
  <si>
    <t>klamoreaux@isdh.in.gov</t>
  </si>
  <si>
    <t>Morgan Young</t>
  </si>
  <si>
    <t>812-881-2482</t>
  </si>
  <si>
    <t>Michael Crone</t>
  </si>
  <si>
    <t>mecrone@gmail.com</t>
  </si>
  <si>
    <t>Victoria Meadows</t>
  </si>
  <si>
    <t>vgmeadows@hotmail.com</t>
  </si>
  <si>
    <t>James Gibbons</t>
  </si>
  <si>
    <t>Team 23</t>
  </si>
  <si>
    <t>Nancy Lasher</t>
  </si>
  <si>
    <t>812-608-1283</t>
  </si>
  <si>
    <t>nlasher@oak.edu</t>
  </si>
  <si>
    <t>Britney Hooper-Davis</t>
  </si>
  <si>
    <t>812-777-6711</t>
  </si>
  <si>
    <t>Jonathon Miller</t>
  </si>
  <si>
    <t>Juan Gamez</t>
  </si>
  <si>
    <t>NICHOLAS SLOAN</t>
  </si>
  <si>
    <t>NICHOLAS.W.SLOAN.MIL@MAIL.MIL</t>
  </si>
  <si>
    <t xml:space="preserve">Number of Hours for Testing </t>
  </si>
  <si>
    <t xml:space="preserve">Number of Hours Total for Site </t>
  </si>
  <si>
    <t>TEAM #</t>
  </si>
  <si>
    <t>Day</t>
  </si>
  <si>
    <t xml:space="preserve">Visit Time </t>
  </si>
  <si>
    <t># of Coolers Needed</t>
  </si>
  <si>
    <t xml:space="preserve">Cooler Size </t>
  </si>
  <si>
    <t>Cooler Count Delivered</t>
  </si>
  <si>
    <t/>
  </si>
  <si>
    <t>8 am - 1 pm</t>
  </si>
  <si>
    <t>Small</t>
  </si>
  <si>
    <t>8 am - 12:30 pm</t>
  </si>
  <si>
    <t>1 pm - 4:30 pm</t>
  </si>
  <si>
    <t>8 am - 11 am</t>
  </si>
  <si>
    <t>#N/A</t>
  </si>
  <si>
    <t xml:space="preserve">501 N. Lincoln Ave. </t>
  </si>
  <si>
    <t>Fowler, IN 47944</t>
  </si>
  <si>
    <t>12 noon - 3 pm</t>
  </si>
  <si>
    <t>1 pm - 5:30 pm</t>
  </si>
  <si>
    <t>8 am - 9:30 am</t>
  </si>
  <si>
    <t>This facility will be testing an Abbott Machine.  Asked Mr. Evans (via email) to get in touch with ED.</t>
  </si>
  <si>
    <t>10 am - 5:00 pm</t>
  </si>
  <si>
    <t>2196615100</t>
  </si>
  <si>
    <t>Crown Point, IN 46307</t>
  </si>
  <si>
    <t>11:30 am - 9 pm</t>
  </si>
  <si>
    <t>8 am - 2 pm</t>
  </si>
  <si>
    <t>2:30 p - 7:30 pm</t>
  </si>
  <si>
    <t>1:30 - 6:30</t>
  </si>
  <si>
    <t>8 am - 12 noon</t>
  </si>
  <si>
    <t>2199772600</t>
  </si>
  <si>
    <t>Gary, IN 46404</t>
  </si>
  <si>
    <t>12:30 - 4:30 pm</t>
  </si>
  <si>
    <t>11:30 am - 3 pm</t>
  </si>
  <si>
    <t>3:30  pm - 7 pm</t>
  </si>
  <si>
    <t>1:30 pm - 5:30 pm</t>
  </si>
  <si>
    <t>12:30 pm - 3 pm</t>
  </si>
  <si>
    <t>8 am  - 4 pm</t>
  </si>
  <si>
    <t>4:30 - 8:30 pm</t>
  </si>
  <si>
    <t>8 am - 1:30 pm</t>
  </si>
  <si>
    <t>11:30 am - 3:30 pm</t>
  </si>
  <si>
    <t>2196633860</t>
  </si>
  <si>
    <t>2198822563</t>
  </si>
  <si>
    <t>Gary, IN 46407</t>
  </si>
  <si>
    <t>1:30 pm - 6 pm</t>
  </si>
  <si>
    <t>Kit Delivery and Pickup Model</t>
  </si>
  <si>
    <t>Onsite Sample Collection Model</t>
  </si>
  <si>
    <t>Minues per hour</t>
  </si>
  <si>
    <t xml:space="preserve">Number of individuals each 9 person strike force can see per hour (1 site lead, 3 swabbers, 5 registration personnel) </t>
  </si>
  <si>
    <t>8 am - 5:30 pm</t>
  </si>
  <si>
    <t>8 am - 3:30 pm</t>
  </si>
  <si>
    <t>8 am - 2:30 pm</t>
  </si>
  <si>
    <t>1:30 - 6:30 pm</t>
  </si>
  <si>
    <t>1:30 - 6 pm</t>
  </si>
  <si>
    <t>12:30 pm - 4:30 pm</t>
  </si>
  <si>
    <t>5 pm - 8:30 pm</t>
  </si>
  <si>
    <t xml:space="preserve">   811 E 12th Street</t>
  </si>
  <si>
    <t xml:space="preserve">Golden Living Center Fountainview </t>
  </si>
  <si>
    <t>609 W. Tanglewood Ln.</t>
  </si>
  <si>
    <t>Mishawaka, IN 46545</t>
  </si>
  <si>
    <t>11:30am-3:30pm</t>
  </si>
  <si>
    <t>2 pm - 5 pm</t>
  </si>
  <si>
    <t>8 am  - 7 pm</t>
  </si>
  <si>
    <t>Smalll</t>
  </si>
  <si>
    <t>8 am - 4 pm</t>
  </si>
  <si>
    <t>3176535767</t>
  </si>
  <si>
    <t>Goshen, IN 46526</t>
  </si>
  <si>
    <t>12:30 pm - 5:30 pm</t>
  </si>
  <si>
    <t>1 pm - 5 :30 pm</t>
  </si>
  <si>
    <t>1 pm - 5 pm</t>
  </si>
  <si>
    <t>8 am - 11:30 am</t>
  </si>
  <si>
    <t>12 noon - 3:30 pm</t>
  </si>
  <si>
    <t>3 pm - 7 pm</t>
  </si>
  <si>
    <t xml:space="preserve">6:30 - 9:30 pm </t>
  </si>
  <si>
    <t xml:space="preserve">8 am - 11 am </t>
  </si>
  <si>
    <t>11:30 am - 2:30 pm</t>
  </si>
  <si>
    <t>3 pm - 5 pm</t>
  </si>
  <si>
    <t>5:30 pm - 9 pm</t>
  </si>
  <si>
    <t xml:space="preserve">8 am - 10 am </t>
  </si>
  <si>
    <t>10:30 am - 1:30 pm</t>
  </si>
  <si>
    <t>1 pm - 4 pm</t>
  </si>
  <si>
    <t>5742956260</t>
  </si>
  <si>
    <t>Elkhart, IN 46517</t>
  </si>
  <si>
    <t>3+4</t>
  </si>
  <si>
    <t>6/25 + 6/26</t>
  </si>
  <si>
    <t>5+6</t>
  </si>
  <si>
    <t>1+2</t>
  </si>
  <si>
    <t>12:30 pm - 3:30 pm</t>
  </si>
  <si>
    <t>11:30 am - 4:30 pm</t>
  </si>
  <si>
    <t>8 am - 12 :30 pm</t>
  </si>
  <si>
    <t>2608972841</t>
  </si>
  <si>
    <t>Avilla, IN 46710</t>
  </si>
  <si>
    <t xml:space="preserve">Per Email from Russ @ Probari, facility cancelled on 6/10 </t>
  </si>
  <si>
    <t>4 pm - 7 pm</t>
  </si>
  <si>
    <t>12 noon - 2:30 pm</t>
  </si>
  <si>
    <t>8 am - 6 pm</t>
  </si>
  <si>
    <t>2604845555</t>
  </si>
  <si>
    <t>Fort Wayne, In  46805</t>
  </si>
  <si>
    <t>2603732111</t>
  </si>
  <si>
    <t>Fort Wayne, IN 46845</t>
  </si>
  <si>
    <t>8 am - 3 pm</t>
  </si>
  <si>
    <t>2604714770</t>
  </si>
  <si>
    <t>1:30 pm - 6:30 pm</t>
  </si>
  <si>
    <t>1:30 pm - 9:30 pm</t>
  </si>
  <si>
    <t>12:30 pm - 5 pm</t>
  </si>
  <si>
    <t>1 pm - 7 pm</t>
  </si>
  <si>
    <t>8 am - 11:30 pm</t>
  </si>
  <si>
    <t>12 noon - 2 pm</t>
  </si>
  <si>
    <t>2:30 pm - 6:30 pm</t>
  </si>
  <si>
    <t>2606227821</t>
  </si>
  <si>
    <t>Ossian, IN 46777</t>
  </si>
  <si>
    <t>11:30 am - 5 pm</t>
  </si>
  <si>
    <t xml:space="preserve">8 am - 11:30 am </t>
  </si>
  <si>
    <t>2:30 pm - 4:30 pm</t>
  </si>
  <si>
    <t>8 am - 7 pm</t>
  </si>
  <si>
    <t>12:30 pm - 4 pm</t>
  </si>
  <si>
    <t>7656629350</t>
  </si>
  <si>
    <t>La fontaine, IN 46940</t>
  </si>
  <si>
    <t>12:30 pm - 2:30 pm</t>
  </si>
  <si>
    <t>2604437300</t>
  </si>
  <si>
    <t>Fort Wayne, IN 46804</t>
  </si>
  <si>
    <t>8 am -  2:30</t>
  </si>
  <si>
    <t xml:space="preserve">8 am - 12:30 pm </t>
  </si>
  <si>
    <t>12:30 pm - 6:00 pm</t>
  </si>
  <si>
    <t>7654234861</t>
  </si>
  <si>
    <t>Lafayette, In  47904</t>
  </si>
  <si>
    <t>12 noon - 5 pm</t>
  </si>
  <si>
    <t>3 pm - 6 pm</t>
  </si>
  <si>
    <t>8:00am-2:30pm</t>
  </si>
  <si>
    <t>8 am - 10:30 am</t>
  </si>
  <si>
    <t>11:00 am - 3:00 pm</t>
  </si>
  <si>
    <t>8 am - 1: 30 pm</t>
  </si>
  <si>
    <t>11 am - 1 pm</t>
  </si>
  <si>
    <t xml:space="preserve">Small </t>
  </si>
  <si>
    <t>11:30 - 2 pm</t>
  </si>
  <si>
    <t>8 am - 6:00 pm</t>
  </si>
  <si>
    <t>12:30 pm - 4 :30 pm</t>
  </si>
  <si>
    <t>noon - 7 pm</t>
  </si>
  <si>
    <t>3173538061</t>
  </si>
  <si>
    <t>Indianapolis, IN 46219</t>
  </si>
  <si>
    <t>3179231518</t>
  </si>
  <si>
    <t>Indianapolis, IN 46222</t>
  </si>
  <si>
    <t>3172986255</t>
  </si>
  <si>
    <t>Indianapolis, IN 46268</t>
  </si>
  <si>
    <t>1 pm - 3 pm</t>
  </si>
  <si>
    <t>3177878253</t>
  </si>
  <si>
    <t>Indianapolis, IN 46227</t>
  </si>
  <si>
    <t>3:30 pm - 7:30 pm</t>
  </si>
  <si>
    <t>3176348330</t>
  </si>
  <si>
    <t>3173819405</t>
  </si>
  <si>
    <t>Indianapolis, IN 46241</t>
  </si>
  <si>
    <t>11 pm - 1:30 pm</t>
  </si>
  <si>
    <t>3177884261</t>
  </si>
  <si>
    <t>Indianapolis, IN 46237</t>
  </si>
  <si>
    <t>2 pm - 7 pm</t>
  </si>
  <si>
    <t>3177875364</t>
  </si>
  <si>
    <t>3178134444</t>
  </si>
  <si>
    <t>Fishers, IN 46037</t>
  </si>
  <si>
    <t>12:30 pm - 6:30 pm</t>
  </si>
  <si>
    <t>3178445050</t>
  </si>
  <si>
    <t>Westfield, IN 46074</t>
  </si>
  <si>
    <t>3177339560</t>
  </si>
  <si>
    <t>Carmel, IN 46032</t>
  </si>
  <si>
    <t>1:30 pm - 4:30 pm</t>
  </si>
  <si>
    <t>8 am - 10 am</t>
  </si>
  <si>
    <t>10:30 am - 12:30 pm</t>
  </si>
  <si>
    <t xml:space="preserve">Per note from Russ @ Probari facility no longer needs ISDH. Removed by PK on 6/10 </t>
  </si>
  <si>
    <t>3178387070</t>
  </si>
  <si>
    <t>Plainfield, IN 46168</t>
  </si>
  <si>
    <t>12 noon - 4:30 pm</t>
  </si>
  <si>
    <t>11:30 am - 5:30 pm</t>
  </si>
  <si>
    <t>Golden Living- Indianapolis</t>
  </si>
  <si>
    <t>2860 Churchman Ave.</t>
  </si>
  <si>
    <t>Indianapolis, IN 46203</t>
  </si>
  <si>
    <t>12:30:pm-5:00pm</t>
  </si>
  <si>
    <t>3175353344</t>
  </si>
  <si>
    <t>Greenwood, IN 46143</t>
  </si>
  <si>
    <t>7657636012</t>
  </si>
  <si>
    <t>Morristown, IN 46161</t>
  </si>
  <si>
    <t>10:30 am - 3:30 pm</t>
  </si>
  <si>
    <t>4 pm - 8:30 pm</t>
  </si>
  <si>
    <t>3173923287</t>
  </si>
  <si>
    <t>Shelbyville, IN 46176</t>
  </si>
  <si>
    <t>7655254371</t>
  </si>
  <si>
    <t>Waldron, IN 46182</t>
  </si>
  <si>
    <t>6 pm - 9 pm</t>
  </si>
  <si>
    <t>1 pm- 3 pm</t>
  </si>
  <si>
    <t>3:30 pm - 5:30 pm</t>
  </si>
  <si>
    <t>3178426668</t>
  </si>
  <si>
    <t>5226 E 82nd St</t>
  </si>
  <si>
    <t>Indianapolis, IN 46250</t>
  </si>
  <si>
    <t>8am-3pm</t>
  </si>
  <si>
    <t>8am-11:30am</t>
  </si>
  <si>
    <t>noon-5pm</t>
  </si>
  <si>
    <t>7656283377</t>
  </si>
  <si>
    <t>Greentown, IN 46936</t>
  </si>
  <si>
    <t xml:space="preserve">Per note from Russ @ Probari on 6/10, facility is cancelling </t>
  </si>
  <si>
    <t>12:30pm-3:30pm</t>
  </si>
  <si>
    <t>8am-11am</t>
  </si>
  <si>
    <t>11:30am-6pm</t>
  </si>
  <si>
    <t>8am-2pm</t>
  </si>
  <si>
    <t>8am-noon</t>
  </si>
  <si>
    <t>12:30pm-4pm</t>
  </si>
  <si>
    <t>noon-1:30pm</t>
  </si>
  <si>
    <t>7657787501</t>
  </si>
  <si>
    <t>Pendleton, IN 46064</t>
  </si>
  <si>
    <t>2pm-7pm</t>
  </si>
  <si>
    <t>7656494558</t>
  </si>
  <si>
    <t>Anderson, IN 46016</t>
  </si>
  <si>
    <t>12:30pm-5pm</t>
  </si>
  <si>
    <t xml:space="preserve">4pm-7pm </t>
  </si>
  <si>
    <t xml:space="preserve">11:30am-2:30pm </t>
  </si>
  <si>
    <t>11:30am-1:30pm</t>
  </si>
  <si>
    <t>8am-3:30pm</t>
  </si>
  <si>
    <t>8am-1:30pm</t>
  </si>
  <si>
    <t>12:30pm-6pm</t>
  </si>
  <si>
    <t>12:30pm-3pm</t>
  </si>
  <si>
    <t>8am-12:30pm</t>
  </si>
  <si>
    <t>1pm-4pm</t>
  </si>
  <si>
    <t>11am-2pm</t>
  </si>
  <si>
    <t>2:30pm-5pm</t>
  </si>
  <si>
    <t>8am-10:30am</t>
  </si>
  <si>
    <t>11:00am-1:00pm</t>
  </si>
  <si>
    <t>1:30pm-5pm</t>
  </si>
  <si>
    <t>7654688280</t>
  </si>
  <si>
    <t>Parker City, IN 47368</t>
  </si>
  <si>
    <t>1pm-4:30pm</t>
  </si>
  <si>
    <t>8am-10:00am</t>
  </si>
  <si>
    <t xml:space="preserve">8am-1:30pm </t>
  </si>
  <si>
    <t>Golden Living- Golden Rule</t>
  </si>
  <si>
    <t xml:space="preserve">2330 Straight Line Pike </t>
  </si>
  <si>
    <t>Richmond, IN 47374</t>
  </si>
  <si>
    <t>2pm-6:00pm</t>
  </si>
  <si>
    <t>8am-1pm</t>
  </si>
  <si>
    <t xml:space="preserve">1:30pm-6:00pm </t>
  </si>
  <si>
    <t>8am-10am</t>
  </si>
  <si>
    <t>10:30am-1:00pm</t>
  </si>
  <si>
    <t>1:30pm-4:00pm</t>
  </si>
  <si>
    <t xml:space="preserve">11:00am-3:30pm </t>
  </si>
  <si>
    <t>2pm-6pm</t>
  </si>
  <si>
    <t>10:30am-12:30pm</t>
  </si>
  <si>
    <t xml:space="preserve">Majestic Care of Connersville </t>
  </si>
  <si>
    <t xml:space="preserve">1029 E. 5th St. </t>
  </si>
  <si>
    <t>Connorsville, IN 47331</t>
  </si>
  <si>
    <t>8am-2:30pm</t>
  </si>
  <si>
    <t>8am-12pm</t>
  </si>
  <si>
    <t>8124462636</t>
  </si>
  <si>
    <t>Brazil, IN 47834</t>
  </si>
  <si>
    <t>11:30am-6:30pm</t>
  </si>
  <si>
    <t>12:30pm-4:30pm</t>
  </si>
  <si>
    <t>1:30pm-5:30pm</t>
  </si>
  <si>
    <t>1pm-5:30pm</t>
  </si>
  <si>
    <t>11:30am-4:30pm</t>
  </si>
  <si>
    <t xml:space="preserve">Per Russ from Probari on 6/10, all staff were recently completed at nearby Optum site. </t>
  </si>
  <si>
    <t>Harrison's Crossing Health Campus</t>
  </si>
  <si>
    <t xml:space="preserve">Per email from Russ @ Probari on 6/10 facility is being removed by PK on 6/10. </t>
  </si>
  <si>
    <t>8128293444</t>
  </si>
  <si>
    <t>Spencer, IN 47460</t>
  </si>
  <si>
    <t>8123232858</t>
  </si>
  <si>
    <t>Bloomington, IN 47408</t>
  </si>
  <si>
    <t>1:30pm-6pm</t>
  </si>
  <si>
    <t>5pm-7:30pm</t>
  </si>
  <si>
    <t>6pm-8pm</t>
  </si>
  <si>
    <t>1:30pm-4:30pm</t>
  </si>
  <si>
    <t>5pm-7pm</t>
  </si>
  <si>
    <t>1pm-5pm</t>
  </si>
  <si>
    <t>8125222416</t>
  </si>
  <si>
    <t>Seymour, IN 47274</t>
  </si>
  <si>
    <t>5pm-8:30pm</t>
  </si>
  <si>
    <t>11:30Am-2pm</t>
  </si>
  <si>
    <t>8122792001</t>
  </si>
  <si>
    <t>Bedford, IN 47421</t>
  </si>
  <si>
    <t>2:30pm-4:30pm</t>
  </si>
  <si>
    <t>11:30am-4pm</t>
  </si>
  <si>
    <t xml:space="preserve">Per email from Russ @ Probari, facility does not need tested. </t>
  </si>
  <si>
    <t>8am-11:00am</t>
  </si>
  <si>
    <t>11:30am-2:00pm</t>
  </si>
  <si>
    <t>2:30pm-5:30pm</t>
  </si>
  <si>
    <t>8124325226</t>
  </si>
  <si>
    <t>Dillsboro, IN 47018</t>
  </si>
  <si>
    <t>8129342436</t>
  </si>
  <si>
    <t>958 E State Road 46</t>
  </si>
  <si>
    <t>Batesville, IN 47006</t>
  </si>
  <si>
    <t>4pm-6:30pm</t>
  </si>
  <si>
    <t>12:30pm-5:30pm</t>
  </si>
  <si>
    <t>8122734640</t>
  </si>
  <si>
    <t>Madison, IN 47250</t>
  </si>
  <si>
    <t>4:00pm-6:00pm</t>
  </si>
  <si>
    <t>4:00pm-6:30pm</t>
  </si>
  <si>
    <t>11:30am-3pm</t>
  </si>
  <si>
    <t>1pm-6pm</t>
  </si>
  <si>
    <t xml:space="preserve">Floyd </t>
  </si>
  <si>
    <t xml:space="preserve">326 Country Club Dr. </t>
  </si>
  <si>
    <t>New Albany, IN 47150</t>
  </si>
  <si>
    <t>8am-11pm</t>
  </si>
  <si>
    <t>Miller's Merry Manor (Rockport)</t>
  </si>
  <si>
    <t>11:30am-2:30pm</t>
  </si>
  <si>
    <t xml:space="preserve">11am-1:30pm </t>
  </si>
  <si>
    <t>8126627778</t>
  </si>
  <si>
    <t>Greensburg, IN 47240</t>
  </si>
  <si>
    <t xml:space="preserve">90ish per facility - this overrides any other Heritage House facilities as I spoke to a corporate nurse, Greensburg, New Castle, Richmond, and Shelbyville. PK 6/10/20- Per email to Millie Jines, the facility has either tested, or made other plans to test, all staff and does not want/need our support. PK removed from schedule on 6/10. </t>
  </si>
  <si>
    <t>8am-6pm</t>
  </si>
  <si>
    <t>Coolers Needed/Day</t>
  </si>
  <si>
    <t>12pm-3:30pm</t>
  </si>
  <si>
    <t>4:30pm-7:30pm</t>
  </si>
  <si>
    <t>8122547159</t>
  </si>
  <si>
    <t>Washington, IN 47501</t>
  </si>
  <si>
    <t>8pm-10pm</t>
  </si>
  <si>
    <t>8pm-2:30pm</t>
  </si>
  <si>
    <t>2:30pm-6:30pm</t>
  </si>
  <si>
    <t>7pm-10pm</t>
  </si>
  <si>
    <t>11:30am-2pm</t>
  </si>
  <si>
    <t>12pm-4pm</t>
  </si>
  <si>
    <t>4:30pm-8pm</t>
  </si>
  <si>
    <t>4pm-7pm</t>
  </si>
  <si>
    <t>2:30pm-7:30pm</t>
  </si>
  <si>
    <t>8126347750</t>
  </si>
  <si>
    <t>Jasper, IN 47546</t>
  </si>
  <si>
    <t>4:30pm-6:30pm</t>
  </si>
  <si>
    <t>Golden Living Center- Lincoln Hills</t>
  </si>
  <si>
    <t>402 19th St.</t>
  </si>
  <si>
    <t>Tell City, IN 47586</t>
  </si>
  <si>
    <t xml:space="preserve">800 W. 9th St. </t>
  </si>
  <si>
    <t xml:space="preserve">Strike team staff would need to in the front of the hospital and ask for Michelle Weininger </t>
  </si>
  <si>
    <t>8128585300</t>
  </si>
  <si>
    <t>Newburgh, IN 47630</t>
  </si>
  <si>
    <t>8am-4:30pm</t>
  </si>
  <si>
    <t>4pm-7:30pm</t>
  </si>
  <si>
    <t>8124242941</t>
  </si>
  <si>
    <t>Evansville, IN 47720</t>
  </si>
  <si>
    <t>1:30pm-6:30pm</t>
  </si>
  <si>
    <t>5:30pm-9pm</t>
  </si>
  <si>
    <t>8124248100</t>
  </si>
  <si>
    <t>5pm-9pm</t>
  </si>
  <si>
    <t>11:30pm-2:30pm</t>
  </si>
  <si>
    <t>8am-8pm</t>
  </si>
  <si>
    <t>Number</t>
  </si>
  <si>
    <t>Theme</t>
  </si>
  <si>
    <t>ONSITE</t>
  </si>
  <si>
    <t>GREEN</t>
  </si>
  <si>
    <t>KITS</t>
  </si>
  <si>
    <t>Telephone</t>
  </si>
  <si>
    <t>AL?</t>
  </si>
  <si>
    <t>Trim</t>
  </si>
  <si>
    <t>1717 SENIOR LIVING LLC</t>
  </si>
  <si>
    <t xml:space="preserve">   Administrator: JANET TURNER</t>
  </si>
  <si>
    <t xml:space="preserve">   Tel: (317)876-2916</t>
  </si>
  <si>
    <t xml:space="preserve">   1703 W 86TH STREET</t>
  </si>
  <si>
    <t xml:space="preserve">   INDIANAPOLIS, IN 46260</t>
  </si>
  <si>
    <t>ADAMS HERITAGE</t>
  </si>
  <si>
    <t xml:space="preserve">   Administrator: MARIA DIAZ</t>
  </si>
  <si>
    <t xml:space="preserve">   12011 WHITTERN RD</t>
  </si>
  <si>
    <t xml:space="preserve">   MONROEVILLE, IN 46773</t>
  </si>
  <si>
    <t>ADAMS WOODCREST</t>
  </si>
  <si>
    <t xml:space="preserve">   Administrator: CRAIG PROKUPEK</t>
  </si>
  <si>
    <t xml:space="preserve">   1300 MERCER AVE</t>
  </si>
  <si>
    <t xml:space="preserve">   DECATUR, IN 46733</t>
  </si>
  <si>
    <t>ADDISON PLACE</t>
  </si>
  <si>
    <t xml:space="preserve">   Administrator: JACKIE ADAMS</t>
  </si>
  <si>
    <t xml:space="preserve">   Tel: (765)521-3220</t>
  </si>
  <si>
    <t xml:space="preserve">   2244 Q AVE</t>
  </si>
  <si>
    <t xml:space="preserve">   NEW CASTLE, IN 47362</t>
  </si>
  <si>
    <t>ADDISON POINTE HEALTH &amp; REHABILITATION CENTER</t>
  </si>
  <si>
    <t xml:space="preserve">   Administrator: CAROL WHITEHEAD</t>
  </si>
  <si>
    <t xml:space="preserve">   780 DICKINSON ROAD</t>
  </si>
  <si>
    <t xml:space="preserve">   CHESTERTON, IN 46304</t>
  </si>
  <si>
    <t>ALBANY HEALTH CARE &amp; REHABILITATION CENTER</t>
  </si>
  <si>
    <t xml:space="preserve">   Administrator: STACIA DAWSON</t>
  </si>
  <si>
    <t xml:space="preserve">   910 W WALNUT ST</t>
  </si>
  <si>
    <t xml:space="preserve">   ALBANY, IN 47320</t>
  </si>
  <si>
    <t>ALEXANDRIA CARE CENTER</t>
  </si>
  <si>
    <t xml:space="preserve">   Administrator: ELIZABETH LOUISE PATTON</t>
  </si>
  <si>
    <t xml:space="preserve">   1912 S PARK AVE</t>
  </si>
  <si>
    <t xml:space="preserve">   ALEXANDRIA, IN 46001</t>
  </si>
  <si>
    <t>ALLISON POINTE HEALTHCARE CENTER</t>
  </si>
  <si>
    <t xml:space="preserve">   Administrator: PATRICK BURDSALL</t>
  </si>
  <si>
    <t xml:space="preserve">   Tel: (317)842-6668</t>
  </si>
  <si>
    <t xml:space="preserve">   5226 E 82ND ST</t>
  </si>
  <si>
    <t xml:space="preserve">   INDIANAPOLIS, IN 46250</t>
  </si>
  <si>
    <t>ALLISONVILLE MEADOWS</t>
  </si>
  <si>
    <t xml:space="preserve">   Administrator: ANTHONY LINK</t>
  </si>
  <si>
    <t xml:space="preserve">   10312 ALLISONVILLE RD</t>
  </si>
  <si>
    <t xml:space="preserve">   FISHERS, IN 46038</t>
  </si>
  <si>
    <t xml:space="preserve">   ALLISONVILLE MEADOWS ASSISTED LIVING</t>
  </si>
  <si>
    <t xml:space="preserve">   Administrator: CARRIE HAMILTON</t>
  </si>
  <si>
    <t xml:space="preserve">   Tel: (317)436-6400</t>
  </si>
  <si>
    <t xml:space="preserve">   10410 ALLISONVILLE ROAD</t>
  </si>
  <si>
    <t>ALPHA HOME - A WATERS COMMUNITY</t>
  </si>
  <si>
    <t xml:space="preserve">   Administrator: ARLICE HARRIS</t>
  </si>
  <si>
    <t xml:space="preserve">   Tel: (317)923-1518</t>
  </si>
  <si>
    <t xml:space="preserve">   2640 COLD SPRING RD</t>
  </si>
  <si>
    <t xml:space="preserve">   INDIANAPOLIS, IN 46222</t>
  </si>
  <si>
    <t>ALTENHEIM HEALTH &amp; LIVING COMMUNITY</t>
  </si>
  <si>
    <t xml:space="preserve">   Administrator: MEGAN WHITE</t>
  </si>
  <si>
    <t xml:space="preserve">   Tel: (317)788-4261</t>
  </si>
  <si>
    <t xml:space="preserve">   3525 E HANNA AVE</t>
  </si>
  <si>
    <t xml:space="preserve">   INDIANAPOLIS, IN 46237</t>
  </si>
  <si>
    <t>AMBASSADOR HEALTHCARE</t>
  </si>
  <si>
    <t xml:space="preserve">   Administrator: MELISSA MANTOOTH</t>
  </si>
  <si>
    <t xml:space="preserve">   705 E MAIN ST</t>
  </si>
  <si>
    <t xml:space="preserve">   CENTERVILLE, IN 47330</t>
  </si>
  <si>
    <t>AMBER MANOR CARE CENTER</t>
  </si>
  <si>
    <t xml:space="preserve">   Administrator: CINDI LENTS</t>
  </si>
  <si>
    <t xml:space="preserve">   801 E ILLINOIS ST</t>
  </si>
  <si>
    <t xml:space="preserve">   PETERSBURG, IN 47567</t>
  </si>
  <si>
    <t>AMERICAN VILLAGE</t>
  </si>
  <si>
    <t xml:space="preserve">   Administrator: SAMUEL CREEL</t>
  </si>
  <si>
    <t xml:space="preserve">   2026 EAST 54TH ST</t>
  </si>
  <si>
    <t xml:space="preserve">   INDIANAPOLIS, IN 46220</t>
  </si>
  <si>
    <t xml:space="preserve">   ANSON SENIOR LIVING</t>
  </si>
  <si>
    <t xml:space="preserve">   Administrator: COLE STITES</t>
  </si>
  <si>
    <t xml:space="preserve">   Tel: (317)973-0220</t>
  </si>
  <si>
    <t xml:space="preserve">   6800 CENTRAL BOULEVARD</t>
  </si>
  <si>
    <t xml:space="preserve">   ZIONSVILLE, IN 46077</t>
  </si>
  <si>
    <t>ANTHOLOGY OF MERIDIAN HILLS</t>
  </si>
  <si>
    <t xml:space="preserve">   Administrator: ANGELA MARTINEZ</t>
  </si>
  <si>
    <t xml:space="preserve">   Tel: (317)253-2020</t>
  </si>
  <si>
    <t xml:space="preserve">   8549 N MERIDIAN STREET</t>
  </si>
  <si>
    <t>APERION CARE ANGOLA</t>
  </si>
  <si>
    <t xml:space="preserve">   Administrator: KRISTINA DEWEY</t>
  </si>
  <si>
    <t xml:space="preserve">   500 N WILLIAMS ST</t>
  </si>
  <si>
    <t xml:space="preserve">   ANGOLA, IN 46703</t>
  </si>
  <si>
    <t>APERION CARE ARBORS MICHIGAN CITY</t>
  </si>
  <si>
    <t xml:space="preserve">   Administrator: KELLY DUHAIME</t>
  </si>
  <si>
    <t xml:space="preserve">   1101 E COOLSPRING AVE</t>
  </si>
  <si>
    <t xml:space="preserve">   MICHIGAN CITY, IN 46360</t>
  </si>
  <si>
    <t>APERION CARE DEMOTTE</t>
  </si>
  <si>
    <t xml:space="preserve">   Administrator: SHERRIE LAMORE</t>
  </si>
  <si>
    <t xml:space="preserve">   10352 N 600 E  COUNTY LINE RD</t>
  </si>
  <si>
    <t xml:space="preserve">   DEMOTTE, IN 46310</t>
  </si>
  <si>
    <t>APERION CARE FORT WAYNE</t>
  </si>
  <si>
    <t xml:space="preserve">   Administrator: JEANNINE HIATT</t>
  </si>
  <si>
    <t xml:space="preserve">   5700 WILKIE DR</t>
  </si>
  <si>
    <t xml:space="preserve">   FORT WAYNE, IN 46804</t>
  </si>
  <si>
    <t>APERION CARE FRANKFORT</t>
  </si>
  <si>
    <t xml:space="preserve">   Administrator: TRACY WELLS</t>
  </si>
  <si>
    <t xml:space="preserve">   809 W FREEMAN ST</t>
  </si>
  <si>
    <t xml:space="preserve">   FRANKFORT, IN 46041</t>
  </si>
  <si>
    <t>APERION CARE KOKOMO</t>
  </si>
  <si>
    <t xml:space="preserve">   Administrator: ROBERTA SCOTT</t>
  </si>
  <si>
    <t xml:space="preserve">   3518 S LAFOUNTAIN ST</t>
  </si>
  <si>
    <t xml:space="preserve">   KOKOMO, IN 46902</t>
  </si>
  <si>
    <t>APERION CARE MARION LLC</t>
  </si>
  <si>
    <t xml:space="preserve">   Administrator: JEFFREY ATTINGER</t>
  </si>
  <si>
    <t xml:space="preserve">   614 WEST 14TH STREET</t>
  </si>
  <si>
    <t xml:space="preserve">   MARION, IN 46953</t>
  </si>
  <si>
    <t>APERION CARE PERU</t>
  </si>
  <si>
    <t xml:space="preserve">   Administrator: TAMMY MATTHEWS</t>
  </si>
  <si>
    <t xml:space="preserve">   1850 WEST MATADOR ST</t>
  </si>
  <si>
    <t xml:space="preserve">   PERU, IN 46970</t>
  </si>
  <si>
    <t>APERION CARE SPENCER LLC</t>
  </si>
  <si>
    <t xml:space="preserve">   Administrator: SARA MITCHELL</t>
  </si>
  <si>
    <t xml:space="preserve">   Tel: (812)829-3444</t>
  </si>
  <si>
    <t xml:space="preserve">   210 STATE HWY 43</t>
  </si>
  <si>
    <t xml:space="preserve">   SPENCER, IN 47460</t>
  </si>
  <si>
    <t>APERION CARE TOLLESTON PARK</t>
  </si>
  <si>
    <t xml:space="preserve">   Administrator: KRISTINA HERRERA</t>
  </si>
  <si>
    <t xml:space="preserve">   Tel: (219)977-2600</t>
  </si>
  <si>
    <t xml:space="preserve">   2350 TAFT ST</t>
  </si>
  <si>
    <t xml:space="preserve">   GARY, IN 46404</t>
  </si>
  <si>
    <t>APERION CARE UNIVERSITY PARK</t>
  </si>
  <si>
    <t xml:space="preserve">   Administrator: TAMMY HUNTER</t>
  </si>
  <si>
    <t xml:space="preserve">   1400 MEDICAL PARK DR</t>
  </si>
  <si>
    <t xml:space="preserve">   FORT WAYNE, IN 46825</t>
  </si>
  <si>
    <t>APERION CARE WALDRON LLC</t>
  </si>
  <si>
    <t xml:space="preserve">   Administrator: MANOJ BERRY</t>
  </si>
  <si>
    <t xml:space="preserve">   Tel: (765)525-4371</t>
  </si>
  <si>
    <t xml:space="preserve">   505 N MAIN ST</t>
  </si>
  <si>
    <t xml:space="preserve">   WALDRON, IN 46182</t>
  </si>
  <si>
    <t>APERION ESTATES PERU, LLC</t>
  </si>
  <si>
    <t xml:space="preserve">   Administrator: MICHELLE HINZE</t>
  </si>
  <si>
    <t xml:space="preserve">   1200 KITTY HAWK DRIVE</t>
  </si>
  <si>
    <t xml:space="preserve">   APPLE RIDGE ASSISTED LIVING AND MEMORY CARE</t>
  </si>
  <si>
    <t xml:space="preserve">   Administrator: CAROLE MAYMON</t>
  </si>
  <si>
    <t xml:space="preserve">   Tel: (260)483-4343</t>
  </si>
  <si>
    <t xml:space="preserve">   3320 EAST STATE BOULEVARD</t>
  </si>
  <si>
    <t xml:space="preserve">   FORT WAYNE, IN 46805</t>
  </si>
  <si>
    <t>ARBOR GROVE VILLAGE</t>
  </si>
  <si>
    <t xml:space="preserve">   Administrator: KIMBERLY LINGLE</t>
  </si>
  <si>
    <t xml:space="preserve">   1021 E CENTRAL AVE</t>
  </si>
  <si>
    <t xml:space="preserve">   GREENSBURG, IN 47240</t>
  </si>
  <si>
    <t>ARBOR TRACE HEALTH &amp; LIVING COMMUNITY</t>
  </si>
  <si>
    <t xml:space="preserve">   Administrator: MICHELLE ROSS</t>
  </si>
  <si>
    <t xml:space="preserve">   3701 HODGIN RD</t>
  </si>
  <si>
    <t xml:space="preserve">   RICHMOND, IN 47374</t>
  </si>
  <si>
    <t>ARLINGTON PLACE HEALTH CAMPUS</t>
  </si>
  <si>
    <t xml:space="preserve">   Administrator: ROLAND MANN</t>
  </si>
  <si>
    <t xml:space="preserve">   1635 N ARLINGTON AVE</t>
  </si>
  <si>
    <t xml:space="preserve">   INDIANAPOLIS, IN 46218</t>
  </si>
  <si>
    <t>ASBURY TOWERS HEALTH CARE CENTER</t>
  </si>
  <si>
    <t xml:space="preserve">   Administrator: RODNEY JACKSON</t>
  </si>
  <si>
    <t xml:space="preserve">   102 W POPLAR ST</t>
  </si>
  <si>
    <t xml:space="preserve">   GREENCASTLE, IN 46135</t>
  </si>
  <si>
    <t>ASHFORD PLACE HEALTH CAMPUS</t>
  </si>
  <si>
    <t xml:space="preserve">   Administrator: ZACHARY SIMPSON</t>
  </si>
  <si>
    <t xml:space="preserve">   2200 N RILEY HWY</t>
  </si>
  <si>
    <t xml:space="preserve">   SHELBYVILLE, IN 46176</t>
  </si>
  <si>
    <t>ASHTON CREEK HEALTH AND REHABILITATION CENTER</t>
  </si>
  <si>
    <t xml:space="preserve">   Administrator: MOLLY LINDER</t>
  </si>
  <si>
    <t xml:space="preserve">   Tel: (260)373-2111</t>
  </si>
  <si>
    <t xml:space="preserve">   4111 PARK PLACE DRIVE</t>
  </si>
  <si>
    <t xml:space="preserve">   FORT WAYNE, IN 46845</t>
  </si>
  <si>
    <t>ASPEN PLACE HEALTH CAMPUS</t>
  </si>
  <si>
    <t xml:space="preserve">   Administrator: SHAUN STEELE</t>
  </si>
  <si>
    <t xml:space="preserve">   2320 N MONTGOMERY ROAD</t>
  </si>
  <si>
    <t>ASPEN TRACE HEALTH &amp; LIVING COMMUNITY</t>
  </si>
  <si>
    <t xml:space="preserve">   Administrator: EMILY CARNES</t>
  </si>
  <si>
    <t xml:space="preserve">   Tel: (317)535-3344</t>
  </si>
  <si>
    <t xml:space="preserve">   3154 SOUTH STATE ROAD 135</t>
  </si>
  <si>
    <t xml:space="preserve">   GREENWOOD, IN 46143</t>
  </si>
  <si>
    <t xml:space="preserve">   ASSISTED LIVING AT HARTSFIELD VILLAGE</t>
  </si>
  <si>
    <t xml:space="preserve">   Administrator: LARISSA RUDLOFF</t>
  </si>
  <si>
    <t xml:space="preserve">   Tel: (219)934-0580</t>
  </si>
  <si>
    <t xml:space="preserve">   10002 COLUMBIA AVE</t>
  </si>
  <si>
    <t xml:space="preserve">   MUNSTER, IN 46321</t>
  </si>
  <si>
    <t>ASSISTED LIVING AT ROMWEBER FLATS</t>
  </si>
  <si>
    <t xml:space="preserve">   Administrator: DENNIS PINKERTON</t>
  </si>
  <si>
    <t xml:space="preserve">   Tel: (812)932-3528</t>
  </si>
  <si>
    <t xml:space="preserve">   123 SOUTH DEPOT STREET</t>
  </si>
  <si>
    <t xml:space="preserve">   BATESVILLE, IN 47006</t>
  </si>
  <si>
    <t xml:space="preserve">   ASTER PLACE</t>
  </si>
  <si>
    <t xml:space="preserve">   Administrator: RACHEL MAPLES</t>
  </si>
  <si>
    <t xml:space="preserve">   Tel: (765)446-3540</t>
  </si>
  <si>
    <t xml:space="preserve">   741 PARK EAST BLVD</t>
  </si>
  <si>
    <t xml:space="preserve">   LAFAYETTE, IN 47905</t>
  </si>
  <si>
    <t>AUBURN VILLAGE</t>
  </si>
  <si>
    <t xml:space="preserve">   Administrator: TIMOTHY DAUGHERTY</t>
  </si>
  <si>
    <t xml:space="preserve">   1751 WESLEY ROAD</t>
  </si>
  <si>
    <t xml:space="preserve">   AUBURN, IN 46706</t>
  </si>
  <si>
    <t>AUTUMN GLEN</t>
  </si>
  <si>
    <t xml:space="preserve">   Administrator: MICHELLE MCCLURE</t>
  </si>
  <si>
    <t xml:space="preserve">   Tel: (765)653-6999</t>
  </si>
  <si>
    <t xml:space="preserve">   98 NORTH 10TH STREET</t>
  </si>
  <si>
    <t xml:space="preserve">   AUTUMN HILLS ALZHEIMER'S SPECIAL CARE CENTER</t>
  </si>
  <si>
    <t xml:space="preserve">   Administrator: JACQUELINE ROUTT</t>
  </si>
  <si>
    <t xml:space="preserve">   Tel: (812)335-4655</t>
  </si>
  <si>
    <t xml:space="preserve">   3203 MOORES PIKE ROAD</t>
  </si>
  <si>
    <t xml:space="preserve">   BLOOMINGTON, IN 47401</t>
  </si>
  <si>
    <t>AUTUMN RIDGE REHABILITATION CENTRE</t>
  </si>
  <si>
    <t xml:space="preserve">   Administrator: NATHAN JACKSON</t>
  </si>
  <si>
    <t xml:space="preserve">   600 WASHINGTON AVE</t>
  </si>
  <si>
    <t xml:space="preserve">   WABASH, IN 46992</t>
  </si>
  <si>
    <t>AUTUMN WOODS HEALTH CAMPUS</t>
  </si>
  <si>
    <t xml:space="preserve">   Administrator: KRISTI NOAH</t>
  </si>
  <si>
    <t xml:space="preserve">   2911 GREEN VALLEY RD</t>
  </si>
  <si>
    <t xml:space="preserve">   NEW ALBANY, IN 47150</t>
  </si>
  <si>
    <t>AVALON SPRINGS HEALTH CAMPUS</t>
  </si>
  <si>
    <t xml:space="preserve">   Administrator: CRYSTAL WRAY</t>
  </si>
  <si>
    <t xml:space="preserve">   2400 SILHAVY ROAD</t>
  </si>
  <si>
    <t xml:space="preserve">   VALPARAISO, IN 46383</t>
  </si>
  <si>
    <t>AVALON VILLAGE</t>
  </si>
  <si>
    <t xml:space="preserve">   Administrator: JESSICA ANN SLONE</t>
  </si>
  <si>
    <t xml:space="preserve">   200 KINGSTON CIR</t>
  </si>
  <si>
    <t xml:space="preserve">   LIGONIER, IN 46767</t>
  </si>
  <si>
    <t>AVON HEALTH &amp; REHABILITATION CENTER</t>
  </si>
  <si>
    <t xml:space="preserve">   Administrator: CORY BLACKWELL</t>
  </si>
  <si>
    <t xml:space="preserve">   4171 FOREST POINTE CIRCLE</t>
  </si>
  <si>
    <t xml:space="preserve">   AVON, IN 46123</t>
  </si>
  <si>
    <t>AZALEA HILLS</t>
  </si>
  <si>
    <t xml:space="preserve">   Administrator: CASSANDRA MCCOUN</t>
  </si>
  <si>
    <t xml:space="preserve">   Tel: (812)923-4888</t>
  </si>
  <si>
    <t xml:space="preserve">   3700 LAFAYETTE PKWY</t>
  </si>
  <si>
    <t xml:space="preserve">   FLOYDS KNOBS, IN 47119</t>
  </si>
  <si>
    <t>BARRINGTON OF CARMEL, THE</t>
  </si>
  <si>
    <t xml:space="preserve">   Administrator: KARA OWEN</t>
  </si>
  <si>
    <t xml:space="preserve">   1335 S GUILFORD ROAD</t>
  </si>
  <si>
    <t xml:space="preserve">   CARMEL, IN 46032</t>
  </si>
  <si>
    <t>BEECH GROVE MEADOWS</t>
  </si>
  <si>
    <t xml:space="preserve">   Administrator: JENNA BERRY</t>
  </si>
  <si>
    <t xml:space="preserve">   2002 ALBANY ST</t>
  </si>
  <si>
    <t xml:space="preserve">   BEECH GROVE, IN 46107</t>
  </si>
  <si>
    <t>BELL OAKS PLACE</t>
  </si>
  <si>
    <t xml:space="preserve">   Administrator: DONNA DAVIS</t>
  </si>
  <si>
    <t xml:space="preserve">   Tel: (812)858-0488</t>
  </si>
  <si>
    <t xml:space="preserve">   4200 WYNTREE DR</t>
  </si>
  <si>
    <t xml:space="preserve">   NEWBURGH, IN 47630</t>
  </si>
  <si>
    <t>BELL TRACE HEALTH AND LIVING CENTER</t>
  </si>
  <si>
    <t xml:space="preserve">   Administrator: ANDREW KEEN</t>
  </si>
  <si>
    <t xml:space="preserve">   Tel: (812)323-2858</t>
  </si>
  <si>
    <t xml:space="preserve">   725 BELL TRACE CIRCLE</t>
  </si>
  <si>
    <t xml:space="preserve">   BLOOMINGTON, IN 47408</t>
  </si>
  <si>
    <t>BELLTOWER HEALTH &amp; REHABILITATION CENTER</t>
  </si>
  <si>
    <t xml:space="preserve">   Administrator: MARTI CARMEAN</t>
  </si>
  <si>
    <t xml:space="preserve">   5805 NORTH FIR ROAD</t>
  </si>
  <si>
    <t xml:space="preserve">   GRANGER, IN 46530</t>
  </si>
  <si>
    <t>BELVEDERE SENIOR HOUSING</t>
  </si>
  <si>
    <t xml:space="preserve">   Administrator: SUSAN L TIPTON HUTTEL</t>
  </si>
  <si>
    <t xml:space="preserve">   Tel: (219)769-2145</t>
  </si>
  <si>
    <t xml:space="preserve">   343 E 90TH DRIVE</t>
  </si>
  <si>
    <t xml:space="preserve">   MERRILLVILLE, IN 46410</t>
  </si>
  <si>
    <t>BEN HUR HEALTH AND REHABILITATION</t>
  </si>
  <si>
    <t xml:space="preserve">   Administrator: CARI LIGHTLE</t>
  </si>
  <si>
    <t xml:space="preserve">   1375 S GRANT AVE</t>
  </si>
  <si>
    <t xml:space="preserve">   CRAWFORDSVILLE, IN 47933</t>
  </si>
  <si>
    <t>BENNETT PLACE</t>
  </si>
  <si>
    <t xml:space="preserve">   Administrator: RICHARD PEDERSEN</t>
  </si>
  <si>
    <t xml:space="preserve">   Tel: (812)948-1960</t>
  </si>
  <si>
    <t xml:space="preserve">   3928 HORNE AVE</t>
  </si>
  <si>
    <t>BERTHA D GARTEN KETCHAM MEMORIAL CENTER</t>
  </si>
  <si>
    <t xml:space="preserve">   Administrator: KATHY WITTMER</t>
  </si>
  <si>
    <t xml:space="preserve">   601 E RACE ST</t>
  </si>
  <si>
    <t xml:space="preserve">   ODON, IN 47562</t>
  </si>
  <si>
    <t>BETHANY POINTE HEALTH CAMPUS</t>
  </si>
  <si>
    <t xml:space="preserve">   Administrator: KATRINA KECK</t>
  </si>
  <si>
    <t xml:space="preserve">   1707 BETHANY RD</t>
  </si>
  <si>
    <t xml:space="preserve">   ANDERSON, IN 46012</t>
  </si>
  <si>
    <t>BETHANY VILLAGE</t>
  </si>
  <si>
    <t xml:space="preserve">   Administrator: NEHA PATEL</t>
  </si>
  <si>
    <t xml:space="preserve">   3518 S SHELBY ST</t>
  </si>
  <si>
    <t xml:space="preserve">   INDIANAPOLIS, IN 46227</t>
  </si>
  <si>
    <t>BETHANY VILLAGE ASSISTED LIVING</t>
  </si>
  <si>
    <t xml:space="preserve">   Administrator: DANA HUFFMAN</t>
  </si>
  <si>
    <t xml:space="preserve">   Tel: (317)784-3066</t>
  </si>
  <si>
    <t xml:space="preserve">   3530 S SHELBY ST</t>
  </si>
  <si>
    <t>BETHEL MANOR</t>
  </si>
  <si>
    <t xml:space="preserve">   Administrator: JOSHUA BOWMAN</t>
  </si>
  <si>
    <t xml:space="preserve">   6015 KRATZVILLE RD</t>
  </si>
  <si>
    <t xml:space="preserve">   EVANSVILLE, IN 47710</t>
  </si>
  <si>
    <t>BETHEL POINTE HEALTH AND REHAB</t>
  </si>
  <si>
    <t xml:space="preserve">   Administrator: DEREK GIBSON</t>
  </si>
  <si>
    <t xml:space="preserve">   3400 W COMMUNITY DR</t>
  </si>
  <si>
    <t xml:space="preserve">   MUNCIE, IN 47304</t>
  </si>
  <si>
    <t>BETHLEHEM WOODS NURSING AND REHABILITATION</t>
  </si>
  <si>
    <t xml:space="preserve">   Administrator: JOELYN MORRIS</t>
  </si>
  <si>
    <t xml:space="preserve">   4430 ELSDALE DR</t>
  </si>
  <si>
    <t xml:space="preserve">   FORT WAYNE, IN 46835</t>
  </si>
  <si>
    <t>BETZ NURSING HOME</t>
  </si>
  <si>
    <t xml:space="preserve">   Administrator: LUANNE BETZ-GERIG</t>
  </si>
  <si>
    <t xml:space="preserve">   116 BETZ RD</t>
  </si>
  <si>
    <t xml:space="preserve">   BICKFORD OF CARMEL</t>
  </si>
  <si>
    <t xml:space="preserve">   Administrator: MITCHELL BACKS</t>
  </si>
  <si>
    <t xml:space="preserve">   Tel: (317)807-1500</t>
  </si>
  <si>
    <t xml:space="preserve">   5829  EAST 116TH STREET</t>
  </si>
  <si>
    <t xml:space="preserve">   CARMEL, IN 46033</t>
  </si>
  <si>
    <t xml:space="preserve">   BICKFORD OF CROWN POINT</t>
  </si>
  <si>
    <t xml:space="preserve">   Administrator: LARRY ALLEN</t>
  </si>
  <si>
    <t xml:space="preserve">   Tel: (219)663-0972</t>
  </si>
  <si>
    <t xml:space="preserve">   140 E 107TH AVENUE</t>
  </si>
  <si>
    <t xml:space="preserve">   CROWN POINT, IN 46307</t>
  </si>
  <si>
    <t>BICKFORD OF GREENWOOD</t>
  </si>
  <si>
    <t xml:space="preserve">   Administrator: JULIE MADISON</t>
  </si>
  <si>
    <t xml:space="preserve">   Tel: (317)807-3077</t>
  </si>
  <si>
    <t xml:space="preserve">   3021 STELLA DRIVE</t>
  </si>
  <si>
    <t>BLAIR RIDGE HEALTH CAMPUS</t>
  </si>
  <si>
    <t xml:space="preserve">   Administrator: MICHAEL WRAY</t>
  </si>
  <si>
    <t xml:space="preserve">   269 MEADOWVIEW DR</t>
  </si>
  <si>
    <t>BLISS PLACE</t>
  </si>
  <si>
    <t xml:space="preserve">   Administrator: DOROTHY MCNEELAN</t>
  </si>
  <si>
    <t xml:space="preserve">   Tel: (812)275-2468</t>
  </si>
  <si>
    <t xml:space="preserve">   3008 SHAWNEE DR S</t>
  </si>
  <si>
    <t xml:space="preserve">   BEDFORD, IN 47421</t>
  </si>
  <si>
    <t>BLOOM AT EAGLE CREEK</t>
  </si>
  <si>
    <t xml:space="preserve">   Administrator: HELGA BRADLEY</t>
  </si>
  <si>
    <t xml:space="preserve">   Tel: (317)293-2929</t>
  </si>
  <si>
    <t xml:space="preserve">   5045 W 52ND ST</t>
  </si>
  <si>
    <t xml:space="preserve">   INDIANAPOLIS, IN 46254</t>
  </si>
  <si>
    <t>BLOOM AT GERMAN CHURCH</t>
  </si>
  <si>
    <t xml:space="preserve">   Administrator: JAMES KESLER</t>
  </si>
  <si>
    <t xml:space="preserve">   Tel: (317)249-8902</t>
  </si>
  <si>
    <t xml:space="preserve">   2250 HARVEST MOON DR</t>
  </si>
  <si>
    <t xml:space="preserve">   INDIANAPOLIS, IN 46229</t>
  </si>
  <si>
    <t>BLOOM AT KOKOMO</t>
  </si>
  <si>
    <t xml:space="preserve">   Administrator: GARY BRENT WAYMIRE</t>
  </si>
  <si>
    <t xml:space="preserve">   Tel: (765)455-2828</t>
  </si>
  <si>
    <t xml:space="preserve">   2800 S DIXON RD</t>
  </si>
  <si>
    <t>BLOOMINGTON NURSING AND REHABILITATION CENTER</t>
  </si>
  <si>
    <t xml:space="preserve">   Administrator: CLARA MATHENY</t>
  </si>
  <si>
    <t xml:space="preserve">   120 E MILLER DR</t>
  </si>
  <si>
    <t>BLUFFTON REGIONAL MEDICAL CENTER CARE CENTER</t>
  </si>
  <si>
    <t xml:space="preserve">   Administrator: BRENDA TOMSON</t>
  </si>
  <si>
    <t xml:space="preserve">   303 S MAIN ST</t>
  </si>
  <si>
    <t xml:space="preserve">   BLUFFTON, IN 46714</t>
  </si>
  <si>
    <t>BRAUN'S NURSING HOME</t>
  </si>
  <si>
    <t xml:space="preserve">   Administrator: MARGARET BRAUN</t>
  </si>
  <si>
    <t xml:space="preserve">   909 FIRST AVE</t>
  </si>
  <si>
    <t>BRECKENRIDGE COMMONS</t>
  </si>
  <si>
    <t xml:space="preserve">   Administrator: ERIN LINN CRAIG</t>
  </si>
  <si>
    <t xml:space="preserve">   Tel: (812)268-2000</t>
  </si>
  <si>
    <t xml:space="preserve">   2009 NORTH HOSPITAL BLVD</t>
  </si>
  <si>
    <t xml:space="preserve">   SULLIVAN, IN 47882</t>
  </si>
  <si>
    <t>BRECKENRIDGE HEALTH &amp; REHABILITATION</t>
  </si>
  <si>
    <t xml:space="preserve">   Administrator: SARAH WALL</t>
  </si>
  <si>
    <t xml:space="preserve">   325 W NORTHWOOD DR</t>
  </si>
  <si>
    <t xml:space="preserve">   BRENTWOOD AT HOBART</t>
  </si>
  <si>
    <t xml:space="preserve">   Administrator: STEVEN OWEN</t>
  </si>
  <si>
    <t xml:space="preserve">   Tel: (219)945-1968</t>
  </si>
  <si>
    <t xml:space="preserve">   1420 ST MARY CIR</t>
  </si>
  <si>
    <t xml:space="preserve">   HOBART, IN 46342</t>
  </si>
  <si>
    <t xml:space="preserve">   BRENTWOOD AT LAPORTE</t>
  </si>
  <si>
    <t xml:space="preserve">   Administrator: DAVID HENKE</t>
  </si>
  <si>
    <t xml:space="preserve">   Tel: (219)325-1599</t>
  </si>
  <si>
    <t xml:space="preserve">   2002 ANDREW AVE</t>
  </si>
  <si>
    <t xml:space="preserve">   LA PORTE, IN 46350</t>
  </si>
  <si>
    <t>BRIARCLIFF HEALTH &amp; REHABILITATION CENTER</t>
  </si>
  <si>
    <t xml:space="preserve">   Administrator: CHRISTOPHER PETER</t>
  </si>
  <si>
    <t xml:space="preserve">   5024 WESTERN AVENUE</t>
  </si>
  <si>
    <t xml:space="preserve">   SOUTH BEND, IN 46619</t>
  </si>
  <si>
    <t>BRIDGE AT GARDEN PLAZA</t>
  </si>
  <si>
    <t xml:space="preserve">   Administrator: MARQUE MCKINNOR</t>
  </si>
  <si>
    <t xml:space="preserve">   Tel: (317)271-1020</t>
  </si>
  <si>
    <t xml:space="preserve">   8614 W 10TH  ST</t>
  </si>
  <si>
    <t xml:space="preserve">   INDIANAPOLIS, IN 46234</t>
  </si>
  <si>
    <t>BRIDGEPOINTE HEALTH CAMPUS</t>
  </si>
  <si>
    <t xml:space="preserve">   Administrator: BRIANA CRUTCHFIELD</t>
  </si>
  <si>
    <t xml:space="preserve">   1900 COLLEGE AVE</t>
  </si>
  <si>
    <t xml:space="preserve">   VINCENNES, IN 47591</t>
  </si>
  <si>
    <t>BRIDGEWATER HEALTHCARE CENTER</t>
  </si>
  <si>
    <t xml:space="preserve">   Administrator: TODD SMITH</t>
  </si>
  <si>
    <t xml:space="preserve">   14751 CAREY ROAD</t>
  </si>
  <si>
    <t>BRIDGEWATER REHABILITATION CENTRE</t>
  </si>
  <si>
    <t xml:space="preserve">   Administrator: ROBERT COOK</t>
  </si>
  <si>
    <t xml:space="preserve">   715 N MILL ST</t>
  </si>
  <si>
    <t xml:space="preserve">   HARTFORD CITY, IN 47348</t>
  </si>
  <si>
    <t>BRIGHTSTAR SENIOR LIVING OF FORT WAYNE</t>
  </si>
  <si>
    <t xml:space="preserve">   Administrator: NATASHA NICOLE GRAVES</t>
  </si>
  <si>
    <t xml:space="preserve">   Tel: (260)234-2929</t>
  </si>
  <si>
    <t xml:space="preserve">   11430 COLDWATER ROAD</t>
  </si>
  <si>
    <t>BROOKDALE BLOOMINGTON</t>
  </si>
  <si>
    <t xml:space="preserve">   Administrator: MICHAEL MEADOWS</t>
  </si>
  <si>
    <t xml:space="preserve">   Tel: (812)330-0885</t>
  </si>
  <si>
    <t xml:space="preserve">   3802 SARE RD</t>
  </si>
  <si>
    <t>BROOKDALE CARMEL</t>
  </si>
  <si>
    <t xml:space="preserve">   Administrator: ASHLEY WOODCOX</t>
  </si>
  <si>
    <t xml:space="preserve">   Tel: (317)580-0389</t>
  </si>
  <si>
    <t xml:space="preserve">   301 EXECUTIVE DR</t>
  </si>
  <si>
    <t>BROOKDALE FORT WAYNE</t>
  </si>
  <si>
    <t xml:space="preserve">   Administrator: BRANDI HAEFT</t>
  </si>
  <si>
    <t xml:space="preserve">   Tel: (260)484-0308</t>
  </si>
  <si>
    <t xml:space="preserve">   4730 E STATE BLVD</t>
  </si>
  <si>
    <t xml:space="preserve">   FORT WAYNE, IN 46815</t>
  </si>
  <si>
    <t>BROOKDALE GRANGER</t>
  </si>
  <si>
    <t xml:space="preserve">   Administrator: LAURINE RINGER</t>
  </si>
  <si>
    <t xml:space="preserve">   Tel: (574)243-9020</t>
  </si>
  <si>
    <t xml:space="preserve">   430 CLEVELAND RD</t>
  </si>
  <si>
    <t>BROOKDALE RICHMOND</t>
  </si>
  <si>
    <t xml:space="preserve">   Administrator: EMILY GIBSON</t>
  </si>
  <si>
    <t xml:space="preserve">   Tel: (765)939-3310</t>
  </si>
  <si>
    <t xml:space="preserve">   3700 SOUTH A STREET</t>
  </si>
  <si>
    <t>BROOKDALE SOUTH BEND</t>
  </si>
  <si>
    <t xml:space="preserve">   Administrator: JEFFREY PAUL BRINKMAN</t>
  </si>
  <si>
    <t xml:space="preserve">   Tel: (574)273-2233</t>
  </si>
  <si>
    <t xml:space="preserve">   17441 SR 23</t>
  </si>
  <si>
    <t xml:space="preserve">   SOUTH BEND, IN 46635</t>
  </si>
  <si>
    <t>BROOKDALE VALPARAISO</t>
  </si>
  <si>
    <t xml:space="preserve">   Administrator: DEBBIE WAZIAK</t>
  </si>
  <si>
    <t xml:space="preserve">   Tel: (219)548-2230</t>
  </si>
  <si>
    <t xml:space="preserve">   2601 VALPARAISO ST</t>
  </si>
  <si>
    <t>BROOKE KNOLL VILLAGE</t>
  </si>
  <si>
    <t xml:space="preserve">   Administrator: LINDSEY GRAY</t>
  </si>
  <si>
    <t xml:space="preserve">   1108 KINGWOOD DRIVE</t>
  </si>
  <si>
    <t>BROOKSIDE CARE STRATEGIES</t>
  </si>
  <si>
    <t xml:space="preserve">   Administrator: CATHY YOUNG</t>
  </si>
  <si>
    <t xml:space="preserve">   505 N GAVIN ST</t>
  </si>
  <si>
    <t xml:space="preserve">   MUNCIE, IN 47303</t>
  </si>
  <si>
    <t>BROOKSIDE VILLAGE INC</t>
  </si>
  <si>
    <t xml:space="preserve">   Administrator: WENDY BROUGHTON</t>
  </si>
  <si>
    <t xml:space="preserve">   Tel: (812)634-7750</t>
  </si>
  <si>
    <t xml:space="preserve">   1111 CHURCH AVE</t>
  </si>
  <si>
    <t xml:space="preserve">   JASPER, IN 47546</t>
  </si>
  <si>
    <t>BROOKVILLE HEALTHCARE CENTER</t>
  </si>
  <si>
    <t xml:space="preserve">   Administrator: BRENDA BANNON</t>
  </si>
  <si>
    <t xml:space="preserve">   11049 STATE ROAD 101</t>
  </si>
  <si>
    <t xml:space="preserve">   BROOKVILLE, IN 47012</t>
  </si>
  <si>
    <t>BROWN COUNTY HEALTH AND LIVING COMMUNITY</t>
  </si>
  <si>
    <t xml:space="preserve">   Administrator: KIMBERLY POVINELLI</t>
  </si>
  <si>
    <t xml:space="preserve">   55 E WILLOW ST</t>
  </si>
  <si>
    <t xml:space="preserve">   NASHVILLE, IN 47448</t>
  </si>
  <si>
    <t>BROWNSBURG HEALTH CARE CENTER</t>
  </si>
  <si>
    <t xml:space="preserve">   Administrator: ROBERT OWENS</t>
  </si>
  <si>
    <t xml:space="preserve">   1010 HORNADAY RD</t>
  </si>
  <si>
    <t xml:space="preserve">   BROWNSBURG, IN 46112</t>
  </si>
  <si>
    <t>BROWNSBURG MEADOWS</t>
  </si>
  <si>
    <t xml:space="preserve">   Administrator: ROBERT DURHAM</t>
  </si>
  <si>
    <t xml:space="preserve">   2 E TILDEN</t>
  </si>
  <si>
    <t>BROWNSBURG MEADOWS ASSISTED LIVING</t>
  </si>
  <si>
    <t xml:space="preserve">   Administrator: KRIS GRAPHMAN</t>
  </si>
  <si>
    <t xml:space="preserve">   Tel: (317)852-1977</t>
  </si>
  <si>
    <t xml:space="preserve">   7133 MEADOW TRAIL</t>
  </si>
  <si>
    <t>BYRON HEALTH CENTER</t>
  </si>
  <si>
    <t xml:space="preserve">   Administrator: SARAH STARCHER</t>
  </si>
  <si>
    <t xml:space="preserve">   12101 LIMA RD</t>
  </si>
  <si>
    <t xml:space="preserve">   FORT WAYNE, IN 46818</t>
  </si>
  <si>
    <t>CAMELOT CARE CENTER</t>
  </si>
  <si>
    <t xml:space="preserve">   Administrator: JAMES SIZEMORE</t>
  </si>
  <si>
    <t xml:space="preserve">   1555 COMMERCE ST</t>
  </si>
  <si>
    <t xml:space="preserve">   LOGANSPORT, IN 46947</t>
  </si>
  <si>
    <t>CANTERBURY NURSING AND REHABILITATION CENTER</t>
  </si>
  <si>
    <t xml:space="preserve">   Administrator: WILLIAM LANGSCHIED</t>
  </si>
  <si>
    <t xml:space="preserve">   2827 NORTHGATE BLVD</t>
  </si>
  <si>
    <t>CARDINAL NURSING AND REHABILITATION CENTER</t>
  </si>
  <si>
    <t xml:space="preserve">   Administrator: ANNE M MORGAN</t>
  </si>
  <si>
    <t xml:space="preserve">   1121 E LASALLE AVE</t>
  </si>
  <si>
    <t xml:space="preserve">   SOUTH BEND, IN 46617</t>
  </si>
  <si>
    <t>CARMEL HEALTH &amp; LIVING COMMUNITY</t>
  </si>
  <si>
    <t xml:space="preserve">   Administrator: TAMARA BLEDSOE</t>
  </si>
  <si>
    <t xml:space="preserve">   118 MEDICAL DR</t>
  </si>
  <si>
    <t>CARMEL SENIOR LIVING</t>
  </si>
  <si>
    <t xml:space="preserve">   Administrator: DANIEL KENYON</t>
  </si>
  <si>
    <t xml:space="preserve">   Tel: (317)451-4702</t>
  </si>
  <si>
    <t xml:space="preserve">   13390 N ILLINOIS STREET</t>
  </si>
  <si>
    <t>CAROLETON HEALTHCARE CENTER</t>
  </si>
  <si>
    <t xml:space="preserve">   Administrator: DAULPHINE DAY</t>
  </si>
  <si>
    <t xml:space="preserve">   2500 IOWA AVE</t>
  </si>
  <si>
    <t xml:space="preserve">   CONNERSVILLE, IN 47331</t>
  </si>
  <si>
    <t>CASTLETON HEALTH CARE CENTER</t>
  </si>
  <si>
    <t xml:space="preserve">   Administrator: WILLIAM MCCALLUM</t>
  </si>
  <si>
    <t xml:space="preserve">   7630 E 86TH ST</t>
  </si>
  <si>
    <t xml:space="preserve">   INDIANAPOLIS, IN 46256</t>
  </si>
  <si>
    <t>CATHEDRAL HEALTH CARE CENTER</t>
  </si>
  <si>
    <t xml:space="preserve">   Administrator: SHEILA KENNEDY</t>
  </si>
  <si>
    <t xml:space="preserve">   520 W 9TH ST</t>
  </si>
  <si>
    <t>CATHERINE KASPER HOME</t>
  </si>
  <si>
    <t xml:space="preserve">   Administrator: SARAH MARSH</t>
  </si>
  <si>
    <t xml:space="preserve">   9601 S UNION RD</t>
  </si>
  <si>
    <t xml:space="preserve">   DONALDSON, IN 46513</t>
  </si>
  <si>
    <t>CEDAR CREEK HEALTH CAMPUS</t>
  </si>
  <si>
    <t xml:space="preserve">   Administrator: JUDY PLANTINGA</t>
  </si>
  <si>
    <t xml:space="preserve">   18275 BURR STREET</t>
  </si>
  <si>
    <t xml:space="preserve">   LOWELL, IN 46356</t>
  </si>
  <si>
    <t>CEDARS THE</t>
  </si>
  <si>
    <t xml:space="preserve">   Administrator: CHAD FORTH</t>
  </si>
  <si>
    <t xml:space="preserve">   14409 SUNRISE CT</t>
  </si>
  <si>
    <t xml:space="preserve">   LEO, IN 46765</t>
  </si>
  <si>
    <t>CENTURY VILLA HEALTH CARE</t>
  </si>
  <si>
    <t xml:space="preserve">   Administrator: MICHAEL GERIG</t>
  </si>
  <si>
    <t xml:space="preserve">   Tel: (765)628-3377</t>
  </si>
  <si>
    <t xml:space="preserve">   705 N MERIDIAN ST</t>
  </si>
  <si>
    <t xml:space="preserve">   GREENTOWN, IN 46936</t>
  </si>
  <si>
    <t>CHALET VILLAGE HEALTH AND REHABILITATION CENTER</t>
  </si>
  <si>
    <t xml:space="preserve">   Administrator: MICHAEL NELSON</t>
  </si>
  <si>
    <t xml:space="preserve">   1065 PARKWAY ST</t>
  </si>
  <si>
    <t xml:space="preserve">   BERNE, IN 46711</t>
  </si>
  <si>
    <t>CHANDLER PLACE</t>
  </si>
  <si>
    <t xml:space="preserve">   Administrator: KATASCHA ZOLMAN</t>
  </si>
  <si>
    <t xml:space="preserve">   Tel: (260)349-1030</t>
  </si>
  <si>
    <t xml:space="preserve">   2879 S LIMA RD</t>
  </si>
  <si>
    <t xml:space="preserve">   KENDALLVILLE, IN 46755</t>
  </si>
  <si>
    <t xml:space="preserve">   CHAPMAN PLACE</t>
  </si>
  <si>
    <t xml:space="preserve">   Administrator: JACK SCHAEFER</t>
  </si>
  <si>
    <t xml:space="preserve">   Tel: (260)471-3110</t>
  </si>
  <si>
    <t xml:space="preserve">   3110 E COLISEUM BLVD</t>
  </si>
  <si>
    <t>CHARLES FORD MEMORIAL HOME INC</t>
  </si>
  <si>
    <t xml:space="preserve">   Administrator: AMY KNOPF-KOCH</t>
  </si>
  <si>
    <t xml:space="preserve">   Tel: (812)682-4685</t>
  </si>
  <si>
    <t xml:space="preserve">   920 S MAIN ST</t>
  </si>
  <si>
    <t xml:space="preserve">   NEW HARMONY, IN 47631</t>
  </si>
  <si>
    <t>CHASE CENTER</t>
  </si>
  <si>
    <t xml:space="preserve">   Administrator: LACEY SCHNURPEL</t>
  </si>
  <si>
    <t xml:space="preserve">   2 CHASE PARK</t>
  </si>
  <si>
    <t>CHATEAU OF BATESVILLE</t>
  </si>
  <si>
    <t xml:space="preserve">   Administrator: ANNIE ADAMS</t>
  </si>
  <si>
    <t xml:space="preserve">   Tel: (812)932-8888</t>
  </si>
  <si>
    <t xml:space="preserve">   44 CHATEAU BLVD</t>
  </si>
  <si>
    <t>CHESTERTON MANOR</t>
  </si>
  <si>
    <t xml:space="preserve">   Administrator: JUDY STEEL</t>
  </si>
  <si>
    <t xml:space="preserve">   110 BEVERLY DR</t>
  </si>
  <si>
    <t>CHRISTIAN CARE RETIREMENT COMMUNITY</t>
  </si>
  <si>
    <t xml:space="preserve">   Administrator: DONNA EMSHWILLER</t>
  </si>
  <si>
    <t xml:space="preserve">   720 E DUSTMAN RD</t>
  </si>
  <si>
    <t>CHRISTINA PLACE</t>
  </si>
  <si>
    <t xml:space="preserve">   Administrator: TERESA COLLINS</t>
  </si>
  <si>
    <t xml:space="preserve">   Tel: (317)535-6550</t>
  </si>
  <si>
    <t xml:space="preserve">   1435 CHRISTIAN BLVD</t>
  </si>
  <si>
    <t xml:space="preserve">   FRANKLIN, IN 46131</t>
  </si>
  <si>
    <t xml:space="preserve">   CLARENDALE OF SCHERERVILLE</t>
  </si>
  <si>
    <t xml:space="preserve">   Administrator: MARSHA FULTON</t>
  </si>
  <si>
    <t xml:space="preserve">   Tel: (219)322-8855</t>
  </si>
  <si>
    <t xml:space="preserve">   7770 BURR STREET</t>
  </si>
  <si>
    <t xml:space="preserve">   SCHERERVILLE, IN 46375</t>
  </si>
  <si>
    <t>CLARK REHABILITATION AND SKILLED NURSING CENTER</t>
  </si>
  <si>
    <t xml:space="preserve">   Administrator: HOLLY NORTHAM</t>
  </si>
  <si>
    <t xml:space="preserve">   517 N LITTLE LEAGUE BLVD</t>
  </si>
  <si>
    <t xml:space="preserve">   CLARKSVILLE, IN 47129</t>
  </si>
  <si>
    <t xml:space="preserve">   CLARKSVILLE SENIOR LIVING LLC</t>
  </si>
  <si>
    <t xml:space="preserve">   Administrator: NATALIE STONE</t>
  </si>
  <si>
    <t xml:space="preserve">   Tel: (812)748-5258</t>
  </si>
  <si>
    <t xml:space="preserve">   400 HUNTER STATION ROAD</t>
  </si>
  <si>
    <t xml:space="preserve">   SELLERSBURG, IN 47172</t>
  </si>
  <si>
    <t>CLEARVISTA LAKE HEALTH CAMPUS</t>
  </si>
  <si>
    <t xml:space="preserve">   Administrator: THERESA ADAMS</t>
  </si>
  <si>
    <t xml:space="preserve">   8405 CLEARVISTA PLACE</t>
  </si>
  <si>
    <t>CLINTON GARDENS</t>
  </si>
  <si>
    <t xml:space="preserve">   Administrator: ANGELA BREWER</t>
  </si>
  <si>
    <t xml:space="preserve">   375 S 11TH ST</t>
  </si>
  <si>
    <t xml:space="preserve">   CLINTON, IN 47842</t>
  </si>
  <si>
    <t>CLOVERLEAF OF KNIGHTSVILLE</t>
  </si>
  <si>
    <t xml:space="preserve">   Administrator: JESSE MILLER</t>
  </si>
  <si>
    <t xml:space="preserve">   9325 N CRAWFORD ST</t>
  </si>
  <si>
    <t xml:space="preserve">   KNIGHTSVILLE, IN 47857</t>
  </si>
  <si>
    <t>COBBLESTONE CROSSINGS HEALTH CAMPUS</t>
  </si>
  <si>
    <t xml:space="preserve">   Administrator: NICOLE GRIFFITH</t>
  </si>
  <si>
    <t xml:space="preserve">   1850 E HOWARD WAYNE DR</t>
  </si>
  <si>
    <t xml:space="preserve">   TERRE HAUTE, IN 47802</t>
  </si>
  <si>
    <t>COLONIAL NURSING HOME</t>
  </si>
  <si>
    <t xml:space="preserve">   Administrator: RYAN HOLCOMB</t>
  </si>
  <si>
    <t xml:space="preserve">   119 N INDIANA AVE</t>
  </si>
  <si>
    <t>COLONIAL OAKS HEALTH CARE CENTER</t>
  </si>
  <si>
    <t xml:space="preserve">   Administrator: RITA HOLLOWAY</t>
  </si>
  <si>
    <t xml:space="preserve">   4725 S COLONIAL OAKS DR</t>
  </si>
  <si>
    <t>COLUMBIA HEALTHCARE CENTER</t>
  </si>
  <si>
    <t xml:space="preserve">   Administrator: LANA BALLARD</t>
  </si>
  <si>
    <t xml:space="preserve">   621 W COLUMBIA ST</t>
  </si>
  <si>
    <t>COLUMBUS TRANSITIONAL CARE AND REHABILITATION</t>
  </si>
  <si>
    <t xml:space="preserve">   Administrator: CHIRAG PATEL</t>
  </si>
  <si>
    <t xml:space="preserve">   2100 MIDWAY ST</t>
  </si>
  <si>
    <t xml:space="preserve">   COLUMBUS, IN 47201</t>
  </si>
  <si>
    <t>COMMUNITY NURSING AND REHABILITATION CENTER</t>
  </si>
  <si>
    <t xml:space="preserve">   Administrator: EVELYN LAWS</t>
  </si>
  <si>
    <t xml:space="preserve">   5600 E 16TH ST</t>
  </si>
  <si>
    <t>COPPER TRACE HEALTH &amp; LIVING COMMUNITY</t>
  </si>
  <si>
    <t xml:space="preserve">   Administrator: NANCY POLLOCK</t>
  </si>
  <si>
    <t xml:space="preserve">   Tel: (317)844-5050</t>
  </si>
  <si>
    <t xml:space="preserve">   1250 W 146TH STREET</t>
  </si>
  <si>
    <t xml:space="preserve">   WESTFIELD, IN 46074</t>
  </si>
  <si>
    <t>CORE OF BEDFORD</t>
  </si>
  <si>
    <t xml:space="preserve">   Administrator: CHARLES BRAZZELL</t>
  </si>
  <si>
    <t xml:space="preserve">   Tel: (812)279-2001</t>
  </si>
  <si>
    <t xml:space="preserve">   514 E 16TH ST</t>
  </si>
  <si>
    <t>CORE OF DALE</t>
  </si>
  <si>
    <t xml:space="preserve">   Administrator: BRANDI GLADISH</t>
  </si>
  <si>
    <t xml:space="preserve">   510 W MEDCALF ROAD</t>
  </si>
  <si>
    <t xml:space="preserve">   DALE, IN 47523</t>
  </si>
  <si>
    <t>COUNTRY CHARM</t>
  </si>
  <si>
    <t xml:space="preserve">   Administrator: DAWN MOUNT</t>
  </si>
  <si>
    <t xml:space="preserve">   Tel: (317)882-5455</t>
  </si>
  <si>
    <t xml:space="preserve">   3177 MERIDIAN PARKE DR</t>
  </si>
  <si>
    <t xml:space="preserve">   GREENWOOD, IN 46142</t>
  </si>
  <si>
    <t>COUNTRYSIDE MANOR HEALTH &amp; LIVING COMMUNITY</t>
  </si>
  <si>
    <t xml:space="preserve">   Administrator: ERICA LANE-BOWMAN</t>
  </si>
  <si>
    <t xml:space="preserve">   Tel: (765)649-4558</t>
  </si>
  <si>
    <t xml:space="preserve">   205 MARINE DR</t>
  </si>
  <si>
    <t xml:space="preserve">   ANDERSON, IN 46016</t>
  </si>
  <si>
    <t>COUNTRYSIDE MEADOWS</t>
  </si>
  <si>
    <t xml:space="preserve">   Administrator: LAURA DYER</t>
  </si>
  <si>
    <t xml:space="preserve">   762 N DAN JONES RD</t>
  </si>
  <si>
    <t>COURTYARD HEALTHCARE CENTER</t>
  </si>
  <si>
    <t xml:space="preserve">   Administrator: BRIAN COOK</t>
  </si>
  <si>
    <t xml:space="preserve">   2400 COLLEGE AVE</t>
  </si>
  <si>
    <t xml:space="preserve">   GOSHEN, IN 46526</t>
  </si>
  <si>
    <t>COVENTRY MEADOWS</t>
  </si>
  <si>
    <t xml:space="preserve">   Administrator: KELLY HARDY</t>
  </si>
  <si>
    <t xml:space="preserve">   7843 W JEFFERSON BLVD</t>
  </si>
  <si>
    <t>COVENTRY MEADOWS ASSISTED LIVING</t>
  </si>
  <si>
    <t xml:space="preserve">   Administrator: LINDSEY BROYLES</t>
  </si>
  <si>
    <t xml:space="preserve">   7833 W JEFFERSON BLVD</t>
  </si>
  <si>
    <t>COVERED BRIDGE HEALTH CAMPUS</t>
  </si>
  <si>
    <t xml:space="preserve">   Administrator: ANGELA SHORT</t>
  </si>
  <si>
    <t xml:space="preserve">   1675 W TIPTON ST</t>
  </si>
  <si>
    <t xml:space="preserve">   SEYMOUR, IN 47274</t>
  </si>
  <si>
    <t xml:space="preserve">   CRAWFORDSVILLE BICKFORD COTTAGE LLC</t>
  </si>
  <si>
    <t xml:space="preserve">   Administrator: LORA REEVES</t>
  </si>
  <si>
    <t xml:space="preserve">   Tel: (765)362-2000</t>
  </si>
  <si>
    <t xml:space="preserve">   100 BICKFORD LN</t>
  </si>
  <si>
    <t>CREASY SPRINGS HEALTH CAMPUS</t>
  </si>
  <si>
    <t xml:space="preserve">   Administrator: JUSTIN RIFE</t>
  </si>
  <si>
    <t xml:space="preserve">   1750 S CREASY LN</t>
  </si>
  <si>
    <t>CREEKSIDE HEALTH AND REHABILITATION CENTER</t>
  </si>
  <si>
    <t xml:space="preserve">   Administrator: SHANE NEVERS</t>
  </si>
  <si>
    <t xml:space="preserve">   3114 EAST 46TH STREET</t>
  </si>
  <si>
    <t xml:space="preserve">   INDIANAPOLIS, IN 46205</t>
  </si>
  <si>
    <t>CREEKSIDE VILLAGE</t>
  </si>
  <si>
    <t xml:space="preserve">   Administrator: ERIN GINTER</t>
  </si>
  <si>
    <t xml:space="preserve">   1420 E DOUGLAS RD</t>
  </si>
  <si>
    <t xml:space="preserve">   MISHAWAKA, IN 46545</t>
  </si>
  <si>
    <t>CRESTWOOD VILLAGE SOUTH APARTMENTS LLC</t>
  </si>
  <si>
    <t xml:space="preserve">   Administrator: BETH ELLEN WELCH</t>
  </si>
  <si>
    <t xml:space="preserve">   Tel: (317)885-3461</t>
  </si>
  <si>
    <t xml:space="preserve">   8809 MADISON AVENUE</t>
  </si>
  <si>
    <t>CROWN POINT CHRISTIAN VILLAGE</t>
  </si>
  <si>
    <t xml:space="preserve">   Administrator: NICOLE PROM</t>
  </si>
  <si>
    <t xml:space="preserve">   6685 EAST 117TH AVENUE</t>
  </si>
  <si>
    <t>CROWN POINTE SENIOR LIVING COMMUNITY</t>
  </si>
  <si>
    <t xml:space="preserve">   Administrator: AMANDA OAKES</t>
  </si>
  <si>
    <t xml:space="preserve">   Tel: (812)662-8888</t>
  </si>
  <si>
    <t xml:space="preserve">   1034 CROWN POINTE BLVD</t>
  </si>
  <si>
    <t xml:space="preserve">   CROWN SENIOR LIVING</t>
  </si>
  <si>
    <t xml:space="preserve">   Administrator: KRISTIAN PATTERSON</t>
  </si>
  <si>
    <t xml:space="preserve">   Tel: (317)376-4639</t>
  </si>
  <si>
    <t xml:space="preserve">   7960 SHADELAND AVENUE NORTH</t>
  </si>
  <si>
    <t>CROWNPOINTE OF ANDERSON</t>
  </si>
  <si>
    <t xml:space="preserve">   Administrator: CHRISTI HALL</t>
  </si>
  <si>
    <t xml:space="preserve">   Tel: (765)641-9995</t>
  </si>
  <si>
    <t xml:space="preserve">   2727 CROWNPOINTE CIRCLE</t>
  </si>
  <si>
    <t>CROWNPOINTE OF CARMEL</t>
  </si>
  <si>
    <t xml:space="preserve">   Administrator: JOYCE CALLAHAN</t>
  </si>
  <si>
    <t xml:space="preserve">   Tel: (317)818-1786</t>
  </si>
  <si>
    <t xml:space="preserve">   11610 TECHNOLOGY DR</t>
  </si>
  <si>
    <t>CROWNPOINTE OF GREENFIELD</t>
  </si>
  <si>
    <t xml:space="preserve">   Administrator: CARMEN BOWLING</t>
  </si>
  <si>
    <t xml:space="preserve">   Tel: (317)467-9317</t>
  </si>
  <si>
    <t xml:space="preserve">   831 SWOPE STREET</t>
  </si>
  <si>
    <t xml:space="preserve">   GREENFIELD, IN 46140</t>
  </si>
  <si>
    <t>CROWNPOINTE OF HARTFORD CITY</t>
  </si>
  <si>
    <t xml:space="preserve">   Administrator: ANGELA WORKMAN</t>
  </si>
  <si>
    <t xml:space="preserve">   Tel: (765)348-3250</t>
  </si>
  <si>
    <t xml:space="preserve">   100 INDEPENDENCE PARKWAY</t>
  </si>
  <si>
    <t>CROWNPOINTE OF INDIANAPOLIS</t>
  </si>
  <si>
    <t xml:space="preserve">   Administrator: LORI WEAVER</t>
  </si>
  <si>
    <t xml:space="preserve">   Tel: (317)351-2578</t>
  </si>
  <si>
    <t xml:space="preserve">   7365 E 16TH ST</t>
  </si>
  <si>
    <t xml:space="preserve">   INDIANAPOLIS, IN 46219</t>
  </si>
  <si>
    <t>CROWNPOINTE OF LEBANON</t>
  </si>
  <si>
    <t xml:space="preserve">   Administrator: PAULA SMITH</t>
  </si>
  <si>
    <t xml:space="preserve">   Tel: (765)482-3436</t>
  </si>
  <si>
    <t xml:space="preserve">   610 CROWNPOINTE DRIVE</t>
  </si>
  <si>
    <t xml:space="preserve">   LEBANON, IN 46052</t>
  </si>
  <si>
    <t>CROWNPOINTE OF PORTLAND</t>
  </si>
  <si>
    <t xml:space="preserve">   Administrator: AMANDA HIRSCHY</t>
  </si>
  <si>
    <t xml:space="preserve">   Tel: (260)726-3577</t>
  </si>
  <si>
    <t xml:space="preserve">   745 PATRIOT DRIVE</t>
  </si>
  <si>
    <t xml:space="preserve">   PORTLAND, IN 47371</t>
  </si>
  <si>
    <t>CUMBERLAND POINTE HEALTH CAMPUS</t>
  </si>
  <si>
    <t xml:space="preserve">   Administrator: GAIL BALDWIN</t>
  </si>
  <si>
    <t xml:space="preserve">   1051 CUMBERLAND AVE</t>
  </si>
  <si>
    <t xml:space="preserve">   WEST LAFAYETTE, IN 47906</t>
  </si>
  <si>
    <t>CUMBERLAND TRACE HEALTH &amp; LIVING COMMUNITY</t>
  </si>
  <si>
    <t xml:space="preserve">   Administrator: WILLIAM BARNETT III</t>
  </si>
  <si>
    <t xml:space="preserve">   Tel: (317)838-7070</t>
  </si>
  <si>
    <t xml:space="preserve">   1925 REEVES ROAD</t>
  </si>
  <si>
    <t xml:space="preserve">   PLAINFIELD, IN 46168</t>
  </si>
  <si>
    <t>CYPRESS GROVE REHABILITATION CENTER</t>
  </si>
  <si>
    <t xml:space="preserve">   Administrator: KRISTY DENTON</t>
  </si>
  <si>
    <t xml:space="preserve">   4255 MEDWELL DR</t>
  </si>
  <si>
    <t>DANVILLE REGIONAL REHABILITATION</t>
  </si>
  <si>
    <t xml:space="preserve">   Administrator: LESLIE ANN ANDERSON</t>
  </si>
  <si>
    <t xml:space="preserve">   255 MEADOW DR</t>
  </si>
  <si>
    <t xml:space="preserve">   DANVILLE, IN 46122</t>
  </si>
  <si>
    <t>DECATUR TOWNSHIP CENTER</t>
  </si>
  <si>
    <t xml:space="preserve">   Administrator: KARL ECK</t>
  </si>
  <si>
    <t xml:space="preserve">   4851 TINCHER RD</t>
  </si>
  <si>
    <t xml:space="preserve">   INDIANAPOLIS, IN 46221</t>
  </si>
  <si>
    <t xml:space="preserve">   DEMAREE CROSSING ASSISTED LIVING AND MEMORY CARE</t>
  </si>
  <si>
    <t xml:space="preserve">   Administrator: ANN MORROW</t>
  </si>
  <si>
    <t xml:space="preserve">   Tel: (317)316-8380</t>
  </si>
  <si>
    <t xml:space="preserve">   1255 DEMAREE ROAD</t>
  </si>
  <si>
    <t xml:space="preserve">   DIGBY PLACE</t>
  </si>
  <si>
    <t xml:space="preserve">   Administrator: CHRISTY LINN</t>
  </si>
  <si>
    <t xml:space="preserve">   Tel: (765)471-8552</t>
  </si>
  <si>
    <t xml:space="preserve">   167 CR W 240 S</t>
  </si>
  <si>
    <t>DIVERSICARE OF PROVIDENCE</t>
  </si>
  <si>
    <t xml:space="preserve">   Administrator: MARILYN BOOKER</t>
  </si>
  <si>
    <t xml:space="preserve">   4915 CHARLESTOWN RD</t>
  </si>
  <si>
    <t>DYER NURSING AND REHABILITATION CENTER</t>
  </si>
  <si>
    <t xml:space="preserve">   Administrator: KATHLEEN ROBERTSON</t>
  </si>
  <si>
    <t xml:space="preserve">   601 SHEFFIELD AVE</t>
  </si>
  <si>
    <t xml:space="preserve">   DYER, IN 46311</t>
  </si>
  <si>
    <t>EAGLE CREEK HEALTHCARE CENTER</t>
  </si>
  <si>
    <t xml:space="preserve">   Administrator: ALFRED MOLLOZZI</t>
  </si>
  <si>
    <t xml:space="preserve">   4102 SHORE DR</t>
  </si>
  <si>
    <t>EAGLE VALLEY MEADOWS</t>
  </si>
  <si>
    <t xml:space="preserve">   Administrator: TARA MCGLOTHLIN</t>
  </si>
  <si>
    <t xml:space="preserve">   3017 VALLEY FARMS RD</t>
  </si>
  <si>
    <t xml:space="preserve">   INDIANAPOLIS, IN 46214</t>
  </si>
  <si>
    <t>EAST LAKE NURSING &amp; REHABILITATION CENTER</t>
  </si>
  <si>
    <t xml:space="preserve">   Administrator: MARNIE DAVISSON</t>
  </si>
  <si>
    <t xml:space="preserve">   1900 JEANWOOD DR</t>
  </si>
  <si>
    <t xml:space="preserve">   ELKHART, IN 46514</t>
  </si>
  <si>
    <t>EASTGATE MANOR NURSING AND REHABILITATION</t>
  </si>
  <si>
    <t xml:space="preserve">   Administrator: RANDY PADGETT</t>
  </si>
  <si>
    <t xml:space="preserve">   2119 E NATIONAL HWY</t>
  </si>
  <si>
    <t xml:space="preserve">   WASHINGTON, IN 47501</t>
  </si>
  <si>
    <t>EASTLAKE TERRACE</t>
  </si>
  <si>
    <t xml:space="preserve">   Administrator: AMANDA QUESENBERRY</t>
  </si>
  <si>
    <t xml:space="preserve">   Tel: (574)266-4508</t>
  </si>
  <si>
    <t xml:space="preserve">   3109 E BRISTOL</t>
  </si>
  <si>
    <t>EDGEWATER WOODS</t>
  </si>
  <si>
    <t xml:space="preserve">   Administrator: VICTORIA KINLEY</t>
  </si>
  <si>
    <t xml:space="preserve">   1809 N MADISON AVE</t>
  </si>
  <si>
    <t xml:space="preserve">   ANDERSON, IN 46011</t>
  </si>
  <si>
    <t>ELKHART MEADOWS</t>
  </si>
  <si>
    <t xml:space="preserve">   Administrator: EVAN WIEDEMAN</t>
  </si>
  <si>
    <t xml:space="preserve">   2600 MOREHOUSE AVE</t>
  </si>
  <si>
    <t xml:space="preserve">   ELKHART, IN 46517</t>
  </si>
  <si>
    <t>ELKHART PLACE</t>
  </si>
  <si>
    <t xml:space="preserve">   Administrator: JUDITH HOESE</t>
  </si>
  <si>
    <t xml:space="preserve">   Tel: (574)295-9058</t>
  </si>
  <si>
    <t xml:space="preserve">   2024 COUNTY ROAD 24</t>
  </si>
  <si>
    <t>ELMCROFT OF MUNCIE</t>
  </si>
  <si>
    <t xml:space="preserve">   Administrator: DAWN BEEMAN</t>
  </si>
  <si>
    <t xml:space="preserve">   Tel: (765)289-4260</t>
  </si>
  <si>
    <t xml:space="preserve">   1601 N MORRISON RD</t>
  </si>
  <si>
    <t>ELWOOD HEALTH AND LIVING</t>
  </si>
  <si>
    <t xml:space="preserve">   Administrator: TONI MALEY</t>
  </si>
  <si>
    <t xml:space="preserve">   2300 PARKVIEW LN</t>
  </si>
  <si>
    <t xml:space="preserve">   ELWOOD, IN 46036</t>
  </si>
  <si>
    <t>EMERALD PLACE</t>
  </si>
  <si>
    <t xml:space="preserve">   Administrator: VANESSA KAVANAUGH</t>
  </si>
  <si>
    <t xml:space="preserve">   Tel: (812)254-5230</t>
  </si>
  <si>
    <t xml:space="preserve">   297 S 100 E</t>
  </si>
  <si>
    <t>ENCLAVE SENIOR LIVING AT SAXONY, THE</t>
  </si>
  <si>
    <t xml:space="preserve">   Administrator: HEIDI MARIE MYERS</t>
  </si>
  <si>
    <t xml:space="preserve">   Tel: (317)773-3854</t>
  </si>
  <si>
    <t xml:space="preserve">   12950 TALBLICK STREET</t>
  </si>
  <si>
    <t xml:space="preserve">   FISHERS, IN 46037</t>
  </si>
  <si>
    <t>ENGLEWOOD HEALTH &amp; REHABILITATION CENTER</t>
  </si>
  <si>
    <t xml:space="preserve">   Administrator: CHRISTOPHER ADAMS</t>
  </si>
  <si>
    <t xml:space="preserve">   Tel: (260)747-2353</t>
  </si>
  <si>
    <t xml:space="preserve">   2237 ENGLE RD</t>
  </si>
  <si>
    <t xml:space="preserve">   FORT WAYNE, IN 46809</t>
  </si>
  <si>
    <t>ENMOTION RECOVERY CARE</t>
  </si>
  <si>
    <t xml:space="preserve">   Administrator: MELUSINE MITCHELL</t>
  </si>
  <si>
    <t xml:space="preserve">   1000 E MAIN STREET</t>
  </si>
  <si>
    <t>ESPECIALLY KIDZ HEALTH &amp; REHAB</t>
  </si>
  <si>
    <t xml:space="preserve">   Administrator: DAWN WENDEL</t>
  </si>
  <si>
    <t xml:space="preserve">   Tel: (317)392-3287</t>
  </si>
  <si>
    <t xml:space="preserve">   2325 S MILLER ST</t>
  </si>
  <si>
    <t>ESSEX NURSING AND REHABILITATION CENTER</t>
  </si>
  <si>
    <t xml:space="preserve">   Administrator: HOLLY GRENARD</t>
  </si>
  <si>
    <t xml:space="preserve">   301 W ESSEX ST</t>
  </si>
  <si>
    <t>EVANSVILLE PROTESTANT HOME INC</t>
  </si>
  <si>
    <t xml:space="preserve">   Administrator: ANNA PERRY</t>
  </si>
  <si>
    <t xml:space="preserve">   Tel: (812)476-3360</t>
  </si>
  <si>
    <t xml:space="preserve">   3701 WASHINGTON AVE</t>
  </si>
  <si>
    <t xml:space="preserve">   EVANSVILLE, IN 47714</t>
  </si>
  <si>
    <t>EVERGREEN CROSSING AND THE LOFTS</t>
  </si>
  <si>
    <t xml:space="preserve">   Administrator: JOHN P SEIB</t>
  </si>
  <si>
    <t xml:space="preserve">   5404 GEORGETOWN ROAD</t>
  </si>
  <si>
    <t>EVERGREEN VILLAGE AT BLOOMINGTON</t>
  </si>
  <si>
    <t xml:space="preserve">   Administrator: JOSHUA DODDS</t>
  </si>
  <si>
    <t xml:space="preserve">   Tel: (812)336-2718</t>
  </si>
  <si>
    <t xml:space="preserve">   3607 SOUTH HEIRLOOM DRIVE</t>
  </si>
  <si>
    <t>EXCEPTIONAL LIVING CENTER OF BRAZIL</t>
  </si>
  <si>
    <t xml:space="preserve">   Administrator: DEBORAH DAVIS</t>
  </si>
  <si>
    <t xml:space="preserve">   Tel: (812)446-2636</t>
  </si>
  <si>
    <t xml:space="preserve">   501 S MURPHY AVE</t>
  </si>
  <si>
    <t xml:space="preserve">   BRAZIL, IN 47834</t>
  </si>
  <si>
    <t>FAIRWAY VILLAGE</t>
  </si>
  <si>
    <t xml:space="preserve">   Administrator: PHIL FORD</t>
  </si>
  <si>
    <t xml:space="preserve">   2630 S KEYSTONE AVE</t>
  </si>
  <si>
    <t xml:space="preserve">   INDIANAPOLIS, IN 46203</t>
  </si>
  <si>
    <t>FIVE STAR RESIDENCES OF BANTA POINTE</t>
  </si>
  <si>
    <t xml:space="preserve">   Administrator: JERRILYNN O'NEILL</t>
  </si>
  <si>
    <t xml:space="preserve">   Tel: (317)783-4663</t>
  </si>
  <si>
    <t xml:space="preserve">   6510 U.S. 31 SOUTH</t>
  </si>
  <si>
    <t>FIVE STAR RESIDENCES OF CLEARWATER</t>
  </si>
  <si>
    <t xml:space="preserve">   Administrator: SHANE PATTERSON</t>
  </si>
  <si>
    <t xml:space="preserve">   Tel: (317)849-2244</t>
  </si>
  <si>
    <t xml:space="preserve">   4519 EAST 82ND STREET</t>
  </si>
  <si>
    <t>FIVE STAR RESIDENCES OF FORT WAYNE</t>
  </si>
  <si>
    <t xml:space="preserve">   Administrator: ROSINA THATCHER</t>
  </si>
  <si>
    <t xml:space="preserve">   Tel: (260)432-1932</t>
  </si>
  <si>
    <t xml:space="preserve">   2601 COVINGTON COMMONS DRIVE</t>
  </si>
  <si>
    <t>FIVE STAR RESIDENCES OF LAFAYETTE</t>
  </si>
  <si>
    <t xml:space="preserve">   Administrator: BRADLEY MILLER</t>
  </si>
  <si>
    <t xml:space="preserve">   Tel: (765)449-4475</t>
  </si>
  <si>
    <t xml:space="preserve">   250 SHENANDOAH DRIVE</t>
  </si>
  <si>
    <t>FIVE STAR RESIDENCES OF NOBLESVILLE</t>
  </si>
  <si>
    <t xml:space="preserve">   Administrator: JANICE PEGUES</t>
  </si>
  <si>
    <t xml:space="preserve">   Tel: (317)770-0011</t>
  </si>
  <si>
    <t xml:space="preserve">   7235 RIVERWALK WAY N</t>
  </si>
  <si>
    <t xml:space="preserve">   NOBLESVILLE, IN 46062</t>
  </si>
  <si>
    <t>FIVE STAR RESIDENCES OF NORTHWOODS</t>
  </si>
  <si>
    <t xml:space="preserve">   Administrator: THERESA HUFFMAN</t>
  </si>
  <si>
    <t xml:space="preserve">   Tel: (765)454-0001</t>
  </si>
  <si>
    <t xml:space="preserve">   2501 FRIENDSHIP BLVD</t>
  </si>
  <si>
    <t xml:space="preserve">   KOKOMO, IN 46901</t>
  </si>
  <si>
    <t>FLATROCK RIVER LODGE</t>
  </si>
  <si>
    <t xml:space="preserve">   Administrator: TWYLA SHAW</t>
  </si>
  <si>
    <t xml:space="preserve">   904 E 11TH ST</t>
  </si>
  <si>
    <t xml:space="preserve">   RUSHVILLE, IN 46173</t>
  </si>
  <si>
    <t>FOREST CREEK VILLAGE</t>
  </si>
  <si>
    <t xml:space="preserve">   Administrator: JESSICA DICKSON</t>
  </si>
  <si>
    <t xml:space="preserve">   Tel: (317)787-8253</t>
  </si>
  <si>
    <t xml:space="preserve">   525 E THOMPSON RD</t>
  </si>
  <si>
    <t>FOREST PARK HEALTH CAMPUS</t>
  </si>
  <si>
    <t xml:space="preserve">   Administrator: GARY GRIFFIN</t>
  </si>
  <si>
    <t xml:space="preserve">   2401 SOUTH L ST</t>
  </si>
  <si>
    <t>FORUM AT THE CROSSING</t>
  </si>
  <si>
    <t xml:space="preserve">   Administrator: TIMOTHY CHARLES YALE</t>
  </si>
  <si>
    <t xml:space="preserve">   8505 WOODFIELD CROSSING BLVD</t>
  </si>
  <si>
    <t xml:space="preserve">   INDIANAPOLIS, IN 46240</t>
  </si>
  <si>
    <t>FOUR SEASONS RETIREMENT CENTER</t>
  </si>
  <si>
    <t xml:space="preserve">   Administrator: REBECCA STENNER</t>
  </si>
  <si>
    <t xml:space="preserve">   1901 TAYLOR RD</t>
  </si>
  <si>
    <t xml:space="preserve">   COLUMBUS, IN 47203</t>
  </si>
  <si>
    <t>FRANCISCAN HEALTH ALTERNACARE</t>
  </si>
  <si>
    <t xml:space="preserve">   Administrator: DEBORAH RILEY</t>
  </si>
  <si>
    <t xml:space="preserve">   Tel: (219)866-5141</t>
  </si>
  <si>
    <t xml:space="preserve">   1104 E GRACE ST</t>
  </si>
  <si>
    <t xml:space="preserve">   RENSSELAER, IN 47978</t>
  </si>
  <si>
    <t>FRANKLIN MEADOWS</t>
  </si>
  <si>
    <t xml:space="preserve">   Administrator: KERRY BOYD JR</t>
  </si>
  <si>
    <t xml:space="preserve">   1285 W JEFFERSON ST</t>
  </si>
  <si>
    <t>FREELANDVILLE COMMUNITY HOME</t>
  </si>
  <si>
    <t xml:space="preserve">   Administrator: DONETTA BREEDEN</t>
  </si>
  <si>
    <t xml:space="preserve">   310 W CARLISLE ST, PO BOX 288</t>
  </si>
  <si>
    <t xml:space="preserve">   FREELANDVILLE, IN 47535</t>
  </si>
  <si>
    <t>FRIENDS FELLOWSHIP COMMUNITY</t>
  </si>
  <si>
    <t xml:space="preserve">   Administrator: CHRISTOPHER FIELDS</t>
  </si>
  <si>
    <t xml:space="preserve">   2030 CHESTER BLVD</t>
  </si>
  <si>
    <t>GARDEN VILLA - BEDFORD</t>
  </si>
  <si>
    <t xml:space="preserve">   Administrator: EDWARD HUGHES</t>
  </si>
  <si>
    <t xml:space="preserve">   2111 NORTON LN</t>
  </si>
  <si>
    <t>GARDEN VILLA - BLOOMINGTON</t>
  </si>
  <si>
    <t xml:space="preserve">   Administrator: WARREN MCCREERY</t>
  </si>
  <si>
    <t xml:space="preserve">   1100 S CURRY PK</t>
  </si>
  <si>
    <t xml:space="preserve">   BLOOMINGTON, IN 47403</t>
  </si>
  <si>
    <t>GENTLECARE OF VINCENNES</t>
  </si>
  <si>
    <t xml:space="preserve">   Administrator: JERROLD MELVIN</t>
  </si>
  <si>
    <t xml:space="preserve">   1202 S 16TH ST</t>
  </si>
  <si>
    <t>GENTRY PARK</t>
  </si>
  <si>
    <t xml:space="preserve">   Administrator: TODD MICHAEL NOWACKI</t>
  </si>
  <si>
    <t xml:space="preserve">   Tel: (812)668-1200</t>
  </si>
  <si>
    <t xml:space="preserve">   901 S HASTINGS DR</t>
  </si>
  <si>
    <t>GEORGE ADE MEMORIAL HEALTH CARE CENTER</t>
  </si>
  <si>
    <t xml:space="preserve">   Administrator: W. R. SCOTT JAMES</t>
  </si>
  <si>
    <t xml:space="preserve">   3623 IN-16</t>
  </si>
  <si>
    <t xml:space="preserve">   BROOK, IN 47922</t>
  </si>
  <si>
    <t xml:space="preserve">   GEORGETOWN PLACE</t>
  </si>
  <si>
    <t xml:space="preserve">   Administrator: KRISTINE ANN LUNDQUIST</t>
  </si>
  <si>
    <t xml:space="preserve">   Tel: (260)493-6927</t>
  </si>
  <si>
    <t xml:space="preserve">   1717 MAPLECREST ROAD</t>
  </si>
  <si>
    <t>GI-XXXIV SUMMERS POINTE OPERATOR LLC</t>
  </si>
  <si>
    <t xml:space="preserve">   Administrator: STACI KEEN</t>
  </si>
  <si>
    <t xml:space="preserve">   Tel: (765)584-7676</t>
  </si>
  <si>
    <t xml:space="preserve">   1 SUNSET DRIVE</t>
  </si>
  <si>
    <t xml:space="preserve">   WINCHESTER, IN 47394</t>
  </si>
  <si>
    <t>GLASSWATER CREEK OF LAFAYETTE, LLC</t>
  </si>
  <si>
    <t xml:space="preserve">   Administrator: DAWN WALKER</t>
  </si>
  <si>
    <t xml:space="preserve">   Tel: (765)477-1140</t>
  </si>
  <si>
    <t xml:space="preserve">   208 BECK LANE</t>
  </si>
  <si>
    <t xml:space="preserve">   LAFAYETTE, IN 47909</t>
  </si>
  <si>
    <t>GLASSWATER CREEK OF PLAINFIELD</t>
  </si>
  <si>
    <t xml:space="preserve">   Administrator: JENNIFER HURT</t>
  </si>
  <si>
    <t xml:space="preserve">   Tel: (317)839-5808</t>
  </si>
  <si>
    <t xml:space="preserve">   10480 GLASSWATER LANE</t>
  </si>
  <si>
    <t>GLEN OAKS HEALTH CAMPUS</t>
  </si>
  <si>
    <t xml:space="preserve">   Administrator: TAMMY NELSON</t>
  </si>
  <si>
    <t xml:space="preserve">   601 W CR 200 S</t>
  </si>
  <si>
    <t>GLENBROOK REHABILITATION &amp; SKILLED NURSING CENTER</t>
  </si>
  <si>
    <t xml:space="preserve">   Administrator: RYAN LEWIS</t>
  </si>
  <si>
    <t xml:space="preserve">   3811 PARNELL AVE</t>
  </si>
  <si>
    <t>GOLDEN LIVING CENTER - WILLOW SPRINGS</t>
  </si>
  <si>
    <t xml:space="preserve">   Administrator: JORDAN SIKORA</t>
  </si>
  <si>
    <t xml:space="preserve">   2002 WEST 86TH STREET</t>
  </si>
  <si>
    <t>GOLDEN LIVING CENTER-BLOOMINGTON</t>
  </si>
  <si>
    <t xml:space="preserve">   Administrator: ELIZABETH PRICE</t>
  </si>
  <si>
    <t xml:space="preserve">   155 E BURKS DR</t>
  </si>
  <si>
    <t>GOLDEN LIVING CENTER-BRANDYWINE</t>
  </si>
  <si>
    <t xml:space="preserve">   Administrator: DANA MILNER</t>
  </si>
  <si>
    <t xml:space="preserve">   745 N SWOPE ST</t>
  </si>
  <si>
    <t>GOLDEN LIVING CENTER-BRENTWOOD</t>
  </si>
  <si>
    <t xml:space="preserve">   Administrator: TINA MASSEY</t>
  </si>
  <si>
    <t xml:space="preserve">   30 E CHANDLER AVE</t>
  </si>
  <si>
    <t xml:space="preserve">   EVANSVILLE, IN 47713</t>
  </si>
  <si>
    <t>GOLDEN LIVING CENTER-BROOKVIEW</t>
  </si>
  <si>
    <t xml:space="preserve">   Administrator: CARMELA TUTTLE</t>
  </si>
  <si>
    <t xml:space="preserve">   7145 E 21ST STREET</t>
  </si>
  <si>
    <t>GOLDEN LIVING CENTER-ELKHART</t>
  </si>
  <si>
    <t xml:space="preserve">   Administrator: MARTIN PAUL</t>
  </si>
  <si>
    <t xml:space="preserve">   1001 W HIVELY AVE</t>
  </si>
  <si>
    <t>GOLDEN LIVING CENTER-FOUNTAINVIEW</t>
  </si>
  <si>
    <t xml:space="preserve">   Administrator: RAYNE WISE</t>
  </si>
  <si>
    <t xml:space="preserve">   Tel: (574)277-2500</t>
  </si>
  <si>
    <t xml:space="preserve">   609 W TANGLEWOOD LN</t>
  </si>
  <si>
    <t>GOLDEN LIVING CENTER-FOUNTAINVIEW PLACE</t>
  </si>
  <si>
    <t xml:space="preserve">   Administrator: KEVIN MEHAY</t>
  </si>
  <si>
    <t xml:space="preserve">   3175 LANCER ST</t>
  </si>
  <si>
    <t xml:space="preserve">   PORTAGE, IN 46368</t>
  </si>
  <si>
    <t>GOLDEN LIVING CENTER-FOUNTAINVIEW TERRACE</t>
  </si>
  <si>
    <t xml:space="preserve">   Administrator: KATHERINE BAKREVSKI</t>
  </si>
  <si>
    <t xml:space="preserve">   1900 ANDREW AVE</t>
  </si>
  <si>
    <t>GOLDEN LIVING CENTER-GOLDEN RULE</t>
  </si>
  <si>
    <t xml:space="preserve">   Administrator: LYNN ADAMS</t>
  </si>
  <si>
    <t xml:space="preserve">   Tel: (765)966-7681</t>
  </si>
  <si>
    <t xml:space="preserve">   2330 STRAIGHT LINE PIKE</t>
  </si>
  <si>
    <t>GOLDEN LIVING CENTER-INDIANAPOLIS</t>
  </si>
  <si>
    <t xml:space="preserve">   Administrator: SHERICE RICKS</t>
  </si>
  <si>
    <t xml:space="preserve">   Tel: (317)787-3451</t>
  </si>
  <si>
    <t xml:space="preserve">   2860 CHURCHMAN AVE</t>
  </si>
  <si>
    <t>GOLDEN LIVING CENTER-KNOX</t>
  </si>
  <si>
    <t xml:space="preserve">   Administrator: JERRELL HARVILLE</t>
  </si>
  <si>
    <t xml:space="preserve">   300 E CULVER RD</t>
  </si>
  <si>
    <t xml:space="preserve">   KNOX, IN 46534</t>
  </si>
  <si>
    <t>GOLDEN LIVING CENTER-LAPORTE</t>
  </si>
  <si>
    <t xml:space="preserve">   Administrator: JOSEPH FLACKE</t>
  </si>
  <si>
    <t xml:space="preserve">   1700 I STREET</t>
  </si>
  <si>
    <t>GOLDEN LIVING CENTER-LINCOLN HILLS</t>
  </si>
  <si>
    <t xml:space="preserve">   Administrator: JULIE PENNINGTON</t>
  </si>
  <si>
    <t xml:space="preserve">   Tel: (812)547-3427</t>
  </si>
  <si>
    <t xml:space="preserve">   402 19TH STREET</t>
  </si>
  <si>
    <t xml:space="preserve">   TELL CITY, IN 47586</t>
  </si>
  <si>
    <t>GOLDEN LIVING CENTER-MERRILLVILLE</t>
  </si>
  <si>
    <t xml:space="preserve">   Administrator: JACQUELINE CLARK</t>
  </si>
  <si>
    <t xml:space="preserve">   8800 VIRGINIA PLACE</t>
  </si>
  <si>
    <t>GOLDEN LIVING CENTER-MISHAWAKA</t>
  </si>
  <si>
    <t xml:space="preserve">   Administrator: JONATHAN FRAZIER</t>
  </si>
  <si>
    <t xml:space="preserve">   811 E 12TH STREET</t>
  </si>
  <si>
    <t xml:space="preserve">   MISHAWAKA, IN 46544</t>
  </si>
  <si>
    <t>GOLDEN LIVING CENTER-MUNCIE</t>
  </si>
  <si>
    <t xml:space="preserve">   Administrator: BREQUE VAN HORN</t>
  </si>
  <si>
    <t xml:space="preserve">   2701 LYN-MAR DR</t>
  </si>
  <si>
    <t>GOLDEN LIVING CENTER-PETERSBURG</t>
  </si>
  <si>
    <t xml:space="preserve">   Administrator: CATHY ECKERT</t>
  </si>
  <si>
    <t xml:space="preserve">   309 W PIKE AVE</t>
  </si>
  <si>
    <t>GOLDEN LIVING CENTER-RICHMOND</t>
  </si>
  <si>
    <t xml:space="preserve">   Administrator: ROSE HOLICKER</t>
  </si>
  <si>
    <t xml:space="preserve">   1042 OAK DR</t>
  </si>
  <si>
    <t>GOLDEN LIVING CENTER-SYCAMORE VILLAGE</t>
  </si>
  <si>
    <t xml:space="preserve">   Administrator: KAUSHIK PATEL</t>
  </si>
  <si>
    <t xml:space="preserve">   2905 W SYCAMORE ST</t>
  </si>
  <si>
    <t>GOLDEN LIVING CENTER-VALPARAISO</t>
  </si>
  <si>
    <t xml:space="preserve">   Administrator: JENNIFER NEELY</t>
  </si>
  <si>
    <t xml:space="preserve">   251 STURDY RD</t>
  </si>
  <si>
    <t>GOLDEN LIVING CENTER-WOODBRIDGE</t>
  </si>
  <si>
    <t xml:space="preserve">   Administrator: SHELLEY BURRESS</t>
  </si>
  <si>
    <t xml:space="preserve">   816 N FIRST AVE</t>
  </si>
  <si>
    <t>GOLDEN LIVING CENTER-WOODLANDS</t>
  </si>
  <si>
    <t xml:space="preserve">   Administrator: MARIBETH DONALDSON</t>
  </si>
  <si>
    <t xml:space="preserve">   4088 FRAME RD</t>
  </si>
  <si>
    <t>GOLDEN YEARS HOMESTEAD</t>
  </si>
  <si>
    <t xml:space="preserve">   Administrator: STEVEN SCHAAF</t>
  </si>
  <si>
    <t xml:space="preserve">   3136 GOEGLEIN RD</t>
  </si>
  <si>
    <t>GOOD SAMARITAN HOME &amp; REHABILITATIVE CENTER</t>
  </si>
  <si>
    <t xml:space="preserve">   Administrator: BRIAN BAILEY</t>
  </si>
  <si>
    <t xml:space="preserve">   231 N JACKSON ST</t>
  </si>
  <si>
    <t xml:space="preserve">   OAKLAND CITY, IN 47660</t>
  </si>
  <si>
    <t>GOOD SAMARITAN HOME HEALTH CENTER AND RESIDENTIAL</t>
  </si>
  <si>
    <t xml:space="preserve">   Administrator: BERT PAPINEAU JR</t>
  </si>
  <si>
    <t xml:space="preserve">   601 N BOEKE RD</t>
  </si>
  <si>
    <t xml:space="preserve">   EVANSVILLE, IN 47711</t>
  </si>
  <si>
    <t>GOOD SAMARITAN SOCIETY NORTHWOOD RETIREMENT COMM</t>
  </si>
  <si>
    <t xml:space="preserve">   Administrator: DIANE P ECKERT</t>
  </si>
  <si>
    <t xml:space="preserve">   Tel: (812)482-1722</t>
  </si>
  <si>
    <t xml:space="preserve">   2515 NEWTON ST</t>
  </si>
  <si>
    <t xml:space="preserve">   JASPER, IN 47547</t>
  </si>
  <si>
    <t>GOOD SAMARITAN SOCIETY SHAKAMAK RETIREMENT COMM</t>
  </si>
  <si>
    <t xml:space="preserve">   Administrator: GERALD DUTTON</t>
  </si>
  <si>
    <t xml:space="preserve">   800 E OHIO ST</t>
  </si>
  <si>
    <t xml:space="preserve">   JASONVILLE, IN 47438</t>
  </si>
  <si>
    <t>GRACE VILLAGE HEALTH CARE FACILITY</t>
  </si>
  <si>
    <t xml:space="preserve">   Administrator: KEVIN MCKEEVER</t>
  </si>
  <si>
    <t xml:space="preserve">   337 GRACE VILLAGE DR</t>
  </si>
  <si>
    <t xml:space="preserve">   WINONA LAKE, IN 46590</t>
  </si>
  <si>
    <t xml:space="preserve">   GRAND BROOK MEMORY CARE OF FISHERS</t>
  </si>
  <si>
    <t xml:space="preserve">   Administrator: M'CHELLIN OSBORN</t>
  </si>
  <si>
    <t xml:space="preserve">   Tel: (317)914-2357</t>
  </si>
  <si>
    <t xml:space="preserve">   9796 EAST 131ST STREET</t>
  </si>
  <si>
    <t xml:space="preserve">   GRAND BROOK MEMORY CARE OF GREENWOOD</t>
  </si>
  <si>
    <t xml:space="preserve">   Administrator: TERESA GLIDDEN</t>
  </si>
  <si>
    <t xml:space="preserve">   Tel: (317)499-1310</t>
  </si>
  <si>
    <t xml:space="preserve">   2444 SOUTH STATE ROAD 135</t>
  </si>
  <si>
    <t xml:space="preserve">   GRAND BROOK MEMORY CARE OF ZIONSVILLE</t>
  </si>
  <si>
    <t xml:space="preserve">   Administrator: PATRIC MCDOWELL</t>
  </si>
  <si>
    <t xml:space="preserve">   Tel: (317)975-0049</t>
  </si>
  <si>
    <t xml:space="preserve">   11870 SANDY DRIVE</t>
  </si>
  <si>
    <t>GRAND EMERALD PLACE</t>
  </si>
  <si>
    <t xml:space="preserve">   Administrator: SUZANNE MICHELLE DILLE</t>
  </si>
  <si>
    <t xml:space="preserve">   Tel: (574)291-2222</t>
  </si>
  <si>
    <t xml:space="preserve">   4010 S IRONWOOD DR</t>
  </si>
  <si>
    <t xml:space="preserve">   SOUTH BEND, IN 46614</t>
  </si>
  <si>
    <t>GRAND VALLEY HEALTH &amp; REHAB</t>
  </si>
  <si>
    <t xml:space="preserve">   Administrator: CHELSEA FREDERICK</t>
  </si>
  <si>
    <t xml:space="preserve">   621 GRAND VALLEY BOULEVARD</t>
  </si>
  <si>
    <t xml:space="preserve">   MARTINSVILLE, IN 46151</t>
  </si>
  <si>
    <t>GRAND VALLEY GARDENS ASSISTED LIVING FACILITY</t>
  </si>
  <si>
    <t xml:space="preserve">   Administrator: MICHELLE HEACOCK</t>
  </si>
  <si>
    <t xml:space="preserve">   Tel: (765)558-8200</t>
  </si>
  <si>
    <t xml:space="preserve">   1151 S HUBERT CIRCLE WEST</t>
  </si>
  <si>
    <t>GREAT LAKES HEALTHCARE CENTER</t>
  </si>
  <si>
    <t xml:space="preserve">   Administrator: NATHAN WOLF</t>
  </si>
  <si>
    <t xml:space="preserve">   2300 GREAT LAKES DR</t>
  </si>
  <si>
    <t>GREEN HOUSE COTTAGES OF CARMEL</t>
  </si>
  <si>
    <t xml:space="preserve">   Administrator: GINA COUCH</t>
  </si>
  <si>
    <t xml:space="preserve">   616 GREEN HOUSE WAY</t>
  </si>
  <si>
    <t>GREEN HOUSE VILLAGE OF GOSHEN</t>
  </si>
  <si>
    <t xml:space="preserve">   Administrator: KENDALL PAGE</t>
  </si>
  <si>
    <t xml:space="preserve">   Tel: (317)653-5767</t>
  </si>
  <si>
    <t xml:space="preserve">   1640 AUTUMN BLAZE DRIVE</t>
  </si>
  <si>
    <t>GREEN VALLEY CARE CENTER</t>
  </si>
  <si>
    <t xml:space="preserve">   Administrator: BLOSSOM BACH</t>
  </si>
  <si>
    <t xml:space="preserve">   3118 GREEN VALLEY RD</t>
  </si>
  <si>
    <t xml:space="preserve">   GREENBRIAR VILLAGE</t>
  </si>
  <si>
    <t xml:space="preserve">   Administrator: ANGELA MARIE SHELL</t>
  </si>
  <si>
    <t xml:space="preserve">   Tel: (317)899-6777</t>
  </si>
  <si>
    <t xml:space="preserve">   8800 SPOON DR</t>
  </si>
  <si>
    <t>GREENCROFT HEALTHCARE</t>
  </si>
  <si>
    <t xml:space="preserve">   Administrator: JOHN ELEY</t>
  </si>
  <si>
    <t xml:space="preserve">   1225 GREENCROFT DR</t>
  </si>
  <si>
    <t xml:space="preserve">   GOSHEN, IN 46527</t>
  </si>
  <si>
    <t>GREENFIELD HEALTHCARE CENTER</t>
  </si>
  <si>
    <t xml:space="preserve">   Administrator: ANDREW CLARK</t>
  </si>
  <si>
    <t xml:space="preserve">   200 GREEN MEADOWS DR</t>
  </si>
  <si>
    <t>GREENHILL MANOR</t>
  </si>
  <si>
    <t xml:space="preserve">   Administrator: STEPHANIE ANDERSON</t>
  </si>
  <si>
    <t xml:space="preserve">   Tel: (765)884-1470</t>
  </si>
  <si>
    <t xml:space="preserve">   501 N LINCOLN AVE</t>
  </si>
  <si>
    <t xml:space="preserve">   FOWLER, IN 47944</t>
  </si>
  <si>
    <t>GREENLEAF HEALTH CAMPUS</t>
  </si>
  <si>
    <t xml:space="preserve">   Administrator: CASSANDRA DUNLAP</t>
  </si>
  <si>
    <t xml:space="preserve">   1201 E BEARDSLEY AVE</t>
  </si>
  <si>
    <t>GREENWOOD HEALTH AND LIVING COMMUNITY</t>
  </si>
  <si>
    <t xml:space="preserve">   Administrator: TINA LE</t>
  </si>
  <si>
    <t xml:space="preserve">   937 FRY RD</t>
  </si>
  <si>
    <t>GREENWOOD HEALTHCARE CENTER</t>
  </si>
  <si>
    <t xml:space="preserve">   Administrator: STEVEN TANNER</t>
  </si>
  <si>
    <t xml:space="preserve">   377 WESTRIDGE BLVD</t>
  </si>
  <si>
    <t>GREENWOOD MEADOWS</t>
  </si>
  <si>
    <t xml:space="preserve">   Administrator: JERALD COSEY</t>
  </si>
  <si>
    <t xml:space="preserve">   1200 N STATE ROAD 135</t>
  </si>
  <si>
    <t>GREENWOOD VILLAGE SOUTH</t>
  </si>
  <si>
    <t xml:space="preserve">   Administrator: PAMELA SEEGERS</t>
  </si>
  <si>
    <t xml:space="preserve">   295 VILLAGE LANE</t>
  </si>
  <si>
    <t>GREY STONE HEALTH &amp; REHABILITATION CENTER</t>
  </si>
  <si>
    <t xml:space="preserve">   Administrator: ANTHONY HILL</t>
  </si>
  <si>
    <t xml:space="preserve">   Tel: (260)471-4770</t>
  </si>
  <si>
    <t xml:space="preserve">   10445 DUPONT OAKS BLVD</t>
  </si>
  <si>
    <t>HAMILTON GROVE</t>
  </si>
  <si>
    <t xml:space="preserve">   Administrator: DAVID THOMPSON</t>
  </si>
  <si>
    <t xml:space="preserve">   31869 CHICAGO TRAIL</t>
  </si>
  <si>
    <t xml:space="preserve">   NEW CARLISLE, IN 46552</t>
  </si>
  <si>
    <t>HAMILTON PLACE</t>
  </si>
  <si>
    <t xml:space="preserve">   Administrator: PAUL OTT</t>
  </si>
  <si>
    <t xml:space="preserve">   Tel: (260)471-0944</t>
  </si>
  <si>
    <t xml:space="preserve">   2116 BUTLER RD</t>
  </si>
  <si>
    <t>HAMILTON POINTE HEALTH AND REHAB</t>
  </si>
  <si>
    <t xml:space="preserve">   Administrator: SHAWN CATES</t>
  </si>
  <si>
    <t xml:space="preserve">   Tel: (812)858-5300</t>
  </si>
  <si>
    <t xml:space="preserve">   3800 ELI PLACE</t>
  </si>
  <si>
    <t>HAMILTON TRACE OF FISHERS</t>
  </si>
  <si>
    <t xml:space="preserve">   Administrator: R. SHANE MCFALL</t>
  </si>
  <si>
    <t xml:space="preserve">   Tel: (317)813-4444</t>
  </si>
  <si>
    <t xml:space="preserve">   11851 CUMBERLAND RD</t>
  </si>
  <si>
    <t>HAMMOND-WHITING CARE CENTER</t>
  </si>
  <si>
    <t xml:space="preserve">   Administrator: JAMI MOORE</t>
  </si>
  <si>
    <t xml:space="preserve">   1000 114TH ST</t>
  </si>
  <si>
    <t xml:space="preserve">   WHITING, IN 46394</t>
  </si>
  <si>
    <t>HAMPTON OAKS HEALTH CAMPUS</t>
  </si>
  <si>
    <t xml:space="preserve">   Administrator: BRANDY ROYALTY</t>
  </si>
  <si>
    <t xml:space="preserve">   966 N WILSON RD</t>
  </si>
  <si>
    <t xml:space="preserve">   SCOTTSBURG, IN 47170</t>
  </si>
  <si>
    <t>HANOVER NURSING CENTER</t>
  </si>
  <si>
    <t xml:space="preserve">   Administrator: MARKIETTA BURNS</t>
  </si>
  <si>
    <t xml:space="preserve">   410 W LAGRANGE RD</t>
  </si>
  <si>
    <t xml:space="preserve">   HANOVER, IN 47243</t>
  </si>
  <si>
    <t>HARBOUR MANOR HEALTH &amp; LIVING COMMUNITY</t>
  </si>
  <si>
    <t xml:space="preserve">   Administrator: RYLEE MOWERY</t>
  </si>
  <si>
    <t xml:space="preserve">   Tel: (317)773-9205</t>
  </si>
  <si>
    <t xml:space="preserve">   1667 SHERIDAN RD</t>
  </si>
  <si>
    <t xml:space="preserve">   NOBLESVILLE, IN 46060</t>
  </si>
  <si>
    <t>HARCOURT TERRACE NURSING AND REHABILITATION</t>
  </si>
  <si>
    <t xml:space="preserve">   Administrator: CHARLES NEESE</t>
  </si>
  <si>
    <t xml:space="preserve">   8181 HARCOURT RD</t>
  </si>
  <si>
    <t xml:space="preserve">   HARRISON AT EAGLE VALLEY, THE</t>
  </si>
  <si>
    <t xml:space="preserve">   Administrator: DEBRA GUZMAN</t>
  </si>
  <si>
    <t xml:space="preserve">   Tel: (317)291-1112</t>
  </si>
  <si>
    <t xml:space="preserve">   3060 VALLEY FARMS ROAD</t>
  </si>
  <si>
    <t>HARRISON HEALTHCARE CENTER</t>
  </si>
  <si>
    <t xml:space="preserve">   Administrator: KATHY DEARING</t>
  </si>
  <si>
    <t xml:space="preserve">   150 BEECHMONT DR</t>
  </si>
  <si>
    <t xml:space="preserve">   CORYDON, IN 47112</t>
  </si>
  <si>
    <t>HARRISON SPRINGS HEALTH CAMPUS</t>
  </si>
  <si>
    <t xml:space="preserve">   Administrator: LORI HESS</t>
  </si>
  <si>
    <t xml:space="preserve">   871 PACER DRIVE NW</t>
  </si>
  <si>
    <t>HARRISON TERRACE</t>
  </si>
  <si>
    <t xml:space="preserve">   Administrator: TIMOTHY CARTER</t>
  </si>
  <si>
    <t xml:space="preserve">   1924 WELLESLEY BLVD</t>
  </si>
  <si>
    <t>HARRISON'S CROSSING HEALTH CAMPUS</t>
  </si>
  <si>
    <t xml:space="preserve">   Administrator: SHANNON GRAVES</t>
  </si>
  <si>
    <t xml:space="preserve">   395 8TH AVENUE</t>
  </si>
  <si>
    <t xml:space="preserve">   TERRE HAUTE, IN 47804</t>
  </si>
  <si>
    <t>HEALTH CENTER AT GLENBURN HOME</t>
  </si>
  <si>
    <t xml:space="preserve">   Administrator: JEAN E. JOHANNINGSMEIER</t>
  </si>
  <si>
    <t xml:space="preserve">   Tel: (812)847-2221</t>
  </si>
  <si>
    <t xml:space="preserve">   618  W GLENBURN ROAD</t>
  </si>
  <si>
    <t xml:space="preserve">   LINTON, IN 47441</t>
  </si>
  <si>
    <t>HEALTHCARE CENTER AT WITTENBERG VILLAGE</t>
  </si>
  <si>
    <t xml:space="preserve">   Administrator: GORAN PRENTOSKI</t>
  </si>
  <si>
    <t xml:space="preserve">   Tel: (219)663-3860</t>
  </si>
  <si>
    <t xml:space="preserve">   1200 E LUTHER DR</t>
  </si>
  <si>
    <t>HEALTHWIN</t>
  </si>
  <si>
    <t xml:space="preserve">   Administrator: JUSTIN KIMBRELL</t>
  </si>
  <si>
    <t xml:space="preserve">   20531 DARDEN RD</t>
  </si>
  <si>
    <t xml:space="preserve">   SOUTH BEND, IN 46637</t>
  </si>
  <si>
    <t>HEARTH AT JUDAY CREEK LLC</t>
  </si>
  <si>
    <t xml:space="preserve">   Administrator: LAURA PAYNE</t>
  </si>
  <si>
    <t xml:space="preserve">   Tel: (574)243-5557</t>
  </si>
  <si>
    <t xml:space="preserve">   6330 N FIR RD</t>
  </si>
  <si>
    <t xml:space="preserve">   HEARTH AT PRESTWICK</t>
  </si>
  <si>
    <t xml:space="preserve">   Administrator: LISA ERVIN</t>
  </si>
  <si>
    <t xml:space="preserve">   Tel: (317)745-2766</t>
  </si>
  <si>
    <t xml:space="preserve">   182 S CR 550 E</t>
  </si>
  <si>
    <t>HEARTH AT STONES CROSSING LLC THE</t>
  </si>
  <si>
    <t xml:space="preserve">   Administrator: NICOLE SCHONFELD</t>
  </si>
  <si>
    <t xml:space="preserve">   Tel: (317)535-0422</t>
  </si>
  <si>
    <t xml:space="preserve">   2339 S STATE ROAD 135</t>
  </si>
  <si>
    <t>HEARTH AT SYCAMORE VILLAGE LLC</t>
  </si>
  <si>
    <t xml:space="preserve">   Administrator: JULES KROFT</t>
  </si>
  <si>
    <t xml:space="preserve">   Tel: (260)625-4025</t>
  </si>
  <si>
    <t xml:space="preserve">   611 W COUNTY LINE RD SOUTH</t>
  </si>
  <si>
    <t xml:space="preserve">   FORT WAYNE, IN 46814</t>
  </si>
  <si>
    <t>HEARTH AT TUDOR GARDENS LLC</t>
  </si>
  <si>
    <t xml:space="preserve">   Administrator: HAYLEE EVERIDGE</t>
  </si>
  <si>
    <t xml:space="preserve">   Tel: (317)873-6300</t>
  </si>
  <si>
    <t xml:space="preserve">   11755  N MICHIGAN RD</t>
  </si>
  <si>
    <t>HEARTH AT WINDERMERE</t>
  </si>
  <si>
    <t xml:space="preserve">   Administrator: MAY EHRESMAN</t>
  </si>
  <si>
    <t xml:space="preserve">   Tel: (317)576-1925</t>
  </si>
  <si>
    <t xml:space="preserve">   9745 OLYMPIA DR</t>
  </si>
  <si>
    <t>HEARTHSTONE HEALTH CAMPUS</t>
  </si>
  <si>
    <t xml:space="preserve">   Administrator: DAWN BLACK</t>
  </si>
  <si>
    <t xml:space="preserve">   3043 NORTH LINTEL DRIVE</t>
  </si>
  <si>
    <t xml:space="preserve">   BLOOMINGTON, IN 47404</t>
  </si>
  <si>
    <t>HELLENIC SENIOR LIVING OF ELKHART</t>
  </si>
  <si>
    <t xml:space="preserve">   Administrator: CHRISTINE NOELLE CHALMAN</t>
  </si>
  <si>
    <t xml:space="preserve">   Tel: (574)389-1776</t>
  </si>
  <si>
    <t xml:space="preserve">   2528 BYPASS ROAD</t>
  </si>
  <si>
    <t>HELLENIC SENIOR LIVING OF INDIANAPOLIS</t>
  </si>
  <si>
    <t xml:space="preserve">   Administrator: TRACIE OLDHAM</t>
  </si>
  <si>
    <t xml:space="preserve">   Tel: (317)885-4446</t>
  </si>
  <si>
    <t xml:space="preserve">   8601 SOUTH SHELBY STREET</t>
  </si>
  <si>
    <t>HELLENIC SENIOR LIVING OF NEW ALBANY</t>
  </si>
  <si>
    <t xml:space="preserve">   Administrator: JILL SMEDLEY</t>
  </si>
  <si>
    <t xml:space="preserve">   Tel: (812)944-9048</t>
  </si>
  <si>
    <t xml:space="preserve">   2632 GRANT LINE ROAD</t>
  </si>
  <si>
    <t>HERITAGE CENTER</t>
  </si>
  <si>
    <t xml:space="preserve">   Administrator: COURTNEY DILE</t>
  </si>
  <si>
    <t xml:space="preserve">   1201 W BUENA VISTA RD</t>
  </si>
  <si>
    <t>HERITAGE HEALTHCARE</t>
  </si>
  <si>
    <t xml:space="preserve">   Administrator: DAPHNE NEW</t>
  </si>
  <si>
    <t xml:space="preserve">   3401 SOLDIERS HOME RD</t>
  </si>
  <si>
    <t>HERITAGE HOUSE OF GREENSBURG</t>
  </si>
  <si>
    <t xml:space="preserve">   Administrator: LOU BLAKE</t>
  </si>
  <si>
    <t xml:space="preserve">   410 PARK RD</t>
  </si>
  <si>
    <t>HERITAGE HOUSE OF NEW CASTLE</t>
  </si>
  <si>
    <t xml:space="preserve">   Administrator: ANGELA DURR</t>
  </si>
  <si>
    <t xml:space="preserve">   1023 N 20TH ST</t>
  </si>
  <si>
    <t>HERITAGE HOUSE OF RICHMOND</t>
  </si>
  <si>
    <t xml:space="preserve">   Administrator: MERRY GOODWIN</t>
  </si>
  <si>
    <t xml:space="preserve">   2070 CHESTER BLVD</t>
  </si>
  <si>
    <t>HERITAGE HOUSE OF SHELBYVILLE</t>
  </si>
  <si>
    <t xml:space="preserve">   Administrator: CHARLSON DEPREZ</t>
  </si>
  <si>
    <t xml:space="preserve">   2309 S MILLER ST</t>
  </si>
  <si>
    <t>HERITAGE HOUSE REHABILITATION &amp; HEALTH CARE CENTER</t>
  </si>
  <si>
    <t xml:space="preserve">   Administrator: JARED GLAUB</t>
  </si>
  <si>
    <t xml:space="preserve">   281 S COUNTY ROAD 200 EAST</t>
  </si>
  <si>
    <t>HERITAGE OF FORT WAYNE, THE</t>
  </si>
  <si>
    <t xml:space="preserve">   Administrator: LINDA SHUTTLEWORTH</t>
  </si>
  <si>
    <t xml:space="preserve">   5250 HERITAGE PARKWAY</t>
  </si>
  <si>
    <t>HERITAGE OF HUNTINGTON</t>
  </si>
  <si>
    <t xml:space="preserve">   Administrator: JODIE STANLEY</t>
  </si>
  <si>
    <t xml:space="preserve">   1180 WEST 500 NORTH</t>
  </si>
  <si>
    <t xml:space="preserve">   HUNTINGTON, IN 46750</t>
  </si>
  <si>
    <t>HERITAGE PARK</t>
  </si>
  <si>
    <t xml:space="preserve">   Administrator: KIMILY HUGHES</t>
  </si>
  <si>
    <t xml:space="preserve">   2001 HOBSON RD</t>
  </si>
  <si>
    <t>HERITAGE PARK COMMONS</t>
  </si>
  <si>
    <t xml:space="preserve">   Administrator: GREGORY HERVEL</t>
  </si>
  <si>
    <t xml:space="preserve">   2002 HERITAGE PARK DRIVE</t>
  </si>
  <si>
    <t xml:space="preserve">   HERITAGE POINT ALZHEIMER'S SPECIAL CARE CENTER</t>
  </si>
  <si>
    <t xml:space="preserve">   Administrator: ROGER D. GARMENDIA</t>
  </si>
  <si>
    <t xml:space="preserve">   Tel: (574)247-7400</t>
  </si>
  <si>
    <t xml:space="preserve">   1215 TRINITY PLACE</t>
  </si>
  <si>
    <t>HERITAGE POINTE</t>
  </si>
  <si>
    <t xml:space="preserve">   Administrator: BRENDA JOHNS</t>
  </si>
  <si>
    <t xml:space="preserve">   801 N HUNTINGTON AVE</t>
  </si>
  <si>
    <t xml:space="preserve">   WARREN, IN 46792</t>
  </si>
  <si>
    <t>HERITAGE WOODS OF NOBLESVILLE</t>
  </si>
  <si>
    <t xml:space="preserve">   Administrator: RICHARD ROBISON</t>
  </si>
  <si>
    <t xml:space="preserve">   Tel: (317)330-6061</t>
  </si>
  <si>
    <t xml:space="preserve">   9600 E 146TH STREET</t>
  </si>
  <si>
    <t xml:space="preserve">   HI JILL'S HOUSE LLC</t>
  </si>
  <si>
    <t xml:space="preserve">   Administrator: KYLA BROCK</t>
  </si>
  <si>
    <t xml:space="preserve">   Tel: (812)787-7692</t>
  </si>
  <si>
    <t xml:space="preserve">   751 E TAMARACK TRAIL</t>
  </si>
  <si>
    <t>HICKORY CREEK AT COLUMBUS</t>
  </si>
  <si>
    <t xml:space="preserve">   Administrator: DIANA GORE</t>
  </si>
  <si>
    <t xml:space="preserve">   5480 E 25TH STREET</t>
  </si>
  <si>
    <t>HICKORY CREEK AT CONNERSVILLE</t>
  </si>
  <si>
    <t xml:space="preserve">   Administrator: LEA LOY</t>
  </si>
  <si>
    <t xml:space="preserve">   2600 N GRAND AVE</t>
  </si>
  <si>
    <t>HICKORY CREEK AT CRAWFORDSVILLE</t>
  </si>
  <si>
    <t xml:space="preserve">   Administrator: KAVITA BERI</t>
  </si>
  <si>
    <t xml:space="preserve">   817 N WHITLOCK AVE</t>
  </si>
  <si>
    <t>HICKORY CREEK AT FRANKLIN</t>
  </si>
  <si>
    <t xml:space="preserve">   Administrator: MARGARET ELLEN CLARK</t>
  </si>
  <si>
    <t xml:space="preserve">   580 LEMLEY STREET</t>
  </si>
  <si>
    <t>HICKORY CREEK AT GREENSBURG</t>
  </si>
  <si>
    <t xml:space="preserve">   Administrator: ASHLEY RAPP</t>
  </si>
  <si>
    <t xml:space="preserve">   1620 N LINCOLN ST</t>
  </si>
  <si>
    <t>HICKORY CREEK AT HUNTINGTON</t>
  </si>
  <si>
    <t xml:space="preserve">   Administrator: KIM STANLEY</t>
  </si>
  <si>
    <t xml:space="preserve">   1425 GRANT ST</t>
  </si>
  <si>
    <t>HICKORY CREEK AT KENDALLVILLE</t>
  </si>
  <si>
    <t xml:space="preserve">   Administrator: MONA RUBLE</t>
  </si>
  <si>
    <t xml:space="preserve">   1433 S MAIN STREET</t>
  </si>
  <si>
    <t>HICKORY CREEK AT MADISON</t>
  </si>
  <si>
    <t xml:space="preserve">   Administrator: JO ELLEN KRING</t>
  </si>
  <si>
    <t xml:space="preserve">   1945 CRAGMONT ST</t>
  </si>
  <si>
    <t xml:space="preserve">   MADISON, IN 47250</t>
  </si>
  <si>
    <t>HICKORY CREEK AT NEW CASTLE</t>
  </si>
  <si>
    <t xml:space="preserve">   Administrator: BRITTNEY LONGNECKER</t>
  </si>
  <si>
    <t xml:space="preserve">   901 N 16TH STREET</t>
  </si>
  <si>
    <t>HICKORY CREEK AT PERU</t>
  </si>
  <si>
    <t xml:space="preserve">   Administrator: ALEXIS RENEE ARNOLD</t>
  </si>
  <si>
    <t xml:space="preserve">   390 W BOULEVARD</t>
  </si>
  <si>
    <t>HICKORY CREEK AT ROCHESTER</t>
  </si>
  <si>
    <t xml:space="preserve">   Administrator: SHAWNA SOPHER</t>
  </si>
  <si>
    <t xml:space="preserve">   340 E 18TH STREET</t>
  </si>
  <si>
    <t xml:space="preserve">   ROCHESTER, IN 46975</t>
  </si>
  <si>
    <t>HICKORY CREEK AT SCOTTSBURG</t>
  </si>
  <si>
    <t xml:space="preserve">   Administrator: KIMBERLY SMITH</t>
  </si>
  <si>
    <t xml:space="preserve">   1100 N GARDNER AVE</t>
  </si>
  <si>
    <t>HICKORY CREEK AT SUNSET</t>
  </si>
  <si>
    <t xml:space="preserve">   Administrator: JILL STOTT</t>
  </si>
  <si>
    <t xml:space="preserve">   1109 S INDIANA STREET</t>
  </si>
  <si>
    <t>HICKORY CREEK AT WINAMAC</t>
  </si>
  <si>
    <t xml:space="preserve">   Administrator: TINA BERNACCHI</t>
  </si>
  <si>
    <t xml:space="preserve">   515 E 13TH ST</t>
  </si>
  <si>
    <t xml:space="preserve">   WINAMAC, IN 46996</t>
  </si>
  <si>
    <t>HILDEGARD HEALTH CENTER INC</t>
  </si>
  <si>
    <t xml:space="preserve">   Administrator: AMANDA SHELBY</t>
  </si>
  <si>
    <t xml:space="preserve">   802 E 10TH ST</t>
  </si>
  <si>
    <t xml:space="preserve">   FERDINAND, IN 47532</t>
  </si>
  <si>
    <t>HILLCREST VILLAGE</t>
  </si>
  <si>
    <t xml:space="preserve">   Administrator: MARK BOWMAN</t>
  </si>
  <si>
    <t xml:space="preserve">   203 SPARKS AVE</t>
  </si>
  <si>
    <t xml:space="preserve">   JEFFERSONVILLE, IN 47130</t>
  </si>
  <si>
    <t>HILLSIDE MANOR NURSING HOME</t>
  </si>
  <si>
    <t xml:space="preserve">   Administrator: JULIE HELM</t>
  </si>
  <si>
    <t xml:space="preserve">   Tel: (812)254-7159</t>
  </si>
  <si>
    <t xml:space="preserve">   1109 E NATIONAL HIGHWAY</t>
  </si>
  <si>
    <t>HOLY CROSS VILLAGE AT NOTRE DAME INC</t>
  </si>
  <si>
    <t xml:space="preserve">   Administrator: LINDA LEWIS</t>
  </si>
  <si>
    <t xml:space="preserve">   54515 STATE ROAD 933 NORTH</t>
  </si>
  <si>
    <t xml:space="preserve">   NOTRE DAME, IN 46556</t>
  </si>
  <si>
    <t>HOMESTEAD HEALTHCARE CENTER</t>
  </si>
  <si>
    <t xml:space="preserve">   Administrator: CHRISTINA WILSON</t>
  </si>
  <si>
    <t xml:space="preserve">   7465 MADISON AVE</t>
  </si>
  <si>
    <t>HOMEVIEW CENTER OF FRANKLIN</t>
  </si>
  <si>
    <t xml:space="preserve">   Administrator: MARK GAVORSKI</t>
  </si>
  <si>
    <t xml:space="preserve">   651 SOUTH STATE STREET</t>
  </si>
  <si>
    <t>HOMEWOOD HEALTH CAMPUS</t>
  </si>
  <si>
    <t xml:space="preserve">   Administrator: BRADLEY MACKLIN</t>
  </si>
  <si>
    <t xml:space="preserve">   2494 N LEBANON ST</t>
  </si>
  <si>
    <t>HOOSIER CHRISTIAN VILLAGE</t>
  </si>
  <si>
    <t xml:space="preserve">   Administrator: KRISTA GARRISON</t>
  </si>
  <si>
    <t xml:space="preserve">   621 S SUGAR ST</t>
  </si>
  <si>
    <t xml:space="preserve">   BROWNSTOWN, IN 47220</t>
  </si>
  <si>
    <t>HOOSIER VILLAGE</t>
  </si>
  <si>
    <t xml:space="preserve">   Administrator: MINDY KANTZ</t>
  </si>
  <si>
    <t xml:space="preserve">   9875 CHERRYLEAF DR</t>
  </si>
  <si>
    <t xml:space="preserve">   INDIANAPOLIS, IN 46268</t>
  </si>
  <si>
    <t>HOOVERWOOD</t>
  </si>
  <si>
    <t xml:space="preserve">   Administrator: ANNETTE WEBER</t>
  </si>
  <si>
    <t xml:space="preserve">   7001 HOOVER RD</t>
  </si>
  <si>
    <t>HUBBARD HILL ESTATES INC</t>
  </si>
  <si>
    <t xml:space="preserve">   Administrator: TERRY SCHOLLMEIER</t>
  </si>
  <si>
    <t xml:space="preserve">   Tel: (574)295-6260</t>
  </si>
  <si>
    <t xml:space="preserve">   28070 CR 24</t>
  </si>
  <si>
    <t>INDIAN CREEK HEALTHCARE CENTER</t>
  </si>
  <si>
    <t xml:space="preserve">   Administrator: SAMANTHA LAWSON</t>
  </si>
  <si>
    <t xml:space="preserve">   240 BEECHMONT DR</t>
  </si>
  <si>
    <t>INDIANA MASONIC HOME HEALTH CENTER</t>
  </si>
  <si>
    <t xml:space="preserve">   Administrator: WILLIAM PIERCE</t>
  </si>
  <si>
    <t xml:space="preserve">   800 FREEMASON PARKWAY</t>
  </si>
  <si>
    <t>INDIANA MASONIC HOME INC</t>
  </si>
  <si>
    <t xml:space="preserve">   Administrator: CHARLES SPENCER</t>
  </si>
  <si>
    <t xml:space="preserve">   690 STATE STREET</t>
  </si>
  <si>
    <t>INDIANA VETERANS HOME</t>
  </si>
  <si>
    <t xml:space="preserve">   Administrator: JOY GROW</t>
  </si>
  <si>
    <t xml:space="preserve">   3851 N RIVER RD</t>
  </si>
  <si>
    <t>JEWEL PLACE</t>
  </si>
  <si>
    <t xml:space="preserve">   Administrator: KRISTEN CHALOU</t>
  </si>
  <si>
    <t xml:space="preserve">   Tel: (812)273-0432</t>
  </si>
  <si>
    <t xml:space="preserve">   607 VIRGINIA AVE</t>
  </si>
  <si>
    <t xml:space="preserve">   JOURNEY SENIOR LIVING OF MERRILLVILLE LLC</t>
  </si>
  <si>
    <t xml:space="preserve">   Administrator: LISA RENEE HARRISON</t>
  </si>
  <si>
    <t xml:space="preserve">   Tel: (219)525-4123</t>
  </si>
  <si>
    <t xml:space="preserve">   7900 RHODE ISLAND STREET</t>
  </si>
  <si>
    <t>JOURNEY SENIOR LIVING OF VALPARAISO</t>
  </si>
  <si>
    <t xml:space="preserve">   Administrator: MELISSA GREEN</t>
  </si>
  <si>
    <t xml:space="preserve">   Tel: (219)250-2038</t>
  </si>
  <si>
    <t xml:space="preserve">   74 E JOURNEY WAY</t>
  </si>
  <si>
    <t xml:space="preserve">   KEEPSAKE VILLAGE OF COLUMBUS</t>
  </si>
  <si>
    <t xml:space="preserve">   Administrator: LUAN DESKINS</t>
  </si>
  <si>
    <t xml:space="preserve">   Tel: (812)372-0950</t>
  </si>
  <si>
    <t xml:space="preserve">   2564 FOXPOINTE DR</t>
  </si>
  <si>
    <t>KENDALLVILLE MANOR</t>
  </si>
  <si>
    <t xml:space="preserve">   Administrator: ROCHELLE MILLS</t>
  </si>
  <si>
    <t xml:space="preserve">   1802 E DOWLING ST</t>
  </si>
  <si>
    <t xml:space="preserve">   KESSLERWOOD PLACE</t>
  </si>
  <si>
    <t xml:space="preserve">   Administrator: LORNA CASTILLO</t>
  </si>
  <si>
    <t xml:space="preserve">   Tel: (317)251-1300</t>
  </si>
  <si>
    <t xml:space="preserve">   5011 KESSLER BLVD E</t>
  </si>
  <si>
    <t>KEYSTONE WOODS</t>
  </si>
  <si>
    <t xml:space="preserve">   Administrator: JEANNE BROWN</t>
  </si>
  <si>
    <t xml:space="preserve">   Tel: (765)642-8020</t>
  </si>
  <si>
    <t xml:space="preserve">   2335 N MADISON AVE</t>
  </si>
  <si>
    <t xml:space="preserve">   KINGSTON AT DUPONT</t>
  </si>
  <si>
    <t xml:space="preserve">   Administrator: CAROLYN DAVIDSON</t>
  </si>
  <si>
    <t xml:space="preserve">   Tel: (260)490-5111</t>
  </si>
  <si>
    <t xml:space="preserve">   1716 E DUPONT RD</t>
  </si>
  <si>
    <t>KINGSTON CARE CENTER OF FORT WAYNE</t>
  </si>
  <si>
    <t xml:space="preserve">   Administrator: CATHERINE PALACE</t>
  </si>
  <si>
    <t xml:space="preserve">   1010 W WASHINGTON CENTER RD</t>
  </si>
  <si>
    <t>KINGSTON RESIDENCE OF FORT WAYNE</t>
  </si>
  <si>
    <t xml:space="preserve">   Administrator: RENEE MARY KREIENBRINK</t>
  </si>
  <si>
    <t xml:space="preserve">   7515 WINCHESTER RD</t>
  </si>
  <si>
    <t xml:space="preserve">   FORT WAYNE, IN 46819</t>
  </si>
  <si>
    <t>KOKOMO HEALTHCARE CENTER</t>
  </si>
  <si>
    <t xml:space="preserve">   Administrator: TAMARA TINSLEY</t>
  </si>
  <si>
    <t xml:space="preserve">   429 W LINCOLN RD</t>
  </si>
  <si>
    <t>KOKOMO PLACE</t>
  </si>
  <si>
    <t xml:space="preserve">   Administrator: PEGGY FRYE</t>
  </si>
  <si>
    <t xml:space="preserve">   Tel: (765)456-1490</t>
  </si>
  <si>
    <t xml:space="preserve">   3025 W SYCAMORE ST</t>
  </si>
  <si>
    <t xml:space="preserve">   LAFAYETTE BICKFORD COTTAGE LLC</t>
  </si>
  <si>
    <t xml:space="preserve">   Administrator: BRENDA SHEPHERD</t>
  </si>
  <si>
    <t xml:space="preserve">   Tel: (765)477-0770</t>
  </si>
  <si>
    <t xml:space="preserve">   3633 REGAL VALLEY DR</t>
  </si>
  <si>
    <t xml:space="preserve">   LAFAYETTE, IN 47901</t>
  </si>
  <si>
    <t>LAKE CITY PLACE</t>
  </si>
  <si>
    <t xml:space="preserve">   Administrator: MACKENZIE GARDNER</t>
  </si>
  <si>
    <t xml:space="preserve">   Tel: (574)267-3873</t>
  </si>
  <si>
    <t xml:space="preserve">   425 CHINWORTH CT</t>
  </si>
  <si>
    <t xml:space="preserve">   WARSAW, IN 46580</t>
  </si>
  <si>
    <t>LAKE COUNTY NURSING AND REHABILITATION CENTER</t>
  </si>
  <si>
    <t xml:space="preserve">   Administrator: SHERRI MORENO</t>
  </si>
  <si>
    <t xml:space="preserve">   5025 MCCOOK AVE</t>
  </si>
  <si>
    <t xml:space="preserve">   EAST CHICAGO, IN 46312</t>
  </si>
  <si>
    <t>LAKE PARK RESIDENTIAL CARE</t>
  </si>
  <si>
    <t xml:space="preserve">   Administrator: JOELYNN MILLER-JOHNSON</t>
  </si>
  <si>
    <t xml:space="preserve">   Tel: (219)962-9437</t>
  </si>
  <si>
    <t xml:space="preserve">   2075 RIPLEY ST</t>
  </si>
  <si>
    <t xml:space="preserve">   LAKE STATION, IN 46405</t>
  </si>
  <si>
    <t>LAKE POINTE VILLAGE</t>
  </si>
  <si>
    <t xml:space="preserve">   Administrator: RICHEY BARTON</t>
  </si>
  <si>
    <t xml:space="preserve">   545 W MOONGLO RD</t>
  </si>
  <si>
    <t>LAKEVIEW MANOR</t>
  </si>
  <si>
    <t xml:space="preserve">   Administrator: PATRICK NGENE</t>
  </si>
  <si>
    <t xml:space="preserve">   45 BEACHWAY DR</t>
  </si>
  <si>
    <t xml:space="preserve">   INDIANAPOLIS, IN 46224</t>
  </si>
  <si>
    <t xml:space="preserve">   LAMPLIGHT INN OF FORT WAYNE</t>
  </si>
  <si>
    <t xml:space="preserve">   Administrator: AMBER HARDY</t>
  </si>
  <si>
    <t xml:space="preserve">   Tel: (260)422-5511</t>
  </si>
  <si>
    <t xml:space="preserve">   300 E WASHINGTON BLVD</t>
  </si>
  <si>
    <t xml:space="preserve">   FORT WAYNE, IN 46802</t>
  </si>
  <si>
    <t>LANE HOUSE, THE</t>
  </si>
  <si>
    <t xml:space="preserve">   Administrator: GLORIA MCGOWEN</t>
  </si>
  <si>
    <t xml:space="preserve">   1000 LANE AVE</t>
  </si>
  <si>
    <t>LAURELS OF DEKALB</t>
  </si>
  <si>
    <t xml:space="preserve">   Administrator: ERIN TUTTLE</t>
  </si>
  <si>
    <t xml:space="preserve">   520 W LIBERTY ST</t>
  </si>
  <si>
    <t xml:space="preserve">   BUTLER, IN 46721</t>
  </si>
  <si>
    <t xml:space="preserve">   LEGACY LIVING OF JASPER LLC</t>
  </si>
  <si>
    <t xml:space="preserve">   Administrator: ANTHONY RAPHAEL SCHANTZ</t>
  </si>
  <si>
    <t xml:space="preserve">   Tel: (812)559-0200</t>
  </si>
  <si>
    <t xml:space="preserve">   1850 WEST STATE ROAD 56</t>
  </si>
  <si>
    <t>LIBERTY VILLAGE</t>
  </si>
  <si>
    <t xml:space="preserve">   Administrator: SUZANNE WAGNER</t>
  </si>
  <si>
    <t xml:space="preserve">   4600 E JACKSON ST</t>
  </si>
  <si>
    <t>LIFE CARE CENTER OF FORT WAYNE</t>
  </si>
  <si>
    <t xml:space="preserve">   Administrator: HOLLY GENTRY</t>
  </si>
  <si>
    <t xml:space="preserve">   1649 SPY RUN AVENUE</t>
  </si>
  <si>
    <t>LIFE CARE CENTER OF LAGRANGE</t>
  </si>
  <si>
    <t xml:space="preserve">   Administrator: LEAH BENNETT</t>
  </si>
  <si>
    <t xml:space="preserve">   0770 NORTH 075 EAST</t>
  </si>
  <si>
    <t xml:space="preserve">   LAGRANGE, IN 46761</t>
  </si>
  <si>
    <t>LIFE CARE CENTER OF MICHIGAN CITY</t>
  </si>
  <si>
    <t xml:space="preserve">   Administrator: TERRI PHILLIPS</t>
  </si>
  <si>
    <t xml:space="preserve">   802 US HIGHWAY 20 EAST</t>
  </si>
  <si>
    <t>LIFE CARE CENTER OF ROCHESTER</t>
  </si>
  <si>
    <t xml:space="preserve">   Administrator: STACY CROMER</t>
  </si>
  <si>
    <t xml:space="preserve">   827 W 13TH ST</t>
  </si>
  <si>
    <t>LIFE CARE CENTER OF THE WILLOWS</t>
  </si>
  <si>
    <t xml:space="preserve">   Administrator: TAMI ADAMS</t>
  </si>
  <si>
    <t xml:space="preserve">   1000 ELIZABETH DR</t>
  </si>
  <si>
    <t>LIFE CARE CENTER OF VALPARAISO</t>
  </si>
  <si>
    <t xml:space="preserve">   Administrator: AMBER JANECZKO</t>
  </si>
  <si>
    <t xml:space="preserve">   3405 N CAMPBELL RD</t>
  </si>
  <si>
    <t xml:space="preserve">   VALPARAISO, IN 46385</t>
  </si>
  <si>
    <t>LINCOLN HILLS OF NEW ALBANY</t>
  </si>
  <si>
    <t xml:space="preserve">   Administrator: MICHELLE PROFUMO</t>
  </si>
  <si>
    <t xml:space="preserve">   Tel: (812)948-1311</t>
  </si>
  <si>
    <t xml:space="preserve">   326 COUNTRY CLUB DRIVE</t>
  </si>
  <si>
    <t>LINCOLNSHIRE HEALTH &amp; REHABILITATION CENTER</t>
  </si>
  <si>
    <t xml:space="preserve">   Administrator: RITA GATSON</t>
  </si>
  <si>
    <t xml:space="preserve">   8380 VIRGINIA ST</t>
  </si>
  <si>
    <t>LINCOLNSHIRE PLACE - FORT WAYNE</t>
  </si>
  <si>
    <t xml:space="preserve">   Administrator: TYLER WEILBAKER</t>
  </si>
  <si>
    <t xml:space="preserve">   Tel: (847)777-6933</t>
  </si>
  <si>
    <t xml:space="preserve">   11911 DIEBOLD ROAD</t>
  </si>
  <si>
    <t>LINDBERG CROSSING SENIOR LIVING</t>
  </si>
  <si>
    <t xml:space="preserve">   Administrator: CINDI COOPER</t>
  </si>
  <si>
    <t xml:space="preserve">   1821 LINDBERG RD</t>
  </si>
  <si>
    <t>LODGE OF THE WABASH</t>
  </si>
  <si>
    <t xml:space="preserve">   Administrator: GREGORY MATHEIS</t>
  </si>
  <si>
    <t xml:space="preserve">   723 E RAMSEY RD</t>
  </si>
  <si>
    <t>LOOGOOTEE HEALTHCARE &amp; REHABILITATION CENTER</t>
  </si>
  <si>
    <t xml:space="preserve">   Administrator: SCOTT SWABY</t>
  </si>
  <si>
    <t xml:space="preserve">   313 POPLAR ST</t>
  </si>
  <si>
    <t xml:space="preserve">   LOOGOOTEE, IN 47553</t>
  </si>
  <si>
    <t>LOOGOOTEE NURSING CENTER</t>
  </si>
  <si>
    <t xml:space="preserve">   Administrator: LINDA DREW</t>
  </si>
  <si>
    <t xml:space="preserve">   Tel: (812)295-2101</t>
  </si>
  <si>
    <t xml:space="preserve">   12802 EAST US HWY 50</t>
  </si>
  <si>
    <t>LOWELL HEALTHCARE</t>
  </si>
  <si>
    <t xml:space="preserve">   Administrator: COLLEEN FOLKERS</t>
  </si>
  <si>
    <t xml:space="preserve">   710 MICHIGAN ST</t>
  </si>
  <si>
    <t>LUTHERAN COMMUNITY HOME</t>
  </si>
  <si>
    <t xml:space="preserve">   Administrator: KARYN FLEETWOOD</t>
  </si>
  <si>
    <t xml:space="preserve">   111 W CHURCH AVE</t>
  </si>
  <si>
    <t>LUTHERAN LIFE VILLAGES</t>
  </si>
  <si>
    <t xml:space="preserve">   Administrator: SHAUNA SHAFER</t>
  </si>
  <si>
    <t xml:space="preserve">   6701 S ANTHONY BLVD</t>
  </si>
  <si>
    <t xml:space="preserve">   FORT WAYNE, IN 46816</t>
  </si>
  <si>
    <t xml:space="preserve">   Administrator: ASHLEY DOUGLAS</t>
  </si>
  <si>
    <t xml:space="preserve">   Tel: (260)469-0600</t>
  </si>
  <si>
    <t xml:space="preserve">   9802 COLDWATER ROAD</t>
  </si>
  <si>
    <t xml:space="preserve">   Administrator: SADIE FENSTERMAKER</t>
  </si>
  <si>
    <t xml:space="preserve">   Tel: (260)347-2256</t>
  </si>
  <si>
    <t xml:space="preserve">   351 N ALLEN CHAPEL RD</t>
  </si>
  <si>
    <t>LYND PLACE</t>
  </si>
  <si>
    <t xml:space="preserve">   Administrator: MELLISSA L REEVES CARPENTER</t>
  </si>
  <si>
    <t xml:space="preserve">   Tel: (765)284-7670</t>
  </si>
  <si>
    <t xml:space="preserve">   2410 E MCGALLIARD RD</t>
  </si>
  <si>
    <t>LYNHURST HEALTHCARE</t>
  </si>
  <si>
    <t xml:space="preserve">   Administrator: MARK ALAN THOMPSON</t>
  </si>
  <si>
    <t xml:space="preserve">   Tel: (317)381-9404</t>
  </si>
  <si>
    <t xml:space="preserve">   5225 W MORRIS ST</t>
  </si>
  <si>
    <t xml:space="preserve">   INDIANAPOLIS, IN 46241</t>
  </si>
  <si>
    <t>MAJESTIC CARE OF AVON</t>
  </si>
  <si>
    <t xml:space="preserve">   Administrator: BOB COMPTON</t>
  </si>
  <si>
    <t xml:space="preserve">   445 S COUNTY ROAD 525 E</t>
  </si>
  <si>
    <t>MAJESTIC CARE OF CONNERSVILLE</t>
  </si>
  <si>
    <t>Vacant</t>
  </si>
  <si>
    <t xml:space="preserve">   Tel: (765)825-0543</t>
  </si>
  <si>
    <t xml:space="preserve">   1029 E 5TH STREET</t>
  </si>
  <si>
    <t>MAJESTIC CARE OF FORT WAYNE</t>
  </si>
  <si>
    <t xml:space="preserve">   Administrator: GREGGORY FULLER</t>
  </si>
  <si>
    <t xml:space="preserve">   7519 WINCHESTER RD</t>
  </si>
  <si>
    <t>MAJESTIC CARE OF NEW HAVEN</t>
  </si>
  <si>
    <t xml:space="preserve">   Administrator: DUSTIN MILLER</t>
  </si>
  <si>
    <t xml:space="preserve">   1201 DALY DRIVE</t>
  </si>
  <si>
    <t xml:space="preserve">   NEW HAVEN, IN 46774</t>
  </si>
  <si>
    <t>MAJESTIC CARE OF NORTH VERNON</t>
  </si>
  <si>
    <t xml:space="preserve">   Administrator: DANIEL KERN</t>
  </si>
  <si>
    <t xml:space="preserve">   701 HENRY STREET</t>
  </si>
  <si>
    <t xml:space="preserve">   NORTH VERNON, IN 47265</t>
  </si>
  <si>
    <t>MAJESTIC CARE OF SHERIDAN</t>
  </si>
  <si>
    <t xml:space="preserve">   Administrator: RYAN KINZIE</t>
  </si>
  <si>
    <t xml:space="preserve">   803 S HAMILTON ST</t>
  </si>
  <si>
    <t xml:space="preserve">   SHERIDAN, IN 46069</t>
  </si>
  <si>
    <t>MAJESTIC CARE OF WEST ALLEN</t>
  </si>
  <si>
    <t xml:space="preserve">   Administrator: WAYNE NOBLE</t>
  </si>
  <si>
    <t xml:space="preserve">   6050 S CR 800 E 92</t>
  </si>
  <si>
    <t>MANDERLEY HEALTH CARE CENTER</t>
  </si>
  <si>
    <t xml:space="preserve">   Administrator: MOLLY NEGANGARD</t>
  </si>
  <si>
    <t xml:space="preserve">   806 S BUCKEYE ST</t>
  </si>
  <si>
    <t xml:space="preserve">   OSGOOD, IN 47037</t>
  </si>
  <si>
    <t>MANOR CARE HEALTH SERVICES SUMMER TRACE</t>
  </si>
  <si>
    <t xml:space="preserve">   Administrator: JAMES SCHWARTZ</t>
  </si>
  <si>
    <t xml:space="preserve">   12999 N PENNSYLVANIA ST</t>
  </si>
  <si>
    <t>MANORCARE HEALTH SERVICES</t>
  </si>
  <si>
    <t xml:space="preserve">   Administrator: MATTHEW SEIP</t>
  </si>
  <si>
    <t xml:space="preserve">   8549 S MADISON AVE</t>
  </si>
  <si>
    <t>MANSION ON MAIN, THE</t>
  </si>
  <si>
    <t xml:space="preserve">   Administrator: TODD MARSH</t>
  </si>
  <si>
    <t xml:space="preserve">   Tel: (812)914-1161</t>
  </si>
  <si>
    <t xml:space="preserve">   1420 EAST MAIN STREET</t>
  </si>
  <si>
    <t>MAPLE MANOR CHRISTIAN HOME INC</t>
  </si>
  <si>
    <t xml:space="preserve">   Administrator: STEVEN CUNNINGHAM</t>
  </si>
  <si>
    <t xml:space="preserve">   643 W UTICA ST</t>
  </si>
  <si>
    <t>MAPLE PARK VILLAGE</t>
  </si>
  <si>
    <t xml:space="preserve">   Administrator: JENNIFER VOSS</t>
  </si>
  <si>
    <t xml:space="preserve">   776 N UNION ST</t>
  </si>
  <si>
    <t>MARKLE HEALTH &amp; REHABILITATION</t>
  </si>
  <si>
    <t xml:space="preserve">   Administrator: VICKI SHEPHERD</t>
  </si>
  <si>
    <t xml:space="preserve">   170 N TRACY ST</t>
  </si>
  <si>
    <t xml:space="preserve">   MARKLE, IN 46770</t>
  </si>
  <si>
    <t>MARQUETTE</t>
  </si>
  <si>
    <t xml:space="preserve">   Administrator: JEFFREY LYLE COX</t>
  </si>
  <si>
    <t xml:space="preserve">   8140 TOWNSHIP LINE RD</t>
  </si>
  <si>
    <t>MASON HEALTH CARE CENTER</t>
  </si>
  <si>
    <t xml:space="preserve">   Administrator: JASON METZGER</t>
  </si>
  <si>
    <t xml:space="preserve">   900 PROVIDENT DRIVE</t>
  </si>
  <si>
    <t>MCCORDSVILLE SENIOR LIVING LLC</t>
  </si>
  <si>
    <t xml:space="preserve">   Administrator: PATRICIA JUNE</t>
  </si>
  <si>
    <t xml:space="preserve">   Tel: (317)335-9900</t>
  </si>
  <si>
    <t xml:space="preserve">   6311 W CR 900 N</t>
  </si>
  <si>
    <t xml:space="preserve">   MCCORDSVILLE, IN 46055</t>
  </si>
  <si>
    <t>MCGIVNEY HEALTH CARE CENTER</t>
  </si>
  <si>
    <t xml:space="preserve">   Administrator: RANDALL SHERA</t>
  </si>
  <si>
    <t xml:space="preserve">   2907 EAST 136TH ST</t>
  </si>
  <si>
    <t>MCKINNEY PLACE</t>
  </si>
  <si>
    <t xml:space="preserve">   Administrator: KELLY DREY</t>
  </si>
  <si>
    <t xml:space="preserve">   Tel: (574)739-2134</t>
  </si>
  <si>
    <t xml:space="preserve">   3901 HIGH STREET RD</t>
  </si>
  <si>
    <t>MEADOW BROOK SENIOR LIVING</t>
  </si>
  <si>
    <t xml:space="preserve">   Administrator: MAX JONES</t>
  </si>
  <si>
    <t xml:space="preserve">   Tel: (317)842-4215</t>
  </si>
  <si>
    <t xml:space="preserve">   11011 VILLAGE SQUARE LANE</t>
  </si>
  <si>
    <t>MEADOW LAKES</t>
  </si>
  <si>
    <t xml:space="preserve">   Administrator: CATHERINE HASSAKIS-HICKS</t>
  </si>
  <si>
    <t xml:space="preserve">   200 MEADOW LAKE DR</t>
  </si>
  <si>
    <t xml:space="preserve">   MOORESVILLE, IN 46158</t>
  </si>
  <si>
    <t>MEADOW VIEW HEALTH AND REHABILITATION</t>
  </si>
  <si>
    <t xml:space="preserve">   Administrator: JOE COX</t>
  </si>
  <si>
    <t xml:space="preserve">   900 ANSON ST</t>
  </si>
  <si>
    <t xml:space="preserve">   SALEM, IN 47167</t>
  </si>
  <si>
    <t>MEADOWOOD HEALTH PAVILION</t>
  </si>
  <si>
    <t xml:space="preserve">   Administrator: CATHY PARKER</t>
  </si>
  <si>
    <t xml:space="preserve">   2455 TAMARACK TRAIL</t>
  </si>
  <si>
    <t>MEADOWS MANOR EAST</t>
  </si>
  <si>
    <t xml:space="preserve">   Administrator: PAMELA CLEVENGER</t>
  </si>
  <si>
    <t xml:space="preserve">   3300 POPLAR ST</t>
  </si>
  <si>
    <t xml:space="preserve">   TERRE HAUTE, IN 47803</t>
  </si>
  <si>
    <t>MEADOWS MANOR NORTH</t>
  </si>
  <si>
    <t xml:space="preserve">   Administrator: WENDY MCNAMARA-BAKER</t>
  </si>
  <si>
    <t xml:space="preserve">   3150 N SEVENTH ST</t>
  </si>
  <si>
    <t>MERIDIAN NURSING AND REHABILITATION CENTER</t>
  </si>
  <si>
    <t xml:space="preserve">   Administrator: DARLENE ADAIR</t>
  </si>
  <si>
    <t xml:space="preserve">   2102 S MERIDIAN ST</t>
  </si>
  <si>
    <t xml:space="preserve">   INDIANAPOLIS, IN 46225</t>
  </si>
  <si>
    <t>MIDDLETOWN NURSING AND REHABILITATION CENTER</t>
  </si>
  <si>
    <t xml:space="preserve">   Administrator: JERROD T MOORE</t>
  </si>
  <si>
    <t xml:space="preserve">   131 S 10TH ST</t>
  </si>
  <si>
    <t xml:space="preserve">   MIDDLETOWN, IN 47356</t>
  </si>
  <si>
    <t>MILL POND HEALTH CAMPUS</t>
  </si>
  <si>
    <t xml:space="preserve">   Administrator: RACHEL FRYE</t>
  </si>
  <si>
    <t xml:space="preserve">   1014 MILL POND LANE</t>
  </si>
  <si>
    <t>MILLER BEACH TERRACE</t>
  </si>
  <si>
    <t xml:space="preserve">   Administrator: JANUARY SZWEDA</t>
  </si>
  <si>
    <t xml:space="preserve">   Tel: (219)938-0124</t>
  </si>
  <si>
    <t xml:space="preserve">   4905 MELTON RD</t>
  </si>
  <si>
    <t xml:space="preserve">   GARY, IN 46403</t>
  </si>
  <si>
    <t>MILLER'S AT OAK POINTE</t>
  </si>
  <si>
    <t xml:space="preserve">   Administrator: JACOB REVERE</t>
  </si>
  <si>
    <t xml:space="preserve">   411 N WOLF RD</t>
  </si>
  <si>
    <t xml:space="preserve">   COLUMBIA CITY, IN 46725</t>
  </si>
  <si>
    <t>MILLER'S HEALTH &amp; REHAB BY MILLER'S MERRY MANOR</t>
  </si>
  <si>
    <t xml:space="preserve">   Administrator: KARI SPRINGER</t>
  </si>
  <si>
    <t xml:space="preserve">   3530 MONROE STREET</t>
  </si>
  <si>
    <t>MILLER'S MERRY MANOR</t>
  </si>
  <si>
    <t xml:space="preserve">   Administrator: MACKENZIE MONEY</t>
  </si>
  <si>
    <t xml:space="preserve">   524 ANDERSON RD</t>
  </si>
  <si>
    <t xml:space="preserve">   CHESTERFIELD, IN 46017</t>
  </si>
  <si>
    <t xml:space="preserve">   Administrator: STEPHEN BAKER</t>
  </si>
  <si>
    <t xml:space="preserve">   640 W ELLSWORTH ST</t>
  </si>
  <si>
    <t xml:space="preserve">   Administrator: HILLARY CORBITT</t>
  </si>
  <si>
    <t xml:space="preserve">   730 SCHOOL ST</t>
  </si>
  <si>
    <t xml:space="preserve">   CULVER, IN 46511</t>
  </si>
  <si>
    <t xml:space="preserve">   Administrator: CHASE HARMACINSKI</t>
  </si>
  <si>
    <t xml:space="preserve">   DUNKIRK, IN 47336</t>
  </si>
  <si>
    <t xml:space="preserve">   Administrator: AMANDA HARRIS</t>
  </si>
  <si>
    <t xml:space="preserve">   5544 E STATE BLVD</t>
  </si>
  <si>
    <t xml:space="preserve">   Administrator: LINDSEY FLOYD</t>
  </si>
  <si>
    <t xml:space="preserve">   1367 S RANDOLPH ST</t>
  </si>
  <si>
    <t xml:space="preserve">   GARRETT, IN 46738</t>
  </si>
  <si>
    <t xml:space="preserve">   Administrator: MARY FISHER</t>
  </si>
  <si>
    <t xml:space="preserve">   Administrator: JARRETT MITCHELL</t>
  </si>
  <si>
    <t xml:space="preserve">   2901 W 37TH AVE</t>
  </si>
  <si>
    <t xml:space="preserve">   Administrator: AMBER BUSALD</t>
  </si>
  <si>
    <t xml:space="preserve">   7440 N COUNTY ROAD 825 E</t>
  </si>
  <si>
    <t xml:space="preserve">   HOPE, IN 47246</t>
  </si>
  <si>
    <t xml:space="preserve">   Administrator: CHELSEA BUCHAN</t>
  </si>
  <si>
    <t xml:space="preserve">   1500 GRANT ST</t>
  </si>
  <si>
    <t xml:space="preserve">   Administrator: JACOB ATKINSON</t>
  </si>
  <si>
    <t xml:space="preserve">   1651 N CAMPBELL ST</t>
  </si>
  <si>
    <t xml:space="preserve">   Administrator: STEVEN SCOTT</t>
  </si>
  <si>
    <t xml:space="preserve">   787 N DETROIT ST</t>
  </si>
  <si>
    <t xml:space="preserve">   Administrator: TERRENCE JENT</t>
  </si>
  <si>
    <t xml:space="preserve">   200 26TH ST</t>
  </si>
  <si>
    <t xml:space="preserve">   Administrator: JOHN VELASQUEZ</t>
  </si>
  <si>
    <t xml:space="preserve">   505 N BRADNER AVE</t>
  </si>
  <si>
    <t xml:space="preserve">   MARION, IN 46952</t>
  </si>
  <si>
    <t xml:space="preserve">   Administrator: ALAINA BUTISTE</t>
  </si>
  <si>
    <t xml:space="preserve">   981 BEECHWOOD AVE</t>
  </si>
  <si>
    <t xml:space="preserve">   Administrator: NATALIE MCCONNELL</t>
  </si>
  <si>
    <t xml:space="preserve">   259 W HARRISON ST</t>
  </si>
  <si>
    <t xml:space="preserve">   Administrator: JACOB MARTIN</t>
  </si>
  <si>
    <t xml:space="preserve">   220 E DUNN RD</t>
  </si>
  <si>
    <t xml:space="preserve">   Administrator: DEBRA COPPERNOLL</t>
  </si>
  <si>
    <t xml:space="preserve">   317 BLAIR PIKE</t>
  </si>
  <si>
    <t xml:space="preserve">   Administrator: BRYAN ZEHR</t>
  </si>
  <si>
    <t xml:space="preserve">   635 OAKHILL AVE</t>
  </si>
  <si>
    <t xml:space="preserve">   PLYMOUTH, IN 46563</t>
  </si>
  <si>
    <t xml:space="preserve">   Administrator: BETH MILLER INGRAM</t>
  </si>
  <si>
    <t xml:space="preserve">   5909 LUTE RD</t>
  </si>
  <si>
    <t xml:space="preserve">   Administrator: MICHAEL VAN HOY</t>
  </si>
  <si>
    <t xml:space="preserve">   815 W WASHINGTON ST</t>
  </si>
  <si>
    <t xml:space="preserve">   ROCKPORT, IN 47635</t>
  </si>
  <si>
    <t xml:space="preserve">   Administrator: PENNY BUSALD</t>
  </si>
  <si>
    <t xml:space="preserve">   612 E 11TH ST</t>
  </si>
  <si>
    <t xml:space="preserve">   Administrator: DEBRA HALE</t>
  </si>
  <si>
    <t xml:space="preserve">   505 W WOLFE ST</t>
  </si>
  <si>
    <t xml:space="preserve">   Administrator: KELLY KAASE</t>
  </si>
  <si>
    <t xml:space="preserve">   500 E PICKWICK DR</t>
  </si>
  <si>
    <t xml:space="preserve">   SYRACUSE, IN 46567</t>
  </si>
  <si>
    <t xml:space="preserve">   Administrator: PAULA JUDAY</t>
  </si>
  <si>
    <t xml:space="preserve">   300 FAIRGROUNDS RD</t>
  </si>
  <si>
    <t xml:space="preserve">   TIPTON, IN 46072</t>
  </si>
  <si>
    <t xml:space="preserve">   Administrator: KRISTEN PATZ</t>
  </si>
  <si>
    <t xml:space="preserve">   1720 ALBER ST</t>
  </si>
  <si>
    <t xml:space="preserve">   Administrator: BRITTANY HANNA</t>
  </si>
  <si>
    <t xml:space="preserve">   1900  N  ALBER ST</t>
  </si>
  <si>
    <t xml:space="preserve">   Administrator: JAMES SCHMIDT</t>
  </si>
  <si>
    <t xml:space="preserve">   300 N WASHINGTON ST</t>
  </si>
  <si>
    <t xml:space="preserve">   WAKARUSA, IN 46573</t>
  </si>
  <si>
    <t xml:space="preserve">   Administrator: CHRISTY CLARK</t>
  </si>
  <si>
    <t xml:space="preserve">   500 WALKERTON TR</t>
  </si>
  <si>
    <t xml:space="preserve">   WALKERTON, IN 46574</t>
  </si>
  <si>
    <t xml:space="preserve">   Administrator: ANNA FOSTER</t>
  </si>
  <si>
    <t xml:space="preserve">   1630 S COUNTY FARM RD</t>
  </si>
  <si>
    <t>MILLER'S SENIOR LIVING COMMUNITY</t>
  </si>
  <si>
    <t xml:space="preserve">   Administrator: JANCE PETERSON</t>
  </si>
  <si>
    <t xml:space="preserve">   8400 CLEARVISTA PL</t>
  </si>
  <si>
    <t>MILNER COMMUNITY HEALTH CARE</t>
  </si>
  <si>
    <t xml:space="preserve">   Administrator: RICHARD JACKSON</t>
  </si>
  <si>
    <t xml:space="preserve">   370 E MAIN ST</t>
  </si>
  <si>
    <t xml:space="preserve">   ROSSVILLE, IN 46065</t>
  </si>
  <si>
    <t>MILTON HOME, THE</t>
  </si>
  <si>
    <t xml:space="preserve">   Administrator: KEVIN BAKER</t>
  </si>
  <si>
    <t xml:space="preserve">   206 E MARION ST</t>
  </si>
  <si>
    <t xml:space="preserve">   SOUTH BEND, IN 46601</t>
  </si>
  <si>
    <t>MITCHELL MANOR</t>
  </si>
  <si>
    <t xml:space="preserve">   Administrator: KATHERINE HIGNITE OWENS</t>
  </si>
  <si>
    <t xml:space="preserve">   24 TEKE BURTON DR</t>
  </si>
  <si>
    <t xml:space="preserve">   MITCHELL, IN 47446</t>
  </si>
  <si>
    <t>MONROE PLACE</t>
  </si>
  <si>
    <t xml:space="preserve">   Administrator: CHARLES BRADLEY</t>
  </si>
  <si>
    <t xml:space="preserve">   Tel: (812)331-8153</t>
  </si>
  <si>
    <t xml:space="preserve">   2770 S ADAMS RD</t>
  </si>
  <si>
    <t>MONTICELLO HEALTHCARE</t>
  </si>
  <si>
    <t xml:space="preserve">   Administrator: CHRISTOPHER SCHIAVONE</t>
  </si>
  <si>
    <t xml:space="preserve">   1120 N MAIN ST</t>
  </si>
  <si>
    <t xml:space="preserve">   MONTICELLO, IN 47960</t>
  </si>
  <si>
    <t>MORGANTOWN HEALTH CARE</t>
  </si>
  <si>
    <t xml:space="preserve">   Administrator: DALE HARTMAN</t>
  </si>
  <si>
    <t xml:space="preserve">   140 W WASHINGTON ST</t>
  </si>
  <si>
    <t xml:space="preserve">   MORGANTOWN, IN 46160</t>
  </si>
  <si>
    <t>MORNING BREEZE RETIREMENT COMMUNITY AND HEALTHCARE</t>
  </si>
  <si>
    <t xml:space="preserve">   Administrator: HOLLY H WITKEMPER</t>
  </si>
  <si>
    <t xml:space="preserve">   Tel: (812)662-7778</t>
  </si>
  <si>
    <t xml:space="preserve">   950 N LAKEVIEW DR</t>
  </si>
  <si>
    <t>MORNING POINTE OF FRANKLIN</t>
  </si>
  <si>
    <t xml:space="preserve">   Administrator: ELIZABETH HOLSTEIN</t>
  </si>
  <si>
    <t xml:space="preserve">   Tel: (317)736-4665</t>
  </si>
  <si>
    <t xml:space="preserve">   75 S MILFORD DR</t>
  </si>
  <si>
    <t>MORNING VIEW NURSING AND REHABILITATION CENTER</t>
  </si>
  <si>
    <t xml:space="preserve">   Administrator: MONTI MONTGOMERY</t>
  </si>
  <si>
    <t xml:space="preserve">   Tel: (574)246-4123</t>
  </si>
  <si>
    <t xml:space="preserve">   475 NORTH NILES AVENUE</t>
  </si>
  <si>
    <t>MORRISON WOODS HEALTH CAMPUS</t>
  </si>
  <si>
    <t xml:space="preserve">   Administrator: ANTHONY WILSON</t>
  </si>
  <si>
    <t xml:space="preserve">   4100 N MORRISON RD</t>
  </si>
  <si>
    <t>MORRISTOWN MANOR</t>
  </si>
  <si>
    <t xml:space="preserve">   Administrator: ANDREW BUZZARD</t>
  </si>
  <si>
    <t xml:space="preserve">   Tel: (765)763-6012</t>
  </si>
  <si>
    <t xml:space="preserve">   868 S WASHINGTON ST</t>
  </si>
  <si>
    <t xml:space="preserve">   MORRISTOWN, IN 46161</t>
  </si>
  <si>
    <t>MOUNT VERNON NURSING AND REHABILITATION</t>
  </si>
  <si>
    <t xml:space="preserve">   Administrator: SANDRA HEIDORN</t>
  </si>
  <si>
    <t xml:space="preserve">   1415 COUNTRY CLUB RD</t>
  </si>
  <si>
    <t xml:space="preserve">   MOUNT VERNON, IN 47620</t>
  </si>
  <si>
    <t>MULBERRY HEALTH &amp; REHABILITATION CENTER</t>
  </si>
  <si>
    <t xml:space="preserve">   Administrator: MARK WOLFSCHLAG</t>
  </si>
  <si>
    <t xml:space="preserve">   502 W JACKSON ST</t>
  </si>
  <si>
    <t xml:space="preserve">   MULBERRY, IN 46058</t>
  </si>
  <si>
    <t>MUNSTER MED-INN</t>
  </si>
  <si>
    <t xml:space="preserve">   Administrator: FRANK BENSEMA</t>
  </si>
  <si>
    <t xml:space="preserve">   7935 CALUMET AVE</t>
  </si>
  <si>
    <t>NEW ALBANY NURSING AND REHABILITATION CENTER</t>
  </si>
  <si>
    <t xml:space="preserve">   Administrator: GREGORY DATTILO</t>
  </si>
  <si>
    <t xml:space="preserve">   201 E ELM ST</t>
  </si>
  <si>
    <t>NEWBURGH HEALTH CARE</t>
  </si>
  <si>
    <t xml:space="preserve">   Administrator: SUZANNE BAKER WEIGEL</t>
  </si>
  <si>
    <t xml:space="preserve">   10466 POLLACK AVE</t>
  </si>
  <si>
    <t>NORTH CAPITOL NURSING &amp; REHABILITATION CENTER</t>
  </si>
  <si>
    <t xml:space="preserve">   Administrator: KESHA LAGRONE</t>
  </si>
  <si>
    <t xml:space="preserve">   2010 N CAPITOL AVE</t>
  </si>
  <si>
    <t xml:space="preserve">   INDIANAPOLIS, IN 46202</t>
  </si>
  <si>
    <t>NORTH PARK NURSING CENTER</t>
  </si>
  <si>
    <t xml:space="preserve">   Administrator: EMILY DIEDRICH</t>
  </si>
  <si>
    <t xml:space="preserve">   650 FAIRWAY DR</t>
  </si>
  <si>
    <t>NORTH RIDGE VILLAGE NURSING &amp; REHABILITATION CENTE</t>
  </si>
  <si>
    <t xml:space="preserve">   Administrator: KRISTI RICHTER</t>
  </si>
  <si>
    <t xml:space="preserve">   600 TRAIL RIDGE RD</t>
  </si>
  <si>
    <t xml:space="preserve">   ALBION, IN 46701</t>
  </si>
  <si>
    <t>NORTH RIVER HEALTH CAMPUS</t>
  </si>
  <si>
    <t xml:space="preserve">   Administrator: NICOLE ST. CLAIR</t>
  </si>
  <si>
    <t xml:space="preserve">   811 E BASELINE ROAD</t>
  </si>
  <si>
    <t xml:space="preserve">   EVANSVILLE, IN 47725</t>
  </si>
  <si>
    <t>NORTH WOODS VILLAGE</t>
  </si>
  <si>
    <t xml:space="preserve">   Administrator: CATHY S GREENE</t>
  </si>
  <si>
    <t xml:space="preserve">   2233 W JEFFERSON ST</t>
  </si>
  <si>
    <t>NORTH WOODS VILLAGE AT EDISON LAKES</t>
  </si>
  <si>
    <t xml:space="preserve">   Administrator: MARTIN LEBBIN</t>
  </si>
  <si>
    <t xml:space="preserve">   Tel: (574)247-1866</t>
  </si>
  <si>
    <t xml:space="preserve">   1409 E DAY ROAD</t>
  </si>
  <si>
    <t>NORTH WOODS VILLAGE AT INVERNESS LAKE</t>
  </si>
  <si>
    <t xml:space="preserve">   Administrator: AMANDA CIAK</t>
  </si>
  <si>
    <t xml:space="preserve">   8075 GLENCARIN BOULEVARD</t>
  </si>
  <si>
    <t>NORTHERN LAKES NURSING AND REHABILITATION CENTER</t>
  </si>
  <si>
    <t xml:space="preserve">   Administrator: DEE SMALLMAN</t>
  </si>
  <si>
    <t xml:space="preserve">   516 N WILLIAMS ST</t>
  </si>
  <si>
    <t>NORTHVIEW HEALTH AND LIVING</t>
  </si>
  <si>
    <t xml:space="preserve">   Administrator: PAMELA SIPES</t>
  </si>
  <si>
    <t xml:space="preserve">   1235 W CROSS ST</t>
  </si>
  <si>
    <t>NORTHWEST MANOR HEALTH CARE CENTER</t>
  </si>
  <si>
    <t xml:space="preserve">   Administrator: BRYCE REAGAN</t>
  </si>
  <si>
    <t xml:space="preserve">   6440 W 34TH ST</t>
  </si>
  <si>
    <t>OAK GROVE CHRISTIAN RETIREMENT VILLAGE</t>
  </si>
  <si>
    <t xml:space="preserve">   Administrator: ROSEMARY WEEKS</t>
  </si>
  <si>
    <t xml:space="preserve">   221 W DIVISION ST</t>
  </si>
  <si>
    <t>OAK VILLAGE</t>
  </si>
  <si>
    <t xml:space="preserve">   Administrator: CASSIE ABEL</t>
  </si>
  <si>
    <t xml:space="preserve">   200 W FOURTH ST</t>
  </si>
  <si>
    <t xml:space="preserve">   OAKTOWN, IN 47561</t>
  </si>
  <si>
    <t>OAKBROOK VILLAGE</t>
  </si>
  <si>
    <t xml:space="preserve">   Administrator: PATTI TEMPLAR</t>
  </si>
  <si>
    <t xml:space="preserve">   850 ASH ST</t>
  </si>
  <si>
    <t>OAKWOOD HEALTH CAMPUS</t>
  </si>
  <si>
    <t xml:space="preserve">   Administrator: MARY BLOCKER</t>
  </si>
  <si>
    <t xml:space="preserve">   1143 23RD ST</t>
  </si>
  <si>
    <t>OASIS ASSISTED LIVING, INC</t>
  </si>
  <si>
    <t xml:space="preserve">   Administrator: JENNIFER HELFRICH</t>
  </si>
  <si>
    <t xml:space="preserve">   Tel: (812)303-3310</t>
  </si>
  <si>
    <t xml:space="preserve">   4301 WASHINGTON AVE</t>
  </si>
  <si>
    <t>OASIS AT 30TH</t>
  </si>
  <si>
    <t xml:space="preserve">   Administrator: FRANCES JENKINS</t>
  </si>
  <si>
    <t xml:space="preserve">   Tel: (317)297-9000</t>
  </si>
  <si>
    <t xml:space="preserve">   5651 E 30TH STREET</t>
  </si>
  <si>
    <t>OASIS AT 56TH</t>
  </si>
  <si>
    <t xml:space="preserve">   Administrator: JAN CAUDILL SENTENEY</t>
  </si>
  <si>
    <t xml:space="preserve">   Tel: (317)297-3115</t>
  </si>
  <si>
    <t xml:space="preserve">   4940 WEST 56TH STREET</t>
  </si>
  <si>
    <t>ORCHARD POINTE HEALTH CAMPUS</t>
  </si>
  <si>
    <t xml:space="preserve">   Administrator: MARK HOWARD</t>
  </si>
  <si>
    <t xml:space="preserve">   702 SAWYER ROAD</t>
  </si>
  <si>
    <t>OSSIAN HEALTH CARE AND REHABILITATION CENTER</t>
  </si>
  <si>
    <t xml:space="preserve">   Administrator: TRAVIS OWSLEY</t>
  </si>
  <si>
    <t xml:space="preserve">   Tel: (260)622-7821</t>
  </si>
  <si>
    <t xml:space="preserve">   215 DAVIS RD</t>
  </si>
  <si>
    <t xml:space="preserve">   OSSIAN, IN 46777</t>
  </si>
  <si>
    <t>OTTERBEIN FRANKLIN SENIORLIFE COMM RES &amp; COM CARE</t>
  </si>
  <si>
    <t xml:space="preserve">   Administrator: ANJELA BROWN</t>
  </si>
  <si>
    <t xml:space="preserve">   1070 W JEFFERSON ST</t>
  </si>
  <si>
    <t>OWEN VALLEY HEALTH CAMPUS</t>
  </si>
  <si>
    <t xml:space="preserve">   Administrator: JAMES PERRY DAUGHERTY</t>
  </si>
  <si>
    <t xml:space="preserve">   920 W HWY 46</t>
  </si>
  <si>
    <t>PADDOCK SPRINGS</t>
  </si>
  <si>
    <t xml:space="preserve">   Administrator: ZACHARY S KRUMWIED</t>
  </si>
  <si>
    <t xml:space="preserve">   2695 SHELDON STREET</t>
  </si>
  <si>
    <t xml:space="preserve">   WARSAW, IN 46582</t>
  </si>
  <si>
    <t>PAOLI HEALTH AND LIVING COMMUNITY</t>
  </si>
  <si>
    <t xml:space="preserve">   Administrator: MARQUETTA MOTSINGER</t>
  </si>
  <si>
    <t xml:space="preserve">   559 W LONGEST ST</t>
  </si>
  <si>
    <t xml:space="preserve">   PAOLI, IN 47454</t>
  </si>
  <si>
    <t>PARK PLACE HEALTH AND WELLNESS CENTER</t>
  </si>
  <si>
    <t xml:space="preserve">   Administrator: MARK VANDERZEE</t>
  </si>
  <si>
    <t xml:space="preserve">   10820 PARK PLACE</t>
  </si>
  <si>
    <t xml:space="preserve">   SAINT JOHN, IN 46373</t>
  </si>
  <si>
    <t>PARK PLACE II, LLC</t>
  </si>
  <si>
    <t xml:space="preserve">   Administrator: KRISTIN TOWNSLEY</t>
  </si>
  <si>
    <t xml:space="preserve">   Tel: (260)480-2500</t>
  </si>
  <si>
    <t xml:space="preserve">   4411 PARK PLACE DR</t>
  </si>
  <si>
    <t>PARK TERRACE VILLAGE</t>
  </si>
  <si>
    <t xml:space="preserve">   Administrator: ERIC WILL</t>
  </si>
  <si>
    <t xml:space="preserve">   25 S BOEHNE CAMP RD</t>
  </si>
  <si>
    <t xml:space="preserve">   EVANSVILLE, IN 47712</t>
  </si>
  <si>
    <t>PARKER HEALTH CARE &amp; REHABILITATION CENTER</t>
  </si>
  <si>
    <t xml:space="preserve">   Administrator: MELISSA HUSER</t>
  </si>
  <si>
    <t xml:space="preserve">   Tel: (765)468-8280</t>
  </si>
  <si>
    <t xml:space="preserve">   359 RANDOLPH ST</t>
  </si>
  <si>
    <t xml:space="preserve">   PARKER CITY, IN 47368</t>
  </si>
  <si>
    <t>PARKVIEW CARE CENTER</t>
  </si>
  <si>
    <t xml:space="preserve">   Administrator: LYNN RENEE STEINWACHS</t>
  </si>
  <si>
    <t xml:space="preserve">   Tel: (812)424-2941</t>
  </si>
  <si>
    <t xml:space="preserve">   2819 NORTH ST JOSEPH AVE</t>
  </si>
  <si>
    <t xml:space="preserve">   EVANSVILLE, IN 47720</t>
  </si>
  <si>
    <t>PARKVIEW HAVEN</t>
  </si>
  <si>
    <t xml:space="preserve">   Administrator: GLENN WAGNER</t>
  </si>
  <si>
    <t xml:space="preserve">   101 CONSTITUTION DR</t>
  </si>
  <si>
    <t xml:space="preserve">   FRANCESVILLE, IN 47946</t>
  </si>
  <si>
    <t>PEABODY RETIREMENT COMMUNITY</t>
  </si>
  <si>
    <t xml:space="preserve">   Administrator: SARAH LOPEZ</t>
  </si>
  <si>
    <t xml:space="preserve">   400 W SEVENTH ST</t>
  </si>
  <si>
    <t xml:space="preserve">   NORTH MANCHESTER, IN 46962</t>
  </si>
  <si>
    <t>PERSIMMON RIDGE REHABILITATION CENTRE</t>
  </si>
  <si>
    <t xml:space="preserve">   Administrator: MELINDA HODGSON</t>
  </si>
  <si>
    <t xml:space="preserve">   200 N PARK ST</t>
  </si>
  <si>
    <t>PILGRIM MANOR</t>
  </si>
  <si>
    <t xml:space="preserve">   Administrator: APRIL HAGGERTY</t>
  </si>
  <si>
    <t xml:space="preserve">   222 PARKVIEW ST</t>
  </si>
  <si>
    <t>PINE HAVEN HEALTH AND REHABILITATION CENTER</t>
  </si>
  <si>
    <t xml:space="preserve">   Administrator: JANIE SWEDENBURG</t>
  </si>
  <si>
    <t xml:space="preserve">   Tel: (812)424-8100</t>
  </si>
  <si>
    <t xml:space="preserve">   3400 STOCKER DR</t>
  </si>
  <si>
    <t>PINE KNOLL ASSISTED LIVING CENTER</t>
  </si>
  <si>
    <t xml:space="preserve">   Administrator: LORI POE</t>
  </si>
  <si>
    <t xml:space="preserve">   Tel: (812)537-4422</t>
  </si>
  <si>
    <t xml:space="preserve">   607 WILSON CREEK RD</t>
  </si>
  <si>
    <t xml:space="preserve">   LAWRENCEBURG, IN 47025</t>
  </si>
  <si>
    <t>PINEKNOLL REHABILITATION CENTRE</t>
  </si>
  <si>
    <t xml:space="preserve">   Administrator: ROSALIND THORN</t>
  </si>
  <si>
    <t xml:space="preserve">   160 N MIDDLE SCHOOL RD</t>
  </si>
  <si>
    <t>PLAINFIELD HEALTH CARE CENTER</t>
  </si>
  <si>
    <t xml:space="preserve">   Administrator: CHRISTOPHER GONZALEZ</t>
  </si>
  <si>
    <t xml:space="preserve">   3700 CLARKS CREEK RD</t>
  </si>
  <si>
    <t>PLEASANT VIEW LODGE</t>
  </si>
  <si>
    <t xml:space="preserve">   Administrator: COLLEEN MCCREARY WARNICK</t>
  </si>
  <si>
    <t xml:space="preserve">   7476 W LANE RD</t>
  </si>
  <si>
    <t xml:space="preserve">   MC CORDSVILLE, IN 46055</t>
  </si>
  <si>
    <t>PORTAGE MANOR HEALTH CARE FACILITY</t>
  </si>
  <si>
    <t xml:space="preserve">   Administrator: ROBYN CHALLINOR</t>
  </si>
  <si>
    <t xml:space="preserve">   Tel: (574)272-9100</t>
  </si>
  <si>
    <t xml:space="preserve">   3016 PORTAGE AVE</t>
  </si>
  <si>
    <t xml:space="preserve">   SOUTH BEND, IN 46628</t>
  </si>
  <si>
    <t>PRAIRIE LAKES HEALTH CAMPUS</t>
  </si>
  <si>
    <t xml:space="preserve">   Administrator: MONICA MARTIN</t>
  </si>
  <si>
    <t xml:space="preserve">   9730 PRAIRIE LAKES BLVD EAST</t>
  </si>
  <si>
    <t>PRAIRIE VILLAGE NURSING AND REHABILITATION</t>
  </si>
  <si>
    <t xml:space="preserve">   Administrator: STACY THOMAS BLUE</t>
  </si>
  <si>
    <t xml:space="preserve">   801 S SR 57</t>
  </si>
  <si>
    <t>PREMIER HEALTHCARE OF NEW HARMONY</t>
  </si>
  <si>
    <t xml:space="preserve">   Administrator: DEBORAH MORGAN</t>
  </si>
  <si>
    <t xml:space="preserve">   251 HIGHWAY 66</t>
  </si>
  <si>
    <t>PRESENCE SACRED HEART HOME</t>
  </si>
  <si>
    <t xml:space="preserve">   Administrator: DAVID DEFFENBAUGH</t>
  </si>
  <si>
    <t xml:space="preserve">   Tel: (260)897-2841</t>
  </si>
  <si>
    <t xml:space="preserve">   515 N MAIN ST</t>
  </si>
  <si>
    <t xml:space="preserve">   AVILLA, IN 46710</t>
  </si>
  <si>
    <t xml:space="preserve">   PRIMROSE MEMORY CARE OF ANDERSON</t>
  </si>
  <si>
    <t xml:space="preserve">   Administrator: HERVEY LAWRENCE</t>
  </si>
  <si>
    <t xml:space="preserve">   Tel: (765)641-0050</t>
  </si>
  <si>
    <t xml:space="preserve">   2101 N MADISON AVENUE</t>
  </si>
  <si>
    <t>PRIMROSE OF MISHAWAKA</t>
  </si>
  <si>
    <t xml:space="preserve">   Administrator: DEEJRA LEE</t>
  </si>
  <si>
    <t xml:space="preserve">   820 FULMER ROAD</t>
  </si>
  <si>
    <t xml:space="preserve">   PRIMROSE OF NEWBURGH</t>
  </si>
  <si>
    <t xml:space="preserve">   Administrator: CARLA GRIMWOOD</t>
  </si>
  <si>
    <t xml:space="preserve">   Tel: (812)573-0088</t>
  </si>
  <si>
    <t xml:space="preserve">   9800 LINCOLN AVE</t>
  </si>
  <si>
    <t>PRIMROSE RETIREMENT COMMUNITY OF ANDERSON</t>
  </si>
  <si>
    <t xml:space="preserve">   Administrator: KEONA PARKISON</t>
  </si>
  <si>
    <t xml:space="preserve">   Tel: (765)643-5000</t>
  </si>
  <si>
    <t xml:space="preserve">   1118 W CROSS ST</t>
  </si>
  <si>
    <t>PRIMROSE RETIREMENT COMMUNITY OF KOKOMO</t>
  </si>
  <si>
    <t xml:space="preserve">   Administrator: NANETTE ALBRIGHT</t>
  </si>
  <si>
    <t xml:space="preserve">   Tel: (765)455-1700</t>
  </si>
  <si>
    <t xml:space="preserve">   329 W RAINBOW DR</t>
  </si>
  <si>
    <t>PROVIDENCE ANDERSON</t>
  </si>
  <si>
    <t xml:space="preserve">   Administrator: SKYLER SMITH</t>
  </si>
  <si>
    <t xml:space="preserve">   1345 N MADISON AVE</t>
  </si>
  <si>
    <t>PROVIDENCE HEALTH CARE CENTER</t>
  </si>
  <si>
    <t xml:space="preserve">   Administrator: MANDY LYNCH</t>
  </si>
  <si>
    <t xml:space="preserve">   1 SISTERS OF PROVIDENCE</t>
  </si>
  <si>
    <t xml:space="preserve">   ST MARY OF THE WOODS, IN 47876</t>
  </si>
  <si>
    <t>PULASKI HEALTH CARE CENTER</t>
  </si>
  <si>
    <t xml:space="preserve">   Administrator: SHARON MCKINLEY</t>
  </si>
  <si>
    <t xml:space="preserve">   624 E 13TH ST</t>
  </si>
  <si>
    <t>RANDOLPH NURSING HOME</t>
  </si>
  <si>
    <t xml:space="preserve">   Administrator: MARILYN ALBERSON</t>
  </si>
  <si>
    <t xml:space="preserve">   701 S OAK ST</t>
  </si>
  <si>
    <t>RAWLINS HOUSE HEALTH &amp; LIVING COMMUNITY</t>
  </si>
  <si>
    <t xml:space="preserve">   Administrator: CHARLES COVEY</t>
  </si>
  <si>
    <t xml:space="preserve">   Tel: (765)778-7501</t>
  </si>
  <si>
    <t xml:space="preserve">   300 J H WALKER DR</t>
  </si>
  <si>
    <t xml:space="preserve">   PENDLETON, IN 46064</t>
  </si>
  <si>
    <t>REHABILITATION CENTER AT HARTSFIELD VILLAGE</t>
  </si>
  <si>
    <t xml:space="preserve">   Administrator: SUSAN SEYDEL</t>
  </si>
  <si>
    <t xml:space="preserve">   503 OTIS R BOWEN DR</t>
  </si>
  <si>
    <t>RENSSELAER CARE CENTER</t>
  </si>
  <si>
    <t xml:space="preserve">   Administrator: KIMBERLY READY</t>
  </si>
  <si>
    <t xml:space="preserve">   1309 E GRACE ST</t>
  </si>
  <si>
    <t xml:space="preserve">   RESIDENCES AT COFFEE CREEK</t>
  </si>
  <si>
    <t xml:space="preserve">   Administrator: KAITLYNN REDMON</t>
  </si>
  <si>
    <t xml:space="preserve">   Tel: (219)921-5200</t>
  </si>
  <si>
    <t xml:space="preserve">   2300 VILLAGE POINT</t>
  </si>
  <si>
    <t xml:space="preserve">   RESIDENCES AT DEER CREEK</t>
  </si>
  <si>
    <t xml:space="preserve">   Administrator: KAREN AYERSMAN</t>
  </si>
  <si>
    <t xml:space="preserve">   Tel: (219)864-0700</t>
  </si>
  <si>
    <t xml:space="preserve">   401 EAST US 30</t>
  </si>
  <si>
    <t>RETREAT AT THE STRATFORD, THE</t>
  </si>
  <si>
    <t xml:space="preserve">   Administrator: SCHEREE EADS</t>
  </si>
  <si>
    <t xml:space="preserve">   Tel: (317)733-9560</t>
  </si>
  <si>
    <t xml:space="preserve">   2460 GLEBE ST</t>
  </si>
  <si>
    <t>RICHLAND BEAN BLOSSOM HEALTH CARE CENTER</t>
  </si>
  <si>
    <t xml:space="preserve">   5911 STATE ROAD 46</t>
  </si>
  <si>
    <t xml:space="preserve">   ELLETTSVILLE, IN 47429</t>
  </si>
  <si>
    <t>RIDGEWOOD HEALTH CAMPUS</t>
  </si>
  <si>
    <t xml:space="preserve">   Administrator: GWEN REVERMAN</t>
  </si>
  <si>
    <t xml:space="preserve">   181 CAMPUS DR</t>
  </si>
  <si>
    <t>RIPLEY CROSSING</t>
  </si>
  <si>
    <t xml:space="preserve">   Administrator: TRINA JOHNSON</t>
  </si>
  <si>
    <t xml:space="preserve">   1200 WHITLATCH WAY</t>
  </si>
  <si>
    <t xml:space="preserve">   MILAN, IN 47031</t>
  </si>
  <si>
    <t>RITTENHOUSE VILLAGE AT MICHIGAN CITY</t>
  </si>
  <si>
    <t xml:space="preserve">   Administrator: TIFFANY KUZIO</t>
  </si>
  <si>
    <t xml:space="preserve">   Tel: (219)872-6800</t>
  </si>
  <si>
    <t xml:space="preserve">   4300 CLEVELAND RD</t>
  </si>
  <si>
    <t xml:space="preserve">   RITTENHOUSE VILLAGE AT NORTHSIDE</t>
  </si>
  <si>
    <t xml:space="preserve">   Administrator: MERIDEE L WATT</t>
  </si>
  <si>
    <t xml:space="preserve">   Tel: (317)575-9200</t>
  </si>
  <si>
    <t xml:space="preserve">   1251 W 96TH ST</t>
  </si>
  <si>
    <t>RITTENHOUSE VILLAGE AT PORTAGE</t>
  </si>
  <si>
    <t xml:space="preserve">   Administrator: KRISTIN PAWLAK</t>
  </si>
  <si>
    <t xml:space="preserve">   Tel: (219)764-2900</t>
  </si>
  <si>
    <t xml:space="preserve">   6235 STERLING CREEK RD</t>
  </si>
  <si>
    <t xml:space="preserve">   RITTENHOUSE VILLAGE AT VALPARAISO</t>
  </si>
  <si>
    <t xml:space="preserve">   Administrator: DEBORAH ATSAS</t>
  </si>
  <si>
    <t xml:space="preserve">   Tel: (219)531-2484</t>
  </si>
  <si>
    <t xml:space="preserve">   1300 VALE PARK RD</t>
  </si>
  <si>
    <t>RIVER CROSSING ASSISTED LIVING</t>
  </si>
  <si>
    <t xml:space="preserve">   Administrator: MELISSA GOLDSTEIN</t>
  </si>
  <si>
    <t xml:space="preserve">   Tel: (812)406-1099</t>
  </si>
  <si>
    <t xml:space="preserve">   2400 MARKET ST</t>
  </si>
  <si>
    <t xml:space="preserve">   CHARLESTOWN, IN 47111</t>
  </si>
  <si>
    <t>RIVER POINTE HEALTH CAMPUS</t>
  </si>
  <si>
    <t xml:space="preserve">   Administrator: ADAM L STRICKLAND</t>
  </si>
  <si>
    <t xml:space="preserve">   3001 GALAXY DR</t>
  </si>
  <si>
    <t xml:space="preserve">   EVANSVILLE, IN 47715</t>
  </si>
  <si>
    <t>RIVER TERRACE HEALTH CAMPUS</t>
  </si>
  <si>
    <t xml:space="preserve">   Administrator: BRITTAN DEOLA MEFFORD</t>
  </si>
  <si>
    <t xml:space="preserve">   120 PRESBYTERIAN AVE</t>
  </si>
  <si>
    <t>RIVER TERRACE HEALTH CARE CENTER</t>
  </si>
  <si>
    <t xml:space="preserve">   Administrator: ALICIA BAUER</t>
  </si>
  <si>
    <t xml:space="preserve">   400 CAYLOR BLVD</t>
  </si>
  <si>
    <t xml:space="preserve">   RIVERBEND</t>
  </si>
  <si>
    <t xml:space="preserve">   Administrator: ALEXANDRA WHEELER</t>
  </si>
  <si>
    <t xml:space="preserve">   Tel: (812)280-0965</t>
  </si>
  <si>
    <t xml:space="preserve">   2715 CHARLESTOWN PIKE</t>
  </si>
  <si>
    <t>RIVEROAKS HEALTH CAMPUS</t>
  </si>
  <si>
    <t xml:space="preserve">   Administrator: DANA LARSON</t>
  </si>
  <si>
    <t xml:space="preserve">   1244 VAIL ST</t>
  </si>
  <si>
    <t xml:space="preserve">   PRINCETON, IN 47670</t>
  </si>
  <si>
    <t>RIVERSIDE VILLAGE</t>
  </si>
  <si>
    <t xml:space="preserve">   Administrator: JAMIE CORPE</t>
  </si>
  <si>
    <t xml:space="preserve">   1400 W FRANKLIN ST</t>
  </si>
  <si>
    <t xml:space="preserve">   ELKHART, IN 46516</t>
  </si>
  <si>
    <t>RIVERVIEW VILLAGE</t>
  </si>
  <si>
    <t xml:space="preserve">   Administrator: CHRISTOPHER KINCADE</t>
  </si>
  <si>
    <t xml:space="preserve">   586 EASTERN BLVD</t>
  </si>
  <si>
    <t>RIVERWALK COMMUNITIES</t>
  </si>
  <si>
    <t xml:space="preserve">   Administrator: GLEN KILLION</t>
  </si>
  <si>
    <t xml:space="preserve">   Tel: (812)425-1041</t>
  </si>
  <si>
    <t xml:space="preserve">   401 S.E. 6TH STREET</t>
  </si>
  <si>
    <t>RIVERWALK VILLAGE</t>
  </si>
  <si>
    <t xml:space="preserve">   Administrator: BRIAN MCKAMIE</t>
  </si>
  <si>
    <t xml:space="preserve">   295 WESTFIELD RD</t>
  </si>
  <si>
    <t xml:space="preserve">   ROBIN RUN</t>
  </si>
  <si>
    <t xml:space="preserve">   Administrator: DAVID PRUETT</t>
  </si>
  <si>
    <t xml:space="preserve">   Tel: (317)293-5500</t>
  </si>
  <si>
    <t xml:space="preserve">   5354 W 62ND STREET</t>
  </si>
  <si>
    <t>ROBIN RUN HEALTH CENTER</t>
  </si>
  <si>
    <t xml:space="preserve">   Administrator: DOUGLAS HURLBUT</t>
  </si>
  <si>
    <t xml:space="preserve">   Tel: (317)298-6255</t>
  </si>
  <si>
    <t xml:space="preserve">   6370 ROBIN RUN W</t>
  </si>
  <si>
    <t>ROLLING HILLS HEALTHCARE CENTER</t>
  </si>
  <si>
    <t xml:space="preserve">   Administrator: JERRIE SUE KECK</t>
  </si>
  <si>
    <t xml:space="preserve">   3625 ST JOSEPH RD</t>
  </si>
  <si>
    <t xml:space="preserve">   Administrator: BRAD NEEDLER</t>
  </si>
  <si>
    <t xml:space="preserve">   Tel: (765)662-9350</t>
  </si>
  <si>
    <t xml:space="preserve">   604 RENNAKER ST</t>
  </si>
  <si>
    <t xml:space="preserve">   LA FONTAINE, IN 46940</t>
  </si>
  <si>
    <t>ROSE SENIOR LIVING CARMEL</t>
  </si>
  <si>
    <t xml:space="preserve">   Administrator: GEORGE WARREN FERRIELL, JUNIOR</t>
  </si>
  <si>
    <t xml:space="preserve">   Tel: (317)249-8830</t>
  </si>
  <si>
    <t xml:space="preserve">   1285 FAIRFAX MANOR DRIVE</t>
  </si>
  <si>
    <t>ROSEBUD VILLAGE</t>
  </si>
  <si>
    <t xml:space="preserve">   Administrator: STEPHANIE ALLEN</t>
  </si>
  <si>
    <t xml:space="preserve">   2050 CHESTER BLVD</t>
  </si>
  <si>
    <t>ROSEGATE COMMONS ASSISTED LIVING</t>
  </si>
  <si>
    <t xml:space="preserve">   Administrator: ANN KIRSTEIN</t>
  </si>
  <si>
    <t xml:space="preserve">   Tel: (317)889-0100</t>
  </si>
  <si>
    <t xml:space="preserve">   7525 ROSEGATE DRIVE</t>
  </si>
  <si>
    <t>ROSEGATE VILLAGE</t>
  </si>
  <si>
    <t xml:space="preserve">   Administrator: RYAN LEVENGOOD</t>
  </si>
  <si>
    <t xml:space="preserve">   7510 ROSEGATE DR</t>
  </si>
  <si>
    <t>ROSEWALK AT LUTHERWOODS</t>
  </si>
  <si>
    <t xml:space="preserve">   Administrator: ANGELA MANN</t>
  </si>
  <si>
    <t xml:space="preserve">   Tel: (317)356-2760</t>
  </si>
  <si>
    <t xml:space="preserve">   1301 N RITTER AVE</t>
  </si>
  <si>
    <t>ROSEWALK VILLAGE</t>
  </si>
  <si>
    <t xml:space="preserve">   Administrator: BRITTANY MCKINNEY</t>
  </si>
  <si>
    <t xml:space="preserve">   Tel: (317)353-8061</t>
  </si>
  <si>
    <t xml:space="preserve">   1302 N LESLEY AVE</t>
  </si>
  <si>
    <t>ROSEWALK VILLAGE AT LAFAYETTE</t>
  </si>
  <si>
    <t xml:space="preserve">   Administrator: NATHAN ANDERSON</t>
  </si>
  <si>
    <t xml:space="preserve">   1903 UNION ST</t>
  </si>
  <si>
    <t xml:space="preserve">   LAFAYETTE, IN 47904</t>
  </si>
  <si>
    <t>ROSEWOOD MANOR</t>
  </si>
  <si>
    <t xml:space="preserve">   Administrator: MATTHEW ALEXANDER</t>
  </si>
  <si>
    <t xml:space="preserve">   Tel: (765)288-0087</t>
  </si>
  <si>
    <t xml:space="preserve">   5200 S BURLINGTON DR</t>
  </si>
  <si>
    <t xml:space="preserve">   MUNCIE, IN 47302</t>
  </si>
  <si>
    <t>RURAL HEALTH CARE CENTER</t>
  </si>
  <si>
    <t xml:space="preserve">   Administrator: OLIVIA WINSTON</t>
  </si>
  <si>
    <t xml:space="preserve">   1747 N RURAL ST</t>
  </si>
  <si>
    <t xml:space="preserve">   Tel: (260)443-7300</t>
  </si>
  <si>
    <t xml:space="preserve">   4180 SAGE BLUFF CROSSING</t>
  </si>
  <si>
    <t>SAINT ANNE - VICTORY NOLL</t>
  </si>
  <si>
    <t xml:space="preserve">   Administrator: TRACY SCHULTZ</t>
  </si>
  <si>
    <t xml:space="preserve">   Tel: (260)224-6848</t>
  </si>
  <si>
    <t xml:space="preserve">   25 VICTORY NOLL DRIVE</t>
  </si>
  <si>
    <t xml:space="preserve">   Administrator: ELAINE WILSON</t>
  </si>
  <si>
    <t xml:space="preserve">   Tel: (260)484-5555</t>
  </si>
  <si>
    <t xml:space="preserve">   1900 RANDALLIA DR</t>
  </si>
  <si>
    <t>SAINT ANTHONY</t>
  </si>
  <si>
    <t xml:space="preserve">   Administrator: CATHY WOOD</t>
  </si>
  <si>
    <t xml:space="preserve">   Tel: (219)661-5100</t>
  </si>
  <si>
    <t xml:space="preserve">   203 FRANCISCAN DR</t>
  </si>
  <si>
    <t xml:space="preserve">   Administrator: KENNETH THOMPSON</t>
  </si>
  <si>
    <t xml:space="preserve">   Tel: (765)423-4861</t>
  </si>
  <si>
    <t xml:space="preserve">   1205 N 14TH ST</t>
  </si>
  <si>
    <t>SALEM CROSSING</t>
  </si>
  <si>
    <t xml:space="preserve">   Administrator: HOLLY THOMPSON</t>
  </si>
  <si>
    <t xml:space="preserve">   200 CONNIE AVE</t>
  </si>
  <si>
    <t>SANCTUARY AT HOLY CROSS</t>
  </si>
  <si>
    <t xml:space="preserve">   Administrator: SHARI BINKLEY</t>
  </si>
  <si>
    <t xml:space="preserve">   17475 DUGDALE DR</t>
  </si>
  <si>
    <t xml:space="preserve">   SANCTUARY AT ST PAUL'S</t>
  </si>
  <si>
    <t xml:space="preserve">   Administrator: TERRY TOMASI</t>
  </si>
  <si>
    <t xml:space="preserve">   Tel: (574)284-9000</t>
  </si>
  <si>
    <t xml:space="preserve">   3602 SOUTH IRONWOOD DRIVE</t>
  </si>
  <si>
    <t>SANDERS GLEN</t>
  </si>
  <si>
    <t xml:space="preserve">   Administrator: SUZANNE HAMAKER</t>
  </si>
  <si>
    <t xml:space="preserve">   Tel: (317)867-0212</t>
  </si>
  <si>
    <t xml:space="preserve">   334 S CHERRY ST</t>
  </si>
  <si>
    <t>SCENIC HILLS AT THE MONASTERY</t>
  </si>
  <si>
    <t xml:space="preserve">   Administrator: DEANA CHAMBERS</t>
  </si>
  <si>
    <t xml:space="preserve">   710 SUNRISE DRIVE</t>
  </si>
  <si>
    <t>SEBO'S NURSING AND REHABILITATION CENTER</t>
  </si>
  <si>
    <t xml:space="preserve">   Administrator: JILLIAN KUTEMEIER UZELAC</t>
  </si>
  <si>
    <t xml:space="preserve">   4410 W 49TH AVE</t>
  </si>
  <si>
    <t>SELLERSBURG HEALTHCARE CENTER</t>
  </si>
  <si>
    <t xml:space="preserve">   Administrator: TIMOTHY PEEK</t>
  </si>
  <si>
    <t xml:space="preserve">   7823 OLD HWY # 60</t>
  </si>
  <si>
    <t>SENIOR SUITES AT THE LELAND, LLC</t>
  </si>
  <si>
    <t xml:space="preserve">   Administrator: AMANDA MARQUIS</t>
  </si>
  <si>
    <t xml:space="preserve">   Tel: (765)939-6500</t>
  </si>
  <si>
    <t xml:space="preserve">   900 SOUTH A STREET</t>
  </si>
  <si>
    <t>SETTLERS PLACE</t>
  </si>
  <si>
    <t xml:space="preserve">   Administrator: MUHAMMAD MIRZA</t>
  </si>
  <si>
    <t xml:space="preserve">   Tel: (219)326-7283</t>
  </si>
  <si>
    <t xml:space="preserve">   3304 MONROE ST</t>
  </si>
  <si>
    <t>SEYMOUR CROSSING</t>
  </si>
  <si>
    <t xml:space="preserve">   Administrator: JOHN MYERS</t>
  </si>
  <si>
    <t xml:space="preserve">   Tel: (812)522-2416</t>
  </si>
  <si>
    <t xml:space="preserve">   707 S JACKSON PARK DR</t>
  </si>
  <si>
    <t>SEYMOUR PLACE</t>
  </si>
  <si>
    <t xml:space="preserve">   Tel: (812)523-8991</t>
  </si>
  <si>
    <t xml:space="preserve">   2288 NICHOLAS CT</t>
  </si>
  <si>
    <t>SHADY NOOK CARE CENTER</t>
  </si>
  <si>
    <t xml:space="preserve">   Administrator: MATTHEW JONES</t>
  </si>
  <si>
    <t xml:space="preserve">   36 VALLEY DR</t>
  </si>
  <si>
    <t>SIGNATURE HEALTHCARE AT PARKWOOD</t>
  </si>
  <si>
    <t xml:space="preserve">   Administrator: TERESA ANGELA DIXON</t>
  </si>
  <si>
    <t xml:space="preserve">   1001 N GRANT ST</t>
  </si>
  <si>
    <t>SIGNATURE HEALTHCARE OF BLUFFTON</t>
  </si>
  <si>
    <t xml:space="preserve">   Administrator: TOMI COBB</t>
  </si>
  <si>
    <t xml:space="preserve">   1529 W LANCASTER ST</t>
  </si>
  <si>
    <t>SIGNATURE HEALTHCARE OF BREMEN</t>
  </si>
  <si>
    <t xml:space="preserve">   Administrator: KATIE ROBINSON</t>
  </si>
  <si>
    <t xml:space="preserve">   316 WOODIES LN</t>
  </si>
  <si>
    <t xml:space="preserve">   BREMEN, IN 46506</t>
  </si>
  <si>
    <t>SIGNATURE HEALTHCARE OF FORT WAYNE</t>
  </si>
  <si>
    <t xml:space="preserve">   Administrator: DAVID HOLBROOK</t>
  </si>
  <si>
    <t xml:space="preserve">   6006 BRANDY CHASE COVE</t>
  </si>
  <si>
    <t>SIGNATURE HEALTHCARE OF LAFAYETTE</t>
  </si>
  <si>
    <t xml:space="preserve">   Administrator: MARY ANN OLIVER</t>
  </si>
  <si>
    <t xml:space="preserve">   300 WINDY HILL DR</t>
  </si>
  <si>
    <t>SIGNATURE HEALTHCARE OF MUNCIE</t>
  </si>
  <si>
    <t xml:space="preserve">   Administrator: DAVID ASHBAUGH</t>
  </si>
  <si>
    <t xml:space="preserve">   Tel: (765)282-0053</t>
  </si>
  <si>
    <t xml:space="preserve">   4301 N WALNUT ST</t>
  </si>
  <si>
    <t>SIGNATURE HEALTHCARE OF NEWBURGH</t>
  </si>
  <si>
    <t xml:space="preserve">   Administrator: TERRI JO MACK</t>
  </si>
  <si>
    <t xml:space="preserve">   5233 ROSEBUD LANE</t>
  </si>
  <si>
    <t>SIGNATURE HEALTHCARE OF SOUTH BEND</t>
  </si>
  <si>
    <t xml:space="preserve">   Administrator: NATHAN FITE</t>
  </si>
  <si>
    <t xml:space="preserve">   52654 N IRONWOOD RD</t>
  </si>
  <si>
    <t>SIGNATURE HEALTHCARE OF TERRE HAUTE</t>
  </si>
  <si>
    <t xml:space="preserve">   Administrator: JAMIE PATTON</t>
  </si>
  <si>
    <t xml:space="preserve">   3500 MAPLE AVE</t>
  </si>
  <si>
    <t>SILVER BIRCH AT COOK ROAD</t>
  </si>
  <si>
    <t xml:space="preserve">   Administrator: ANGELA OTIS</t>
  </si>
  <si>
    <t xml:space="preserve">   Tel: (260)447-8811</t>
  </si>
  <si>
    <t xml:space="preserve">   3731 WEST COOK ROAD</t>
  </si>
  <si>
    <t xml:space="preserve">   SILVER BIRCH OF EVANSVILLE</t>
  </si>
  <si>
    <t xml:space="preserve">   Administrator: ALLISION BETZ</t>
  </si>
  <si>
    <t xml:space="preserve">   Tel: (812)777-4490</t>
  </si>
  <si>
    <t xml:space="preserve">   475 S GOVERNOR STREET</t>
  </si>
  <si>
    <t>SILVER BIRCH OF FORT WAYNE</t>
  </si>
  <si>
    <t xml:space="preserve">   Administrator: MICHAEL LEHMAN</t>
  </si>
  <si>
    <t xml:space="preserve">   7125 S HANNA STREET</t>
  </si>
  <si>
    <t>SILVER BIRCH OF HAMMOND</t>
  </si>
  <si>
    <t xml:space="preserve">   Administrator: NEYSA HOLMAN STEWART</t>
  </si>
  <si>
    <t xml:space="preserve">   Tel: (219)937-9085</t>
  </si>
  <si>
    <t xml:space="preserve">   5620 SOHL AVENUE</t>
  </si>
  <si>
    <t xml:space="preserve">   HAMMOND, IN 46320</t>
  </si>
  <si>
    <t>SILVER BIRCH OF KOKOMO</t>
  </si>
  <si>
    <t xml:space="preserve">   Administrator: WILLIAM REES</t>
  </si>
  <si>
    <t xml:space="preserve">   Tel: (765)868-7266</t>
  </si>
  <si>
    <t xml:space="preserve">   408 S WASHINGTON STREET</t>
  </si>
  <si>
    <t>SILVER BIRCH OF MICHIGAN CITY</t>
  </si>
  <si>
    <t xml:space="preserve">   Administrator: REBECCA ARTHUR</t>
  </si>
  <si>
    <t xml:space="preserve">   Tel: (219)879-6115</t>
  </si>
  <si>
    <t xml:space="preserve">   4400 EAST MICHIGAN BLVD</t>
  </si>
  <si>
    <t>SILVER BIRCH OF MISHAWAKA</t>
  </si>
  <si>
    <t xml:space="preserve">   Administrator: STACY DEMEESTER</t>
  </si>
  <si>
    <t xml:space="preserve">   Tel: (574)252-7225</t>
  </si>
  <si>
    <t xml:space="preserve">   3630 HICKORY ROAD</t>
  </si>
  <si>
    <t>SILVER BIRCH OF MUNCIE</t>
  </si>
  <si>
    <t xml:space="preserve">   Administrator: CHARLOTTE CENTER</t>
  </si>
  <si>
    <t xml:space="preserve">   Tel: (765)254-0329</t>
  </si>
  <si>
    <t xml:space="preserve">   2500 W KILGORE AVENUE</t>
  </si>
  <si>
    <t>SILVER BIRCH OF TERRE HAUTE</t>
  </si>
  <si>
    <t xml:space="preserve">   Administrator: CRYSTAL RICKARD</t>
  </si>
  <si>
    <t xml:space="preserve">   Tel: (812)237-0123</t>
  </si>
  <si>
    <t xml:space="preserve">   650 LAFAYETTE AVENUE</t>
  </si>
  <si>
    <t xml:space="preserve">   TERRE HAUTE, IN 47807</t>
  </si>
  <si>
    <t>SILVER MEMORIES HEALTH CARE</t>
  </si>
  <si>
    <t xml:space="preserve">   Administrator: SHARON WOODS</t>
  </si>
  <si>
    <t xml:space="preserve">   6996 SOUTH  US421</t>
  </si>
  <si>
    <t xml:space="preserve">   VERSAILLES, IN 47042</t>
  </si>
  <si>
    <t>SILVER OAKS HEALTH CAMPUS</t>
  </si>
  <si>
    <t xml:space="preserve">   Administrator: PAMELA COLE</t>
  </si>
  <si>
    <t xml:space="preserve">   2011 CHAPA STREET</t>
  </si>
  <si>
    <t>SIMMONS LOVING CARE HEALTH FACILITY</t>
  </si>
  <si>
    <t xml:space="preserve">   Administrator: HERBERTA MILLER</t>
  </si>
  <si>
    <t xml:space="preserve">   Tel: (219)882-2563</t>
  </si>
  <si>
    <t xml:space="preserve">   700 E 21ST AVE</t>
  </si>
  <si>
    <t xml:space="preserve">   GARY, IN 46407</t>
  </si>
  <si>
    <t>SKILLED CARING CENTER OF MEMORIAL HOSPITAL</t>
  </si>
  <si>
    <t xml:space="preserve">   Administrator: CHERYL WELP</t>
  </si>
  <si>
    <t xml:space="preserve">   Tel: (812)482-0674</t>
  </si>
  <si>
    <t xml:space="preserve">   800 W NINTH ST</t>
  </si>
  <si>
    <t>SOUTH SHORE HEALTH &amp; REHABILITATION CENTER</t>
  </si>
  <si>
    <t xml:space="preserve">   Administrator: RONALD ARNDT JR</t>
  </si>
  <si>
    <t xml:space="preserve">   353 TYLER ST</t>
  </si>
  <si>
    <t xml:space="preserve">   GARY, IN 46402</t>
  </si>
  <si>
    <t>SOUTHERN INDIANA REHABILITATION HOSPITAL - SNF</t>
  </si>
  <si>
    <t xml:space="preserve">   Administrator: WILLIAM BOSO</t>
  </si>
  <si>
    <t xml:space="preserve">   3104 BLACKISTON BLVD - PROGRESSIVE CARE UNIT</t>
  </si>
  <si>
    <t>SOUTHFIELD VILLAGE</t>
  </si>
  <si>
    <t xml:space="preserve">   Administrator: JOSEPH DORAN</t>
  </si>
  <si>
    <t xml:space="preserve">   6450 MIAMI CIR</t>
  </si>
  <si>
    <t>SOUTHPOINTE HEALTHCARE CENTER</t>
  </si>
  <si>
    <t xml:space="preserve">   Administrator: JENNIFER ETIENNE</t>
  </si>
  <si>
    <t xml:space="preserve">   4904 WAR ADMIRAL DRIVE</t>
  </si>
  <si>
    <t>SOUTHWOOD HEALTHCARE CENTER</t>
  </si>
  <si>
    <t xml:space="preserve">   Administrator: BRENDA HATFIELD</t>
  </si>
  <si>
    <t xml:space="preserve">   2222 MARGARET AVE</t>
  </si>
  <si>
    <t>SPRENGER HEALTH CARE OF MISHAWAKA</t>
  </si>
  <si>
    <t xml:space="preserve">   Administrator: KEVIN KAUFFMAN</t>
  </si>
  <si>
    <t xml:space="preserve">   60257 BODNAR BLVD</t>
  </si>
  <si>
    <t>SPRING MILL HEALTH CAMPUS</t>
  </si>
  <si>
    <t xml:space="preserve">   Administrator: DIANNE O'CONNOR</t>
  </si>
  <si>
    <t xml:space="preserve">   101 W 87TH AVE</t>
  </si>
  <si>
    <t>SPRING MILL MEADOWS</t>
  </si>
  <si>
    <t xml:space="preserve">   Administrator: CYNTHIA MARKER-KUMP</t>
  </si>
  <si>
    <t xml:space="preserve">   2140 W 86TH ST</t>
  </si>
  <si>
    <t>SPRINGHILL VILLAGE</t>
  </si>
  <si>
    <t xml:space="preserve">   Administrator: STACEY HUBBELL</t>
  </si>
  <si>
    <t xml:space="preserve">   1001 E SPRINGHILL DR</t>
  </si>
  <si>
    <t>SPRINGHURST HEALTH CAMPUS</t>
  </si>
  <si>
    <t xml:space="preserve">   Administrator: ALYSSA HOLLIDAY</t>
  </si>
  <si>
    <t xml:space="preserve">   628 N MERIDIAN RD</t>
  </si>
  <si>
    <t>SPRINGS AT LAFAYETTE, THE</t>
  </si>
  <si>
    <t xml:space="preserve">   Administrator: JEFFREY WEAVER</t>
  </si>
  <si>
    <t xml:space="preserve">   2402 SOUTH STREET</t>
  </si>
  <si>
    <t>SPRINGS OF MOORESVILLE, THE</t>
  </si>
  <si>
    <t xml:space="preserve">   Administrator: DAWN ELLIS</t>
  </si>
  <si>
    <t xml:space="preserve">   302 NORTH JOHNSON ROAD</t>
  </si>
  <si>
    <t>SPRINGS OF RICHMOND, THE</t>
  </si>
  <si>
    <t xml:space="preserve">   Administrator: KESHIA ATWOOD</t>
  </si>
  <si>
    <t xml:space="preserve">   400 INDUSTRIES ROAD</t>
  </si>
  <si>
    <t>SPRINGS VALLEY MEADOWS</t>
  </si>
  <si>
    <t xml:space="preserve">   Administrator: SKYLAR WHITEMAN</t>
  </si>
  <si>
    <t xml:space="preserve">   457 S SR 145</t>
  </si>
  <si>
    <t xml:space="preserve">   FRENCH LICK, IN 47432</t>
  </si>
  <si>
    <t>ST ANDREWS HEALTH CAMPUS</t>
  </si>
  <si>
    <t xml:space="preserve">   Administrator: KEVIN CRAIG</t>
  </si>
  <si>
    <t xml:space="preserve">   1400 LAMMERS PIKE</t>
  </si>
  <si>
    <t>ST AUGUSTINE HOME FOR THE AGED</t>
  </si>
  <si>
    <t xml:space="preserve">   Administrator: ROSARIO FLOR CABAUATAN</t>
  </si>
  <si>
    <t xml:space="preserve">   2345 W 86TH ST</t>
  </si>
  <si>
    <t>ST CHARLES HEALTH CAMPUS</t>
  </si>
  <si>
    <t xml:space="preserve">   Administrator: JON HOWARD</t>
  </si>
  <si>
    <t xml:space="preserve">   3150 ST CHARLES ST</t>
  </si>
  <si>
    <t>ST ELIZABETH HEALTHCARE CENTER</t>
  </si>
  <si>
    <t xml:space="preserve">   Administrator: SHELLY DYREK</t>
  </si>
  <si>
    <t xml:space="preserve">   701 ARMORY RD</t>
  </si>
  <si>
    <t xml:space="preserve">   DELPHI, IN 46923</t>
  </si>
  <si>
    <t>ST MARY HEALTHCARE CENTER</t>
  </si>
  <si>
    <t xml:space="preserve">   Administrator: MAKENZIE MILES</t>
  </si>
  <si>
    <t xml:space="preserve">   2201 CASON ST</t>
  </si>
  <si>
    <t>ST PAUL HERMITAGE</t>
  </si>
  <si>
    <t xml:space="preserve">   Administrator: HEATHER FOLTZ</t>
  </si>
  <si>
    <t xml:space="preserve">   501 N 17TH AVE</t>
  </si>
  <si>
    <t>STONEBRIDGE HEALTH CAMPUS</t>
  </si>
  <si>
    <t xml:space="preserve">   Administrator: SARA KELLEY</t>
  </si>
  <si>
    <t xml:space="preserve">   3100 SHAWNEE DR S</t>
  </si>
  <si>
    <t>STONEBROOKE REHABILITATION CENTER</t>
  </si>
  <si>
    <t xml:space="preserve">   Administrator: ALLIE CRAYCRAFT III</t>
  </si>
  <si>
    <t xml:space="preserve">   990 N 16TH ST</t>
  </si>
  <si>
    <t>STONECROFT HEALTH CAMPUS</t>
  </si>
  <si>
    <t xml:space="preserve">   Administrator: ANDREA GEE</t>
  </si>
  <si>
    <t xml:space="preserve">   363 SOUTH FIELDSTONE BLVD</t>
  </si>
  <si>
    <t>SUGAR CREEK REHABILITATION AND CONVALESCENT CENTER</t>
  </si>
  <si>
    <t xml:space="preserve">   Administrator: MATTHEW DALY SHAFER</t>
  </si>
  <si>
    <t xml:space="preserve">   5430 W US 40</t>
  </si>
  <si>
    <t xml:space="preserve">   SUGAR FORK CROSSING</t>
  </si>
  <si>
    <t xml:space="preserve">   Administrator: PEGGY MARK</t>
  </si>
  <si>
    <t xml:space="preserve">   Tel: (765)233-9360</t>
  </si>
  <si>
    <t xml:space="preserve">   1745 EAST 67TH STREET</t>
  </si>
  <si>
    <t xml:space="preserve">   ANDERSON, IN 46013</t>
  </si>
  <si>
    <t xml:space="preserve">   SUGAR GROVE SENIOR LIVING</t>
  </si>
  <si>
    <t xml:space="preserve">   Administrator: JACQUELINE MULLINS</t>
  </si>
  <si>
    <t xml:space="preserve">   Tel: (317)839-7900</t>
  </si>
  <si>
    <t xml:space="preserve">   5865 SUGAR LN</t>
  </si>
  <si>
    <t>SUMMERFIELD HEALTH CARE CENTER</t>
  </si>
  <si>
    <t xml:space="preserve">   Administrator: TASHEENA DUNCAN</t>
  </si>
  <si>
    <t xml:space="preserve">   34 S MAIN ST</t>
  </si>
  <si>
    <t xml:space="preserve">   CLOVERDALE, IN 46120</t>
  </si>
  <si>
    <t>SUMMIT CITY NURSING AND REHABILITATION</t>
  </si>
  <si>
    <t xml:space="preserve">   Administrator: JAE GERARDOT</t>
  </si>
  <si>
    <t xml:space="preserve">   2940 N CLINTON ST</t>
  </si>
  <si>
    <t>SUMMIT HEALTH AND LIVING</t>
  </si>
  <si>
    <t xml:space="preserve">   Administrator: JENNIFER FLOWERS</t>
  </si>
  <si>
    <t xml:space="preserve">   701 S MAIN ST</t>
  </si>
  <si>
    <t xml:space="preserve">   SUMMITVILLE, IN 46070</t>
  </si>
  <si>
    <t>SUMMIT PLACE WEST</t>
  </si>
  <si>
    <t xml:space="preserve">   Administrator: ALICIA HARRIS</t>
  </si>
  <si>
    <t xml:space="preserve">   Tel: (317)244-2600</t>
  </si>
  <si>
    <t xml:space="preserve">   55 N MISSION DR</t>
  </si>
  <si>
    <t xml:space="preserve">   SUNRISE ON OLD MERIDIAN</t>
  </si>
  <si>
    <t xml:space="preserve">   Administrator: TERONA LONG</t>
  </si>
  <si>
    <t xml:space="preserve">   Tel: (317)569-0100</t>
  </si>
  <si>
    <t xml:space="preserve">   12130 OLD MERIDIAN ST</t>
  </si>
  <si>
    <t>SWISS VILLA NURSING AND REHABILITATION</t>
  </si>
  <si>
    <t xml:space="preserve">   Administrator: MEGAN LENGERICH</t>
  </si>
  <si>
    <t xml:space="preserve">   1023 W MAIN ST</t>
  </si>
  <si>
    <t xml:space="preserve">   VEVAY, IN 47043</t>
  </si>
  <si>
    <t>SWISS VILLAGE</t>
  </si>
  <si>
    <t xml:space="preserve">   Administrator: ALMA AHMETOVIC</t>
  </si>
  <si>
    <t xml:space="preserve">   1350 W MAIN ST</t>
  </si>
  <si>
    <t>SYMPHONY OF CHESTERTON LLC</t>
  </si>
  <si>
    <t xml:space="preserve">   Administrator: KIMBERLY URBAN</t>
  </si>
  <si>
    <t xml:space="preserve">   2775 VILLAGE POINT</t>
  </si>
  <si>
    <t>SYMPHONY OF CROWN POINT LLC</t>
  </si>
  <si>
    <t xml:space="preserve">   Administrator: AMY S MAURICE</t>
  </si>
  <si>
    <t xml:space="preserve">   1555 S MAIN STREET</t>
  </si>
  <si>
    <t>SYMPHONY OF DYER LLC</t>
  </si>
  <si>
    <t xml:space="preserve">   Administrator: JANET KAY BREED</t>
  </si>
  <si>
    <t xml:space="preserve">   1532 CALUMET AVENUE</t>
  </si>
  <si>
    <t>TANGLEWOOD TRACE</t>
  </si>
  <si>
    <t xml:space="preserve">   Administrator: BARBARA GAWEL</t>
  </si>
  <si>
    <t xml:space="preserve">   Tel: (574)277-4310</t>
  </si>
  <si>
    <t xml:space="preserve">   530 W TANGLEWOOD LN</t>
  </si>
  <si>
    <t>TERRACE AT SOLARBRON THE</t>
  </si>
  <si>
    <t xml:space="preserve">   Administrator: CHRISTINE GOAD</t>
  </si>
  <si>
    <t xml:space="preserve">   1701 MCDOWELL RD</t>
  </si>
  <si>
    <t>TERRACE AT TOWNE CENTRE THE</t>
  </si>
  <si>
    <t xml:space="preserve">   Administrator: THOMAS TROVATO</t>
  </si>
  <si>
    <t xml:space="preserve">   Tel: (219)736-2900</t>
  </si>
  <si>
    <t xml:space="preserve">   7252 ARTHUR BLVD</t>
  </si>
  <si>
    <t>THORNTON TERRACE HEALTH CAMPUS</t>
  </si>
  <si>
    <t xml:space="preserve">   Administrator: MICHELLE WEBER</t>
  </si>
  <si>
    <t xml:space="preserve">   188 THORNTON RD</t>
  </si>
  <si>
    <t>TIMBER CREEK VILLAGE</t>
  </si>
  <si>
    <t xml:space="preserve">   Administrator: SHANNON LOGAN</t>
  </si>
  <si>
    <t xml:space="preserve">   Tel: (217)821-9539</t>
  </si>
  <si>
    <t xml:space="preserve">   990 PROGRESS PARKWAY</t>
  </si>
  <si>
    <t>TIMBERCREST CHURCH OF THE BRETHREN HOME</t>
  </si>
  <si>
    <t xml:space="preserve">   Administrator: SABINE THOMAS</t>
  </si>
  <si>
    <t xml:space="preserve">   2201 EAST ST</t>
  </si>
  <si>
    <t>TIMBERS OF JASPER THE</t>
  </si>
  <si>
    <t xml:space="preserve">   Administrator: BEAU KELLAMS</t>
  </si>
  <si>
    <t xml:space="preserve">   2909 HOWARD DR</t>
  </si>
  <si>
    <t>TIPTON PLACE</t>
  </si>
  <si>
    <t xml:space="preserve">   Administrator: JODIE MARKER</t>
  </si>
  <si>
    <t xml:space="preserve">   Tel: (260)356-2028</t>
  </si>
  <si>
    <t xml:space="preserve">   460 FORKS OF THE WABASH WAY</t>
  </si>
  <si>
    <t>TODD-DICKEY NURSING AND REHABILITATION</t>
  </si>
  <si>
    <t xml:space="preserve">   Administrator: TINA MARTIN</t>
  </si>
  <si>
    <t xml:space="preserve">   712 W 2ND ST</t>
  </si>
  <si>
    <t xml:space="preserve">   LEAVENWORTH, IN 47137</t>
  </si>
  <si>
    <t>TOWNE HOUSE RETIREMENT COMMUNITY</t>
  </si>
  <si>
    <t xml:space="preserve">   Administrator: AMY SCHEFFER</t>
  </si>
  <si>
    <t xml:space="preserve">   2209 ST JOE CENTER RD</t>
  </si>
  <si>
    <t>TOWNE PARK ASSISTED LIVING</t>
  </si>
  <si>
    <t xml:space="preserve">   Administrator: COLLEEN MATTHEWS</t>
  </si>
  <si>
    <t xml:space="preserve">   Tel: (812)420-4100</t>
  </si>
  <si>
    <t xml:space="preserve">   503 S MURPHY AVE</t>
  </si>
  <si>
    <t xml:space="preserve">   TRADITIONS AT REAGAN PARK</t>
  </si>
  <si>
    <t xml:space="preserve">   Administrator: STACEY GALLARDO</t>
  </si>
  <si>
    <t xml:space="preserve">   Tel: (317)271-0100</t>
  </si>
  <si>
    <t xml:space="preserve">   1176 KINGWOOD DRIVE</t>
  </si>
  <si>
    <t>TRADITIONS AT SOLANA</t>
  </si>
  <si>
    <t xml:space="preserve">   Administrator: TARA CURTIS-SCHWAB</t>
  </si>
  <si>
    <t xml:space="preserve">   Tel: (317)860-0000</t>
  </si>
  <si>
    <t xml:space="preserve">   7721 BATTERY POINTE WAY</t>
  </si>
  <si>
    <t xml:space="preserve">   TRAIL CREEK PLACE- ASSISTED LIVING</t>
  </si>
  <si>
    <t xml:space="preserve">   Administrator: JUDITH PLUTH SIPICH</t>
  </si>
  <si>
    <t xml:space="preserve">   Tel: (219)874-5500</t>
  </si>
  <si>
    <t xml:space="preserve">   1400 E COOLSPRING AVE</t>
  </si>
  <si>
    <t>TRAILPOINT VILLAGE</t>
  </si>
  <si>
    <t xml:space="preserve">   Administrator: KEVIN CLEM</t>
  </si>
  <si>
    <t xml:space="preserve">   1950 RIDGEDALE RD</t>
  </si>
  <si>
    <t>TRANQUILITY NURSING AND REHAB</t>
  </si>
  <si>
    <t xml:space="preserve">   Administrator: OMAR JOHNSON</t>
  </si>
  <si>
    <t xml:space="preserve">   3640 N CENTRAL AVENUE</t>
  </si>
  <si>
    <t>TRANSCENDENT HEALTHCARE OF BOONVILLE</t>
  </si>
  <si>
    <t xml:space="preserve">   Administrator: MELANIE LUTZ</t>
  </si>
  <si>
    <t xml:space="preserve">   725 S SECOND ST</t>
  </si>
  <si>
    <t xml:space="preserve">   BOONVILLE, IN 47601</t>
  </si>
  <si>
    <t>TRANSCENDENT HEALTHCARE OF BOONVILLE - NORTH</t>
  </si>
  <si>
    <t xml:space="preserve">   Administrator: ERIN WHITEHOUSE</t>
  </si>
  <si>
    <t xml:space="preserve">   305 E NORTH ST</t>
  </si>
  <si>
    <t>TRANSCENDENT HEALTHCARE OF OWENSVILLE</t>
  </si>
  <si>
    <t xml:space="preserve">   Administrator: ROBERT O'NIONES</t>
  </si>
  <si>
    <t xml:space="preserve">   HWY 165 W PO BOX 369</t>
  </si>
  <si>
    <t xml:space="preserve">   OWENSVILLE, IN 47665</t>
  </si>
  <si>
    <t>TRANSITIONAL CARE UNIT OF ST JOSEPH</t>
  </si>
  <si>
    <t xml:space="preserve">   Administrator: MEETA ANAND</t>
  </si>
  <si>
    <t xml:space="preserve">   Tel: (260)425-3940</t>
  </si>
  <si>
    <t xml:space="preserve">   700 BROADWAY TRANSITIONAL CARE UNIT</t>
  </si>
  <si>
    <t>TWIN CITY HEALTH CARE</t>
  </si>
  <si>
    <t xml:space="preserve">   Administrator: AMANDA KILGORE</t>
  </si>
  <si>
    <t xml:space="preserve">   627 E NORTH H STREET</t>
  </si>
  <si>
    <t xml:space="preserve">   GAS CITY, IN 46933</t>
  </si>
  <si>
    <t>UNIVERSITY HEIGHTS HEALTH AND LIVING COMMUNITY</t>
  </si>
  <si>
    <t xml:space="preserve">   Administrator: BENJY GRZYCH</t>
  </si>
  <si>
    <t xml:space="preserve">   1380 E COUNTY LINE RD S</t>
  </si>
  <si>
    <t>UNIVERSITY NURSING AND REHABILITATION CENTER</t>
  </si>
  <si>
    <t xml:space="preserve">   Administrator: TERI MCNEELY</t>
  </si>
  <si>
    <t xml:space="preserve">   1236 LINCOLN AVE</t>
  </si>
  <si>
    <t>UNIVERSITY NURSING CENTER</t>
  </si>
  <si>
    <t xml:space="preserve">   Administrator: EILEEN THOMAS</t>
  </si>
  <si>
    <t xml:space="preserve">   1564 S UNIVERSITY BLVD</t>
  </si>
  <si>
    <t xml:space="preserve">   UPLAND, IN 46989</t>
  </si>
  <si>
    <t>UNIVERSITY PLACE HEALTH CENTER AND ASSISTED LIVING</t>
  </si>
  <si>
    <t xml:space="preserve">   Administrator: DAVID KINDER</t>
  </si>
  <si>
    <t xml:space="preserve">   1750 LINDBERG RD</t>
  </si>
  <si>
    <t>VALLEY VIEW HEALTHCARE CENTER</t>
  </si>
  <si>
    <t xml:space="preserve">   Administrator: STEPHEN SOKOLOW</t>
  </si>
  <si>
    <t xml:space="preserve">   333 W MISHAWAKA RD</t>
  </si>
  <si>
    <t>VALPARAISO CARE &amp; REHABILITATION</t>
  </si>
  <si>
    <t xml:space="preserve">   Administrator: GREGORY SCHIAVONE</t>
  </si>
  <si>
    <t xml:space="preserve">   606 WALL STREET</t>
  </si>
  <si>
    <t>VANNONI LIVING CENTER, THE</t>
  </si>
  <si>
    <t xml:space="preserve">   Administrator: HEMMINGTON MWANZA</t>
  </si>
  <si>
    <t xml:space="preserve">   Tel: (574)855-3937</t>
  </si>
  <si>
    <t xml:space="preserve">   500 LINCOLNWAY EAST</t>
  </si>
  <si>
    <t>VERMILLION CONVALESCENT CENTER</t>
  </si>
  <si>
    <t xml:space="preserve">   Administrator: MELISSA GUM</t>
  </si>
  <si>
    <t xml:space="preserve">   1705 S MAIN ST</t>
  </si>
  <si>
    <t>VERMILLION PLACE</t>
  </si>
  <si>
    <t xml:space="preserve">   Administrator: CHRISTY TOMPKINS</t>
  </si>
  <si>
    <t xml:space="preserve">   Tel: (765)622-7825</t>
  </si>
  <si>
    <t xml:space="preserve">   449 MAIN ST</t>
  </si>
  <si>
    <t>VERNON HEALTH &amp; REHABILITATION</t>
  </si>
  <si>
    <t xml:space="preserve">   Administrator: BRENDA ALFREY</t>
  </si>
  <si>
    <t xml:space="preserve">   1955 S VERNON ST</t>
  </si>
  <si>
    <t>VILLAGES AT HISTORIC SILVERCREST THE</t>
  </si>
  <si>
    <t xml:space="preserve">   Administrator: CARLA SIECKERT</t>
  </si>
  <si>
    <t xml:space="preserve">   Tel: (812)542-6720</t>
  </si>
  <si>
    <t xml:space="preserve">   1 SILVERCREST DRIVE</t>
  </si>
  <si>
    <t>VILLAGES AT OAK RIDGE, THE</t>
  </si>
  <si>
    <t xml:space="preserve">   Administrator: TONIA LEA CLOUSE</t>
  </si>
  <si>
    <t xml:space="preserve">   1694 TROY ROAD</t>
  </si>
  <si>
    <t>VILLAS OF GUERIN WOODS</t>
  </si>
  <si>
    <t xml:space="preserve">   Administrator: STEVEN BRIAN</t>
  </si>
  <si>
    <t xml:space="preserve">   1002 SISTER BARBARA WAY</t>
  </si>
  <si>
    <t xml:space="preserve">   GEORGETOWN, IN 47122</t>
  </si>
  <si>
    <t>VILLAS OF HOLLY BROOK INDIANA, LLC</t>
  </si>
  <si>
    <t xml:space="preserve">   Administrator: FRANCES GAYLE CAMONTE</t>
  </si>
  <si>
    <t xml:space="preserve">   Tel: (812)420-2243</t>
  </si>
  <si>
    <t xml:space="preserve">   1941 W US HIGHWAY 40</t>
  </si>
  <si>
    <t>VIRGINIA PLACE</t>
  </si>
  <si>
    <t xml:space="preserve">   Administrator: ADRIANA AVILA</t>
  </si>
  <si>
    <t xml:space="preserve">   Tel: (219)736-9383</t>
  </si>
  <si>
    <t xml:space="preserve">   8253 VIRGINIA ST</t>
  </si>
  <si>
    <t>WABASH BICKFORD COTTAGE OPCO, LLC</t>
  </si>
  <si>
    <t xml:space="preserve">   Administrator: MICHELLE HUTCHINSON</t>
  </si>
  <si>
    <t xml:space="preserve">   Tel: (260)569-2000</t>
  </si>
  <si>
    <t xml:space="preserve">   3037 W DIVISION RD</t>
  </si>
  <si>
    <t>WALKER PLACE</t>
  </si>
  <si>
    <t xml:space="preserve">   Administrator: SUSAN ROBERTS</t>
  </si>
  <si>
    <t xml:space="preserve">   Tel: (317)392-3370</t>
  </si>
  <si>
    <t xml:space="preserve">   2216 N RILEY HWY</t>
  </si>
  <si>
    <t xml:space="preserve">   WALNUT CREEK ALZHEIMER'S</t>
  </si>
  <si>
    <t xml:space="preserve">   Administrator: KELLI WALTERS</t>
  </si>
  <si>
    <t xml:space="preserve">   Tel: (812)471-3100</t>
  </si>
  <si>
    <t xml:space="preserve">   525 BENTEE WES COURT</t>
  </si>
  <si>
    <t>WARSAW MEADOWS</t>
  </si>
  <si>
    <t xml:space="preserve">   Administrator: ANGELIQUE DIVIETRO</t>
  </si>
  <si>
    <t xml:space="preserve">   300 E PRAIRIE ST</t>
  </si>
  <si>
    <t>WASHINGTON HEALTHCARE CENTER</t>
  </si>
  <si>
    <t xml:space="preserve">   Administrator: JILLIAN PICKETT</t>
  </si>
  <si>
    <t xml:space="preserve">   8201 W WASHINGTON ST</t>
  </si>
  <si>
    <t xml:space="preserve">   INDIANAPOLIS, IN 46231</t>
  </si>
  <si>
    <t>WASHINGTON NURSING CENTER</t>
  </si>
  <si>
    <t xml:space="preserve">   Administrator: REBA DRISKILL</t>
  </si>
  <si>
    <t xml:space="preserve">   603 E NATIONAL HWY</t>
  </si>
  <si>
    <t>WATERFORD AT EDISON LAKES, THE</t>
  </si>
  <si>
    <t xml:space="preserve">   Administrator: TONYA TAGUE-O'DELL</t>
  </si>
  <si>
    <t xml:space="preserve">   1025 PARK PLACE</t>
  </si>
  <si>
    <t>WATERFORD CROSSING</t>
  </si>
  <si>
    <t xml:space="preserve">   Administrator: CHAD KNISLEY</t>
  </si>
  <si>
    <t xml:space="preserve">   1332 WATERFORD CIR</t>
  </si>
  <si>
    <t>WATERFORD PLACE HEALTH CAMPUS</t>
  </si>
  <si>
    <t xml:space="preserve">   Administrator: CAROL WARD</t>
  </si>
  <si>
    <t xml:space="preserve">   800 ST JOSEPH DR</t>
  </si>
  <si>
    <t>WATERS EDGE VILLAGE</t>
  </si>
  <si>
    <t xml:space="preserve">   Administrator: JAMES M THOMAS</t>
  </si>
  <si>
    <t xml:space="preserve">   2200 WEST WHITE RIVER BLVD</t>
  </si>
  <si>
    <t>WATERS OF BATESVILLE, THE</t>
  </si>
  <si>
    <t xml:space="preserve">   Administrator: JALENA BALL</t>
  </si>
  <si>
    <t xml:space="preserve">   Tel: (812)934-2436</t>
  </si>
  <si>
    <t xml:space="preserve">   958 E HWY 46</t>
  </si>
  <si>
    <t>WATERS OF CLIFTY FALLS, THE</t>
  </si>
  <si>
    <t xml:space="preserve">   Administrator: DONNA JONES</t>
  </si>
  <si>
    <t xml:space="preserve">   Tel: (812)273-4640</t>
  </si>
  <si>
    <t xml:space="preserve">   950 CROSS AVE</t>
  </si>
  <si>
    <t>WATERS OF COVINGTON, THE</t>
  </si>
  <si>
    <t xml:space="preserve">   Administrator: FAY PRUITT</t>
  </si>
  <si>
    <t xml:space="preserve">   1600 E LIBERTY ST</t>
  </si>
  <si>
    <t xml:space="preserve">   COVINGTON, IN 47932</t>
  </si>
  <si>
    <t>WATERS OF DILLSBORO-ROSS MANOR, THE</t>
  </si>
  <si>
    <t xml:space="preserve">   Administrator: VANESSA ROLL</t>
  </si>
  <si>
    <t xml:space="preserve">   Tel: (812)432-5226</t>
  </si>
  <si>
    <t xml:space="preserve">   12803 LENOVER ST</t>
  </si>
  <si>
    <t xml:space="preserve">   DILLSBORO, IN 47018</t>
  </si>
  <si>
    <t>WATERS OF GREENCASTLE, THE</t>
  </si>
  <si>
    <t xml:space="preserve">   Administrator: HOLLY WACHTEL</t>
  </si>
  <si>
    <t xml:space="preserve">   1601 HOSPITAL DR</t>
  </si>
  <si>
    <t>WATERS OF HUNTINGBURG, THE</t>
  </si>
  <si>
    <t xml:space="preserve">   Administrator: SUSAN R SLUDER</t>
  </si>
  <si>
    <t xml:space="preserve">   1712 LELAND DR</t>
  </si>
  <si>
    <t xml:space="preserve">   HUNTINGBURG, IN 47542</t>
  </si>
  <si>
    <t>WATERS OF INDIANAPOLIS, THE</t>
  </si>
  <si>
    <t xml:space="preserve">   Administrator: NICOLE FIELDS</t>
  </si>
  <si>
    <t xml:space="preserve">   Tel: (317)787-5364</t>
  </si>
  <si>
    <t xml:space="preserve">   3895 S KEYSTONE AVE</t>
  </si>
  <si>
    <t>WATERS OF LEBANON, THE</t>
  </si>
  <si>
    <t xml:space="preserve">   Administrator: STEPHANIE BLEVINS</t>
  </si>
  <si>
    <t xml:space="preserve">   1585 PERRY WORTH RD</t>
  </si>
  <si>
    <t>WATERS OF MARTINSVILLE, THE</t>
  </si>
  <si>
    <t xml:space="preserve">   Administrator: DOUGLAS LYNCH</t>
  </si>
  <si>
    <t xml:space="preserve">   2055 HERITAGE DR</t>
  </si>
  <si>
    <t>WATERS OF MUNCIE, THE</t>
  </si>
  <si>
    <t xml:space="preserve">   Administrator: KARI ALCORN</t>
  </si>
  <si>
    <t xml:space="preserve">   2400 CHATEAU DR</t>
  </si>
  <si>
    <t>WATERS OF NEW CASTLE, THE</t>
  </si>
  <si>
    <t xml:space="preserve">   Administrator: EDNA DOMINGO</t>
  </si>
  <si>
    <t xml:space="preserve">   1000 N 16TH ST</t>
  </si>
  <si>
    <t>WATERS OF PRINCETON, THE</t>
  </si>
  <si>
    <t xml:space="preserve">   Administrator: KATHERINE SEIBEL</t>
  </si>
  <si>
    <t xml:space="preserve">   1020 W VINE ST</t>
  </si>
  <si>
    <t>WATERS OF RISING SUN, THE</t>
  </si>
  <si>
    <t xml:space="preserve">   Administrator: ANDREW GRUBB</t>
  </si>
  <si>
    <t xml:space="preserve">   405 RIO VISTA LN</t>
  </si>
  <si>
    <t xml:space="preserve">   RISING SUN, IN 47040</t>
  </si>
  <si>
    <t>WATERS OF SCOTTSBURG, THE</t>
  </si>
  <si>
    <t xml:space="preserve">   Administrator: SHAWN DENT</t>
  </si>
  <si>
    <t xml:space="preserve">   1350 N TODD DR</t>
  </si>
  <si>
    <t>WEDGEWOOD HEALTHCARE CENTER</t>
  </si>
  <si>
    <t xml:space="preserve">   Administrator: FREDERICK BRIMA VANDI</t>
  </si>
  <si>
    <t xml:space="preserve">   101 POTTERS LN</t>
  </si>
  <si>
    <t>WELLBROOKE OF AVON</t>
  </si>
  <si>
    <t xml:space="preserve">   Administrator: ALICIA LAMBERT</t>
  </si>
  <si>
    <t xml:space="preserve">   10307 EAST COUNTY ROAD 100 NORTH</t>
  </si>
  <si>
    <t>WELLBROOKE OF CARMEL</t>
  </si>
  <si>
    <t xml:space="preserve">   Administrator: KEARY DYE</t>
  </si>
  <si>
    <t xml:space="preserve">   12315 PENNSYLVANIA STREET</t>
  </si>
  <si>
    <t>WELLBROOKE OF CRAWFORDSVILLE</t>
  </si>
  <si>
    <t xml:space="preserve">   Administrator: DEANA JONES</t>
  </si>
  <si>
    <t xml:space="preserve">   517 CONCORD ROAD</t>
  </si>
  <si>
    <t>WELLBROOKE OF KOKOMO</t>
  </si>
  <si>
    <t xml:space="preserve">   Administrator: AMORETTE RENWALD</t>
  </si>
  <si>
    <t xml:space="preserve">   2200 SOUTH DIXON ROAD</t>
  </si>
  <si>
    <t>WELLBROOKE OF SOUTH BEND</t>
  </si>
  <si>
    <t xml:space="preserve">   Administrator: CALEY NIXON</t>
  </si>
  <si>
    <t xml:space="preserve">   52565 STATE ROAD 933</t>
  </si>
  <si>
    <t>WELLBROOKE OF WABASH</t>
  </si>
  <si>
    <t xml:space="preserve">   Administrator: PHILLIP AARON VOGEL</t>
  </si>
  <si>
    <t xml:space="preserve">   20 JOHN KISSINGER DRIVE</t>
  </si>
  <si>
    <t>WELLBROOKE OF WESTFIELD</t>
  </si>
  <si>
    <t xml:space="preserve">   Administrator: ROGER PIOTROWICZ</t>
  </si>
  <si>
    <t xml:space="preserve">   937 E 186TH STREET</t>
  </si>
  <si>
    <t>WELLINGTON AT SOUTHPORT THE</t>
  </si>
  <si>
    <t xml:space="preserve">   Administrator: GOODWELL CHAVUNDUKA</t>
  </si>
  <si>
    <t xml:space="preserve">   Tel: (317)889-9822</t>
  </si>
  <si>
    <t xml:space="preserve">   7212 US HWY 31 S</t>
  </si>
  <si>
    <t>WESLEY MANOR HEALTH CENTER</t>
  </si>
  <si>
    <t xml:space="preserve">   Administrator: FREDERICK TAYLOR, JR</t>
  </si>
  <si>
    <t xml:space="preserve">   1555 N MAIN ST</t>
  </si>
  <si>
    <t>WESLEYAN HEALTH CARE CENTER</t>
  </si>
  <si>
    <t xml:space="preserve">   Administrator: RICHARD ORRELL</t>
  </si>
  <si>
    <t xml:space="preserve">   729 WEST 35TH ST</t>
  </si>
  <si>
    <t>WEST BEND NURSING AND REHABILITATION</t>
  </si>
  <si>
    <t xml:space="preserve">   Administrator: MCKENZIE HARRIS</t>
  </si>
  <si>
    <t xml:space="preserve">   4600 W WASHINGTON AVE</t>
  </si>
  <si>
    <t>WEST RIVER HEALTH CAMPUS</t>
  </si>
  <si>
    <t xml:space="preserve">   Administrator: ANDREW RUSSELL</t>
  </si>
  <si>
    <t xml:space="preserve">   714 S EICKHOFF RD</t>
  </si>
  <si>
    <t>WESTMINSTER HEALTH CARE CENTER</t>
  </si>
  <si>
    <t xml:space="preserve">   Administrator: RHONDA MULLINS</t>
  </si>
  <si>
    <t xml:space="preserve">   2210 GREENTREE N</t>
  </si>
  <si>
    <t>WESTMINSTER VILLAGE - WEST LAFAYETTE</t>
  </si>
  <si>
    <t xml:space="preserve">   Administrator: GREGORY STEELE</t>
  </si>
  <si>
    <t xml:space="preserve">   2741 N SALISBURY ST</t>
  </si>
  <si>
    <t>WESTMINSTER VILLAGE HEALTH &amp; REHAB</t>
  </si>
  <si>
    <t xml:space="preserve">   Administrator: TYLER EASON</t>
  </si>
  <si>
    <t xml:space="preserve">   1120 E DAVIS DR</t>
  </si>
  <si>
    <t>WESTMINSTER VILLAGE MUNCIE INC</t>
  </si>
  <si>
    <t xml:space="preserve">   Administrator: DALE LINDLEY</t>
  </si>
  <si>
    <t xml:space="preserve">   5801 W BETHEL AVE</t>
  </si>
  <si>
    <t>WESTMINSTER VILLAGE NORTH</t>
  </si>
  <si>
    <t xml:space="preserve">   Administrator: SHANNON POOLE</t>
  </si>
  <si>
    <t xml:space="preserve">   11050 PRESBYTERIAN DR</t>
  </si>
  <si>
    <t xml:space="preserve">   INDIANAPOLIS, IN 46236</t>
  </si>
  <si>
    <t>WESTPARK A WATERS COMMUNITY</t>
  </si>
  <si>
    <t xml:space="preserve">   Administrator: ANNETTE CHEEVER</t>
  </si>
  <si>
    <t xml:space="preserve">   Tel: (317)634-8330</t>
  </si>
  <si>
    <t xml:space="preserve">   1316 N TIBBS AVE</t>
  </si>
  <si>
    <t>WESTRIDGE HEALTH CARE CENTER</t>
  </si>
  <si>
    <t xml:space="preserve">   Administrator: JODI DEANN SANDERS</t>
  </si>
  <si>
    <t xml:space="preserve">   125 W MARGARET AVE</t>
  </si>
  <si>
    <t>WESTSIDE RETIREMENT VILLAGE</t>
  </si>
  <si>
    <t xml:space="preserve">   Administrator: JOSHUA DAVIS</t>
  </si>
  <si>
    <t xml:space="preserve">   8616 W 10TH ST</t>
  </si>
  <si>
    <t>WESTVIEW NURSING AND REHABILITATION CENTER</t>
  </si>
  <si>
    <t xml:space="preserve">   Administrator: MELODY SOWDERS</t>
  </si>
  <si>
    <t xml:space="preserve">   1510 CLINIC DR</t>
  </si>
  <si>
    <t>WHITE OAK HEALTH CAMPUS</t>
  </si>
  <si>
    <t xml:space="preserve">   Administrator: ELLEN SMITHERMAN-HINRICHS</t>
  </si>
  <si>
    <t xml:space="preserve">   814 S 6TH ST</t>
  </si>
  <si>
    <t>WHITE RIVER LODGE</t>
  </si>
  <si>
    <t xml:space="preserve">   Administrator: LEAH  DAWN STALEY- HILLENBURG</t>
  </si>
  <si>
    <t xml:space="preserve">   3710 KENNY SIMPSON LN</t>
  </si>
  <si>
    <t>WHITEWATER COMMONS SENIOR LIVING</t>
  </si>
  <si>
    <t xml:space="preserve">   Administrator: TONYA NUNEZ-SMITH</t>
  </si>
  <si>
    <t xml:space="preserve">   215 W HIGH ST</t>
  </si>
  <si>
    <t xml:space="preserve">   LIBERTY, IN 47353</t>
  </si>
  <si>
    <t>WHITLOCK PLACE</t>
  </si>
  <si>
    <t xml:space="preserve">   Administrator: HEATHER REICH</t>
  </si>
  <si>
    <t xml:space="preserve">   Tel: (765)364-1880</t>
  </si>
  <si>
    <t xml:space="preserve">   1719 S ELM ST</t>
  </si>
  <si>
    <t>WICKSHIRE FORT HARRISON</t>
  </si>
  <si>
    <t xml:space="preserve">   Administrator: SUSAN WAYMIRE</t>
  </si>
  <si>
    <t xml:space="preserve">   Tel: (317)546-2845</t>
  </si>
  <si>
    <t xml:space="preserve">   8025 DOUBLEDAY DRIVE</t>
  </si>
  <si>
    <t xml:space="preserve">   INDIANAPOLIS, IN 46216</t>
  </si>
  <si>
    <t>WICKSHIRE WEST LAFAYETTE</t>
  </si>
  <si>
    <t xml:space="preserve">   Administrator: JEREMY RIEMAN</t>
  </si>
  <si>
    <t xml:space="preserve">   Tel: (765)464-1805</t>
  </si>
  <si>
    <t xml:space="preserve">   3575 SENIOR PLACE</t>
  </si>
  <si>
    <t>WILDWOOD HEALTHCARE CENTER</t>
  </si>
  <si>
    <t xml:space="preserve">   Administrator: ETHAN PEAK</t>
  </si>
  <si>
    <t xml:space="preserve">   7301 E 16TH ST</t>
  </si>
  <si>
    <t>WILLIAMSPORT NURSING AND REHABILITATION</t>
  </si>
  <si>
    <t xml:space="preserve">   Administrator: SHEILA HUSKEY</t>
  </si>
  <si>
    <t xml:space="preserve">   200 SHORT ST</t>
  </si>
  <si>
    <t xml:space="preserve">   WILLIAMSPORT, IN 47993</t>
  </si>
  <si>
    <t>WILLOW CROSSING HEALTH &amp; REHABILITATION CENTER</t>
  </si>
  <si>
    <t xml:space="preserve">   Administrator: AMANDA SPALL</t>
  </si>
  <si>
    <t xml:space="preserve">   3550 CENTRAL AVE</t>
  </si>
  <si>
    <t xml:space="preserve">   WILLOW LAKE PLACE</t>
  </si>
  <si>
    <t xml:space="preserve">   Administrator: BILLIE CARDER</t>
  </si>
  <si>
    <t xml:space="preserve">   Tel: (317)334-9400</t>
  </si>
  <si>
    <t xml:space="preserve">   2725 LAKE CIRCLE DR</t>
  </si>
  <si>
    <t>WILLOW MANOR</t>
  </si>
  <si>
    <t xml:space="preserve">   Administrator: ERIC AHLBRAND</t>
  </si>
  <si>
    <t xml:space="preserve">   3801 OLD BRUCEVILLE ROAD, BOX 136</t>
  </si>
  <si>
    <t>WILLOWBEND LIVING CENTER</t>
  </si>
  <si>
    <t xml:space="preserve">   Administrator: GLENN R BURKE</t>
  </si>
  <si>
    <t xml:space="preserve">   7524 E JACKSON ST</t>
  </si>
  <si>
    <t>WILLOWDALE VILLAGE</t>
  </si>
  <si>
    <t xml:space="preserve">   Administrator: BRANDON BURNS</t>
  </si>
  <si>
    <t xml:space="preserve">   404 W WILLOW RD</t>
  </si>
  <si>
    <t>WINDSOR RIDGE</t>
  </si>
  <si>
    <t xml:space="preserve">   Administrator: ANGELA KLINGE</t>
  </si>
  <si>
    <t xml:space="preserve">   Tel: (812)284-4336</t>
  </si>
  <si>
    <t xml:space="preserve">   2700 WATERS EDGE PKWY</t>
  </si>
  <si>
    <t>WINTERSONG VILLAGE</t>
  </si>
  <si>
    <t xml:space="preserve">   Administrator: TODD KING</t>
  </si>
  <si>
    <t xml:space="preserve">   1005 SOUTH EDGEWOOD DRIVE</t>
  </si>
  <si>
    <t>WITHAM EXTENDED CARE</t>
  </si>
  <si>
    <t xml:space="preserve">   Administrator: STEPHEN BARDOCZI</t>
  </si>
  <si>
    <t xml:space="preserve">   2605 N LEBANON STREET</t>
  </si>
  <si>
    <t>WOOD RIDGE ASSISTED LIVING</t>
  </si>
  <si>
    <t xml:space="preserve">   Administrator: LORI CRISPEN</t>
  </si>
  <si>
    <t xml:space="preserve">   Tel: (574)271-1151</t>
  </si>
  <si>
    <t xml:space="preserve">   17650 GENERATIONS DR</t>
  </si>
  <si>
    <t>WOODBRIDGE HEALTH CAMPUS</t>
  </si>
  <si>
    <t xml:space="preserve">   Administrator: TAMERA SHIRELS</t>
  </si>
  <si>
    <t xml:space="preserve">   602 WOODBRIDGE AVE</t>
  </si>
  <si>
    <t>WOODLAND HILLS CARE CENTER</t>
  </si>
  <si>
    <t xml:space="preserve">   Administrator: BEVERLY TACKITT</t>
  </si>
  <si>
    <t xml:space="preserve">   403 BIELBY RD</t>
  </si>
  <si>
    <t>WOODLAND MANOR</t>
  </si>
  <si>
    <t xml:space="preserve">   Administrator: TARA TREVINO</t>
  </si>
  <si>
    <t xml:space="preserve">   343 S NAPPANEE ST</t>
  </si>
  <si>
    <t>WOODLAND TERRACE OF CARMEL</t>
  </si>
  <si>
    <t xml:space="preserve">   Administrator: PATRICK SINGLETON</t>
  </si>
  <si>
    <t xml:space="preserve">   Tel: (317)616-0858</t>
  </si>
  <si>
    <t xml:space="preserve">   689 PRO MED LANE</t>
  </si>
  <si>
    <t>WOODLAND TERRACE OF NEW PALESTINE LLC</t>
  </si>
  <si>
    <t xml:space="preserve">   Administrator: TIMOTHY SKINNER</t>
  </si>
  <si>
    <t xml:space="preserve">   Tel: (317)353-8311</t>
  </si>
  <si>
    <t xml:space="preserve">   4400 TERRACE DRIVE</t>
  </si>
  <si>
    <t xml:space="preserve">   NEW PALESTINE, IN 46163</t>
  </si>
  <si>
    <t>WOODLANDS THE</t>
  </si>
  <si>
    <t xml:space="preserve">   Administrator: JAMES M COMBS</t>
  </si>
  <si>
    <t xml:space="preserve">   3820 W JACKSON ST</t>
  </si>
  <si>
    <t>WOODMONT HEALTH CAMPUS</t>
  </si>
  <si>
    <t xml:space="preserve">   Administrator: JORDAN SHOTS</t>
  </si>
  <si>
    <t xml:space="preserve">   1325 ROCKPORT RD</t>
  </si>
  <si>
    <t>WOODVIEW A WATERS COMMUNITY</t>
  </si>
  <si>
    <t xml:space="preserve">   Administrator: JINA ROBBINS</t>
  </si>
  <si>
    <t xml:space="preserve">   3420 EAST STATE BLVD</t>
  </si>
  <si>
    <t>WORTHINGTON PLACE</t>
  </si>
  <si>
    <t xml:space="preserve">   Administrator: SHERYL MORNING</t>
  </si>
  <si>
    <t xml:space="preserve">   Tel: (317)856-6224</t>
  </si>
  <si>
    <t xml:space="preserve">   10799 ALLIANCE DR</t>
  </si>
  <si>
    <t xml:space="preserve">   CAMBY, IN 46113</t>
  </si>
  <si>
    <t>WYNDMOOR ASSISTED LIVING LLC</t>
  </si>
  <si>
    <t xml:space="preserve">   Administrator: VALAURIE NESBIT</t>
  </si>
  <si>
    <t xml:space="preserve">   Tel: (812)298-9963</t>
  </si>
  <si>
    <t xml:space="preserve">   1465 EAST CROSSING BLVD</t>
  </si>
  <si>
    <t>WYNDMOOR OF CASTLETON, LLC</t>
  </si>
  <si>
    <t xml:space="preserve">   Administrator: CAMILLE ANN BEESON</t>
  </si>
  <si>
    <t xml:space="preserve">   Tel: (317)842-6564</t>
  </si>
  <si>
    <t xml:space="preserve">   8480 CRAIG ST</t>
  </si>
  <si>
    <t>WYNDMOOR OF EVANSVILLE LLC</t>
  </si>
  <si>
    <t xml:space="preserve">   Administrator: JANINE BUZICK</t>
  </si>
  <si>
    <t xml:space="preserve">   Tel: (812)867-7900</t>
  </si>
  <si>
    <t xml:space="preserve">   6521 GREENDALE DR</t>
  </si>
  <si>
    <t>WYNDMOOR OF MARION, LLC</t>
  </si>
  <si>
    <t xml:space="preserve">   Administrator: DIERDRE JONES-JOHNSON</t>
  </si>
  <si>
    <t xml:space="preserve">   Tel: (765)384-4500</t>
  </si>
  <si>
    <t xml:space="preserve">   2452 W KEM RD</t>
  </si>
  <si>
    <t>WYNDMOOR OF PORTAGE, LLC</t>
  </si>
  <si>
    <t xml:space="preserve">   Administrator: LACHELE RAE HENKLE WEAVER</t>
  </si>
  <si>
    <t xml:space="preserve">   Tel: (219)763-4867</t>
  </si>
  <si>
    <t xml:space="preserve">   3444 SWANSON RD</t>
  </si>
  <si>
    <t>YORK PLACE</t>
  </si>
  <si>
    <t xml:space="preserve">   Administrator: DORINE WARD</t>
  </si>
  <si>
    <t xml:space="preserve">   Tel: (765)677-0095</t>
  </si>
  <si>
    <t xml:space="preserve">   725 W 50TH ST</t>
  </si>
  <si>
    <t>YORKTOWN MANOR</t>
  </si>
  <si>
    <t xml:space="preserve">   Administrator: JENNIFER BAILEY</t>
  </si>
  <si>
    <t xml:space="preserve">   2000 S ANDREWS RD</t>
  </si>
  <si>
    <t xml:space="preserve">   YORKTOWN, IN 47396</t>
  </si>
  <si>
    <t>ZIONSVILLE MEADOWS</t>
  </si>
  <si>
    <t xml:space="preserve">   Administrator: SONIA PATEL</t>
  </si>
  <si>
    <t xml:space="preserve">   675 S FORD RD</t>
  </si>
  <si>
    <r>
      <rPr>
        <b/>
        <sz val="11"/>
        <color theme="1"/>
        <rFont val="Arial"/>
        <family val="2"/>
      </rPr>
      <t>ETA</t>
    </r>
    <r>
      <rPr>
        <sz val="11"/>
        <color theme="1"/>
        <rFont val="Arial"/>
        <family val="2"/>
      </rPr>
      <t xml:space="preserve">  (Local Time) of </t>
    </r>
    <r>
      <rPr>
        <b/>
        <sz val="11"/>
        <color theme="1"/>
        <rFont val="Arial"/>
        <family val="2"/>
      </rPr>
      <t>Testing Equipment and Supplies</t>
    </r>
  </si>
  <si>
    <r>
      <rPr>
        <b/>
        <sz val="11"/>
        <color theme="1"/>
        <rFont val="Arial"/>
        <family val="2"/>
      </rPr>
      <t>Report Time</t>
    </r>
    <r>
      <rPr>
        <sz val="11"/>
        <color theme="1"/>
        <rFont val="Arial"/>
        <family val="2"/>
      </rPr>
      <t xml:space="preserve"> (Local Time) </t>
    </r>
    <r>
      <rPr>
        <b/>
        <sz val="11"/>
        <color theme="1"/>
        <rFont val="Arial"/>
        <family val="2"/>
      </rPr>
      <t>(15 Min. prior)</t>
    </r>
  </si>
  <si>
    <t>District</t>
  </si>
  <si>
    <t>Armory Manager</t>
  </si>
  <si>
    <t>Extension</t>
  </si>
  <si>
    <t>Armory Address</t>
  </si>
  <si>
    <t>Alternate POC</t>
  </si>
  <si>
    <t>0700 Hours</t>
  </si>
  <si>
    <t>0645</t>
  </si>
  <si>
    <t>Gary Aviaton Armory</t>
  </si>
  <si>
    <t>MAJ Robert Jendzio</t>
  </si>
  <si>
    <t>(765) 730-6475</t>
  </si>
  <si>
    <t>robert.m.jendzio.civ@mail.mil</t>
  </si>
  <si>
    <t>6289 West Industrial Hwy, Gary, IN 46406</t>
  </si>
  <si>
    <t>0800 Hours</t>
  </si>
  <si>
    <t>0745</t>
  </si>
  <si>
    <t>South Bend Armory</t>
  </si>
  <si>
    <t>CPT Matthew Arnold</t>
  </si>
  <si>
    <t>317-766-3631</t>
  </si>
  <si>
    <t>88810</t>
  </si>
  <si>
    <t>matthew.d.arnold3.mil@mail.mil</t>
  </si>
  <si>
    <t>1901 Kemble Avenue, South Bend, IN 46613</t>
  </si>
  <si>
    <t>0730 Hours</t>
  </si>
  <si>
    <t>0715</t>
  </si>
  <si>
    <t>Ft. Wayne - ANG</t>
  </si>
  <si>
    <t>MSG Brent Carlisle</t>
  </si>
  <si>
    <t>2605795760</t>
  </si>
  <si>
    <t>brent.m.carlisle.mil@mail.mil</t>
  </si>
  <si>
    <t>3005 Ferguson Rd, Ft. Wayne, IN 46809</t>
  </si>
  <si>
    <t>0645 Hours</t>
  </si>
  <si>
    <t>0630</t>
  </si>
  <si>
    <t>Lafayette Armory</t>
  </si>
  <si>
    <t xml:space="preserve">SGT Santiago </t>
  </si>
  <si>
    <t>(765)499-8102</t>
  </si>
  <si>
    <t>87525</t>
  </si>
  <si>
    <t>angel.j.santiagogarcia.mil@mail.mil</t>
  </si>
  <si>
    <t>5218 Haggerty Lane, Lafayette, IN 47905</t>
  </si>
  <si>
    <t>0600 Hours</t>
  </si>
  <si>
    <t>0545</t>
  </si>
  <si>
    <t>Lawrence Armory</t>
  </si>
  <si>
    <t>MAJ Gregory McBride</t>
  </si>
  <si>
    <t>87641</t>
  </si>
  <si>
    <t>gregory.a.mcbride.mil@mail.mil</t>
  </si>
  <si>
    <t>9920 E. 59th St, Indianapolis, IN 46216</t>
  </si>
  <si>
    <t>Muncie Armory</t>
  </si>
  <si>
    <t>MAJ Dan Downey</t>
  </si>
  <si>
    <t>88604</t>
  </si>
  <si>
    <t>daniel.w.downey.mil@mail.mil</t>
  </si>
  <si>
    <t>401 N. Country Club Rd, Muncie, IN 47303</t>
  </si>
  <si>
    <t>0630 Hours</t>
  </si>
  <si>
    <t>0615</t>
  </si>
  <si>
    <t>Terre Haute - ANG</t>
  </si>
  <si>
    <t>MAJ Landon Hinman</t>
  </si>
  <si>
    <t>landon.e.hinman.mil@mail.mil</t>
  </si>
  <si>
    <t>800 S. Peterscheff Street, Terre Haute, IN 47803</t>
  </si>
  <si>
    <t>0620 Hours</t>
  </si>
  <si>
    <t>0605</t>
  </si>
  <si>
    <t>Columbus Armory</t>
  </si>
  <si>
    <t>MAJ Jeremy Troutman</t>
  </si>
  <si>
    <t>jeremy.d.troutman.mil@mail.mil</t>
  </si>
  <si>
    <t>2160 Arnold St, Columbus, IN 47203</t>
  </si>
  <si>
    <t>0715 Hours</t>
  </si>
  <si>
    <t>0700</t>
  </si>
  <si>
    <t>Madison Armory</t>
  </si>
  <si>
    <t>SFC Anthony Boren</t>
  </si>
  <si>
    <t>anthony.s.boren.mil@mail.mil</t>
  </si>
  <si>
    <t>1533 Clifty Drive, Madison, IN 47250</t>
  </si>
  <si>
    <t>SGT Cumberworth 812-584-8843</t>
  </si>
  <si>
    <t>0710 Hours</t>
  </si>
  <si>
    <t>0655</t>
  </si>
  <si>
    <t>Evansville Armory</t>
  </si>
  <si>
    <t>SFC Joshua Auxier</t>
  </si>
  <si>
    <t>87309</t>
  </si>
  <si>
    <t>joshua.a.auxier.mil@mail.mil</t>
  </si>
  <si>
    <t>3300 E. Division St, Evansville IN 47715</t>
  </si>
  <si>
    <t xml:space="preserve">*NOTE: The Report Time is 15 minutes before the earliest possible arrival of Testing Equipment and Supplies.  Personnel are expected to be on site and available at assigned armory at Report Time, but </t>
  </si>
  <si>
    <t>it is not necessary to arrive earlier.  (Depending on actual departure time and enroute time, arrival could be 30-60 minutes later than ETA.)</t>
  </si>
  <si>
    <t>LCTF Team OIC/NCOIC</t>
  </si>
  <si>
    <t>LCTF Regional OIC/NCOIC</t>
  </si>
  <si>
    <t>Team</t>
  </si>
  <si>
    <t>Rank</t>
  </si>
  <si>
    <t>Last</t>
  </si>
  <si>
    <t>Phone Number</t>
  </si>
  <si>
    <t>SGT</t>
  </si>
  <si>
    <t>Wagner</t>
  </si>
  <si>
    <t>859-992-9994</t>
  </si>
  <si>
    <t>1-4, 8-9</t>
  </si>
  <si>
    <t>SMSgt</t>
  </si>
  <si>
    <t>Samm</t>
  </si>
  <si>
    <t>812-201-4041</t>
  </si>
  <si>
    <t>Waskom</t>
  </si>
  <si>
    <t>812-798-5218</t>
  </si>
  <si>
    <t>5-7, 15-17</t>
  </si>
  <si>
    <t>Maj</t>
  </si>
  <si>
    <t>Mathieson</t>
  </si>
  <si>
    <t>812-241-2444</t>
  </si>
  <si>
    <t>SSG</t>
  </si>
  <si>
    <t>Lovellramey</t>
  </si>
  <si>
    <t>765-652-9311</t>
  </si>
  <si>
    <t>10-14, 18</t>
  </si>
  <si>
    <t>1LT</t>
  </si>
  <si>
    <t>Kucera</t>
  </si>
  <si>
    <t>630-441-6423</t>
  </si>
  <si>
    <t>Syra</t>
  </si>
  <si>
    <t>317-800-4145</t>
  </si>
  <si>
    <t>19-23</t>
  </si>
  <si>
    <t>Sokeland</t>
  </si>
  <si>
    <t>812-327-2953</t>
  </si>
  <si>
    <t>Miller</t>
  </si>
  <si>
    <t>765-356-3718</t>
  </si>
  <si>
    <t>Fairer</t>
  </si>
  <si>
    <t>765-278-2306</t>
  </si>
  <si>
    <t>219-678-1224</t>
  </si>
  <si>
    <t>Moon</t>
  </si>
  <si>
    <t>765-712-1192</t>
  </si>
  <si>
    <t>Todaro</t>
  </si>
  <si>
    <t>502-517-2923</t>
  </si>
  <si>
    <t>SFC</t>
  </si>
  <si>
    <t>Nicholas</t>
  </si>
  <si>
    <t>765-244-8966</t>
  </si>
  <si>
    <t>SRA</t>
  </si>
  <si>
    <t>Taylor</t>
  </si>
  <si>
    <t>574-383-7409</t>
  </si>
  <si>
    <t>Lewis</t>
  </si>
  <si>
    <t>317-903-4279</t>
  </si>
  <si>
    <t>SSGT</t>
  </si>
  <si>
    <t>Sever</t>
  </si>
  <si>
    <t>317-504-7429</t>
  </si>
  <si>
    <t>Ricketts</t>
  </si>
  <si>
    <t>812-430-8177</t>
  </si>
  <si>
    <t>Thomas</t>
  </si>
  <si>
    <t>269-697-3016</t>
  </si>
  <si>
    <t>MSgt</t>
  </si>
  <si>
    <t>Keiser</t>
  </si>
  <si>
    <t>317-697-1762</t>
  </si>
  <si>
    <t>CPL</t>
  </si>
  <si>
    <t>Devries</t>
  </si>
  <si>
    <t>219-688-9528</t>
  </si>
  <si>
    <t>Chittum</t>
  </si>
  <si>
    <t>317-395-8235</t>
  </si>
  <si>
    <t>Gurnell</t>
  </si>
  <si>
    <t>317-938-6996</t>
  </si>
  <si>
    <t>Hansen</t>
  </si>
  <si>
    <t>317-362-5653</t>
  </si>
  <si>
    <t>Conner</t>
  </si>
  <si>
    <t>317-340-9418</t>
  </si>
  <si>
    <t>1SG</t>
  </si>
  <si>
    <t>Crone</t>
  </si>
  <si>
    <t>812-202-0233</t>
  </si>
  <si>
    <t>SPC</t>
  </si>
  <si>
    <t>Sloan</t>
  </si>
  <si>
    <t>317-478-7765</t>
  </si>
  <si>
    <t>C2 NODE Contact Roster</t>
  </si>
  <si>
    <t>In Order of Precedence</t>
  </si>
  <si>
    <t>Please Contact the C2 Node as they appear on this list.</t>
  </si>
  <si>
    <t>DSN</t>
  </si>
  <si>
    <t xml:space="preserve">Phone Number </t>
  </si>
  <si>
    <t>RTO Desk</t>
  </si>
  <si>
    <t>(317) 247-3300</t>
  </si>
  <si>
    <t>x88610</t>
  </si>
  <si>
    <t>Battle Captian Desk</t>
  </si>
  <si>
    <t>x88602</t>
  </si>
  <si>
    <t>Med Ops Desk</t>
  </si>
  <si>
    <t>x88609</t>
  </si>
  <si>
    <t>Battle Captians</t>
  </si>
  <si>
    <t>LT</t>
  </si>
  <si>
    <t>Hagan, Jacob</t>
  </si>
  <si>
    <t>(765) 212-6172</t>
  </si>
  <si>
    <t>jacob.l.hagan.mil@mail.mil</t>
  </si>
  <si>
    <t>Kennedy, James</t>
  </si>
  <si>
    <t>(845) 263-0575</t>
  </si>
  <si>
    <t>james.j.kennedy110mil@mail.mil</t>
  </si>
  <si>
    <t>Med Ops</t>
  </si>
  <si>
    <t>Ball, Ryan</t>
  </si>
  <si>
    <t>(219) 798-4360</t>
  </si>
  <si>
    <t>ryan.p.ball.mil@mail.mil</t>
  </si>
  <si>
    <t>MAJ</t>
  </si>
  <si>
    <t>Marietta, Kelli</t>
  </si>
  <si>
    <t>(765) 760-1377</t>
  </si>
  <si>
    <t>kelli.j.marietta.mil@mail.mil</t>
  </si>
  <si>
    <t>Battle NCOs</t>
  </si>
  <si>
    <t>Hoppenjans, Eric</t>
  </si>
  <si>
    <t>(812) 893-9567</t>
  </si>
  <si>
    <t>eric.r.hoppenjans.mil@mail.mil</t>
  </si>
  <si>
    <t>Cooper, Aaron</t>
  </si>
  <si>
    <t>(317) 756-8802</t>
  </si>
  <si>
    <t>unaguava85@hotmail.com</t>
  </si>
  <si>
    <t>S1</t>
  </si>
  <si>
    <t>Diller, Eden</t>
  </si>
  <si>
    <t>(260) 766-9321</t>
  </si>
  <si>
    <t>eden.e.diller.mil@mail.mil</t>
  </si>
  <si>
    <t>Estes, Lynn</t>
  </si>
  <si>
    <t>(765) 969-6664</t>
  </si>
  <si>
    <t>lynn.r.estes.mil@mail.mil</t>
  </si>
  <si>
    <t>S4</t>
  </si>
  <si>
    <t>Armstrong, Levon</t>
  </si>
  <si>
    <t>(765) 631-2260</t>
  </si>
  <si>
    <t>levon.t.armstrong.mil@mail.mil</t>
  </si>
  <si>
    <t xml:space="preserve">   802 E 10th St</t>
  </si>
  <si>
    <t>3pm- 6pm</t>
  </si>
  <si>
    <t xml:space="preserve">Turned away Shirley Payne's team on 6/10. Made complaint that team didn't have </t>
  </si>
  <si>
    <t>1661 Beacon Street</t>
  </si>
  <si>
    <t>Munster Med Inn</t>
  </si>
  <si>
    <t xml:space="preserve">7935 Calumet Ave. </t>
  </si>
  <si>
    <t>Munster, IN 46321</t>
  </si>
  <si>
    <t xml:space="preserve">Per note from Russ @ Probari on 6/11, facility is completing all testing on their own. </t>
  </si>
  <si>
    <t>lesliemkeiser@hotmail.com</t>
  </si>
  <si>
    <t>taylorkaela5@outlook.com</t>
  </si>
  <si>
    <t>brmcarna@gmail.com</t>
  </si>
  <si>
    <t>edwardsk11041@gmail.com</t>
  </si>
  <si>
    <t>jessicaa_1821@yahoo.com</t>
  </si>
  <si>
    <t>aberg13@ivytech.edu</t>
  </si>
  <si>
    <t>gfield1992@gmail.com</t>
  </si>
  <si>
    <t>jusngamez@icloud.com</t>
  </si>
  <si>
    <t>marcus.calhoun13f@gmail.com</t>
  </si>
  <si>
    <t>nunnwhitney15@gmail.com</t>
  </si>
  <si>
    <t>mcnuttxj@gmail.com</t>
  </si>
  <si>
    <t>joshua.pawlak2422@gmail.com</t>
  </si>
  <si>
    <t>katbarros17@gmail.com</t>
  </si>
  <si>
    <t>6/23 + 6/24</t>
  </si>
  <si>
    <t>8am-5:30pm</t>
  </si>
  <si>
    <t>1 + 2</t>
  </si>
  <si>
    <t>3 + 4</t>
  </si>
  <si>
    <t>Alexandra Hayes</t>
  </si>
  <si>
    <t>Phillip Waters</t>
  </si>
  <si>
    <t>6/27 + 6/28</t>
  </si>
  <si>
    <t xml:space="preserve">Sarah Briley </t>
  </si>
  <si>
    <t>Andrew Wilson</t>
  </si>
  <si>
    <t>Kaitlin Watson</t>
  </si>
  <si>
    <t>Mike Sutton</t>
  </si>
  <si>
    <t xml:space="preserve">Chris Gilbert </t>
  </si>
  <si>
    <t>6/28 + 6/29</t>
  </si>
  <si>
    <t>Kaitlyn Kruse</t>
  </si>
  <si>
    <t>Per Email from Russ @ Probari on 6/11, the site changed to need our assistance via Kit Delivery because the Optum site near them shtu down.</t>
  </si>
  <si>
    <t>1 + 2 + 3</t>
  </si>
  <si>
    <t>4 + 5</t>
  </si>
  <si>
    <t xml:space="preserve">TEAM </t>
  </si>
  <si>
    <t>8am-5pm</t>
  </si>
  <si>
    <t xml:space="preserve">Harbour Manor </t>
  </si>
  <si>
    <t xml:space="preserve">1667 Sheridan Rd. </t>
  </si>
  <si>
    <t>Noblesville, IN 46062</t>
  </si>
  <si>
    <t xml:space="preserve">Elevate Senior Living </t>
  </si>
  <si>
    <t xml:space="preserve">Changed from Kit ro Onsite per a note from Russ @ Probari on 6/11 </t>
  </si>
  <si>
    <t>5 + 6</t>
  </si>
  <si>
    <t>6/26 + 6/27</t>
  </si>
  <si>
    <t>6/29 + 6/30</t>
  </si>
  <si>
    <t>6/23 + 6/24 + 6/25</t>
  </si>
  <si>
    <t>8am-4pm</t>
  </si>
  <si>
    <t xml:space="preserve">Per email to Russ @ Probari on 6/10 facility no longer needs testing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</si>
</sst>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d/yyyy\ h:mm:ss"/>
    <numFmt numFmtId="165" formatCode="[&lt;=9999999]###\-####;\(###\)\ ###\-####"/>
    <numFmt numFmtId="166" formatCode="_(* #,##0_);_(* \(#,##0\);_(* &quot;-&quot;??_);_(@_)"/>
  </numFmts>
  <fonts count="42">
    <font>
      <sz val="11"/>
      <color theme="1"/>
      <name val="Arial"/>
    </font>
    <font>
      <sz val="11"/>
      <color theme="1"/>
      <name val="Calibri"/>
      <family val="2"/>
      <scheme val="minor"/>
    </font>
    <font>
      <sz val="11"/>
      <color theme="1"/>
      <name val="Calibri"/>
      <family val="2"/>
    </font>
    <font>
      <b/>
      <sz val="11"/>
      <color rgb="FF000000"/>
      <name val="Calibri"/>
      <family val="2"/>
    </font>
    <font>
      <b/>
      <sz val="11"/>
      <color theme="1"/>
      <name val="Calibri"/>
      <family val="2"/>
    </font>
    <font>
      <sz val="11"/>
      <color rgb="FF000000"/>
      <name val="Inconsolata"/>
    </font>
    <font>
      <sz val="11"/>
      <color rgb="FF000000"/>
      <name val="Calibri"/>
      <family val="2"/>
    </font>
    <font>
      <u/>
      <sz val="11"/>
      <color rgb="FF0000FF"/>
      <name val="Arial"/>
      <family val="2"/>
    </font>
    <font>
      <sz val="11"/>
      <color rgb="FF000000"/>
      <name val="Arial"/>
      <family val="2"/>
    </font>
    <font>
      <sz val="11"/>
      <name val="Arial"/>
      <family val="2"/>
    </font>
    <font>
      <b/>
      <sz val="14"/>
      <color theme="1"/>
      <name val="Calibri"/>
      <family val="2"/>
    </font>
    <font>
      <sz val="10"/>
      <color rgb="FF000000"/>
      <name val="Arimo"/>
    </font>
    <font>
      <sz val="10"/>
      <color theme="1"/>
      <name val="Arimo"/>
    </font>
    <font>
      <sz val="11"/>
      <color theme="1"/>
      <name val="Arial"/>
      <family val="2"/>
    </font>
    <font>
      <b/>
      <sz val="11"/>
      <color theme="1"/>
      <name val="Arial"/>
      <family val="2"/>
    </font>
    <font>
      <sz val="11"/>
      <color theme="2"/>
      <name val="Arial"/>
      <family val="2"/>
    </font>
    <font>
      <b/>
      <sz val="11"/>
      <name val="Arial"/>
      <family val="2"/>
    </font>
    <font>
      <sz val="8"/>
      <name val="Arial"/>
      <family val="2"/>
    </font>
    <font>
      <u/>
      <sz val="11"/>
      <color theme="10"/>
      <name val="Arial"/>
      <family val="2"/>
    </font>
    <font>
      <sz val="11"/>
      <color theme="1"/>
      <name val="Arial"/>
    </font>
    <font>
      <sz val="10"/>
      <color rgb="FF000000"/>
      <name val="Arial"/>
      <family val="2"/>
    </font>
    <font>
      <u/>
      <sz val="11"/>
      <color theme="10"/>
      <name val="Arial"/>
    </font>
    <font>
      <b/>
      <sz val="14"/>
      <name val="Arial"/>
      <family val="2"/>
    </font>
    <font>
      <sz val="12"/>
      <name val="Arial"/>
      <family val="2"/>
    </font>
    <font>
      <sz val="12"/>
      <color theme="1"/>
      <name val="Arial"/>
      <family val="2"/>
    </font>
    <font>
      <sz val="12"/>
      <name val="Helvetica"/>
      <family val="2"/>
    </font>
    <font>
      <b/>
      <sz val="11"/>
      <color theme="1"/>
      <name val="Calibri"/>
      <family val="2"/>
      <scheme val="minor"/>
    </font>
    <font>
      <sz val="10"/>
      <color theme="1"/>
      <name val="Arial"/>
      <family val="2"/>
    </font>
    <font>
      <sz val="10"/>
      <name val="Arial"/>
      <family val="2"/>
    </font>
    <font>
      <b/>
      <u/>
      <sz val="11"/>
      <color theme="1"/>
      <name val="Calibri"/>
      <family val="2"/>
      <scheme val="minor"/>
    </font>
    <font>
      <sz val="11"/>
      <color theme="2"/>
      <name val="Calibri"/>
      <family val="2"/>
    </font>
    <font>
      <b/>
      <sz val="11"/>
      <color theme="2"/>
      <name val="Calibri"/>
      <family val="2"/>
    </font>
    <font>
      <b/>
      <sz val="11"/>
      <color theme="2"/>
      <name val="Arial"/>
      <family val="2"/>
    </font>
    <font>
      <b/>
      <sz val="12"/>
      <color theme="1"/>
      <name val="Calibri"/>
      <family val="2"/>
    </font>
    <font>
      <sz val="12"/>
      <color theme="1"/>
      <name val="Calibri"/>
      <family val="2"/>
    </font>
    <font>
      <b/>
      <sz val="12"/>
      <color theme="1"/>
      <name val="Arial"/>
      <family val="2"/>
    </font>
    <font>
      <sz val="12"/>
      <color theme="0"/>
      <name val="Calibri"/>
      <family val="2"/>
    </font>
    <font>
      <sz val="12"/>
      <color theme="0"/>
      <name val="Arial"/>
      <family val="2"/>
    </font>
    <font>
      <sz val="12"/>
      <color theme="0"/>
      <name val="Calibri"/>
      <family val="2"/>
      <scheme val="minor"/>
    </font>
    <font>
      <sz val="12"/>
      <color theme="0"/>
      <name val="Calibri"/>
      <family val="2"/>
      <scheme val="major"/>
    </font>
    <font>
      <sz val="12"/>
      <color theme="1"/>
      <name val="Calibri"/>
      <family val="2"/>
      <scheme val="minor"/>
    </font>
    <font>
      <sz val="12"/>
      <name val="Calibri"/>
      <family val="2"/>
    </font>
  </fonts>
  <fills count="25">
    <fill>
      <patternFill patternType="none"/>
    </fill>
    <fill>
      <patternFill patternType="gray125"/>
    </fill>
    <fill>
      <patternFill patternType="solid">
        <fgColor rgb="FFC9DAF8"/>
        <bgColor rgb="FFC9DAF8"/>
      </patternFill>
    </fill>
    <fill>
      <patternFill patternType="solid">
        <fgColor rgb="FFFFFFFF"/>
        <bgColor rgb="FFFFFFFF"/>
      </patternFill>
    </fill>
    <fill>
      <patternFill patternType="solid">
        <fgColor rgb="FFFFFF00"/>
        <bgColor rgb="FFFFFF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2" tint="-4.9989318521683403E-2"/>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9"/>
        <bgColor indexed="64"/>
      </patternFill>
    </fill>
    <fill>
      <patternFill patternType="solid">
        <fgColor rgb="FF7030A0"/>
        <bgColor indexed="64"/>
      </patternFill>
    </fill>
    <fill>
      <patternFill patternType="solid">
        <fgColor rgb="FF0070C0"/>
        <bgColor indexed="64"/>
      </patternFill>
    </fill>
    <fill>
      <patternFill patternType="solid">
        <fgColor rgb="FF00B05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rgb="FF000000"/>
      </bottom>
      <diagonal/>
    </border>
    <border>
      <left style="medium">
        <color rgb="FF000000"/>
      </left>
      <right/>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style="thin">
        <color rgb="FF000000"/>
      </left>
      <right style="thin">
        <color rgb="FF000000"/>
      </right>
      <top/>
      <bottom style="thin">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6">
    <xf numFmtId="0" fontId="0" fillId="0" borderId="0"/>
    <xf numFmtId="0" fontId="13" fillId="0" borderId="0"/>
    <xf numFmtId="0" fontId="18" fillId="0" borderId="0" applyNumberFormat="0" applyFill="0" applyBorder="0" applyAlignment="0" applyProtection="0"/>
    <xf numFmtId="43" fontId="19" fillId="0" borderId="0" applyFont="0" applyFill="0" applyBorder="0" applyAlignment="0" applyProtection="0"/>
    <xf numFmtId="0" fontId="20" fillId="0" borderId="0"/>
    <xf numFmtId="0" fontId="21" fillId="0" borderId="0" applyNumberFormat="0" applyFill="0" applyBorder="0" applyAlignment="0" applyProtection="0"/>
  </cellStyleXfs>
  <cellXfs count="518">
    <xf numFmtId="0" fontId="0" fillId="0" borderId="0" xfId="0" applyFont="1" applyAlignment="1"/>
    <xf numFmtId="0" fontId="3" fillId="0" borderId="0" xfId="0" applyFont="1" applyAlignment="1">
      <alignment horizontal="center"/>
    </xf>
    <xf numFmtId="0" fontId="4" fillId="0" borderId="0" xfId="0" applyFont="1" applyAlignment="1">
      <alignment horizontal="center"/>
    </xf>
    <xf numFmtId="164" fontId="2" fillId="0" borderId="0" xfId="0" applyNumberFormat="1" applyFont="1" applyAlignment="1"/>
    <xf numFmtId="0" fontId="2" fillId="0" borderId="0" xfId="0" applyFont="1" applyAlignment="1"/>
    <xf numFmtId="0" fontId="2" fillId="2" borderId="0" xfId="0" applyFont="1" applyFill="1" applyAlignment="1">
      <alignment horizontal="center"/>
    </xf>
    <xf numFmtId="0" fontId="5" fillId="2" borderId="0" xfId="0" applyFont="1" applyFill="1" applyAlignment="1">
      <alignment horizontal="center"/>
    </xf>
    <xf numFmtId="0" fontId="6" fillId="0" borderId="0" xfId="0" applyFont="1" applyAlignment="1">
      <alignment horizontal="center"/>
    </xf>
    <xf numFmtId="0" fontId="7" fillId="0" borderId="0" xfId="0" applyFont="1" applyAlignment="1"/>
    <xf numFmtId="0" fontId="8" fillId="2" borderId="0" xfId="0" applyFont="1" applyFill="1" applyAlignment="1">
      <alignment horizontal="center"/>
    </xf>
    <xf numFmtId="0" fontId="2" fillId="4" borderId="0" xfId="0" applyFont="1" applyFill="1" applyAlignment="1">
      <alignment horizontal="center"/>
    </xf>
    <xf numFmtId="0" fontId="5" fillId="0" borderId="0" xfId="0" applyFont="1" applyAlignment="1">
      <alignment horizontal="center"/>
    </xf>
    <xf numFmtId="0" fontId="10" fillId="0" borderId="0" xfId="0" applyFont="1" applyAlignment="1">
      <alignment horizontal="center" wrapText="1"/>
    </xf>
    <xf numFmtId="0" fontId="11" fillId="0" borderId="0" xfId="0" applyFont="1" applyAlignment="1">
      <alignment vertical="center"/>
    </xf>
    <xf numFmtId="0" fontId="11" fillId="0" borderId="0" xfId="0" applyFont="1" applyAlignment="1">
      <alignment horizontal="center" vertical="center"/>
    </xf>
    <xf numFmtId="0" fontId="12" fillId="0" borderId="0" xfId="0" applyFont="1" applyAlignment="1">
      <alignment vertical="center"/>
    </xf>
    <xf numFmtId="0" fontId="14" fillId="0" borderId="1" xfId="0" applyFont="1" applyBorder="1" applyAlignment="1">
      <alignment horizontal="center"/>
    </xf>
    <xf numFmtId="0" fontId="0" fillId="5" borderId="0" xfId="0" applyFill="1"/>
    <xf numFmtId="0" fontId="0" fillId="6" borderId="0" xfId="0" applyFill="1"/>
    <xf numFmtId="0" fontId="0" fillId="7" borderId="0" xfId="0" applyFill="1"/>
    <xf numFmtId="0" fontId="0" fillId="8" borderId="0" xfId="0" applyFill="1"/>
    <xf numFmtId="0" fontId="15" fillId="11" borderId="0" xfId="0" applyFont="1" applyFill="1"/>
    <xf numFmtId="0" fontId="15" fillId="12" borderId="0" xfId="0" applyFont="1" applyFill="1"/>
    <xf numFmtId="0" fontId="15" fillId="13" borderId="0" xfId="0" applyFont="1" applyFill="1"/>
    <xf numFmtId="0" fontId="15" fillId="14" borderId="0" xfId="0" applyFont="1" applyFill="1"/>
    <xf numFmtId="0" fontId="15" fillId="0" borderId="0" xfId="0" applyFont="1"/>
    <xf numFmtId="0" fontId="16" fillId="0" borderId="0" xfId="0" applyFont="1" applyAlignment="1">
      <alignment horizontal="center"/>
    </xf>
    <xf numFmtId="0" fontId="2" fillId="0" borderId="1" xfId="0" applyFont="1" applyBorder="1" applyAlignment="1">
      <alignment horizontal="center"/>
    </xf>
    <xf numFmtId="0" fontId="0" fillId="0" borderId="0" xfId="0" applyFont="1" applyAlignment="1">
      <alignment horizontal="left"/>
    </xf>
    <xf numFmtId="2" fontId="0" fillId="0" borderId="0" xfId="0" applyNumberFormat="1" applyFont="1" applyAlignment="1"/>
    <xf numFmtId="0" fontId="0" fillId="0" borderId="0" xfId="0" applyFont="1" applyAlignment="1">
      <alignment wrapText="1"/>
    </xf>
    <xf numFmtId="0" fontId="0" fillId="0" borderId="0" xfId="0" applyFont="1" applyAlignment="1">
      <alignment horizontal="center"/>
    </xf>
    <xf numFmtId="0" fontId="4" fillId="0" borderId="1" xfId="0" applyFont="1" applyBorder="1" applyAlignment="1">
      <alignment wrapText="1"/>
    </xf>
    <xf numFmtId="0" fontId="2" fillId="0" borderId="0" xfId="0" applyFont="1" applyAlignment="1">
      <alignment vertical="center"/>
    </xf>
    <xf numFmtId="0" fontId="1" fillId="0" borderId="0" xfId="0" applyFont="1" applyAlignment="1"/>
    <xf numFmtId="0" fontId="1" fillId="0" borderId="0" xfId="0" applyFont="1" applyAlignment="1">
      <alignment vertical="center"/>
    </xf>
    <xf numFmtId="0" fontId="2" fillId="0" borderId="3" xfId="0" applyFont="1" applyBorder="1" applyAlignment="1">
      <alignment horizontal="center"/>
    </xf>
    <xf numFmtId="0" fontId="1" fillId="0" borderId="0" xfId="0" applyFont="1" applyBorder="1" applyAlignment="1"/>
    <xf numFmtId="0" fontId="2" fillId="0" borderId="4" xfId="0" applyFont="1" applyBorder="1" applyAlignment="1">
      <alignment vertical="center"/>
    </xf>
    <xf numFmtId="0" fontId="1" fillId="0" borderId="0" xfId="0" applyFont="1" applyBorder="1" applyAlignment="1">
      <alignment vertical="center"/>
    </xf>
    <xf numFmtId="0" fontId="2" fillId="0" borderId="4" xfId="0" applyFont="1" applyBorder="1" applyAlignment="1">
      <alignment horizontal="left"/>
    </xf>
    <xf numFmtId="0" fontId="1" fillId="0" borderId="5" xfId="0" applyFont="1" applyBorder="1" applyAlignment="1">
      <alignment vertical="center"/>
    </xf>
    <xf numFmtId="0" fontId="2" fillId="0" borderId="6" xfId="0" applyFont="1" applyBorder="1" applyAlignment="1">
      <alignment horizontal="left"/>
    </xf>
    <xf numFmtId="0" fontId="2" fillId="0" borderId="7" xfId="0" applyFont="1" applyBorder="1" applyAlignment="1">
      <alignment horizontal="center"/>
    </xf>
    <xf numFmtId="0" fontId="4" fillId="0" borderId="8" xfId="0" applyFont="1" applyBorder="1" applyAlignment="1">
      <alignment wrapText="1"/>
    </xf>
    <xf numFmtId="0" fontId="2" fillId="0" borderId="9"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2" fillId="0" borderId="2" xfId="0" applyFont="1" applyBorder="1" applyAlignment="1">
      <alignment horizontal="right"/>
    </xf>
    <xf numFmtId="0" fontId="13" fillId="0" borderId="0" xfId="0" applyFont="1" applyAlignment="1">
      <alignment horizontal="center"/>
    </xf>
    <xf numFmtId="0" fontId="13" fillId="0" borderId="0" xfId="0" applyFont="1" applyFill="1" applyAlignment="1">
      <alignment horizontal="center"/>
    </xf>
    <xf numFmtId="0" fontId="4" fillId="0" borderId="0" xfId="0" applyFont="1" applyAlignment="1">
      <alignment horizontal="center" wrapText="1"/>
    </xf>
    <xf numFmtId="0" fontId="6" fillId="0" borderId="0" xfId="0" applyFont="1" applyAlignment="1">
      <alignment horizontal="left"/>
    </xf>
    <xf numFmtId="0" fontId="0" fillId="15" borderId="0" xfId="0" applyFont="1" applyFill="1" applyAlignment="1"/>
    <xf numFmtId="16" fontId="0" fillId="15" borderId="0" xfId="0" applyNumberFormat="1" applyFont="1" applyFill="1" applyAlignment="1">
      <alignment horizontal="left"/>
    </xf>
    <xf numFmtId="0" fontId="0" fillId="15" borderId="0" xfId="0" applyFont="1" applyFill="1" applyAlignment="1">
      <alignment horizontal="left"/>
    </xf>
    <xf numFmtId="16" fontId="0" fillId="9" borderId="0" xfId="0" applyNumberFormat="1" applyFont="1" applyFill="1" applyAlignment="1">
      <alignment horizontal="left"/>
    </xf>
    <xf numFmtId="0" fontId="0" fillId="9" borderId="0" xfId="0" applyFont="1" applyFill="1" applyAlignment="1"/>
    <xf numFmtId="0" fontId="0" fillId="9" borderId="0" xfId="0" applyFont="1" applyFill="1" applyAlignment="1">
      <alignment horizontal="left"/>
    </xf>
    <xf numFmtId="0" fontId="2" fillId="9" borderId="0" xfId="0" applyFont="1" applyFill="1" applyAlignment="1">
      <alignment horizontal="center"/>
    </xf>
    <xf numFmtId="16" fontId="0" fillId="9" borderId="0" xfId="0" applyNumberFormat="1" applyFont="1" applyFill="1" applyAlignment="1"/>
    <xf numFmtId="16" fontId="0" fillId="15" borderId="0" xfId="0" applyNumberFormat="1" applyFont="1" applyFill="1" applyAlignment="1"/>
    <xf numFmtId="0" fontId="2" fillId="15" borderId="0" xfId="0" applyFont="1" applyFill="1" applyAlignment="1"/>
    <xf numFmtId="2" fontId="0" fillId="10" borderId="0" xfId="0" applyNumberFormat="1" applyFont="1" applyFill="1" applyAlignment="1"/>
    <xf numFmtId="0" fontId="2" fillId="10" borderId="0" xfId="0" applyFont="1" applyFill="1" applyAlignment="1">
      <alignment horizontal="center"/>
    </xf>
    <xf numFmtId="16" fontId="0" fillId="10" borderId="0" xfId="0" applyNumberFormat="1" applyFont="1" applyFill="1" applyAlignment="1"/>
    <xf numFmtId="0" fontId="0" fillId="10" borderId="0" xfId="0" applyFont="1" applyFill="1" applyAlignment="1"/>
    <xf numFmtId="0" fontId="0" fillId="10" borderId="0" xfId="0" applyFont="1" applyFill="1" applyAlignment="1">
      <alignment horizontal="left"/>
    </xf>
    <xf numFmtId="16" fontId="2" fillId="15" borderId="0" xfId="0" applyNumberFormat="1" applyFont="1" applyFill="1" applyAlignment="1"/>
    <xf numFmtId="2" fontId="2" fillId="15" borderId="0" xfId="0" applyNumberFormat="1" applyFont="1" applyFill="1" applyAlignment="1">
      <alignment horizontal="center"/>
    </xf>
    <xf numFmtId="2" fontId="2" fillId="9" borderId="0" xfId="0" applyNumberFormat="1" applyFont="1" applyFill="1" applyAlignment="1">
      <alignment horizontal="center"/>
    </xf>
    <xf numFmtId="0" fontId="9" fillId="9" borderId="0" xfId="0" applyFont="1" applyFill="1" applyAlignment="1">
      <alignment horizontal="center"/>
    </xf>
    <xf numFmtId="0" fontId="9" fillId="15" borderId="0" xfId="0" applyFont="1" applyFill="1" applyAlignment="1">
      <alignment horizontal="center"/>
    </xf>
    <xf numFmtId="0" fontId="9" fillId="10" borderId="0" xfId="0" applyFont="1" applyFill="1" applyAlignment="1">
      <alignment horizontal="center"/>
    </xf>
    <xf numFmtId="2" fontId="0" fillId="16" borderId="0" xfId="0" applyNumberFormat="1" applyFont="1" applyFill="1" applyAlignment="1"/>
    <xf numFmtId="0" fontId="0" fillId="16" borderId="0" xfId="0" applyFont="1" applyFill="1" applyAlignment="1">
      <alignment horizontal="center"/>
    </xf>
    <xf numFmtId="0" fontId="0" fillId="16" borderId="0" xfId="0" applyFont="1" applyFill="1" applyAlignment="1">
      <alignment horizontal="left"/>
    </xf>
    <xf numFmtId="0" fontId="9" fillId="16" borderId="0" xfId="0" applyFont="1" applyFill="1" applyAlignment="1">
      <alignment horizontal="center"/>
    </xf>
    <xf numFmtId="2" fontId="0" fillId="17" borderId="0" xfId="0" applyNumberFormat="1" applyFont="1" applyFill="1" applyAlignment="1"/>
    <xf numFmtId="0" fontId="0" fillId="17" borderId="0" xfId="0" applyFont="1" applyFill="1" applyAlignment="1">
      <alignment horizontal="center"/>
    </xf>
    <xf numFmtId="0" fontId="0" fillId="17" borderId="0" xfId="0" applyFont="1" applyFill="1" applyAlignment="1">
      <alignment horizontal="left"/>
    </xf>
    <xf numFmtId="0" fontId="9" fillId="17" borderId="0" xfId="0" applyFont="1" applyFill="1" applyAlignment="1">
      <alignment horizontal="center"/>
    </xf>
    <xf numFmtId="16" fontId="9" fillId="15" borderId="0" xfId="0" applyNumberFormat="1" applyFont="1" applyFill="1" applyAlignment="1">
      <alignment horizontal="left"/>
    </xf>
    <xf numFmtId="16" fontId="9" fillId="17" borderId="0" xfId="0" applyNumberFormat="1" applyFont="1" applyFill="1" applyAlignment="1">
      <alignment horizontal="left"/>
    </xf>
    <xf numFmtId="16" fontId="9" fillId="16" borderId="0" xfId="0" applyNumberFormat="1" applyFont="1" applyFill="1" applyAlignment="1">
      <alignment horizontal="left"/>
    </xf>
    <xf numFmtId="16" fontId="9" fillId="10" borderId="0" xfId="0" applyNumberFormat="1" applyFont="1" applyFill="1" applyAlignment="1">
      <alignment horizontal="left"/>
    </xf>
    <xf numFmtId="16" fontId="9" fillId="9" borderId="0" xfId="0" applyNumberFormat="1" applyFont="1" applyFill="1" applyAlignment="1">
      <alignment horizontal="left"/>
    </xf>
    <xf numFmtId="0" fontId="4" fillId="0" borderId="0" xfId="0" applyFont="1" applyAlignment="1">
      <alignment wrapText="1"/>
    </xf>
    <xf numFmtId="0" fontId="13" fillId="0" borderId="0" xfId="1"/>
    <xf numFmtId="0" fontId="14" fillId="0" borderId="15" xfId="1" applyFont="1" applyBorder="1"/>
    <xf numFmtId="0" fontId="14" fillId="0" borderId="16" xfId="1" applyFont="1" applyBorder="1"/>
    <xf numFmtId="0" fontId="13" fillId="0" borderId="17" xfId="1" applyBorder="1"/>
    <xf numFmtId="0" fontId="13" fillId="18" borderId="17" xfId="1" applyFill="1" applyBorder="1"/>
    <xf numFmtId="0" fontId="14" fillId="0" borderId="18" xfId="1" applyFont="1" applyBorder="1"/>
    <xf numFmtId="0" fontId="14" fillId="0" borderId="20" xfId="1" applyFont="1" applyBorder="1" applyAlignment="1">
      <alignment horizontal="center"/>
    </xf>
    <xf numFmtId="0" fontId="14" fillId="0" borderId="16" xfId="1" applyFont="1" applyBorder="1" applyAlignment="1">
      <alignment horizontal="center"/>
    </xf>
    <xf numFmtId="0" fontId="13" fillId="19" borderId="1" xfId="1" applyFill="1" applyBorder="1"/>
    <xf numFmtId="0" fontId="13" fillId="18" borderId="1" xfId="1" applyFill="1" applyBorder="1"/>
    <xf numFmtId="0" fontId="14" fillId="0" borderId="0" xfId="1" applyFont="1" applyBorder="1"/>
    <xf numFmtId="0" fontId="14" fillId="0" borderId="21" xfId="1" applyFont="1" applyBorder="1"/>
    <xf numFmtId="0" fontId="13" fillId="0" borderId="1" xfId="1" applyBorder="1"/>
    <xf numFmtId="0" fontId="14" fillId="0" borderId="10" xfId="1" applyFont="1" applyBorder="1"/>
    <xf numFmtId="0" fontId="14" fillId="0" borderId="5" xfId="1" applyFont="1" applyBorder="1"/>
    <xf numFmtId="0" fontId="14" fillId="0" borderId="6" xfId="1" applyFont="1" applyBorder="1"/>
    <xf numFmtId="0" fontId="13" fillId="0" borderId="25" xfId="1" applyBorder="1"/>
    <xf numFmtId="0" fontId="13" fillId="0" borderId="8" xfId="1" applyBorder="1"/>
    <xf numFmtId="0" fontId="18" fillId="0" borderId="26" xfId="2" applyBorder="1"/>
    <xf numFmtId="0" fontId="13" fillId="18" borderId="27" xfId="1" applyFill="1" applyBorder="1"/>
    <xf numFmtId="0" fontId="13" fillId="18" borderId="28" xfId="1" applyFill="1" applyBorder="1"/>
    <xf numFmtId="0" fontId="13" fillId="0" borderId="27" xfId="1" applyBorder="1"/>
    <xf numFmtId="0" fontId="18" fillId="0" borderId="28" xfId="2" applyBorder="1"/>
    <xf numFmtId="0" fontId="13" fillId="19" borderId="27" xfId="1" applyFill="1" applyBorder="1"/>
    <xf numFmtId="0" fontId="18" fillId="19" borderId="28" xfId="2" applyFill="1" applyBorder="1"/>
    <xf numFmtId="0" fontId="13" fillId="18" borderId="29" xfId="1" applyFill="1" applyBorder="1"/>
    <xf numFmtId="0" fontId="13" fillId="18" borderId="11" xfId="1" applyFill="1" applyBorder="1"/>
    <xf numFmtId="0" fontId="13" fillId="18" borderId="30" xfId="1" applyFill="1" applyBorder="1"/>
    <xf numFmtId="0" fontId="13" fillId="18" borderId="7" xfId="1" applyFill="1" applyBorder="1"/>
    <xf numFmtId="0" fontId="13" fillId="18" borderId="2" xfId="1" applyFill="1" applyBorder="1"/>
    <xf numFmtId="0" fontId="13" fillId="18" borderId="3" xfId="1" applyFill="1" applyBorder="1"/>
    <xf numFmtId="0" fontId="13" fillId="19" borderId="28" xfId="1" applyFill="1" applyBorder="1"/>
    <xf numFmtId="0" fontId="13" fillId="0" borderId="34" xfId="1" applyBorder="1"/>
    <xf numFmtId="0" fontId="13" fillId="18" borderId="33" xfId="1" applyFill="1" applyBorder="1"/>
    <xf numFmtId="0" fontId="13" fillId="18" borderId="34" xfId="1" applyFill="1" applyBorder="1"/>
    <xf numFmtId="0" fontId="13" fillId="0" borderId="36" xfId="1" applyBorder="1"/>
    <xf numFmtId="0" fontId="13" fillId="0" borderId="37" xfId="1" applyBorder="1"/>
    <xf numFmtId="16" fontId="16" fillId="0" borderId="0" xfId="0" applyNumberFormat="1" applyFont="1" applyAlignment="1">
      <alignment horizontal="center"/>
    </xf>
    <xf numFmtId="0" fontId="0" fillId="0" borderId="0" xfId="0" applyFont="1" applyAlignment="1">
      <alignment horizontal="right"/>
    </xf>
    <xf numFmtId="16" fontId="9" fillId="0" borderId="0" xfId="0" applyNumberFormat="1" applyFont="1" applyFill="1" applyAlignment="1">
      <alignment horizontal="left"/>
    </xf>
    <xf numFmtId="0" fontId="0" fillId="0" borderId="0" xfId="0" applyAlignment="1">
      <alignment horizontal="right"/>
    </xf>
    <xf numFmtId="0" fontId="0" fillId="0" borderId="0" xfId="0" applyAlignment="1">
      <alignment horizontal="center"/>
    </xf>
    <xf numFmtId="0" fontId="0" fillId="15" borderId="0" xfId="0" applyFont="1" applyFill="1" applyAlignment="1">
      <alignment horizontal="center"/>
    </xf>
    <xf numFmtId="0" fontId="0" fillId="9" borderId="0" xfId="0" applyFont="1" applyFill="1" applyAlignment="1">
      <alignment horizontal="center"/>
    </xf>
    <xf numFmtId="0" fontId="2" fillId="0" borderId="0" xfId="0" applyFont="1"/>
    <xf numFmtId="0" fontId="2" fillId="0" borderId="0" xfId="0" applyFont="1" applyAlignment="1">
      <alignment horizontal="center"/>
    </xf>
    <xf numFmtId="1" fontId="2" fillId="0" borderId="0" xfId="0" applyNumberFormat="1" applyFont="1" applyAlignment="1">
      <alignment horizontal="center"/>
    </xf>
    <xf numFmtId="0" fontId="0" fillId="0" borderId="0" xfId="0"/>
    <xf numFmtId="0" fontId="0" fillId="9" borderId="0" xfId="0" applyFill="1"/>
    <xf numFmtId="0" fontId="0" fillId="10" borderId="0" xfId="0" applyFill="1"/>
    <xf numFmtId="0" fontId="2" fillId="0" borderId="0" xfId="0" applyFont="1" applyFill="1" applyAlignment="1">
      <alignment horizontal="left"/>
    </xf>
    <xf numFmtId="0" fontId="0" fillId="0" borderId="0" xfId="0" applyFont="1" applyFill="1" applyAlignment="1"/>
    <xf numFmtId="2" fontId="0" fillId="15" borderId="0" xfId="0" applyNumberFormat="1" applyFont="1" applyFill="1" applyAlignment="1"/>
    <xf numFmtId="0" fontId="0" fillId="15" borderId="0" xfId="0" applyFont="1" applyFill="1" applyAlignment="1"/>
    <xf numFmtId="0" fontId="2" fillId="15" borderId="0" xfId="0" applyFont="1" applyFill="1" applyAlignment="1">
      <alignment horizontal="center"/>
    </xf>
    <xf numFmtId="0" fontId="2" fillId="15" borderId="0" xfId="0" applyFont="1" applyFill="1"/>
    <xf numFmtId="0" fontId="2" fillId="9" borderId="0" xfId="0" applyFont="1" applyFill="1"/>
    <xf numFmtId="2" fontId="0" fillId="9" borderId="0" xfId="0" applyNumberFormat="1" applyFont="1" applyFill="1" applyAlignment="1"/>
    <xf numFmtId="2" fontId="13" fillId="9" borderId="0" xfId="0" applyNumberFormat="1" applyFont="1" applyFill="1" applyAlignment="1"/>
    <xf numFmtId="0" fontId="0" fillId="9" borderId="0" xfId="0" applyFont="1" applyFill="1" applyAlignment="1"/>
    <xf numFmtId="16" fontId="2" fillId="9" borderId="0" xfId="0" applyNumberFormat="1" applyFont="1" applyFill="1" applyAlignment="1">
      <alignment horizontal="left"/>
    </xf>
    <xf numFmtId="16" fontId="2" fillId="15" borderId="0" xfId="0" applyNumberFormat="1" applyFont="1" applyFill="1" applyAlignment="1">
      <alignment horizontal="left"/>
    </xf>
    <xf numFmtId="0" fontId="0" fillId="10" borderId="0" xfId="0" applyFont="1" applyFill="1" applyAlignment="1"/>
    <xf numFmtId="0" fontId="0" fillId="10" borderId="0" xfId="0" applyFont="1" applyFill="1" applyAlignment="1">
      <alignment horizontal="center"/>
    </xf>
    <xf numFmtId="0" fontId="9" fillId="9" borderId="0" xfId="0" applyFont="1" applyFill="1" applyAlignment="1">
      <alignment horizontal="left"/>
    </xf>
    <xf numFmtId="0" fontId="9" fillId="15" borderId="0" xfId="0" applyFont="1" applyFill="1" applyAlignment="1">
      <alignment horizontal="left"/>
    </xf>
    <xf numFmtId="0" fontId="9" fillId="10" borderId="0" xfId="0" applyFont="1" applyFill="1" applyAlignment="1">
      <alignment horizontal="left"/>
    </xf>
    <xf numFmtId="0" fontId="9" fillId="16" borderId="0" xfId="0" applyFont="1" applyFill="1" applyAlignment="1">
      <alignment horizontal="left"/>
    </xf>
    <xf numFmtId="0" fontId="9" fillId="17" borderId="0" xfId="0" applyFont="1" applyFill="1" applyAlignment="1">
      <alignment horizontal="left"/>
    </xf>
    <xf numFmtId="16" fontId="2" fillId="0" borderId="0" xfId="0" applyNumberFormat="1" applyFont="1"/>
    <xf numFmtId="1" fontId="2" fillId="0" borderId="0" xfId="0" applyNumberFormat="1" applyFont="1"/>
    <xf numFmtId="0" fontId="0" fillId="15" borderId="0" xfId="0" applyFill="1" applyAlignment="1">
      <alignment horizontal="center"/>
    </xf>
    <xf numFmtId="16" fontId="2" fillId="0" borderId="0" xfId="0" applyNumberFormat="1" applyFont="1" applyAlignment="1">
      <alignment horizontal="right"/>
    </xf>
    <xf numFmtId="0" fontId="2" fillId="0" borderId="0" xfId="0" applyFont="1" applyAlignment="1">
      <alignment horizontal="right"/>
    </xf>
    <xf numFmtId="2" fontId="0" fillId="0" borderId="0" xfId="0" applyNumberFormat="1" applyFont="1" applyFill="1" applyAlignment="1"/>
    <xf numFmtId="0" fontId="0" fillId="0" borderId="0" xfId="0" applyFont="1" applyFill="1" applyAlignment="1">
      <alignment horizontal="center"/>
    </xf>
    <xf numFmtId="0" fontId="4" fillId="0" borderId="0" xfId="0" applyFont="1" applyFill="1" applyAlignment="1">
      <alignment horizontal="left" wrapText="1"/>
    </xf>
    <xf numFmtId="0" fontId="4" fillId="0" borderId="0" xfId="0" applyFont="1" applyFill="1" applyAlignment="1">
      <alignment horizontal="center" wrapText="1"/>
    </xf>
    <xf numFmtId="0" fontId="14" fillId="15" borderId="0" xfId="0" applyFont="1" applyFill="1" applyAlignment="1">
      <alignment horizontal="left" wrapText="1"/>
    </xf>
    <xf numFmtId="0" fontId="13" fillId="9" borderId="0" xfId="0" applyFont="1" applyFill="1" applyAlignment="1"/>
    <xf numFmtId="37" fontId="0" fillId="9" borderId="0" xfId="3" applyNumberFormat="1" applyFont="1" applyFill="1" applyAlignment="1">
      <alignment horizontal="center"/>
    </xf>
    <xf numFmtId="37" fontId="2" fillId="9" borderId="0" xfId="3" applyNumberFormat="1" applyFont="1" applyFill="1" applyAlignment="1">
      <alignment horizontal="center"/>
    </xf>
    <xf numFmtId="0" fontId="0" fillId="15" borderId="0" xfId="0" applyFill="1" applyAlignment="1">
      <alignment horizontal="left"/>
    </xf>
    <xf numFmtId="0" fontId="0" fillId="9" borderId="0" xfId="0" applyFill="1" applyAlignment="1">
      <alignment horizontal="left"/>
    </xf>
    <xf numFmtId="0" fontId="0" fillId="15" borderId="0" xfId="0" applyFill="1"/>
    <xf numFmtId="18" fontId="0" fillId="9" borderId="0" xfId="0" applyNumberFormat="1" applyFill="1"/>
    <xf numFmtId="0" fontId="2" fillId="10" borderId="0" xfId="0" applyFont="1" applyFill="1"/>
    <xf numFmtId="0" fontId="0" fillId="10" borderId="0" xfId="0" applyFill="1" applyAlignment="1">
      <alignment horizontal="left"/>
    </xf>
    <xf numFmtId="0" fontId="0" fillId="17" borderId="0" xfId="0" applyFill="1" applyAlignment="1">
      <alignment horizontal="left"/>
    </xf>
    <xf numFmtId="0" fontId="13" fillId="9" borderId="0" xfId="0" applyFont="1" applyFill="1" applyAlignment="1">
      <alignment horizontal="left"/>
    </xf>
    <xf numFmtId="0" fontId="2" fillId="0" borderId="0" xfId="0" applyFont="1" applyAlignment="1">
      <alignment horizontal="left"/>
    </xf>
    <xf numFmtId="0" fontId="2" fillId="15" borderId="0" xfId="0" applyFont="1" applyFill="1" applyAlignment="1">
      <alignment horizontal="left"/>
    </xf>
    <xf numFmtId="0" fontId="2" fillId="9" borderId="0" xfId="0" applyFont="1" applyFill="1" applyAlignment="1">
      <alignment horizontal="left"/>
    </xf>
    <xf numFmtId="0" fontId="2" fillId="10" borderId="0" xfId="0" applyFont="1" applyFill="1" applyAlignment="1">
      <alignment horizontal="left"/>
    </xf>
    <xf numFmtId="0" fontId="2" fillId="16" borderId="0" xfId="0" applyFont="1" applyFill="1" applyAlignment="1">
      <alignment horizontal="left"/>
    </xf>
    <xf numFmtId="0" fontId="2" fillId="17" borderId="0" xfId="0" applyFont="1" applyFill="1" applyAlignment="1">
      <alignment horizontal="left"/>
    </xf>
    <xf numFmtId="0" fontId="14" fillId="0" borderId="0" xfId="1" applyFont="1"/>
    <xf numFmtId="0" fontId="0" fillId="16" borderId="0" xfId="0" applyFill="1" applyAlignment="1">
      <alignment horizontal="left"/>
    </xf>
    <xf numFmtId="0" fontId="14" fillId="0" borderId="18" xfId="1" applyFont="1" applyBorder="1" applyAlignment="1">
      <alignment horizontal="center"/>
    </xf>
    <xf numFmtId="0" fontId="14" fillId="0" borderId="21" xfId="1" applyFont="1" applyBorder="1" applyAlignment="1">
      <alignment horizontal="center"/>
    </xf>
    <xf numFmtId="0" fontId="13" fillId="0" borderId="24" xfId="1" applyBorder="1" applyAlignment="1">
      <alignment horizontal="center"/>
    </xf>
    <xf numFmtId="0" fontId="13" fillId="0" borderId="18" xfId="1" applyBorder="1" applyAlignment="1">
      <alignment horizontal="center"/>
    </xf>
    <xf numFmtId="0" fontId="13" fillId="0" borderId="16" xfId="1" applyBorder="1" applyAlignment="1">
      <alignment horizontal="center"/>
    </xf>
    <xf numFmtId="16" fontId="2" fillId="0" borderId="0" xfId="0" applyNumberFormat="1" applyFont="1" applyAlignment="1"/>
    <xf numFmtId="1" fontId="0" fillId="15" borderId="0" xfId="0" applyNumberFormat="1" applyFont="1" applyFill="1" applyAlignment="1"/>
    <xf numFmtId="0" fontId="13" fillId="0" borderId="0" xfId="0" applyFont="1" applyAlignment="1"/>
    <xf numFmtId="16" fontId="2" fillId="0" borderId="0" xfId="0" applyNumberFormat="1" applyFont="1" applyAlignment="1">
      <alignment horizontal="center"/>
    </xf>
    <xf numFmtId="0" fontId="2" fillId="0" borderId="9" xfId="0" applyFont="1" applyBorder="1" applyAlignment="1">
      <alignment horizontal="center" wrapText="1"/>
    </xf>
    <xf numFmtId="0" fontId="2" fillId="0" borderId="4" xfId="0" applyFont="1" applyBorder="1" applyAlignment="1">
      <alignment horizontal="center" wrapText="1"/>
    </xf>
    <xf numFmtId="0" fontId="2" fillId="0" borderId="0" xfId="0" applyFont="1" applyAlignment="1">
      <alignment wrapText="1"/>
    </xf>
    <xf numFmtId="0" fontId="2" fillId="0" borderId="1" xfId="0" applyFont="1" applyBorder="1" applyAlignment="1">
      <alignment horizontal="center" wrapText="1"/>
    </xf>
    <xf numFmtId="0" fontId="1" fillId="0" borderId="0" xfId="0" applyFont="1" applyBorder="1" applyAlignment="1">
      <alignment wrapText="1"/>
    </xf>
    <xf numFmtId="0" fontId="2" fillId="0" borderId="4" xfId="0" applyFont="1" applyBorder="1" applyAlignment="1">
      <alignment vertical="center" wrapText="1"/>
    </xf>
    <xf numFmtId="16" fontId="2" fillId="0" borderId="0" xfId="0" applyNumberFormat="1" applyFont="1" applyAlignment="1">
      <alignment wrapText="1"/>
    </xf>
    <xf numFmtId="0" fontId="2" fillId="15" borderId="0" xfId="0" applyFont="1" applyFill="1" applyAlignment="1">
      <alignment horizontal="center" wrapText="1"/>
    </xf>
    <xf numFmtId="0" fontId="2" fillId="9" borderId="0" xfId="0" applyFont="1" applyFill="1" applyAlignment="1">
      <alignment horizontal="center" wrapText="1"/>
    </xf>
    <xf numFmtId="16" fontId="2" fillId="0" borderId="0" xfId="0" applyNumberFormat="1" applyFont="1" applyAlignment="1">
      <alignment horizontal="center" wrapText="1"/>
    </xf>
    <xf numFmtId="0" fontId="13" fillId="15" borderId="0" xfId="0" applyFont="1" applyFill="1" applyAlignment="1">
      <alignment horizontal="left"/>
    </xf>
    <xf numFmtId="0" fontId="13" fillId="15" borderId="0" xfId="0" applyFont="1" applyFill="1" applyAlignment="1"/>
    <xf numFmtId="0" fontId="13" fillId="15" borderId="0" xfId="0" applyFont="1" applyFill="1" applyAlignment="1">
      <alignment horizontal="center"/>
    </xf>
    <xf numFmtId="0" fontId="13" fillId="9" borderId="0" xfId="0" applyFont="1" applyFill="1" applyAlignment="1">
      <alignment horizontal="center"/>
    </xf>
    <xf numFmtId="0" fontId="13" fillId="10" borderId="0" xfId="0" applyFont="1" applyFill="1" applyAlignment="1"/>
    <xf numFmtId="0" fontId="13" fillId="16" borderId="0" xfId="0" applyFont="1" applyFill="1" applyAlignment="1">
      <alignment horizontal="left"/>
    </xf>
    <xf numFmtId="0" fontId="13" fillId="17" borderId="0" xfId="0" applyFont="1" applyFill="1" applyAlignment="1">
      <alignment horizontal="left"/>
    </xf>
    <xf numFmtId="165" fontId="2" fillId="10" borderId="0" xfId="0" applyNumberFormat="1" applyFont="1" applyFill="1" applyAlignment="1">
      <alignment horizontal="left"/>
    </xf>
    <xf numFmtId="0" fontId="0" fillId="0" borderId="0" xfId="0" applyFill="1" applyAlignment="1">
      <alignment horizontal="center"/>
    </xf>
    <xf numFmtId="16" fontId="2" fillId="0" borderId="0" xfId="0" applyNumberFormat="1" applyFont="1" applyFill="1" applyAlignment="1">
      <alignment horizontal="left"/>
    </xf>
    <xf numFmtId="0" fontId="2" fillId="0" borderId="0" xfId="0" applyFont="1" applyFill="1" applyAlignment="1">
      <alignment horizontal="center" wrapText="1"/>
    </xf>
    <xf numFmtId="0" fontId="2" fillId="0" borderId="0" xfId="0" applyFont="1" applyBorder="1"/>
    <xf numFmtId="166" fontId="13" fillId="15" borderId="0" xfId="3" applyNumberFormat="1" applyFont="1" applyFill="1" applyAlignment="1"/>
    <xf numFmtId="166" fontId="13" fillId="9" borderId="0" xfId="3" applyNumberFormat="1" applyFont="1" applyFill="1" applyAlignment="1"/>
    <xf numFmtId="1" fontId="13" fillId="15" borderId="0" xfId="0" applyNumberFormat="1" applyFont="1" applyFill="1" applyAlignment="1"/>
    <xf numFmtId="1" fontId="13" fillId="9" borderId="0" xfId="0" applyNumberFormat="1" applyFont="1" applyFill="1" applyAlignment="1"/>
    <xf numFmtId="166" fontId="0" fillId="15" borderId="0" xfId="3" applyNumberFormat="1" applyFont="1" applyFill="1" applyAlignment="1"/>
    <xf numFmtId="166" fontId="0" fillId="9" borderId="0" xfId="3" applyNumberFormat="1" applyFont="1" applyFill="1" applyAlignment="1"/>
    <xf numFmtId="166" fontId="13" fillId="10" borderId="0" xfId="3" applyNumberFormat="1" applyFont="1" applyFill="1" applyAlignment="1"/>
    <xf numFmtId="166" fontId="0" fillId="10" borderId="0" xfId="3" applyNumberFormat="1" applyFont="1" applyFill="1" applyAlignment="1"/>
    <xf numFmtId="166" fontId="2" fillId="15" borderId="0" xfId="3" applyNumberFormat="1" applyFont="1" applyFill="1" applyAlignment="1">
      <alignment horizontal="center"/>
    </xf>
    <xf numFmtId="166" fontId="2" fillId="9" borderId="0" xfId="3" applyNumberFormat="1" applyFont="1" applyFill="1" applyAlignment="1">
      <alignment horizontal="center"/>
    </xf>
    <xf numFmtId="1" fontId="0" fillId="9" borderId="0" xfId="0" applyNumberFormat="1" applyFont="1" applyFill="1" applyAlignment="1"/>
    <xf numFmtId="1" fontId="13" fillId="10" borderId="0" xfId="0" applyNumberFormat="1" applyFont="1" applyFill="1" applyAlignment="1"/>
    <xf numFmtId="1" fontId="0" fillId="10" borderId="0" xfId="0" applyNumberFormat="1" applyFont="1" applyFill="1" applyAlignment="1"/>
    <xf numFmtId="1" fontId="13" fillId="16" borderId="0" xfId="0" applyNumberFormat="1" applyFont="1" applyFill="1" applyAlignment="1"/>
    <xf numFmtId="1" fontId="0" fillId="16" borderId="0" xfId="0" applyNumberFormat="1" applyFont="1" applyFill="1" applyAlignment="1"/>
    <xf numFmtId="1" fontId="13" fillId="17" borderId="0" xfId="0" applyNumberFormat="1" applyFont="1" applyFill="1" applyAlignment="1"/>
    <xf numFmtId="16" fontId="4" fillId="0" borderId="0" xfId="0" applyNumberFormat="1" applyFont="1" applyFill="1" applyAlignment="1">
      <alignment horizontal="center" wrapText="1"/>
    </xf>
    <xf numFmtId="0" fontId="0" fillId="0" borderId="0" xfId="0" applyFont="1" applyFill="1" applyAlignment="1">
      <alignment wrapText="1"/>
    </xf>
    <xf numFmtId="0" fontId="13" fillId="19" borderId="19" xfId="1" applyFill="1" applyBorder="1"/>
    <xf numFmtId="0" fontId="13" fillId="19" borderId="32" xfId="1" applyFill="1" applyBorder="1"/>
    <xf numFmtId="0" fontId="13" fillId="19" borderId="17" xfId="1" applyFill="1" applyBorder="1"/>
    <xf numFmtId="0" fontId="13" fillId="19" borderId="34" xfId="1" applyFill="1" applyBorder="1"/>
    <xf numFmtId="0" fontId="13" fillId="0" borderId="27" xfId="1" applyFill="1" applyBorder="1"/>
    <xf numFmtId="0" fontId="13" fillId="0" borderId="31" xfId="1" applyFill="1" applyBorder="1"/>
    <xf numFmtId="0" fontId="13" fillId="0" borderId="33" xfId="1" applyFill="1" applyBorder="1"/>
    <xf numFmtId="0" fontId="13" fillId="0" borderId="35" xfId="1" applyFill="1" applyBorder="1"/>
    <xf numFmtId="0" fontId="13" fillId="0" borderId="38" xfId="1" applyFill="1" applyBorder="1"/>
    <xf numFmtId="0" fontId="13" fillId="0" borderId="39" xfId="1" applyFill="1" applyBorder="1"/>
    <xf numFmtId="0" fontId="13" fillId="0" borderId="34" xfId="1" applyFill="1" applyBorder="1"/>
    <xf numFmtId="0" fontId="13" fillId="0" borderId="37" xfId="1" applyFill="1" applyBorder="1"/>
    <xf numFmtId="1" fontId="13" fillId="0" borderId="0" xfId="0" applyNumberFormat="1" applyFont="1" applyFill="1" applyAlignment="1"/>
    <xf numFmtId="0" fontId="2" fillId="0" borderId="0" xfId="0" applyFont="1" applyFill="1" applyAlignment="1">
      <alignment horizontal="left" wrapText="1"/>
    </xf>
    <xf numFmtId="0" fontId="2" fillId="0" borderId="0" xfId="0" applyFont="1" applyFill="1" applyAlignment="1">
      <alignment horizontal="center"/>
    </xf>
    <xf numFmtId="0" fontId="0" fillId="0" borderId="0" xfId="0" applyFont="1" applyFill="1" applyAlignment="1">
      <alignment horizontal="left"/>
    </xf>
    <xf numFmtId="0" fontId="0" fillId="0" borderId="0" xfId="0" applyFill="1" applyAlignment="1">
      <alignment horizontal="left"/>
    </xf>
    <xf numFmtId="1" fontId="0" fillId="0" borderId="0" xfId="0" applyNumberFormat="1" applyFont="1" applyFill="1" applyAlignment="1"/>
    <xf numFmtId="16" fontId="0" fillId="0" borderId="0" xfId="0" applyNumberFormat="1" applyFont="1" applyFill="1" applyAlignment="1"/>
    <xf numFmtId="165" fontId="2" fillId="15" borderId="0" xfId="0" applyNumberFormat="1" applyFont="1" applyFill="1" applyAlignment="1">
      <alignment horizontal="left"/>
    </xf>
    <xf numFmtId="165" fontId="2" fillId="9" borderId="0" xfId="0" applyNumberFormat="1" applyFont="1" applyFill="1" applyAlignment="1">
      <alignment horizontal="left"/>
    </xf>
    <xf numFmtId="0" fontId="4" fillId="10" borderId="0" xfId="0" applyFont="1" applyFill="1" applyAlignment="1">
      <alignment horizontal="left"/>
    </xf>
    <xf numFmtId="2" fontId="14" fillId="10" borderId="0" xfId="0" applyNumberFormat="1" applyFont="1" applyFill="1" applyAlignment="1"/>
    <xf numFmtId="0" fontId="14" fillId="10" borderId="0" xfId="0" applyFont="1" applyFill="1" applyAlignment="1">
      <alignment horizontal="center"/>
    </xf>
    <xf numFmtId="16" fontId="14" fillId="10" borderId="0" xfId="0" applyNumberFormat="1" applyFont="1" applyFill="1" applyAlignment="1"/>
    <xf numFmtId="0" fontId="14" fillId="10" borderId="0" xfId="0" applyFont="1" applyFill="1" applyAlignment="1"/>
    <xf numFmtId="0" fontId="13" fillId="9" borderId="0" xfId="0" applyFont="1" applyFill="1"/>
    <xf numFmtId="0" fontId="13" fillId="15" borderId="0" xfId="0" applyFont="1" applyFill="1"/>
    <xf numFmtId="0" fontId="0" fillId="0" borderId="0" xfId="0" applyFill="1"/>
    <xf numFmtId="165" fontId="2" fillId="0" borderId="0" xfId="0" applyNumberFormat="1" applyFont="1" applyFill="1" applyAlignment="1">
      <alignment horizontal="left"/>
    </xf>
    <xf numFmtId="166" fontId="0" fillId="0" borderId="0" xfId="3" applyNumberFormat="1" applyFont="1" applyFill="1" applyAlignment="1"/>
    <xf numFmtId="16" fontId="2" fillId="0" borderId="0" xfId="0" applyNumberFormat="1" applyFont="1" applyFill="1" applyAlignment="1"/>
    <xf numFmtId="0" fontId="9" fillId="0" borderId="0" xfId="0" applyFont="1" applyFill="1" applyAlignment="1">
      <alignment horizontal="center"/>
    </xf>
    <xf numFmtId="16" fontId="0" fillId="0" borderId="0" xfId="0" applyNumberFormat="1" applyFont="1" applyAlignment="1">
      <alignment horizontal="center"/>
    </xf>
    <xf numFmtId="0" fontId="13" fillId="0" borderId="0" xfId="0" applyFont="1" applyAlignment="1">
      <alignment wrapText="1"/>
    </xf>
    <xf numFmtId="0" fontId="13" fillId="0" borderId="0" xfId="0" applyFont="1" applyAlignment="1">
      <alignment horizontal="center" wrapText="1"/>
    </xf>
    <xf numFmtId="0" fontId="22" fillId="0" borderId="7" xfId="0" applyFont="1" applyBorder="1"/>
    <xf numFmtId="0" fontId="22" fillId="0" borderId="2" xfId="0" applyFont="1" applyBorder="1" applyAlignment="1">
      <alignment horizontal="center"/>
    </xf>
    <xf numFmtId="0" fontId="22" fillId="0" borderId="2" xfId="0" applyFont="1" applyBorder="1"/>
    <xf numFmtId="0" fontId="22" fillId="0" borderId="3" xfId="0" applyFont="1" applyBorder="1"/>
    <xf numFmtId="0" fontId="22" fillId="0" borderId="0" xfId="0" applyFont="1"/>
    <xf numFmtId="0" fontId="13" fillId="0" borderId="0" xfId="0" quotePrefix="1" applyFont="1" applyAlignment="1">
      <alignment horizontal="center"/>
    </xf>
    <xf numFmtId="0" fontId="23" fillId="0" borderId="27" xfId="0" applyFont="1" applyBorder="1"/>
    <xf numFmtId="0" fontId="23" fillId="0" borderId="40" xfId="0" applyFont="1" applyBorder="1" applyAlignment="1">
      <alignment horizontal="center"/>
    </xf>
    <xf numFmtId="0" fontId="23" fillId="0" borderId="1" xfId="0" applyFont="1" applyBorder="1"/>
    <xf numFmtId="165" fontId="23" fillId="0" borderId="1" xfId="0" applyNumberFormat="1" applyFont="1" applyBorder="1"/>
    <xf numFmtId="49" fontId="23" fillId="0" borderId="1" xfId="0" applyNumberFormat="1" applyFont="1" applyBorder="1" applyAlignment="1">
      <alignment horizontal="center"/>
    </xf>
    <xf numFmtId="0" fontId="18" fillId="0" borderId="1" xfId="2" applyFill="1" applyBorder="1"/>
    <xf numFmtId="0" fontId="23" fillId="0" borderId="28" xfId="0" applyFont="1" applyBorder="1"/>
    <xf numFmtId="0" fontId="23" fillId="20" borderId="27" xfId="0" applyFont="1" applyFill="1" applyBorder="1"/>
    <xf numFmtId="0" fontId="23" fillId="20" borderId="40" xfId="0" applyFont="1" applyFill="1" applyBorder="1" applyAlignment="1">
      <alignment horizontal="center"/>
    </xf>
    <xf numFmtId="0" fontId="23" fillId="20" borderId="1" xfId="0" applyFont="1" applyFill="1" applyBorder="1"/>
    <xf numFmtId="165" fontId="23" fillId="20" borderId="1" xfId="0" applyNumberFormat="1" applyFont="1" applyFill="1" applyBorder="1"/>
    <xf numFmtId="49" fontId="23" fillId="20" borderId="1" xfId="0" applyNumberFormat="1" applyFont="1" applyFill="1" applyBorder="1" applyAlignment="1">
      <alignment horizontal="center"/>
    </xf>
    <xf numFmtId="0" fontId="18" fillId="20" borderId="1" xfId="2" applyFill="1" applyBorder="1" applyAlignment="1"/>
    <xf numFmtId="0" fontId="23" fillId="20" borderId="28" xfId="0" applyFont="1" applyFill="1" applyBorder="1"/>
    <xf numFmtId="165" fontId="23" fillId="0" borderId="1" xfId="0" applyNumberFormat="1" applyFont="1" applyBorder="1" applyAlignment="1">
      <alignment horizontal="center"/>
    </xf>
    <xf numFmtId="0" fontId="24" fillId="0" borderId="1" xfId="0" applyFont="1" applyBorder="1"/>
    <xf numFmtId="0" fontId="24" fillId="0" borderId="0" xfId="0" applyFont="1"/>
    <xf numFmtId="0" fontId="18" fillId="0" borderId="0" xfId="2" applyAlignment="1">
      <alignment vertical="center"/>
    </xf>
    <xf numFmtId="0" fontId="25" fillId="20" borderId="1" xfId="0" applyFont="1" applyFill="1" applyBorder="1"/>
    <xf numFmtId="0" fontId="23" fillId="20" borderId="29" xfId="0" applyFont="1" applyFill="1" applyBorder="1"/>
    <xf numFmtId="0" fontId="23" fillId="20" borderId="41" xfId="0" applyFont="1" applyFill="1" applyBorder="1" applyAlignment="1">
      <alignment horizontal="center"/>
    </xf>
    <xf numFmtId="0" fontId="23" fillId="20" borderId="11" xfId="0" applyFont="1" applyFill="1" applyBorder="1"/>
    <xf numFmtId="165" fontId="23" fillId="20" borderId="11" xfId="0" applyNumberFormat="1" applyFont="1" applyFill="1" applyBorder="1"/>
    <xf numFmtId="49" fontId="23" fillId="20" borderId="11" xfId="0" applyNumberFormat="1" applyFont="1" applyFill="1" applyBorder="1" applyAlignment="1">
      <alignment horizontal="center"/>
    </xf>
    <xf numFmtId="0" fontId="23" fillId="20" borderId="30" xfId="0" applyFont="1" applyFill="1" applyBorder="1"/>
    <xf numFmtId="0" fontId="14" fillId="0" borderId="0" xfId="0" applyFont="1" applyAlignment="1">
      <alignment horizontal="left"/>
    </xf>
    <xf numFmtId="0" fontId="26" fillId="0" borderId="27" xfId="0" applyFont="1" applyBorder="1" applyAlignment="1">
      <alignment horizontal="center"/>
    </xf>
    <xf numFmtId="0" fontId="26" fillId="0" borderId="1" xfId="0" applyFont="1" applyBorder="1" applyAlignment="1">
      <alignment horizontal="center"/>
    </xf>
    <xf numFmtId="0" fontId="26" fillId="0" borderId="28" xfId="0" applyFont="1" applyBorder="1" applyAlignment="1">
      <alignment horizontal="center"/>
    </xf>
    <xf numFmtId="0" fontId="0" fillId="0" borderId="27" xfId="0" applyBorder="1" applyAlignment="1">
      <alignment horizontal="center"/>
    </xf>
    <xf numFmtId="0" fontId="0" fillId="0" borderId="1" xfId="0" applyBorder="1" applyAlignment="1">
      <alignment horizontal="center"/>
    </xf>
    <xf numFmtId="0" fontId="0" fillId="0" borderId="28" xfId="0" applyBorder="1" applyAlignment="1">
      <alignment horizontal="center"/>
    </xf>
    <xf numFmtId="0" fontId="27" fillId="0" borderId="28" xfId="0" applyFont="1" applyBorder="1" applyAlignment="1">
      <alignment horizontal="center"/>
    </xf>
    <xf numFmtId="0" fontId="0" fillId="0" borderId="29" xfId="0" applyBorder="1" applyAlignment="1">
      <alignment horizontal="center"/>
    </xf>
    <xf numFmtId="0" fontId="0" fillId="0" borderId="11" xfId="0" applyBorder="1" applyAlignment="1">
      <alignment horizontal="center"/>
    </xf>
    <xf numFmtId="0" fontId="27" fillId="0" borderId="30" xfId="0" applyFont="1" applyBorder="1" applyAlignment="1">
      <alignment horizontal="center"/>
    </xf>
    <xf numFmtId="0" fontId="28" fillId="0" borderId="28" xfId="0" applyFont="1" applyBorder="1" applyAlignment="1">
      <alignment horizontal="center"/>
    </xf>
    <xf numFmtId="0" fontId="0" fillId="18" borderId="1" xfId="0" applyFill="1" applyBorder="1" applyAlignment="1">
      <alignment horizontal="center"/>
    </xf>
    <xf numFmtId="0" fontId="26" fillId="0" borderId="1" xfId="0" applyFont="1" applyBorder="1"/>
    <xf numFmtId="0" fontId="0" fillId="0" borderId="1" xfId="0" applyBorder="1"/>
    <xf numFmtId="0" fontId="21" fillId="0" borderId="1" xfId="5" applyBorder="1"/>
    <xf numFmtId="0" fontId="4" fillId="2" borderId="0" xfId="0" applyFont="1" applyFill="1" applyAlignment="1">
      <alignment horizontal="center"/>
    </xf>
    <xf numFmtId="0" fontId="6" fillId="3" borderId="0" xfId="0" applyFont="1" applyFill="1" applyAlignment="1">
      <alignment horizontal="center"/>
    </xf>
    <xf numFmtId="0" fontId="6" fillId="0" borderId="0" xfId="0" applyFont="1" applyAlignment="1"/>
    <xf numFmtId="0" fontId="6" fillId="0" borderId="0" xfId="0" applyFont="1" applyAlignment="1">
      <alignment horizontal="right"/>
    </xf>
    <xf numFmtId="0" fontId="4" fillId="9" borderId="0" xfId="0" applyFont="1" applyFill="1" applyAlignment="1">
      <alignment horizontal="left"/>
    </xf>
    <xf numFmtId="2" fontId="14" fillId="9" borderId="0" xfId="0" applyNumberFormat="1" applyFont="1" applyFill="1" applyAlignment="1"/>
    <xf numFmtId="166" fontId="14" fillId="9" borderId="0" xfId="3" applyNumberFormat="1" applyFont="1" applyFill="1" applyAlignment="1"/>
    <xf numFmtId="0" fontId="4" fillId="9" borderId="0" xfId="0" applyFont="1" applyFill="1" applyAlignment="1">
      <alignment horizontal="center"/>
    </xf>
    <xf numFmtId="16" fontId="14" fillId="9" borderId="0" xfId="0" applyNumberFormat="1" applyFont="1" applyFill="1" applyAlignment="1"/>
    <xf numFmtId="0" fontId="14" fillId="9" borderId="0" xfId="0" applyFont="1" applyFill="1"/>
    <xf numFmtId="0" fontId="14" fillId="9" borderId="0" xfId="0" applyFont="1" applyFill="1" applyAlignment="1"/>
    <xf numFmtId="0" fontId="4" fillId="15" borderId="0" xfId="0" applyFont="1" applyFill="1" applyAlignment="1">
      <alignment horizontal="left"/>
    </xf>
    <xf numFmtId="2" fontId="14" fillId="15" borderId="0" xfId="0" applyNumberFormat="1" applyFont="1" applyFill="1" applyAlignment="1"/>
    <xf numFmtId="0" fontId="14" fillId="15" borderId="0" xfId="0" applyFont="1" applyFill="1" applyAlignment="1">
      <alignment horizontal="center"/>
    </xf>
    <xf numFmtId="0" fontId="14" fillId="15" borderId="0" xfId="0" applyFont="1" applyFill="1" applyAlignment="1"/>
    <xf numFmtId="0" fontId="4" fillId="0" borderId="0" xfId="0" applyFont="1" applyFill="1" applyAlignment="1">
      <alignment horizontal="left"/>
    </xf>
    <xf numFmtId="2" fontId="14" fillId="0" borderId="0" xfId="0" applyNumberFormat="1" applyFont="1" applyFill="1" applyAlignment="1"/>
    <xf numFmtId="1" fontId="14" fillId="0" borderId="0" xfId="0" applyNumberFormat="1" applyFont="1" applyFill="1" applyAlignment="1"/>
    <xf numFmtId="0" fontId="14" fillId="0" borderId="0" xfId="0" applyFont="1" applyFill="1" applyAlignment="1">
      <alignment horizontal="center"/>
    </xf>
    <xf numFmtId="16" fontId="14" fillId="0" borderId="0" xfId="0" applyNumberFormat="1" applyFont="1" applyFill="1" applyAlignment="1"/>
    <xf numFmtId="0" fontId="14" fillId="0" borderId="0" xfId="0" applyFont="1" applyFill="1" applyAlignment="1"/>
    <xf numFmtId="1" fontId="14" fillId="15" borderId="0" xfId="0" applyNumberFormat="1" applyFont="1" applyFill="1" applyAlignment="1"/>
    <xf numFmtId="16" fontId="14" fillId="15" borderId="0" xfId="0" applyNumberFormat="1" applyFont="1" applyFill="1" applyAlignment="1"/>
    <xf numFmtId="0" fontId="4" fillId="0" borderId="0" xfId="0" applyFont="1" applyFill="1" applyAlignment="1">
      <alignment horizontal="center"/>
    </xf>
    <xf numFmtId="0" fontId="21" fillId="0" borderId="28" xfId="5" applyBorder="1"/>
    <xf numFmtId="0" fontId="0" fillId="0" borderId="28" xfId="0" applyBorder="1"/>
    <xf numFmtId="0" fontId="4" fillId="10" borderId="0" xfId="0" applyFont="1" applyFill="1"/>
    <xf numFmtId="0" fontId="14" fillId="10" borderId="0" xfId="0" applyFont="1" applyFill="1" applyAlignment="1">
      <alignment horizontal="left"/>
    </xf>
    <xf numFmtId="0" fontId="30" fillId="22" borderId="0" xfId="0" applyFont="1" applyFill="1" applyAlignment="1">
      <alignment horizontal="left"/>
    </xf>
    <xf numFmtId="2" fontId="15" fillId="22" borderId="0" xfId="0" applyNumberFormat="1" applyFont="1" applyFill="1" applyAlignment="1"/>
    <xf numFmtId="0" fontId="15" fillId="22" borderId="0" xfId="0" applyFont="1" applyFill="1" applyAlignment="1">
      <alignment horizontal="left"/>
    </xf>
    <xf numFmtId="0" fontId="15" fillId="22" borderId="0" xfId="0" applyFont="1" applyFill="1" applyAlignment="1">
      <alignment horizontal="center"/>
    </xf>
    <xf numFmtId="0" fontId="30" fillId="22" borderId="0" xfId="0" applyFont="1" applyFill="1"/>
    <xf numFmtId="0" fontId="15" fillId="22" borderId="0" xfId="0" applyFont="1" applyFill="1" applyAlignment="1"/>
    <xf numFmtId="0" fontId="15" fillId="22" borderId="0" xfId="0" applyFont="1" applyFill="1"/>
    <xf numFmtId="0" fontId="30" fillId="23" borderId="0" xfId="0" applyFont="1" applyFill="1" applyAlignment="1">
      <alignment horizontal="left"/>
    </xf>
    <xf numFmtId="2" fontId="15" fillId="23" borderId="0" xfId="0" applyNumberFormat="1" applyFont="1" applyFill="1" applyAlignment="1"/>
    <xf numFmtId="0" fontId="15" fillId="23" borderId="0" xfId="0" applyFont="1" applyFill="1" applyAlignment="1">
      <alignment horizontal="center"/>
    </xf>
    <xf numFmtId="0" fontId="15" fillId="23" borderId="0" xfId="0" applyFont="1" applyFill="1" applyAlignment="1"/>
    <xf numFmtId="16" fontId="15" fillId="22" borderId="0" xfId="0" applyNumberFormat="1" applyFont="1" applyFill="1" applyAlignment="1"/>
    <xf numFmtId="16" fontId="15" fillId="22" borderId="0" xfId="0" applyNumberFormat="1" applyFont="1" applyFill="1" applyAlignment="1">
      <alignment horizontal="left"/>
    </xf>
    <xf numFmtId="16" fontId="15" fillId="23" borderId="0" xfId="0" applyNumberFormat="1" applyFont="1" applyFill="1" applyAlignment="1">
      <alignment horizontal="left"/>
    </xf>
    <xf numFmtId="0" fontId="30" fillId="22" borderId="0" xfId="0" applyFont="1" applyFill="1" applyAlignment="1">
      <alignment horizontal="center"/>
    </xf>
    <xf numFmtId="16" fontId="15" fillId="22" borderId="0" xfId="0" applyNumberFormat="1" applyFont="1" applyFill="1" applyAlignment="1">
      <alignment horizontal="right"/>
    </xf>
    <xf numFmtId="16" fontId="30" fillId="22" borderId="0" xfId="0" applyNumberFormat="1" applyFont="1" applyFill="1" applyAlignment="1">
      <alignment horizontal="right"/>
    </xf>
    <xf numFmtId="2" fontId="30" fillId="22" borderId="0" xfId="0" applyNumberFormat="1" applyFont="1" applyFill="1" applyAlignment="1">
      <alignment horizontal="center"/>
    </xf>
    <xf numFmtId="1" fontId="15" fillId="23" borderId="0" xfId="0" applyNumberFormat="1" applyFont="1" applyFill="1" applyAlignment="1"/>
    <xf numFmtId="16" fontId="15" fillId="23" borderId="0" xfId="0" applyNumberFormat="1" applyFont="1" applyFill="1" applyAlignment="1"/>
    <xf numFmtId="0" fontId="15" fillId="23" borderId="0" xfId="0" applyFont="1" applyFill="1" applyAlignment="1">
      <alignment horizontal="left"/>
    </xf>
    <xf numFmtId="0" fontId="4" fillId="16" borderId="0" xfId="0" applyFont="1" applyFill="1" applyAlignment="1">
      <alignment horizontal="left"/>
    </xf>
    <xf numFmtId="2" fontId="14" fillId="16" borderId="0" xfId="0" applyNumberFormat="1" applyFont="1" applyFill="1" applyAlignment="1"/>
    <xf numFmtId="1" fontId="14" fillId="16" borderId="0" xfId="0" applyNumberFormat="1" applyFont="1" applyFill="1" applyAlignment="1"/>
    <xf numFmtId="0" fontId="14" fillId="16" borderId="0" xfId="0" applyFont="1" applyFill="1" applyAlignment="1">
      <alignment horizontal="center"/>
    </xf>
    <xf numFmtId="16" fontId="16" fillId="16" borderId="0" xfId="0" applyNumberFormat="1" applyFont="1" applyFill="1" applyAlignment="1">
      <alignment horizontal="left"/>
    </xf>
    <xf numFmtId="0" fontId="14" fillId="16" borderId="0" xfId="0" applyFont="1" applyFill="1" applyAlignment="1">
      <alignment horizontal="left"/>
    </xf>
    <xf numFmtId="0" fontId="16" fillId="16" borderId="0" xfId="0" applyFont="1" applyFill="1" applyAlignment="1">
      <alignment horizontal="center"/>
    </xf>
    <xf numFmtId="0" fontId="30" fillId="24" borderId="0" xfId="0" applyFont="1" applyFill="1" applyAlignment="1">
      <alignment horizontal="left"/>
    </xf>
    <xf numFmtId="2" fontId="15" fillId="24" borderId="0" xfId="0" applyNumberFormat="1" applyFont="1" applyFill="1" applyAlignment="1"/>
    <xf numFmtId="0" fontId="15" fillId="24" borderId="0" xfId="0" applyFont="1" applyFill="1" applyAlignment="1">
      <alignment horizontal="center"/>
    </xf>
    <xf numFmtId="16" fontId="15" fillId="24" borderId="0" xfId="0" applyNumberFormat="1" applyFont="1" applyFill="1" applyAlignment="1">
      <alignment horizontal="left"/>
    </xf>
    <xf numFmtId="0" fontId="15" fillId="24" borderId="0" xfId="0" applyFont="1" applyFill="1" applyAlignment="1">
      <alignment horizontal="left"/>
    </xf>
    <xf numFmtId="0" fontId="31" fillId="24" borderId="0" xfId="0" applyFont="1" applyFill="1" applyAlignment="1">
      <alignment horizontal="left"/>
    </xf>
    <xf numFmtId="2" fontId="32" fillId="24" borderId="0" xfId="0" applyNumberFormat="1" applyFont="1" applyFill="1" applyAlignment="1"/>
    <xf numFmtId="0" fontId="32" fillId="24" borderId="0" xfId="0" applyFont="1" applyFill="1" applyAlignment="1">
      <alignment horizontal="center"/>
    </xf>
    <xf numFmtId="16" fontId="32" fillId="24" borderId="0" xfId="0" applyNumberFormat="1" applyFont="1" applyFill="1" applyAlignment="1">
      <alignment horizontal="left"/>
    </xf>
    <xf numFmtId="0" fontId="32" fillId="24" borderId="0" xfId="0" applyFont="1" applyFill="1" applyAlignment="1">
      <alignment horizontal="left"/>
    </xf>
    <xf numFmtId="0" fontId="32" fillId="22" borderId="0" xfId="0" applyFont="1" applyFill="1" applyAlignment="1">
      <alignment horizontal="left"/>
    </xf>
    <xf numFmtId="0" fontId="31" fillId="23" borderId="0" xfId="0" applyFont="1" applyFill="1" applyAlignment="1">
      <alignment horizontal="left"/>
    </xf>
    <xf numFmtId="0" fontId="31" fillId="23" borderId="0" xfId="0" applyFont="1" applyFill="1" applyAlignment="1">
      <alignment vertical="center"/>
    </xf>
    <xf numFmtId="2" fontId="32" fillId="23" borderId="0" xfId="0" applyNumberFormat="1" applyFont="1" applyFill="1" applyAlignment="1"/>
    <xf numFmtId="0" fontId="32" fillId="23" borderId="0" xfId="0" applyFont="1" applyFill="1" applyAlignment="1">
      <alignment horizontal="center"/>
    </xf>
    <xf numFmtId="0" fontId="30" fillId="23" borderId="0" xfId="0" applyFont="1" applyFill="1" applyAlignment="1">
      <alignment horizontal="center"/>
    </xf>
    <xf numFmtId="0" fontId="15" fillId="24" borderId="0" xfId="0" applyFont="1" applyFill="1" applyAlignment="1"/>
    <xf numFmtId="0" fontId="15" fillId="22" borderId="0" xfId="0" applyFont="1" applyFill="1" applyAlignment="1">
      <alignment horizontal="right"/>
    </xf>
    <xf numFmtId="0" fontId="31" fillId="23" borderId="0" xfId="0" applyFont="1" applyFill="1" applyAlignment="1">
      <alignment horizontal="right"/>
    </xf>
    <xf numFmtId="0" fontId="15" fillId="23" borderId="0" xfId="0" applyFont="1" applyFill="1" applyAlignment="1">
      <alignment horizontal="right"/>
    </xf>
    <xf numFmtId="16" fontId="15" fillId="24" borderId="0" xfId="0" applyNumberFormat="1" applyFont="1" applyFill="1" applyAlignment="1">
      <alignment horizontal="right"/>
    </xf>
    <xf numFmtId="0" fontId="30" fillId="24" borderId="0" xfId="0" applyFont="1" applyFill="1" applyAlignment="1">
      <alignment horizontal="right"/>
    </xf>
    <xf numFmtId="0" fontId="31" fillId="23" borderId="0" xfId="0" applyFont="1" applyFill="1" applyAlignment="1">
      <alignment horizontal="center"/>
    </xf>
    <xf numFmtId="0" fontId="30" fillId="24" borderId="0" xfId="0" applyFont="1" applyFill="1" applyAlignment="1">
      <alignment horizontal="center"/>
    </xf>
    <xf numFmtId="0" fontId="14" fillId="0" borderId="24" xfId="1" applyFont="1" applyBorder="1" applyAlignment="1">
      <alignment horizontal="center"/>
    </xf>
    <xf numFmtId="0" fontId="14" fillId="0" borderId="22" xfId="1" applyFont="1" applyBorder="1" applyAlignment="1">
      <alignment horizontal="center"/>
    </xf>
    <xf numFmtId="0" fontId="14" fillId="0" borderId="18" xfId="1" applyFont="1" applyBorder="1" applyAlignment="1">
      <alignment horizontal="center"/>
    </xf>
    <xf numFmtId="0" fontId="14" fillId="0" borderId="21" xfId="1" applyFont="1" applyBorder="1" applyAlignment="1">
      <alignment horizontal="center"/>
    </xf>
    <xf numFmtId="0" fontId="13" fillId="0" borderId="24" xfId="1" applyBorder="1" applyAlignment="1">
      <alignment horizontal="center"/>
    </xf>
    <xf numFmtId="0" fontId="13" fillId="0" borderId="18" xfId="1" applyBorder="1" applyAlignment="1">
      <alignment horizontal="center"/>
    </xf>
    <xf numFmtId="0" fontId="13" fillId="0" borderId="16" xfId="1" applyBorder="1" applyAlignment="1">
      <alignment horizontal="center"/>
    </xf>
    <xf numFmtId="0" fontId="14" fillId="0" borderId="7" xfId="1" applyFont="1" applyBorder="1" applyAlignment="1">
      <alignment horizontal="center" wrapText="1"/>
    </xf>
    <xf numFmtId="0" fontId="14" fillId="0" borderId="2" xfId="1" applyFont="1" applyBorder="1" applyAlignment="1">
      <alignment horizontal="center" wrapText="1"/>
    </xf>
    <xf numFmtId="0" fontId="14" fillId="0" borderId="3" xfId="1" applyFont="1" applyBorder="1" applyAlignment="1">
      <alignment horizontal="center" wrapText="1"/>
    </xf>
    <xf numFmtId="0" fontId="14" fillId="0" borderId="24" xfId="1" applyFont="1" applyBorder="1" applyAlignment="1">
      <alignment horizontal="center" wrapText="1"/>
    </xf>
    <xf numFmtId="0" fontId="14" fillId="0" borderId="23" xfId="1" applyFont="1" applyBorder="1" applyAlignment="1">
      <alignment horizontal="center" wrapText="1"/>
    </xf>
    <xf numFmtId="0" fontId="14" fillId="0" borderId="22" xfId="1" applyFont="1" applyBorder="1" applyAlignment="1">
      <alignment horizontal="center" wrapText="1"/>
    </xf>
    <xf numFmtId="0" fontId="14" fillId="0" borderId="23" xfId="1"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6" fillId="0" borderId="25" xfId="0" applyFont="1" applyBorder="1" applyAlignment="1">
      <alignment horizontal="center"/>
    </xf>
    <xf numFmtId="0" fontId="26" fillId="0" borderId="8" xfId="0" applyFont="1" applyBorder="1" applyAlignment="1">
      <alignment horizontal="center"/>
    </xf>
    <xf numFmtId="0" fontId="26" fillId="0" borderId="26" xfId="0" applyFont="1" applyBorder="1" applyAlignment="1">
      <alignment horizontal="center"/>
    </xf>
    <xf numFmtId="16" fontId="26" fillId="0" borderId="25" xfId="0" applyNumberFormat="1" applyFont="1" applyBorder="1" applyAlignment="1">
      <alignment horizontal="center"/>
    </xf>
    <xf numFmtId="0" fontId="26" fillId="21" borderId="1" xfId="0" applyFont="1" applyFill="1" applyBorder="1" applyAlignment="1">
      <alignment horizontal="center"/>
    </xf>
    <xf numFmtId="0" fontId="29" fillId="0" borderId="1" xfId="0" applyFont="1" applyBorder="1" applyAlignment="1">
      <alignment horizontal="center"/>
    </xf>
    <xf numFmtId="0" fontId="0" fillId="0" borderId="1" xfId="0" applyBorder="1" applyAlignment="1">
      <alignment horizontal="center"/>
    </xf>
    <xf numFmtId="0" fontId="33" fillId="0" borderId="0" xfId="0" applyFont="1" applyFill="1" applyAlignment="1">
      <alignment horizontal="left" wrapText="1"/>
    </xf>
    <xf numFmtId="0" fontId="33" fillId="0" borderId="0" xfId="0" applyFont="1" applyFill="1" applyAlignment="1">
      <alignment horizontal="center" wrapText="1"/>
    </xf>
    <xf numFmtId="16" fontId="33" fillId="0" borderId="0" xfId="0" applyNumberFormat="1" applyFont="1" applyFill="1" applyAlignment="1">
      <alignment horizontal="center" wrapText="1"/>
    </xf>
    <xf numFmtId="0" fontId="33" fillId="0" borderId="0" xfId="0" applyFont="1" applyAlignment="1">
      <alignment horizontal="center" wrapText="1"/>
    </xf>
    <xf numFmtId="0" fontId="33" fillId="0" borderId="0" xfId="0" applyFont="1" applyAlignment="1">
      <alignment wrapText="1"/>
    </xf>
    <xf numFmtId="0" fontId="24" fillId="0" borderId="0" xfId="0" applyFont="1" applyFill="1" applyAlignment="1">
      <alignment wrapText="1"/>
    </xf>
    <xf numFmtId="0" fontId="34" fillId="15" borderId="0" xfId="0" applyFont="1" applyFill="1" applyAlignment="1">
      <alignment horizontal="left"/>
    </xf>
    <xf numFmtId="2" fontId="24" fillId="15" borderId="0" xfId="0" applyNumberFormat="1" applyFont="1" applyFill="1" applyAlignment="1"/>
    <xf numFmtId="166" fontId="24" fillId="15" borderId="0" xfId="3" applyNumberFormat="1" applyFont="1" applyFill="1" applyAlignment="1"/>
    <xf numFmtId="0" fontId="24" fillId="15" borderId="0" xfId="0" applyFont="1" applyFill="1" applyAlignment="1">
      <alignment horizontal="center"/>
    </xf>
    <xf numFmtId="16" fontId="34" fillId="15" borderId="0" xfId="0" applyNumberFormat="1" applyFont="1" applyFill="1" applyAlignment="1">
      <alignment horizontal="center"/>
    </xf>
    <xf numFmtId="0" fontId="34" fillId="15" borderId="0" xfId="0" applyFont="1" applyFill="1" applyAlignment="1">
      <alignment horizontal="center"/>
    </xf>
    <xf numFmtId="0" fontId="24" fillId="15" borderId="0" xfId="0" applyFont="1" applyFill="1" applyAlignment="1"/>
    <xf numFmtId="0" fontId="24" fillId="15" borderId="0" xfId="0" applyFont="1" applyFill="1" applyAlignment="1">
      <alignment horizontal="left"/>
    </xf>
    <xf numFmtId="0" fontId="34" fillId="9" borderId="0" xfId="0" applyFont="1" applyFill="1" applyAlignment="1">
      <alignment horizontal="left"/>
    </xf>
    <xf numFmtId="2" fontId="24" fillId="9" borderId="0" xfId="0" applyNumberFormat="1" applyFont="1" applyFill="1" applyAlignment="1"/>
    <xf numFmtId="166" fontId="24" fillId="9" borderId="0" xfId="3" applyNumberFormat="1" applyFont="1" applyFill="1" applyAlignment="1"/>
    <xf numFmtId="0" fontId="24" fillId="9" borderId="0" xfId="0" applyFont="1" applyFill="1" applyAlignment="1">
      <alignment horizontal="center"/>
    </xf>
    <xf numFmtId="16" fontId="34" fillId="9" borderId="0" xfId="0" applyNumberFormat="1" applyFont="1" applyFill="1" applyAlignment="1">
      <alignment horizontal="center"/>
    </xf>
    <xf numFmtId="0" fontId="24" fillId="9" borderId="0" xfId="0" applyFont="1" applyFill="1" applyAlignment="1">
      <alignment horizontal="left"/>
    </xf>
    <xf numFmtId="0" fontId="34" fillId="9" borderId="0" xfId="0" applyFont="1" applyFill="1" applyAlignment="1">
      <alignment horizontal="center"/>
    </xf>
    <xf numFmtId="0" fontId="24" fillId="9" borderId="0" xfId="0" applyFont="1" applyFill="1" applyAlignment="1"/>
    <xf numFmtId="0" fontId="33" fillId="9" borderId="0" xfId="0" applyFont="1" applyFill="1" applyAlignment="1">
      <alignment horizontal="left"/>
    </xf>
    <xf numFmtId="2" fontId="35" fillId="9" borderId="0" xfId="0" applyNumberFormat="1" applyFont="1" applyFill="1" applyAlignment="1"/>
    <xf numFmtId="166" fontId="35" fillId="9" borderId="0" xfId="3" applyNumberFormat="1" applyFont="1" applyFill="1" applyAlignment="1"/>
    <xf numFmtId="0" fontId="35" fillId="9" borderId="0" xfId="0" applyFont="1" applyFill="1" applyAlignment="1">
      <alignment horizontal="center"/>
    </xf>
    <xf numFmtId="16" fontId="33" fillId="9" borderId="0" xfId="0" applyNumberFormat="1" applyFont="1" applyFill="1" applyAlignment="1">
      <alignment horizontal="center"/>
    </xf>
    <xf numFmtId="0" fontId="35" fillId="9" borderId="0" xfId="0" applyFont="1" applyFill="1" applyAlignment="1">
      <alignment horizontal="left"/>
    </xf>
    <xf numFmtId="0" fontId="33" fillId="9" borderId="0" xfId="0" applyFont="1" applyFill="1" applyAlignment="1">
      <alignment horizontal="center"/>
    </xf>
    <xf numFmtId="0" fontId="35" fillId="9" borderId="0" xfId="0" applyFont="1" applyFill="1" applyAlignment="1"/>
    <xf numFmtId="0" fontId="36" fillId="22" borderId="0" xfId="0" applyFont="1" applyFill="1" applyAlignment="1">
      <alignment horizontal="left"/>
    </xf>
    <xf numFmtId="2" fontId="37" fillId="22" borderId="0" xfId="0" applyNumberFormat="1" applyFont="1" applyFill="1" applyAlignment="1">
      <alignment horizontal="right"/>
    </xf>
    <xf numFmtId="0" fontId="37" fillId="22" borderId="0" xfId="0" applyFont="1" applyFill="1" applyAlignment="1">
      <alignment horizontal="center"/>
    </xf>
    <xf numFmtId="16" fontId="36" fillId="22" borderId="0" xfId="0" applyNumberFormat="1" applyFont="1" applyFill="1" applyAlignment="1">
      <alignment horizontal="center"/>
    </xf>
    <xf numFmtId="0" fontId="37" fillId="22" borderId="0" xfId="0" applyFont="1" applyFill="1" applyAlignment="1">
      <alignment horizontal="left"/>
    </xf>
    <xf numFmtId="0" fontId="36" fillId="22" borderId="0" xfId="0" applyFont="1" applyFill="1" applyAlignment="1">
      <alignment horizontal="center"/>
    </xf>
    <xf numFmtId="0" fontId="37" fillId="22" borderId="0" xfId="0" applyFont="1" applyFill="1" applyAlignment="1"/>
    <xf numFmtId="0" fontId="38" fillId="22" borderId="0" xfId="0" applyFont="1" applyFill="1" applyAlignment="1">
      <alignment horizontal="center"/>
    </xf>
    <xf numFmtId="16" fontId="39" fillId="22" borderId="0" xfId="0" applyNumberFormat="1" applyFont="1" applyFill="1" applyAlignment="1">
      <alignment horizontal="center"/>
    </xf>
    <xf numFmtId="0" fontId="34" fillId="0" borderId="0" xfId="0" applyFont="1" applyAlignment="1">
      <alignment horizontal="left"/>
    </xf>
    <xf numFmtId="0" fontId="24" fillId="0" borderId="0" xfId="0" applyFont="1" applyAlignment="1"/>
    <xf numFmtId="0" fontId="24" fillId="0" borderId="0" xfId="0" applyFont="1" applyAlignment="1">
      <alignment horizontal="center"/>
    </xf>
    <xf numFmtId="0" fontId="34" fillId="0" borderId="0" xfId="0" applyFont="1" applyFill="1" applyAlignment="1">
      <alignment horizontal="left"/>
    </xf>
    <xf numFmtId="2" fontId="24" fillId="0" borderId="0" xfId="0" applyNumberFormat="1" applyFont="1" applyFill="1" applyAlignment="1"/>
    <xf numFmtId="0" fontId="34" fillId="0" borderId="0" xfId="0" applyFont="1" applyFill="1" applyAlignment="1">
      <alignment horizontal="center"/>
    </xf>
    <xf numFmtId="16" fontId="34" fillId="0" borderId="0" xfId="0" applyNumberFormat="1" applyFont="1" applyFill="1" applyAlignment="1">
      <alignment horizontal="center"/>
    </xf>
    <xf numFmtId="0" fontId="24" fillId="0" borderId="0" xfId="0" applyFont="1" applyFill="1" applyAlignment="1">
      <alignment horizontal="left"/>
    </xf>
    <xf numFmtId="0" fontId="24" fillId="0" borderId="0" xfId="0" applyFont="1" applyFill="1" applyAlignment="1"/>
    <xf numFmtId="0" fontId="34" fillId="0" borderId="0" xfId="0" applyFont="1"/>
    <xf numFmtId="0" fontId="34" fillId="0" borderId="12" xfId="0" applyFont="1" applyBorder="1" applyAlignment="1">
      <alignment horizontal="center"/>
    </xf>
    <xf numFmtId="0" fontId="34" fillId="0" borderId="13" xfId="0" applyFont="1" applyBorder="1" applyAlignment="1">
      <alignment horizontal="center"/>
    </xf>
    <xf numFmtId="0" fontId="34" fillId="0" borderId="14" xfId="0" applyFont="1" applyBorder="1" applyAlignment="1">
      <alignment horizontal="center"/>
    </xf>
    <xf numFmtId="0" fontId="34" fillId="0" borderId="7" xfId="0" applyFont="1" applyBorder="1" applyAlignment="1">
      <alignment horizontal="center"/>
    </xf>
    <xf numFmtId="0" fontId="34" fillId="0" borderId="3" xfId="0" applyFont="1" applyBorder="1" applyAlignment="1">
      <alignment horizontal="center"/>
    </xf>
    <xf numFmtId="0" fontId="33" fillId="0" borderId="8" xfId="0" applyFont="1" applyBorder="1" applyAlignment="1">
      <alignment wrapText="1"/>
    </xf>
    <xf numFmtId="0" fontId="34" fillId="0" borderId="2" xfId="0" applyFont="1" applyBorder="1" applyAlignment="1">
      <alignment horizontal="right"/>
    </xf>
    <xf numFmtId="0" fontId="34" fillId="0" borderId="9" xfId="0" applyFont="1" applyBorder="1" applyAlignment="1">
      <alignment horizontal="center"/>
    </xf>
    <xf numFmtId="0" fontId="34" fillId="0" borderId="4" xfId="0" applyFont="1" applyBorder="1" applyAlignment="1">
      <alignment horizontal="center"/>
    </xf>
    <xf numFmtId="0" fontId="34" fillId="0" borderId="1" xfId="0" applyFont="1" applyBorder="1" applyAlignment="1">
      <alignment horizontal="center"/>
    </xf>
    <xf numFmtId="0" fontId="40" fillId="0" borderId="0" xfId="0" applyFont="1" applyBorder="1" applyAlignment="1"/>
    <xf numFmtId="0" fontId="34" fillId="0" borderId="4" xfId="0" applyFont="1" applyBorder="1" applyAlignment="1">
      <alignment vertical="center"/>
    </xf>
    <xf numFmtId="16" fontId="34" fillId="0" borderId="0" xfId="0" applyNumberFormat="1" applyFont="1"/>
    <xf numFmtId="0" fontId="40" fillId="0" borderId="0" xfId="0" applyFont="1" applyBorder="1" applyAlignment="1">
      <alignment vertical="center"/>
    </xf>
    <xf numFmtId="0" fontId="34" fillId="0" borderId="4" xfId="0" applyFont="1" applyBorder="1" applyAlignment="1">
      <alignment horizontal="left"/>
    </xf>
    <xf numFmtId="0" fontId="34" fillId="0" borderId="0" xfId="0" applyFont="1" applyFill="1" applyBorder="1" applyAlignment="1"/>
    <xf numFmtId="0" fontId="34" fillId="0" borderId="10" xfId="0" applyFont="1" applyBorder="1" applyAlignment="1">
      <alignment horizontal="center"/>
    </xf>
    <xf numFmtId="0" fontId="34" fillId="0" borderId="6" xfId="0" applyFont="1" applyBorder="1" applyAlignment="1">
      <alignment horizontal="center"/>
    </xf>
    <xf numFmtId="0" fontId="34" fillId="0" borderId="0" xfId="0" applyFont="1" applyAlignment="1">
      <alignment horizontal="center"/>
    </xf>
    <xf numFmtId="0" fontId="34" fillId="0" borderId="11" xfId="0" applyFont="1" applyBorder="1" applyAlignment="1">
      <alignment horizontal="center"/>
    </xf>
    <xf numFmtId="0" fontId="40" fillId="0" borderId="5" xfId="0" applyFont="1" applyBorder="1" applyAlignment="1">
      <alignment vertical="center"/>
    </xf>
    <xf numFmtId="0" fontId="34" fillId="0" borderId="6" xfId="0" applyFont="1" applyBorder="1" applyAlignment="1">
      <alignment horizontal="left"/>
    </xf>
    <xf numFmtId="0" fontId="24" fillId="0" borderId="0" xfId="0" applyFont="1" applyAlignment="1">
      <alignment horizontal="right"/>
    </xf>
    <xf numFmtId="1" fontId="24" fillId="15" borderId="0" xfId="0" applyNumberFormat="1" applyFont="1" applyFill="1" applyAlignment="1"/>
    <xf numFmtId="1" fontId="24" fillId="15" borderId="0" xfId="0" applyNumberFormat="1" applyFont="1" applyFill="1" applyAlignment="1">
      <alignment horizontal="center"/>
    </xf>
    <xf numFmtId="165" fontId="34" fillId="15" borderId="0" xfId="0" applyNumberFormat="1" applyFont="1" applyFill="1" applyAlignment="1">
      <alignment horizontal="left"/>
    </xf>
    <xf numFmtId="20" fontId="24" fillId="15" borderId="0" xfId="0" applyNumberFormat="1" applyFont="1" applyFill="1" applyAlignment="1">
      <alignment horizontal="left"/>
    </xf>
    <xf numFmtId="1" fontId="24" fillId="9" borderId="0" xfId="0" applyNumberFormat="1" applyFont="1" applyFill="1" applyAlignment="1"/>
    <xf numFmtId="16" fontId="24" fillId="9" borderId="0" xfId="0" applyNumberFormat="1" applyFont="1" applyFill="1" applyAlignment="1">
      <alignment horizontal="center"/>
    </xf>
    <xf numFmtId="1" fontId="24" fillId="9" borderId="0" xfId="0" applyNumberFormat="1" applyFont="1" applyFill="1" applyAlignment="1">
      <alignment horizontal="center"/>
    </xf>
    <xf numFmtId="18" fontId="24" fillId="9" borderId="0" xfId="0" applyNumberFormat="1" applyFont="1" applyFill="1" applyAlignment="1">
      <alignment horizontal="left"/>
    </xf>
    <xf numFmtId="20" fontId="34" fillId="9" borderId="0" xfId="0" applyNumberFormat="1" applyFont="1" applyFill="1" applyAlignment="1">
      <alignment horizontal="left"/>
    </xf>
    <xf numFmtId="2" fontId="37" fillId="22" borderId="0" xfId="0" applyNumberFormat="1" applyFont="1" applyFill="1" applyAlignment="1"/>
    <xf numFmtId="0" fontId="36" fillId="23" borderId="0" xfId="0" applyFont="1" applyFill="1" applyAlignment="1">
      <alignment horizontal="left"/>
    </xf>
    <xf numFmtId="2" fontId="37" fillId="23" borderId="0" xfId="0" applyNumberFormat="1" applyFont="1" applyFill="1" applyAlignment="1"/>
    <xf numFmtId="0" fontId="37" fillId="23" borderId="0" xfId="0" applyFont="1" applyFill="1" applyAlignment="1">
      <alignment horizontal="center"/>
    </xf>
    <xf numFmtId="16" fontId="37" fillId="23" borderId="0" xfId="0" applyNumberFormat="1" applyFont="1" applyFill="1" applyAlignment="1">
      <alignment horizontal="center"/>
    </xf>
    <xf numFmtId="0" fontId="37" fillId="23" borderId="0" xfId="0" applyFont="1" applyFill="1" applyAlignment="1">
      <alignment horizontal="left"/>
    </xf>
    <xf numFmtId="0" fontId="37" fillId="23" borderId="0" xfId="0" applyFont="1" applyFill="1" applyAlignment="1"/>
    <xf numFmtId="14" fontId="37" fillId="23" borderId="0" xfId="0" applyNumberFormat="1" applyFont="1" applyFill="1" applyAlignment="1">
      <alignment horizontal="center"/>
    </xf>
    <xf numFmtId="0" fontId="41" fillId="0" borderId="0" xfId="0" applyFont="1" applyFill="1" applyAlignment="1">
      <alignment horizontal="left"/>
    </xf>
    <xf numFmtId="0" fontId="23" fillId="0" borderId="0" xfId="0" applyFont="1" applyFill="1" applyAlignment="1"/>
    <xf numFmtId="0" fontId="23" fillId="0" borderId="0" xfId="0" applyFont="1" applyFill="1" applyAlignment="1">
      <alignment horizontal="center"/>
    </xf>
    <xf numFmtId="16" fontId="34" fillId="0" borderId="0" xfId="0" applyNumberFormat="1" applyFont="1" applyAlignment="1"/>
    <xf numFmtId="0" fontId="34" fillId="0" borderId="0" xfId="0" applyFont="1" applyAlignment="1"/>
  </cellXfs>
  <cellStyles count="6">
    <cellStyle name="Comma" xfId="3" builtinId="3"/>
    <cellStyle name="Hyperlink" xfId="5" builtinId="8"/>
    <cellStyle name="Hyperlink 2" xfId="2" xr:uid="{724F463F-69C1-42F1-8A24-E93A75C9AB1A}"/>
    <cellStyle name="Normal" xfId="0" builtinId="0"/>
    <cellStyle name="Normal 2" xfId="1" xr:uid="{9D16352C-6017-4E23-A2BA-947BC387CE13}"/>
    <cellStyle name="Normal 4" xfId="4" xr:uid="{0E3E82F9-8F32-42ED-9883-AA7DA316F02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s>
</file>

<file path=xl/persons/person.xml><?xml version="1.0" encoding="utf-8"?>
<personList xmlns="http://schemas.microsoft.com/office/spreadsheetml/2018/threadedcomments" xmlns:x="http://schemas.openxmlformats.org/spreadsheetml/2006/main">
  <person displayName="Krievins, Paul" id="{1B9D5BD6-533B-4608-A366-4DED0CE4950C}" userId="S::PKrievins@isdh.IN.gov::661cd8d5-2802-4e7a-95f5-fffdad889407"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44" dT="2020-06-08T20:55:43.08" personId="{1B9D5BD6-533B-4608-A366-4DED0CE4950C}" id="{776C6772-E7F4-4214-B7E9-5D144CFC255A}">
    <text>Assumes 50 kit max per cooler</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http://woodland.don.imgcare.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3" Type="http://schemas.openxmlformats.org/officeDocument/2006/relationships/hyperlink" Target="mailto:matthew.d.arnold3.mil@mail.mil" TargetMode="External"/><Relationship Id="rId2" Type="http://schemas.openxmlformats.org/officeDocument/2006/relationships/hyperlink" Target="mailto:angel.j.santiagogarcia.mil@mail.mil" TargetMode="External"/><Relationship Id="rId1" Type="http://schemas.openxmlformats.org/officeDocument/2006/relationships/hyperlink" Target="mailto:robert.m.jendzio.civ@mail.mil"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1.xml.rels><?xml version="1.0" encoding="UTF-8" standalone="yes"?>
<Relationships xmlns="http://schemas.openxmlformats.org/package/2006/relationships"><Relationship Id="rId8" Type="http://schemas.openxmlformats.org/officeDocument/2006/relationships/hyperlink" Target="mailto:levon.t.armstrong.mil@mail.mil" TargetMode="External"/><Relationship Id="rId3" Type="http://schemas.openxmlformats.org/officeDocument/2006/relationships/hyperlink" Target="mailto:ryan.p.ball.mil@mail.mil" TargetMode="External"/><Relationship Id="rId7" Type="http://schemas.openxmlformats.org/officeDocument/2006/relationships/hyperlink" Target="mailto:james.j.kennedy110mil@mail.mil" TargetMode="External"/><Relationship Id="rId2" Type="http://schemas.openxmlformats.org/officeDocument/2006/relationships/hyperlink" Target="mailto:lynn.r.estes.mil@mail.mil" TargetMode="External"/><Relationship Id="rId1" Type="http://schemas.openxmlformats.org/officeDocument/2006/relationships/hyperlink" Target="mailto:eden.e.diller.mil@mail.mil" TargetMode="External"/><Relationship Id="rId6" Type="http://schemas.openxmlformats.org/officeDocument/2006/relationships/hyperlink" Target="mailto:jacob.l.hagan.mil@mail.mil" TargetMode="External"/><Relationship Id="rId5" Type="http://schemas.openxmlformats.org/officeDocument/2006/relationships/hyperlink" Target="mailto:unaguava85@hotmail.com" TargetMode="External"/><Relationship Id="rId4" Type="http://schemas.openxmlformats.org/officeDocument/2006/relationships/hyperlink" Target="mailto:eric.r.hoppenjans.mil@mail.mi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kkruse1@isdh.in.gov" TargetMode="External"/><Relationship Id="rId13" Type="http://schemas.openxmlformats.org/officeDocument/2006/relationships/hyperlink" Target="mailto:lesliemkeiser@hotmail.com" TargetMode="External"/><Relationship Id="rId18" Type="http://schemas.openxmlformats.org/officeDocument/2006/relationships/printerSettings" Target="../printerSettings/printerSettings2.bin"/><Relationship Id="rId3" Type="http://schemas.openxmlformats.org/officeDocument/2006/relationships/hyperlink" Target="mailto:owitmer@isdh.in.gov" TargetMode="External"/><Relationship Id="rId7" Type="http://schemas.openxmlformats.org/officeDocument/2006/relationships/hyperlink" Target="mailto:mjines@isdh.in.gov" TargetMode="External"/><Relationship Id="rId12" Type="http://schemas.openxmlformats.org/officeDocument/2006/relationships/hyperlink" Target="mailto:klamoreaux@isdh.in.gov" TargetMode="External"/><Relationship Id="rId17" Type="http://schemas.openxmlformats.org/officeDocument/2006/relationships/hyperlink" Target="mailto:jusngamez@icloud.com" TargetMode="External"/><Relationship Id="rId2" Type="http://schemas.openxmlformats.org/officeDocument/2006/relationships/hyperlink" Target="mailto:alhayes@isdh.in.gov" TargetMode="External"/><Relationship Id="rId16" Type="http://schemas.openxmlformats.org/officeDocument/2006/relationships/hyperlink" Target="mailto:aberg13@ivytech.edu" TargetMode="External"/><Relationship Id="rId1" Type="http://schemas.openxmlformats.org/officeDocument/2006/relationships/hyperlink" Target="mailto:pwaters@isdh.in.gov" TargetMode="External"/><Relationship Id="rId6" Type="http://schemas.openxmlformats.org/officeDocument/2006/relationships/hyperlink" Target="mailto:chgilbert@isdh.in.gov" TargetMode="External"/><Relationship Id="rId11" Type="http://schemas.openxmlformats.org/officeDocument/2006/relationships/hyperlink" Target="mailto:tbrunette@isdh.in.gov" TargetMode="External"/><Relationship Id="rId5" Type="http://schemas.openxmlformats.org/officeDocument/2006/relationships/hyperlink" Target="mailto:apappas@isdh.in.gov" TargetMode="External"/><Relationship Id="rId15" Type="http://schemas.openxmlformats.org/officeDocument/2006/relationships/hyperlink" Target="mailto:edwardsk11041@gmail.com" TargetMode="External"/><Relationship Id="rId10" Type="http://schemas.openxmlformats.org/officeDocument/2006/relationships/hyperlink" Target="mailto:sbriley@isdh.in.gov" TargetMode="External"/><Relationship Id="rId4" Type="http://schemas.openxmlformats.org/officeDocument/2006/relationships/hyperlink" Target="mailto:bhalleck@isdh.in.gov" TargetMode="External"/><Relationship Id="rId9" Type="http://schemas.openxmlformats.org/officeDocument/2006/relationships/hyperlink" Target="mailto:ptruelove@isdh.in.gov" TargetMode="External"/><Relationship Id="rId14" Type="http://schemas.openxmlformats.org/officeDocument/2006/relationships/hyperlink" Target="mailto:brmcarna@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L282"/>
  <sheetViews>
    <sheetView workbookViewId="0">
      <pane ySplit="1" topLeftCell="A2" activePane="bottomLeft" state="frozen"/>
      <selection pane="bottomLeft" activeCell="B3" sqref="B3"/>
    </sheetView>
  </sheetViews>
  <sheetFormatPr defaultColWidth="12.625" defaultRowHeight="15" customHeight="1"/>
  <cols>
    <col min="1" max="2" width="18.875" customWidth="1"/>
    <col min="3" max="3" width="39.75" customWidth="1"/>
    <col min="4" max="18" width="18.875" customWidth="1"/>
  </cols>
  <sheetData>
    <row r="1" spans="1:12">
      <c r="A1" s="134" t="s">
        <v>0</v>
      </c>
      <c r="B1" s="134" t="s">
        <v>1</v>
      </c>
      <c r="C1" s="134" t="s">
        <v>2</v>
      </c>
      <c r="D1" s="134" t="s">
        <v>3</v>
      </c>
      <c r="E1" s="134" t="s">
        <v>4</v>
      </c>
      <c r="F1" s="134" t="s">
        <v>5</v>
      </c>
      <c r="G1" s="134" t="s">
        <v>6</v>
      </c>
      <c r="H1" s="134" t="s">
        <v>7</v>
      </c>
      <c r="I1" s="134" t="s">
        <v>8</v>
      </c>
      <c r="J1" s="134" t="s">
        <v>9</v>
      </c>
      <c r="K1" s="134" t="s">
        <v>10</v>
      </c>
      <c r="L1" s="134" t="s">
        <v>11</v>
      </c>
    </row>
    <row r="2" spans="1:12">
      <c r="A2" s="3">
        <v>43985.585951145833</v>
      </c>
      <c r="B2" s="4" t="s">
        <v>12</v>
      </c>
      <c r="C2" s="4" t="s">
        <v>13</v>
      </c>
      <c r="D2" s="4" t="s">
        <v>14</v>
      </c>
      <c r="E2" s="4" t="s">
        <v>15</v>
      </c>
      <c r="F2" s="4" t="s">
        <v>16</v>
      </c>
      <c r="G2" s="4" t="s">
        <v>17</v>
      </c>
      <c r="H2" s="4" t="s">
        <v>18</v>
      </c>
      <c r="I2" s="4" t="s">
        <v>19</v>
      </c>
      <c r="J2" s="4">
        <v>90</v>
      </c>
      <c r="K2" s="4" t="s">
        <v>20</v>
      </c>
      <c r="L2" s="4">
        <v>15</v>
      </c>
    </row>
    <row r="3" spans="1:12">
      <c r="A3" s="3">
        <v>43985.588004675927</v>
      </c>
      <c r="B3" s="4" t="s">
        <v>12</v>
      </c>
      <c r="C3" s="4" t="s">
        <v>21</v>
      </c>
      <c r="D3" s="4" t="s">
        <v>22</v>
      </c>
      <c r="E3" s="4" t="s">
        <v>15</v>
      </c>
      <c r="F3" s="4" t="s">
        <v>23</v>
      </c>
      <c r="G3" s="4" t="s">
        <v>24</v>
      </c>
      <c r="H3" s="4" t="s">
        <v>18</v>
      </c>
      <c r="I3" s="4" t="s">
        <v>19</v>
      </c>
      <c r="J3" s="4">
        <v>220</v>
      </c>
      <c r="L3" s="4">
        <v>10</v>
      </c>
    </row>
    <row r="4" spans="1:12">
      <c r="A4" s="3">
        <v>43985.369416701389</v>
      </c>
      <c r="B4" s="4" t="s">
        <v>25</v>
      </c>
      <c r="C4" s="4" t="s">
        <v>26</v>
      </c>
      <c r="D4" s="4" t="s">
        <v>27</v>
      </c>
      <c r="E4" s="4" t="s">
        <v>15</v>
      </c>
      <c r="F4" s="4" t="s">
        <v>28</v>
      </c>
      <c r="G4" s="4" t="s">
        <v>29</v>
      </c>
      <c r="H4" s="4" t="s">
        <v>18</v>
      </c>
      <c r="I4" s="4" t="s">
        <v>30</v>
      </c>
      <c r="J4" s="4">
        <v>100</v>
      </c>
      <c r="L4" s="4">
        <v>5</v>
      </c>
    </row>
    <row r="5" spans="1:12">
      <c r="A5" s="3">
        <v>43985.43476621528</v>
      </c>
      <c r="B5" s="4" t="s">
        <v>31</v>
      </c>
      <c r="C5" s="4" t="s">
        <v>32</v>
      </c>
      <c r="D5" s="4" t="s">
        <v>33</v>
      </c>
      <c r="E5" s="4" t="s">
        <v>15</v>
      </c>
      <c r="F5" s="4" t="s">
        <v>34</v>
      </c>
      <c r="G5" s="4" t="s">
        <v>35</v>
      </c>
      <c r="H5" s="4" t="s">
        <v>18</v>
      </c>
      <c r="I5" s="4" t="s">
        <v>19</v>
      </c>
      <c r="J5" s="4">
        <v>130</v>
      </c>
      <c r="L5" s="4">
        <v>12</v>
      </c>
    </row>
    <row r="6" spans="1:12">
      <c r="A6" s="3">
        <v>43985.390371099536</v>
      </c>
      <c r="B6" s="4" t="s">
        <v>31</v>
      </c>
      <c r="C6" s="4" t="s">
        <v>36</v>
      </c>
      <c r="D6" s="4" t="s">
        <v>37</v>
      </c>
      <c r="E6" s="4" t="s">
        <v>15</v>
      </c>
      <c r="F6" s="4" t="s">
        <v>38</v>
      </c>
      <c r="G6" s="4" t="s">
        <v>39</v>
      </c>
      <c r="H6" s="4" t="s">
        <v>18</v>
      </c>
      <c r="I6" s="4" t="s">
        <v>19</v>
      </c>
      <c r="J6" s="4">
        <v>70</v>
      </c>
      <c r="K6" s="4" t="s">
        <v>40</v>
      </c>
      <c r="L6" s="4">
        <v>10</v>
      </c>
    </row>
    <row r="7" spans="1:12">
      <c r="A7" s="3">
        <v>43985.394851921301</v>
      </c>
      <c r="B7" s="4" t="s">
        <v>31</v>
      </c>
      <c r="C7" s="4" t="s">
        <v>41</v>
      </c>
      <c r="D7" s="4" t="s">
        <v>42</v>
      </c>
      <c r="E7" s="4" t="s">
        <v>15</v>
      </c>
      <c r="F7" s="4" t="s">
        <v>43</v>
      </c>
      <c r="G7" s="4" t="s">
        <v>44</v>
      </c>
      <c r="H7" s="4" t="s">
        <v>18</v>
      </c>
      <c r="I7" s="4" t="s">
        <v>30</v>
      </c>
      <c r="J7" s="4">
        <v>164</v>
      </c>
      <c r="L7" s="4">
        <v>15</v>
      </c>
    </row>
    <row r="8" spans="1:12">
      <c r="A8" s="3">
        <v>43985.601994965276</v>
      </c>
      <c r="B8" s="4" t="s">
        <v>12</v>
      </c>
      <c r="C8" s="4" t="s">
        <v>45</v>
      </c>
      <c r="D8" s="4" t="s">
        <v>46</v>
      </c>
      <c r="E8" s="4" t="s">
        <v>15</v>
      </c>
      <c r="F8" s="4" t="s">
        <v>47</v>
      </c>
      <c r="G8" s="4" t="s">
        <v>48</v>
      </c>
      <c r="H8" s="4" t="s">
        <v>18</v>
      </c>
      <c r="I8" s="4" t="s">
        <v>30</v>
      </c>
      <c r="J8" s="4">
        <v>60</v>
      </c>
      <c r="K8" s="4" t="s">
        <v>49</v>
      </c>
      <c r="L8" s="4">
        <v>15</v>
      </c>
    </row>
    <row r="9" spans="1:12">
      <c r="A9" s="3">
        <v>43985.380678541667</v>
      </c>
      <c r="B9" s="4" t="s">
        <v>25</v>
      </c>
      <c r="C9" s="4" t="s">
        <v>50</v>
      </c>
      <c r="D9" s="4" t="s">
        <v>51</v>
      </c>
      <c r="E9" s="4" t="s">
        <v>15</v>
      </c>
      <c r="F9" s="4" t="s">
        <v>52</v>
      </c>
      <c r="G9" s="4" t="s">
        <v>53</v>
      </c>
      <c r="H9" s="4" t="s">
        <v>54</v>
      </c>
      <c r="I9" s="4" t="s">
        <v>30</v>
      </c>
      <c r="K9" s="4" t="s">
        <v>55</v>
      </c>
      <c r="L9" s="4">
        <v>10</v>
      </c>
    </row>
    <row r="10" spans="1:12">
      <c r="A10" s="3">
        <v>43985.389471655093</v>
      </c>
      <c r="B10" s="4" t="s">
        <v>25</v>
      </c>
      <c r="C10" s="4" t="s">
        <v>56</v>
      </c>
      <c r="D10" s="4" t="s">
        <v>57</v>
      </c>
      <c r="E10" s="4" t="s">
        <v>15</v>
      </c>
      <c r="F10" s="4" t="s">
        <v>58</v>
      </c>
      <c r="G10" s="4" t="s">
        <v>59</v>
      </c>
      <c r="H10" s="4" t="s">
        <v>18</v>
      </c>
      <c r="I10" s="4" t="s">
        <v>30</v>
      </c>
      <c r="J10" s="4">
        <v>85</v>
      </c>
      <c r="K10" s="4" t="s">
        <v>60</v>
      </c>
      <c r="L10" s="4">
        <v>10</v>
      </c>
    </row>
    <row r="11" spans="1:12">
      <c r="A11" s="3">
        <v>43985.609356076384</v>
      </c>
      <c r="B11" s="4" t="s">
        <v>12</v>
      </c>
      <c r="C11" s="4" t="s">
        <v>61</v>
      </c>
      <c r="D11" s="4" t="s">
        <v>62</v>
      </c>
      <c r="E11" s="4" t="s">
        <v>15</v>
      </c>
      <c r="F11" s="4" t="s">
        <v>63</v>
      </c>
      <c r="G11" s="4" t="s">
        <v>64</v>
      </c>
      <c r="H11" s="4" t="s">
        <v>18</v>
      </c>
      <c r="I11" s="4" t="s">
        <v>30</v>
      </c>
      <c r="J11" s="4">
        <v>120</v>
      </c>
      <c r="K11" s="4" t="s">
        <v>65</v>
      </c>
      <c r="L11" s="4">
        <v>12</v>
      </c>
    </row>
    <row r="12" spans="1:12">
      <c r="A12" s="3">
        <v>43985.376012372682</v>
      </c>
      <c r="B12" s="4" t="s">
        <v>66</v>
      </c>
      <c r="C12" s="4" t="s">
        <v>67</v>
      </c>
      <c r="D12" s="4" t="s">
        <v>68</v>
      </c>
      <c r="E12" s="4" t="s">
        <v>15</v>
      </c>
      <c r="F12" s="4" t="s">
        <v>69</v>
      </c>
      <c r="G12" s="4" t="s">
        <v>70</v>
      </c>
      <c r="H12" s="4" t="s">
        <v>18</v>
      </c>
      <c r="I12" s="4" t="s">
        <v>30</v>
      </c>
      <c r="J12" s="4">
        <v>90</v>
      </c>
      <c r="K12" s="4" t="s">
        <v>71</v>
      </c>
      <c r="L12" s="4">
        <v>5</v>
      </c>
    </row>
    <row r="13" spans="1:12">
      <c r="A13" s="3">
        <v>43985.432927152782</v>
      </c>
      <c r="B13" s="4" t="s">
        <v>31</v>
      </c>
      <c r="C13" s="4" t="s">
        <v>72</v>
      </c>
      <c r="D13" s="4" t="s">
        <v>73</v>
      </c>
      <c r="E13" s="4" t="s">
        <v>74</v>
      </c>
      <c r="F13" s="4" t="s">
        <v>75</v>
      </c>
      <c r="G13" s="4" t="s">
        <v>76</v>
      </c>
      <c r="H13" s="4" t="s">
        <v>18</v>
      </c>
      <c r="I13" s="4" t="s">
        <v>19</v>
      </c>
      <c r="J13" s="4">
        <v>67</v>
      </c>
      <c r="K13" s="4" t="s">
        <v>77</v>
      </c>
      <c r="L13" s="4">
        <v>15</v>
      </c>
    </row>
    <row r="14" spans="1:12">
      <c r="A14" s="3">
        <v>43985.445171296291</v>
      </c>
      <c r="B14" s="4" t="s">
        <v>31</v>
      </c>
      <c r="C14" s="4" t="s">
        <v>78</v>
      </c>
      <c r="D14" s="4" t="s">
        <v>79</v>
      </c>
      <c r="E14" s="4" t="s">
        <v>15</v>
      </c>
      <c r="F14" s="4" t="s">
        <v>80</v>
      </c>
      <c r="G14" s="4" t="s">
        <v>81</v>
      </c>
      <c r="H14" s="4" t="s">
        <v>18</v>
      </c>
      <c r="I14" s="4" t="s">
        <v>19</v>
      </c>
      <c r="J14" s="4">
        <v>15</v>
      </c>
      <c r="K14" s="4" t="s">
        <v>82</v>
      </c>
      <c r="L14" s="4">
        <v>15</v>
      </c>
    </row>
    <row r="15" spans="1:12">
      <c r="A15" s="3">
        <v>43985.604573159726</v>
      </c>
      <c r="B15" s="4" t="s">
        <v>12</v>
      </c>
      <c r="C15" s="4" t="s">
        <v>83</v>
      </c>
      <c r="D15" s="4" t="s">
        <v>84</v>
      </c>
      <c r="E15" s="4" t="s">
        <v>15</v>
      </c>
      <c r="F15" s="4" t="s">
        <v>85</v>
      </c>
      <c r="G15" s="4" t="s">
        <v>86</v>
      </c>
      <c r="H15" s="4" t="s">
        <v>18</v>
      </c>
      <c r="J15" s="4">
        <v>30</v>
      </c>
      <c r="L15" s="4">
        <v>15</v>
      </c>
    </row>
    <row r="16" spans="1:12">
      <c r="A16" s="3">
        <v>43985.603142326392</v>
      </c>
      <c r="B16" s="4" t="s">
        <v>66</v>
      </c>
      <c r="C16" s="4" t="s">
        <v>87</v>
      </c>
      <c r="D16" s="4" t="s">
        <v>88</v>
      </c>
      <c r="E16" s="4" t="s">
        <v>15</v>
      </c>
      <c r="F16" s="4" t="s">
        <v>89</v>
      </c>
      <c r="G16" s="4" t="s">
        <v>90</v>
      </c>
      <c r="H16" s="4" t="s">
        <v>91</v>
      </c>
      <c r="I16" s="4" t="s">
        <v>30</v>
      </c>
      <c r="J16" s="4">
        <v>80</v>
      </c>
      <c r="K16" s="4" t="s">
        <v>92</v>
      </c>
      <c r="L16" s="4">
        <v>5</v>
      </c>
    </row>
    <row r="17" spans="1:12">
      <c r="A17" s="3">
        <v>43985.607115543986</v>
      </c>
      <c r="B17" s="4" t="s">
        <v>12</v>
      </c>
      <c r="C17" s="4" t="s">
        <v>93</v>
      </c>
      <c r="D17" s="4" t="s">
        <v>94</v>
      </c>
      <c r="E17" s="4" t="s">
        <v>74</v>
      </c>
      <c r="F17" s="4" t="s">
        <v>95</v>
      </c>
      <c r="G17" s="4" t="s">
        <v>96</v>
      </c>
      <c r="H17" s="4" t="s">
        <v>54</v>
      </c>
      <c r="I17" s="4" t="s">
        <v>30</v>
      </c>
      <c r="J17" s="4">
        <v>20</v>
      </c>
      <c r="K17" s="4" t="s">
        <v>97</v>
      </c>
      <c r="L17" s="4">
        <v>8</v>
      </c>
    </row>
    <row r="18" spans="1:12">
      <c r="A18" s="3">
        <v>43985.593774641202</v>
      </c>
      <c r="B18" s="4" t="s">
        <v>66</v>
      </c>
      <c r="C18" s="4" t="s">
        <v>98</v>
      </c>
      <c r="D18" s="4" t="s">
        <v>99</v>
      </c>
      <c r="E18" s="4" t="s">
        <v>15</v>
      </c>
      <c r="F18" s="4" t="s">
        <v>100</v>
      </c>
      <c r="G18" s="4" t="s">
        <v>101</v>
      </c>
      <c r="H18" s="4" t="s">
        <v>18</v>
      </c>
      <c r="I18" s="4" t="s">
        <v>30</v>
      </c>
      <c r="J18" s="4">
        <v>68</v>
      </c>
      <c r="L18" s="4">
        <v>5</v>
      </c>
    </row>
    <row r="19" spans="1:12">
      <c r="A19" s="3">
        <v>43985.414680497684</v>
      </c>
      <c r="B19" s="4" t="s">
        <v>102</v>
      </c>
      <c r="C19" s="4" t="s">
        <v>103</v>
      </c>
      <c r="D19" s="4" t="s">
        <v>104</v>
      </c>
      <c r="E19" s="4" t="s">
        <v>15</v>
      </c>
      <c r="F19" s="4" t="s">
        <v>105</v>
      </c>
      <c r="G19" s="4" t="s">
        <v>106</v>
      </c>
      <c r="H19" s="4" t="s">
        <v>18</v>
      </c>
      <c r="I19" s="4" t="s">
        <v>30</v>
      </c>
      <c r="J19" s="4">
        <v>135</v>
      </c>
      <c r="L19" s="4">
        <v>12</v>
      </c>
    </row>
    <row r="20" spans="1:12">
      <c r="A20" s="3">
        <v>43985.588951921294</v>
      </c>
      <c r="B20" s="4" t="s">
        <v>66</v>
      </c>
      <c r="C20" s="4" t="s">
        <v>107</v>
      </c>
      <c r="D20" s="4" t="s">
        <v>108</v>
      </c>
      <c r="E20" s="4" t="s">
        <v>15</v>
      </c>
      <c r="F20" s="4" t="s">
        <v>109</v>
      </c>
      <c r="G20" s="4" t="s">
        <v>110</v>
      </c>
      <c r="H20" s="4" t="s">
        <v>18</v>
      </c>
      <c r="I20" s="4" t="s">
        <v>30</v>
      </c>
      <c r="J20" s="4">
        <v>200</v>
      </c>
      <c r="K20" s="4" t="s">
        <v>111</v>
      </c>
      <c r="L20" s="4">
        <v>10</v>
      </c>
    </row>
    <row r="21" spans="1:12">
      <c r="A21" s="3">
        <v>43985.612823055555</v>
      </c>
      <c r="B21" s="4" t="s">
        <v>12</v>
      </c>
      <c r="C21" s="4" t="s">
        <v>112</v>
      </c>
      <c r="D21" s="4" t="s">
        <v>113</v>
      </c>
      <c r="E21" s="4" t="s">
        <v>15</v>
      </c>
      <c r="F21" s="4" t="s">
        <v>114</v>
      </c>
      <c r="G21" s="4" t="s">
        <v>115</v>
      </c>
      <c r="H21" s="4" t="s">
        <v>18</v>
      </c>
      <c r="I21" s="4" t="s">
        <v>30</v>
      </c>
      <c r="J21" s="4">
        <v>150</v>
      </c>
      <c r="K21" s="4" t="s">
        <v>116</v>
      </c>
      <c r="L21" s="4">
        <v>15</v>
      </c>
    </row>
    <row r="22" spans="1:12">
      <c r="A22" s="3">
        <v>43985.368428576388</v>
      </c>
      <c r="B22" s="4" t="s">
        <v>117</v>
      </c>
      <c r="C22" s="4" t="s">
        <v>118</v>
      </c>
      <c r="D22" s="4" t="s">
        <v>119</v>
      </c>
      <c r="E22" s="4" t="s">
        <v>74</v>
      </c>
      <c r="F22" s="4" t="s">
        <v>120</v>
      </c>
      <c r="G22" s="4" t="s">
        <v>121</v>
      </c>
      <c r="H22" s="4" t="s">
        <v>18</v>
      </c>
      <c r="I22" s="4" t="s">
        <v>30</v>
      </c>
      <c r="J22" s="4">
        <v>150</v>
      </c>
      <c r="L22" s="4">
        <v>5</v>
      </c>
    </row>
    <row r="23" spans="1:12">
      <c r="A23" s="3">
        <v>43985.365834814816</v>
      </c>
      <c r="B23" s="4" t="s">
        <v>122</v>
      </c>
      <c r="C23" s="4" t="s">
        <v>123</v>
      </c>
      <c r="D23" s="4" t="s">
        <v>124</v>
      </c>
      <c r="E23" s="4" t="s">
        <v>15</v>
      </c>
      <c r="F23" s="4" t="s">
        <v>125</v>
      </c>
      <c r="G23" s="4" t="s">
        <v>126</v>
      </c>
      <c r="H23" s="4" t="s">
        <v>18</v>
      </c>
      <c r="I23" s="4" t="s">
        <v>30</v>
      </c>
      <c r="J23" s="4">
        <v>46</v>
      </c>
      <c r="K23" s="4" t="s">
        <v>127</v>
      </c>
      <c r="L23" s="4">
        <v>4</v>
      </c>
    </row>
    <row r="24" spans="1:12">
      <c r="A24" s="3">
        <v>43985.557680046295</v>
      </c>
      <c r="B24" s="4" t="s">
        <v>66</v>
      </c>
      <c r="C24" s="4" t="s">
        <v>128</v>
      </c>
      <c r="D24" s="4" t="s">
        <v>129</v>
      </c>
      <c r="E24" s="4" t="s">
        <v>15</v>
      </c>
      <c r="F24" s="4" t="s">
        <v>130</v>
      </c>
      <c r="G24" s="4">
        <v>3178101910</v>
      </c>
      <c r="H24" s="4" t="s">
        <v>18</v>
      </c>
      <c r="I24" s="4" t="s">
        <v>30</v>
      </c>
      <c r="J24" s="4">
        <v>170</v>
      </c>
      <c r="L24" s="4">
        <v>5</v>
      </c>
    </row>
    <row r="25" spans="1:12">
      <c r="A25" s="3">
        <v>43985.539349317129</v>
      </c>
      <c r="B25" s="4" t="s">
        <v>131</v>
      </c>
      <c r="C25" s="4" t="s">
        <v>132</v>
      </c>
      <c r="D25" s="4" t="s">
        <v>133</v>
      </c>
      <c r="E25" s="4" t="s">
        <v>15</v>
      </c>
      <c r="F25" s="4" t="s">
        <v>134</v>
      </c>
      <c r="G25" s="4" t="s">
        <v>135</v>
      </c>
      <c r="H25" s="4" t="s">
        <v>18</v>
      </c>
      <c r="I25" s="4" t="s">
        <v>30</v>
      </c>
      <c r="J25" s="4">
        <v>100</v>
      </c>
      <c r="L25" s="4">
        <v>5</v>
      </c>
    </row>
    <row r="26" spans="1:12">
      <c r="A26" s="3">
        <v>43985.384975243054</v>
      </c>
      <c r="B26" s="4" t="s">
        <v>136</v>
      </c>
      <c r="C26" s="4" t="s">
        <v>137</v>
      </c>
      <c r="D26" s="4" t="s">
        <v>138</v>
      </c>
      <c r="E26" s="4" t="s">
        <v>15</v>
      </c>
      <c r="F26" s="4" t="s">
        <v>139</v>
      </c>
      <c r="G26" s="4" t="s">
        <v>140</v>
      </c>
      <c r="H26" s="4" t="s">
        <v>18</v>
      </c>
      <c r="I26" s="4" t="s">
        <v>19</v>
      </c>
      <c r="J26" s="4">
        <v>99</v>
      </c>
      <c r="K26" s="4" t="s">
        <v>141</v>
      </c>
      <c r="L26" s="4">
        <v>15</v>
      </c>
    </row>
    <row r="27" spans="1:12">
      <c r="A27" s="3">
        <v>43985.405255034726</v>
      </c>
      <c r="B27" s="4" t="s">
        <v>136</v>
      </c>
      <c r="C27" s="4" t="s">
        <v>142</v>
      </c>
      <c r="D27" s="4" t="s">
        <v>143</v>
      </c>
      <c r="E27" s="4" t="s">
        <v>15</v>
      </c>
      <c r="F27" s="4" t="s">
        <v>144</v>
      </c>
      <c r="G27" s="4" t="s">
        <v>145</v>
      </c>
      <c r="H27" s="4" t="s">
        <v>18</v>
      </c>
      <c r="I27" s="4" t="s">
        <v>19</v>
      </c>
      <c r="J27" s="4">
        <v>114</v>
      </c>
      <c r="K27" s="4" t="s">
        <v>146</v>
      </c>
      <c r="L27" s="4">
        <v>12</v>
      </c>
    </row>
    <row r="28" spans="1:12">
      <c r="A28" s="3">
        <v>43985.46685913195</v>
      </c>
      <c r="B28" s="4" t="s">
        <v>31</v>
      </c>
      <c r="C28" s="4" t="s">
        <v>147</v>
      </c>
      <c r="D28" s="4" t="s">
        <v>148</v>
      </c>
      <c r="E28" s="4" t="s">
        <v>15</v>
      </c>
      <c r="F28" s="4" t="s">
        <v>149</v>
      </c>
      <c r="G28" s="4" t="s">
        <v>150</v>
      </c>
      <c r="H28" s="4" t="s">
        <v>18</v>
      </c>
      <c r="I28" s="4" t="s">
        <v>30</v>
      </c>
      <c r="J28" s="4">
        <v>160</v>
      </c>
      <c r="L28" s="4">
        <v>20</v>
      </c>
    </row>
    <row r="29" spans="1:12">
      <c r="A29" s="3">
        <v>43985.391109699078</v>
      </c>
      <c r="B29" s="4" t="s">
        <v>151</v>
      </c>
      <c r="C29" s="4" t="s">
        <v>152</v>
      </c>
      <c r="D29" s="4" t="s">
        <v>153</v>
      </c>
      <c r="E29" s="4" t="s">
        <v>74</v>
      </c>
      <c r="F29" s="4" t="s">
        <v>154</v>
      </c>
      <c r="G29" s="4" t="s">
        <v>155</v>
      </c>
      <c r="H29" s="4" t="s">
        <v>18</v>
      </c>
      <c r="I29" s="4" t="s">
        <v>30</v>
      </c>
      <c r="J29" s="4">
        <v>50</v>
      </c>
      <c r="K29" s="4" t="s">
        <v>156</v>
      </c>
      <c r="L29" s="4">
        <v>8</v>
      </c>
    </row>
    <row r="30" spans="1:12">
      <c r="A30" s="3">
        <v>43985.417195636575</v>
      </c>
      <c r="B30" s="4" t="s">
        <v>136</v>
      </c>
      <c r="C30" s="4" t="s">
        <v>157</v>
      </c>
      <c r="D30" s="4" t="s">
        <v>158</v>
      </c>
      <c r="E30" s="4" t="s">
        <v>15</v>
      </c>
      <c r="F30" s="4" t="s">
        <v>159</v>
      </c>
      <c r="G30" s="4" t="s">
        <v>160</v>
      </c>
      <c r="H30" s="4" t="s">
        <v>91</v>
      </c>
      <c r="J30" s="4">
        <v>60</v>
      </c>
      <c r="K30" s="4" t="s">
        <v>161</v>
      </c>
      <c r="L30" s="4">
        <v>11</v>
      </c>
    </row>
    <row r="31" spans="1:12">
      <c r="A31" s="3">
        <v>43985.423694652782</v>
      </c>
      <c r="B31" s="4" t="s">
        <v>102</v>
      </c>
      <c r="C31" s="4" t="s">
        <v>162</v>
      </c>
      <c r="D31" s="4" t="s">
        <v>163</v>
      </c>
      <c r="E31" s="4" t="s">
        <v>15</v>
      </c>
      <c r="F31" s="4" t="s">
        <v>164</v>
      </c>
      <c r="G31" s="4" t="s">
        <v>165</v>
      </c>
      <c r="H31" s="4" t="s">
        <v>18</v>
      </c>
      <c r="I31" s="4" t="s">
        <v>30</v>
      </c>
      <c r="J31" s="4">
        <v>70</v>
      </c>
      <c r="L31" s="4">
        <v>10</v>
      </c>
    </row>
    <row r="32" spans="1:12">
      <c r="A32" s="3">
        <v>43985.449272129626</v>
      </c>
      <c r="B32" s="4" t="s">
        <v>131</v>
      </c>
      <c r="C32" s="4" t="s">
        <v>166</v>
      </c>
      <c r="D32" s="4" t="s">
        <v>167</v>
      </c>
      <c r="E32" s="4" t="s">
        <v>15</v>
      </c>
      <c r="F32" s="4" t="s">
        <v>168</v>
      </c>
      <c r="G32" s="4" t="s">
        <v>169</v>
      </c>
      <c r="H32" s="4" t="s">
        <v>18</v>
      </c>
      <c r="I32" s="4" t="s">
        <v>30</v>
      </c>
      <c r="J32" s="4">
        <v>100</v>
      </c>
      <c r="L32" s="4">
        <v>3</v>
      </c>
    </row>
    <row r="33" spans="1:12">
      <c r="A33" s="3">
        <v>43985.375378530094</v>
      </c>
      <c r="B33" s="4" t="s">
        <v>117</v>
      </c>
      <c r="C33" s="4" t="s">
        <v>170</v>
      </c>
      <c r="D33" s="4" t="s">
        <v>171</v>
      </c>
      <c r="E33" s="4" t="s">
        <v>15</v>
      </c>
      <c r="F33" s="4" t="s">
        <v>172</v>
      </c>
      <c r="G33" s="4" t="s">
        <v>173</v>
      </c>
      <c r="H33" s="4" t="s">
        <v>91</v>
      </c>
      <c r="I33" s="4" t="s">
        <v>30</v>
      </c>
      <c r="J33" s="4">
        <v>150</v>
      </c>
      <c r="L33" s="4">
        <v>5</v>
      </c>
    </row>
    <row r="34" spans="1:12">
      <c r="A34" s="3">
        <v>43985.456012013892</v>
      </c>
      <c r="B34" s="4" t="s">
        <v>31</v>
      </c>
      <c r="C34" s="4" t="s">
        <v>170</v>
      </c>
      <c r="D34" s="4" t="s">
        <v>174</v>
      </c>
      <c r="E34" s="4" t="s">
        <v>74</v>
      </c>
      <c r="F34" s="4" t="s">
        <v>175</v>
      </c>
      <c r="G34" s="4" t="s">
        <v>176</v>
      </c>
      <c r="H34" s="4" t="s">
        <v>18</v>
      </c>
      <c r="I34" s="4" t="s">
        <v>30</v>
      </c>
      <c r="J34" s="4">
        <v>54</v>
      </c>
      <c r="K34" s="4" t="s">
        <v>177</v>
      </c>
      <c r="L34" s="4">
        <v>15</v>
      </c>
    </row>
    <row r="35" spans="1:12">
      <c r="A35" s="3">
        <v>43985.385442384257</v>
      </c>
      <c r="B35" s="4" t="s">
        <v>117</v>
      </c>
      <c r="C35" s="4" t="s">
        <v>178</v>
      </c>
      <c r="D35" s="4" t="s">
        <v>179</v>
      </c>
      <c r="E35" s="4" t="s">
        <v>15</v>
      </c>
      <c r="F35" s="4" t="s">
        <v>180</v>
      </c>
      <c r="G35" s="4" t="s">
        <v>181</v>
      </c>
      <c r="H35" s="4" t="s">
        <v>18</v>
      </c>
      <c r="I35" s="4" t="s">
        <v>30</v>
      </c>
      <c r="J35" s="4">
        <v>80</v>
      </c>
      <c r="L35" s="4">
        <v>4</v>
      </c>
    </row>
    <row r="36" spans="1:12">
      <c r="A36" s="3">
        <v>43985.468503541662</v>
      </c>
      <c r="B36" s="4" t="s">
        <v>31</v>
      </c>
      <c r="C36" s="4" t="s">
        <v>182</v>
      </c>
      <c r="D36" s="4" t="s">
        <v>183</v>
      </c>
      <c r="E36" s="4" t="s">
        <v>15</v>
      </c>
      <c r="F36" s="4" t="s">
        <v>184</v>
      </c>
      <c r="G36" s="4" t="s">
        <v>185</v>
      </c>
      <c r="H36" s="4" t="s">
        <v>18</v>
      </c>
      <c r="I36" s="4" t="s">
        <v>30</v>
      </c>
      <c r="J36" s="4">
        <v>50</v>
      </c>
      <c r="L36" s="4">
        <v>10</v>
      </c>
    </row>
    <row r="37" spans="1:12">
      <c r="A37" s="3">
        <v>43985.372148159724</v>
      </c>
      <c r="B37" s="4" t="s">
        <v>122</v>
      </c>
      <c r="C37" s="4" t="s">
        <v>186</v>
      </c>
      <c r="D37" s="4" t="s">
        <v>187</v>
      </c>
      <c r="E37" s="4" t="s">
        <v>15</v>
      </c>
      <c r="F37" s="4" t="s">
        <v>188</v>
      </c>
      <c r="G37" s="4" t="s">
        <v>189</v>
      </c>
      <c r="H37" s="4" t="s">
        <v>18</v>
      </c>
      <c r="I37" s="4" t="s">
        <v>30</v>
      </c>
      <c r="J37" s="4">
        <v>70</v>
      </c>
      <c r="K37" s="4" t="s">
        <v>190</v>
      </c>
      <c r="L37" s="4">
        <v>4</v>
      </c>
    </row>
    <row r="38" spans="1:12">
      <c r="A38" s="3">
        <v>43985.399547824076</v>
      </c>
      <c r="B38" s="4" t="s">
        <v>117</v>
      </c>
      <c r="C38" s="4" t="s">
        <v>191</v>
      </c>
      <c r="D38" s="4" t="s">
        <v>192</v>
      </c>
      <c r="E38" s="4" t="s">
        <v>15</v>
      </c>
      <c r="F38" s="4" t="s">
        <v>193</v>
      </c>
      <c r="G38" s="4" t="s">
        <v>194</v>
      </c>
      <c r="H38" s="4" t="s">
        <v>18</v>
      </c>
      <c r="I38" s="4" t="s">
        <v>19</v>
      </c>
      <c r="J38" s="4">
        <v>130</v>
      </c>
      <c r="L38" s="4">
        <v>10</v>
      </c>
    </row>
    <row r="39" spans="1:12">
      <c r="A39" s="3">
        <v>43985.615302662038</v>
      </c>
      <c r="B39" s="4" t="s">
        <v>12</v>
      </c>
      <c r="C39" s="4" t="s">
        <v>195</v>
      </c>
      <c r="D39" s="4" t="s">
        <v>196</v>
      </c>
      <c r="E39" s="4" t="s">
        <v>15</v>
      </c>
      <c r="F39" s="4" t="s">
        <v>197</v>
      </c>
      <c r="G39" s="4" t="s">
        <v>198</v>
      </c>
      <c r="H39" s="4" t="s">
        <v>91</v>
      </c>
      <c r="J39" s="4">
        <v>140</v>
      </c>
      <c r="L39" s="4">
        <v>12</v>
      </c>
    </row>
    <row r="40" spans="1:12">
      <c r="A40" s="3">
        <v>43985.382054467591</v>
      </c>
      <c r="B40" s="4" t="s">
        <v>66</v>
      </c>
      <c r="C40" s="4" t="s">
        <v>199</v>
      </c>
      <c r="D40" s="4" t="s">
        <v>200</v>
      </c>
      <c r="E40" s="4" t="s">
        <v>15</v>
      </c>
      <c r="F40" s="4" t="s">
        <v>201</v>
      </c>
      <c r="G40" s="4">
        <v>5747530404</v>
      </c>
      <c r="H40" s="4" t="s">
        <v>18</v>
      </c>
      <c r="I40" s="4" t="s">
        <v>30</v>
      </c>
      <c r="J40" s="4">
        <v>116</v>
      </c>
      <c r="L40" s="4">
        <v>5</v>
      </c>
    </row>
    <row r="41" spans="1:12">
      <c r="A41" s="3">
        <v>43985.516098854168</v>
      </c>
      <c r="B41" s="4" t="s">
        <v>31</v>
      </c>
      <c r="C41" s="4" t="s">
        <v>202</v>
      </c>
      <c r="D41" s="4" t="s">
        <v>203</v>
      </c>
      <c r="E41" s="4" t="s">
        <v>15</v>
      </c>
      <c r="F41" s="4" t="s">
        <v>204</v>
      </c>
      <c r="G41" s="4" t="s">
        <v>205</v>
      </c>
      <c r="H41" s="4" t="s">
        <v>91</v>
      </c>
      <c r="J41" s="4">
        <v>75</v>
      </c>
      <c r="L41" s="4">
        <v>10</v>
      </c>
    </row>
    <row r="42" spans="1:12">
      <c r="A42" s="3">
        <v>43985.410095567131</v>
      </c>
      <c r="B42" s="4" t="s">
        <v>117</v>
      </c>
      <c r="C42" s="4" t="s">
        <v>206</v>
      </c>
      <c r="D42" s="4" t="s">
        <v>207</v>
      </c>
      <c r="E42" s="4" t="s">
        <v>15</v>
      </c>
      <c r="F42" s="4" t="s">
        <v>208</v>
      </c>
      <c r="G42" s="4" t="s">
        <v>209</v>
      </c>
      <c r="H42" s="4" t="s">
        <v>18</v>
      </c>
      <c r="I42" s="4" t="s">
        <v>19</v>
      </c>
      <c r="J42" s="4">
        <v>60</v>
      </c>
      <c r="L42" s="4">
        <v>10</v>
      </c>
    </row>
    <row r="43" spans="1:12">
      <c r="A43" s="3">
        <v>43985.421383020832</v>
      </c>
      <c r="B43" s="4" t="s">
        <v>136</v>
      </c>
      <c r="C43" s="4" t="s">
        <v>210</v>
      </c>
      <c r="D43" s="4" t="s">
        <v>211</v>
      </c>
      <c r="E43" s="4" t="s">
        <v>15</v>
      </c>
      <c r="F43" s="4" t="s">
        <v>212</v>
      </c>
      <c r="G43" s="4" t="s">
        <v>213</v>
      </c>
      <c r="H43" s="4" t="s">
        <v>91</v>
      </c>
      <c r="J43" s="4">
        <v>60</v>
      </c>
      <c r="L43" s="4">
        <v>3</v>
      </c>
    </row>
    <row r="44" spans="1:12">
      <c r="A44" s="3">
        <v>43985.545159351852</v>
      </c>
      <c r="B44" s="4" t="s">
        <v>131</v>
      </c>
      <c r="C44" s="4" t="s">
        <v>214</v>
      </c>
      <c r="D44" s="4" t="s">
        <v>215</v>
      </c>
      <c r="E44" s="4" t="s">
        <v>15</v>
      </c>
      <c r="F44" s="4" t="s">
        <v>216</v>
      </c>
      <c r="G44" s="4" t="s">
        <v>217</v>
      </c>
      <c r="H44" s="4" t="s">
        <v>91</v>
      </c>
      <c r="I44" s="4" t="s">
        <v>30</v>
      </c>
      <c r="J44" s="4">
        <v>110</v>
      </c>
      <c r="L44" s="4">
        <v>8</v>
      </c>
    </row>
    <row r="45" spans="1:12">
      <c r="A45" s="3">
        <v>43985.566070312503</v>
      </c>
      <c r="B45" s="4" t="s">
        <v>66</v>
      </c>
      <c r="C45" s="4" t="s">
        <v>218</v>
      </c>
      <c r="D45" s="4" t="s">
        <v>219</v>
      </c>
      <c r="E45" s="4" t="s">
        <v>15</v>
      </c>
      <c r="F45" s="4" t="s">
        <v>220</v>
      </c>
      <c r="G45" s="4" t="s">
        <v>221</v>
      </c>
      <c r="H45" s="4" t="s">
        <v>18</v>
      </c>
      <c r="J45" s="4">
        <v>112</v>
      </c>
      <c r="L45" s="4">
        <v>10</v>
      </c>
    </row>
    <row r="46" spans="1:12">
      <c r="A46" s="3">
        <v>43985.617431076389</v>
      </c>
      <c r="B46" s="4" t="s">
        <v>12</v>
      </c>
      <c r="C46" s="4" t="s">
        <v>222</v>
      </c>
      <c r="D46" s="4" t="s">
        <v>223</v>
      </c>
      <c r="E46" s="4" t="s">
        <v>15</v>
      </c>
      <c r="F46" s="4" t="s">
        <v>224</v>
      </c>
      <c r="G46" s="4" t="s">
        <v>225</v>
      </c>
      <c r="H46" s="4" t="s">
        <v>18</v>
      </c>
      <c r="I46" s="4" t="s">
        <v>19</v>
      </c>
      <c r="J46" s="4">
        <v>60</v>
      </c>
      <c r="L46" s="4">
        <v>12</v>
      </c>
    </row>
    <row r="47" spans="1:12">
      <c r="A47" s="3">
        <v>43985.574910925927</v>
      </c>
      <c r="B47" s="4" t="s">
        <v>66</v>
      </c>
      <c r="C47" s="4" t="s">
        <v>226</v>
      </c>
      <c r="D47" s="4" t="s">
        <v>227</v>
      </c>
      <c r="E47" s="4" t="s">
        <v>15</v>
      </c>
      <c r="F47" s="4" t="s">
        <v>228</v>
      </c>
      <c r="G47" s="4" t="s">
        <v>229</v>
      </c>
      <c r="H47" s="4" t="s">
        <v>91</v>
      </c>
      <c r="L47" s="4">
        <v>5</v>
      </c>
    </row>
    <row r="48" spans="1:12">
      <c r="A48" s="3">
        <v>43985.544778854164</v>
      </c>
      <c r="B48" s="4" t="s">
        <v>25</v>
      </c>
      <c r="C48" s="4" t="s">
        <v>230</v>
      </c>
      <c r="D48" s="4" t="s">
        <v>231</v>
      </c>
      <c r="E48" s="4" t="s">
        <v>15</v>
      </c>
      <c r="F48" s="4" t="s">
        <v>232</v>
      </c>
      <c r="G48" s="4" t="s">
        <v>233</v>
      </c>
      <c r="H48" s="4" t="s">
        <v>18</v>
      </c>
      <c r="I48" s="4" t="s">
        <v>19</v>
      </c>
      <c r="J48" s="4">
        <v>50</v>
      </c>
      <c r="L48" s="4">
        <v>15</v>
      </c>
    </row>
    <row r="49" spans="1:12">
      <c r="A49" s="3">
        <v>43985.435307094907</v>
      </c>
      <c r="B49" s="4" t="s">
        <v>102</v>
      </c>
      <c r="C49" s="4" t="s">
        <v>234</v>
      </c>
      <c r="D49" s="4" t="s">
        <v>235</v>
      </c>
      <c r="E49" s="4" t="s">
        <v>15</v>
      </c>
      <c r="F49" s="4" t="s">
        <v>236</v>
      </c>
      <c r="G49" s="4" t="s">
        <v>237</v>
      </c>
      <c r="H49" s="4" t="s">
        <v>91</v>
      </c>
      <c r="J49" s="4">
        <v>125</v>
      </c>
      <c r="K49" s="4" t="s">
        <v>238</v>
      </c>
      <c r="L49" s="4">
        <v>6</v>
      </c>
    </row>
    <row r="50" spans="1:12">
      <c r="A50" s="3">
        <v>43985.425439444443</v>
      </c>
      <c r="B50" s="4" t="s">
        <v>25</v>
      </c>
      <c r="C50" s="4" t="s">
        <v>239</v>
      </c>
      <c r="D50" s="4" t="s">
        <v>240</v>
      </c>
      <c r="E50" s="4" t="s">
        <v>15</v>
      </c>
      <c r="F50" s="4" t="s">
        <v>241</v>
      </c>
      <c r="G50" s="4" t="s">
        <v>242</v>
      </c>
      <c r="H50" s="4" t="s">
        <v>18</v>
      </c>
      <c r="I50" s="4" t="s">
        <v>30</v>
      </c>
      <c r="J50" s="4">
        <v>10</v>
      </c>
      <c r="K50" s="4" t="s">
        <v>243</v>
      </c>
      <c r="L50" s="4">
        <v>10</v>
      </c>
    </row>
    <row r="51" spans="1:12">
      <c r="A51" s="3">
        <v>43985.517811226848</v>
      </c>
      <c r="B51" s="4" t="s">
        <v>31</v>
      </c>
      <c r="C51" s="4" t="s">
        <v>244</v>
      </c>
      <c r="D51" s="4" t="s">
        <v>245</v>
      </c>
      <c r="E51" s="4" t="s">
        <v>74</v>
      </c>
      <c r="F51" s="4" t="s">
        <v>246</v>
      </c>
      <c r="G51" s="4" t="s">
        <v>247</v>
      </c>
      <c r="H51" s="4" t="s">
        <v>18</v>
      </c>
      <c r="I51" s="4" t="s">
        <v>19</v>
      </c>
      <c r="J51" s="4">
        <v>120</v>
      </c>
      <c r="L51" s="4">
        <v>15</v>
      </c>
    </row>
    <row r="52" spans="1:12">
      <c r="A52" s="3">
        <v>43985.435079537041</v>
      </c>
      <c r="B52" s="4" t="s">
        <v>136</v>
      </c>
      <c r="C52" s="4" t="s">
        <v>248</v>
      </c>
      <c r="D52" s="4" t="s">
        <v>249</v>
      </c>
      <c r="E52" s="4" t="s">
        <v>15</v>
      </c>
      <c r="F52" s="4" t="s">
        <v>250</v>
      </c>
      <c r="G52" s="4" t="s">
        <v>251</v>
      </c>
      <c r="H52" s="4" t="s">
        <v>18</v>
      </c>
      <c r="I52" s="4" t="s">
        <v>19</v>
      </c>
      <c r="J52" s="4">
        <v>60</v>
      </c>
      <c r="K52" s="4" t="s">
        <v>252</v>
      </c>
      <c r="L52" s="4">
        <v>16</v>
      </c>
    </row>
    <row r="53" spans="1:12">
      <c r="A53" s="3">
        <v>43985.450245300926</v>
      </c>
      <c r="B53" s="4" t="s">
        <v>131</v>
      </c>
      <c r="C53" s="4" t="s">
        <v>253</v>
      </c>
      <c r="D53" s="4" t="s">
        <v>254</v>
      </c>
      <c r="E53" s="4" t="s">
        <v>74</v>
      </c>
      <c r="F53" s="4" t="s">
        <v>255</v>
      </c>
      <c r="G53" s="4" t="s">
        <v>256</v>
      </c>
      <c r="H53" s="4" t="s">
        <v>18</v>
      </c>
      <c r="I53" s="4" t="s">
        <v>30</v>
      </c>
      <c r="J53" s="4">
        <v>240</v>
      </c>
      <c r="L53" s="4">
        <v>6</v>
      </c>
    </row>
    <row r="54" spans="1:12">
      <c r="A54" s="3">
        <v>43985.471637210649</v>
      </c>
      <c r="B54" s="4" t="s">
        <v>117</v>
      </c>
      <c r="C54" s="4" t="s">
        <v>257</v>
      </c>
      <c r="D54" s="4" t="s">
        <v>258</v>
      </c>
      <c r="E54" s="4" t="s">
        <v>15</v>
      </c>
      <c r="F54" s="4" t="s">
        <v>259</v>
      </c>
      <c r="G54" s="4" t="s">
        <v>260</v>
      </c>
      <c r="H54" s="4" t="s">
        <v>18</v>
      </c>
      <c r="I54" s="4" t="s">
        <v>30</v>
      </c>
      <c r="J54" s="4">
        <v>200</v>
      </c>
      <c r="L54" s="4">
        <v>5</v>
      </c>
    </row>
    <row r="55" spans="1:12">
      <c r="A55" s="3">
        <v>43985.538740717588</v>
      </c>
      <c r="B55" s="4" t="s">
        <v>31</v>
      </c>
      <c r="C55" s="4" t="s">
        <v>261</v>
      </c>
      <c r="D55" s="4" t="s">
        <v>262</v>
      </c>
      <c r="E55" s="4" t="s">
        <v>15</v>
      </c>
      <c r="F55" s="4" t="s">
        <v>263</v>
      </c>
      <c r="G55" s="4" t="s">
        <v>264</v>
      </c>
      <c r="H55" s="4" t="s">
        <v>18</v>
      </c>
      <c r="I55" s="4" t="s">
        <v>19</v>
      </c>
      <c r="J55" s="4">
        <v>20</v>
      </c>
      <c r="K55" s="4" t="s">
        <v>265</v>
      </c>
      <c r="L55" s="4">
        <v>60</v>
      </c>
    </row>
    <row r="56" spans="1:12">
      <c r="A56" s="3">
        <v>43985.434764907404</v>
      </c>
      <c r="B56" s="4" t="s">
        <v>117</v>
      </c>
      <c r="C56" s="4" t="s">
        <v>266</v>
      </c>
      <c r="D56" s="4" t="s">
        <v>267</v>
      </c>
      <c r="E56" s="4" t="s">
        <v>15</v>
      </c>
      <c r="F56" s="4" t="s">
        <v>268</v>
      </c>
      <c r="G56" s="4" t="s">
        <v>269</v>
      </c>
      <c r="H56" s="4" t="s">
        <v>91</v>
      </c>
      <c r="I56" s="4" t="s">
        <v>30</v>
      </c>
      <c r="J56" s="4">
        <v>60</v>
      </c>
      <c r="L56" s="4">
        <v>6</v>
      </c>
    </row>
    <row r="57" spans="1:12">
      <c r="A57" s="3">
        <v>43985.539814675925</v>
      </c>
      <c r="B57" s="4" t="s">
        <v>25</v>
      </c>
      <c r="C57" s="4" t="s">
        <v>270</v>
      </c>
      <c r="D57" s="4" t="s">
        <v>271</v>
      </c>
      <c r="E57" s="4" t="s">
        <v>15</v>
      </c>
      <c r="F57" s="4" t="s">
        <v>272</v>
      </c>
      <c r="G57" s="4" t="s">
        <v>273</v>
      </c>
      <c r="H57" s="4" t="s">
        <v>18</v>
      </c>
      <c r="I57" s="4" t="s">
        <v>30</v>
      </c>
      <c r="J57" s="4">
        <v>80</v>
      </c>
      <c r="L57" s="4">
        <v>10</v>
      </c>
    </row>
    <row r="58" spans="1:12">
      <c r="A58" s="3">
        <v>43985.5469069213</v>
      </c>
      <c r="B58" s="4" t="s">
        <v>31</v>
      </c>
      <c r="C58" s="4" t="s">
        <v>274</v>
      </c>
      <c r="D58" s="4" t="s">
        <v>275</v>
      </c>
      <c r="E58" s="4" t="s">
        <v>15</v>
      </c>
      <c r="F58" s="4" t="s">
        <v>276</v>
      </c>
      <c r="G58" s="4" t="s">
        <v>277</v>
      </c>
      <c r="H58" s="4" t="s">
        <v>18</v>
      </c>
      <c r="I58" s="4" t="s">
        <v>19</v>
      </c>
      <c r="J58" s="4">
        <v>63</v>
      </c>
      <c r="K58" s="4" t="s">
        <v>278</v>
      </c>
      <c r="L58" s="4">
        <v>15</v>
      </c>
    </row>
    <row r="59" spans="1:12">
      <c r="A59" s="3">
        <v>43985.521379444443</v>
      </c>
      <c r="B59" s="4" t="s">
        <v>31</v>
      </c>
      <c r="C59" s="4" t="s">
        <v>279</v>
      </c>
      <c r="D59" s="4" t="s">
        <v>280</v>
      </c>
      <c r="E59" s="4" t="s">
        <v>15</v>
      </c>
      <c r="F59" s="4" t="s">
        <v>281</v>
      </c>
      <c r="G59" s="4" t="s">
        <v>282</v>
      </c>
      <c r="H59" s="4" t="s">
        <v>91</v>
      </c>
      <c r="J59" s="4">
        <v>87</v>
      </c>
      <c r="L59" s="4">
        <v>10</v>
      </c>
    </row>
    <row r="60" spans="1:12">
      <c r="A60" s="3">
        <v>43985.457664479167</v>
      </c>
      <c r="B60" s="4" t="s">
        <v>117</v>
      </c>
      <c r="C60" s="4" t="s">
        <v>283</v>
      </c>
      <c r="D60" s="4" t="s">
        <v>284</v>
      </c>
      <c r="E60" s="4" t="s">
        <v>15</v>
      </c>
      <c r="F60" s="4" t="s">
        <v>285</v>
      </c>
      <c r="G60" s="4" t="s">
        <v>286</v>
      </c>
      <c r="H60" s="4" t="s">
        <v>18</v>
      </c>
      <c r="I60" s="4" t="s">
        <v>30</v>
      </c>
      <c r="J60" s="4">
        <v>75</v>
      </c>
      <c r="L60" s="4">
        <v>11</v>
      </c>
    </row>
    <row r="61" spans="1:12">
      <c r="A61" s="3">
        <v>43985.466846481482</v>
      </c>
      <c r="B61" s="4" t="s">
        <v>117</v>
      </c>
      <c r="C61" s="4" t="s">
        <v>287</v>
      </c>
      <c r="D61" s="4" t="s">
        <v>288</v>
      </c>
      <c r="E61" s="4" t="s">
        <v>289</v>
      </c>
      <c r="F61" s="4" t="s">
        <v>290</v>
      </c>
      <c r="G61" s="4" t="s">
        <v>291</v>
      </c>
      <c r="H61" s="4" t="s">
        <v>18</v>
      </c>
      <c r="I61" s="4" t="s">
        <v>30</v>
      </c>
      <c r="J61" s="4">
        <v>30</v>
      </c>
      <c r="L61" s="4">
        <v>6</v>
      </c>
    </row>
    <row r="62" spans="1:12">
      <c r="A62" s="3">
        <v>43985.445023888889</v>
      </c>
      <c r="B62" s="4" t="s">
        <v>136</v>
      </c>
      <c r="C62" s="4" t="s">
        <v>292</v>
      </c>
      <c r="D62" s="4" t="s">
        <v>293</v>
      </c>
      <c r="E62" s="4" t="s">
        <v>15</v>
      </c>
      <c r="F62" s="4" t="s">
        <v>294</v>
      </c>
      <c r="G62" s="4" t="s">
        <v>295</v>
      </c>
      <c r="H62" s="4" t="s">
        <v>18</v>
      </c>
      <c r="I62" s="4" t="s">
        <v>19</v>
      </c>
      <c r="J62" s="4">
        <v>100</v>
      </c>
      <c r="K62" s="4" t="s">
        <v>296</v>
      </c>
      <c r="L62" s="4">
        <v>9</v>
      </c>
    </row>
    <row r="63" spans="1:12">
      <c r="A63" s="3">
        <v>43985.51928709491</v>
      </c>
      <c r="B63" s="4" t="s">
        <v>31</v>
      </c>
      <c r="C63" s="4" t="s">
        <v>297</v>
      </c>
      <c r="D63" s="4" t="s">
        <v>298</v>
      </c>
      <c r="E63" s="4" t="s">
        <v>15</v>
      </c>
      <c r="F63" s="4" t="s">
        <v>299</v>
      </c>
      <c r="G63" s="4" t="s">
        <v>300</v>
      </c>
      <c r="H63" s="4" t="s">
        <v>18</v>
      </c>
      <c r="I63" s="4" t="s">
        <v>19</v>
      </c>
      <c r="J63" s="4">
        <v>52</v>
      </c>
    </row>
    <row r="64" spans="1:12">
      <c r="A64" s="3">
        <v>43985.557807152778</v>
      </c>
      <c r="B64" s="4" t="s">
        <v>117</v>
      </c>
      <c r="C64" s="4" t="s">
        <v>301</v>
      </c>
      <c r="D64" s="4" t="s">
        <v>302</v>
      </c>
      <c r="E64" s="4" t="s">
        <v>15</v>
      </c>
      <c r="F64" s="4" t="s">
        <v>303</v>
      </c>
      <c r="G64" s="4" t="s">
        <v>304</v>
      </c>
      <c r="H64" s="4" t="s">
        <v>18</v>
      </c>
      <c r="I64" s="4" t="s">
        <v>30</v>
      </c>
      <c r="J64" s="4">
        <v>50</v>
      </c>
      <c r="L64" s="4">
        <v>7</v>
      </c>
    </row>
    <row r="65" spans="1:12">
      <c r="A65" s="3">
        <v>43985.454659374998</v>
      </c>
      <c r="B65" s="4" t="s">
        <v>136</v>
      </c>
      <c r="C65" s="4" t="s">
        <v>305</v>
      </c>
      <c r="D65" s="4" t="s">
        <v>306</v>
      </c>
      <c r="E65" s="4" t="s">
        <v>15</v>
      </c>
      <c r="F65" s="4" t="s">
        <v>307</v>
      </c>
      <c r="G65" s="4" t="s">
        <v>308</v>
      </c>
      <c r="H65" s="4" t="s">
        <v>18</v>
      </c>
      <c r="I65" s="4" t="s">
        <v>30</v>
      </c>
      <c r="J65" s="4">
        <v>50</v>
      </c>
      <c r="L65" s="4">
        <v>7</v>
      </c>
    </row>
    <row r="66" spans="1:12">
      <c r="A66" s="3">
        <v>43985.540837256944</v>
      </c>
      <c r="B66" s="4" t="s">
        <v>31</v>
      </c>
      <c r="C66" s="4" t="s">
        <v>309</v>
      </c>
      <c r="D66" s="4" t="s">
        <v>310</v>
      </c>
      <c r="E66" s="4" t="s">
        <v>15</v>
      </c>
      <c r="F66" s="4" t="s">
        <v>311</v>
      </c>
      <c r="G66" s="4" t="s">
        <v>312</v>
      </c>
      <c r="H66" s="4" t="s">
        <v>18</v>
      </c>
      <c r="I66" s="4" t="s">
        <v>19</v>
      </c>
      <c r="J66" s="4">
        <v>230</v>
      </c>
      <c r="K66" s="4" t="s">
        <v>313</v>
      </c>
      <c r="L66" s="4">
        <v>10</v>
      </c>
    </row>
    <row r="67" spans="1:12">
      <c r="A67" s="3">
        <v>43985.404673796293</v>
      </c>
      <c r="B67" s="4" t="s">
        <v>151</v>
      </c>
      <c r="C67" s="4" t="s">
        <v>314</v>
      </c>
      <c r="D67" s="4" t="s">
        <v>315</v>
      </c>
      <c r="E67" s="4" t="s">
        <v>74</v>
      </c>
      <c r="F67" s="4" t="s">
        <v>316</v>
      </c>
      <c r="G67" s="4" t="s">
        <v>317</v>
      </c>
      <c r="H67" s="4" t="s">
        <v>54</v>
      </c>
      <c r="I67" s="4" t="s">
        <v>30</v>
      </c>
      <c r="K67" s="4" t="s">
        <v>318</v>
      </c>
      <c r="L67" s="4">
        <v>5</v>
      </c>
    </row>
    <row r="68" spans="1:12">
      <c r="A68" s="3">
        <v>43985.399426006945</v>
      </c>
      <c r="B68" s="4" t="s">
        <v>151</v>
      </c>
      <c r="C68" s="4" t="s">
        <v>319</v>
      </c>
      <c r="D68" s="4" t="s">
        <v>320</v>
      </c>
      <c r="E68" s="4" t="s">
        <v>74</v>
      </c>
      <c r="F68" s="4" t="s">
        <v>321</v>
      </c>
      <c r="G68" s="4" t="s">
        <v>317</v>
      </c>
      <c r="H68" s="4" t="s">
        <v>54</v>
      </c>
      <c r="I68" s="4" t="s">
        <v>30</v>
      </c>
      <c r="K68" s="4" t="s">
        <v>322</v>
      </c>
      <c r="L68" s="4">
        <v>5</v>
      </c>
    </row>
    <row r="69" spans="1:12">
      <c r="A69" s="3">
        <v>43985.466095057869</v>
      </c>
      <c r="B69" s="4" t="s">
        <v>136</v>
      </c>
      <c r="C69" s="4" t="s">
        <v>323</v>
      </c>
      <c r="D69" s="4" t="s">
        <v>324</v>
      </c>
      <c r="E69" s="4" t="s">
        <v>74</v>
      </c>
      <c r="F69" s="4" t="s">
        <v>325</v>
      </c>
      <c r="G69" s="4" t="s">
        <v>326</v>
      </c>
      <c r="H69" s="4" t="s">
        <v>18</v>
      </c>
      <c r="I69" s="4" t="s">
        <v>19</v>
      </c>
      <c r="J69" s="4">
        <v>55</v>
      </c>
      <c r="K69" s="4" t="s">
        <v>327</v>
      </c>
      <c r="L69" s="4">
        <v>13</v>
      </c>
    </row>
    <row r="70" spans="1:12">
      <c r="A70" s="3">
        <v>43985.437464247691</v>
      </c>
      <c r="B70" s="4" t="s">
        <v>25</v>
      </c>
      <c r="C70" s="4" t="s">
        <v>328</v>
      </c>
      <c r="D70" s="4" t="s">
        <v>329</v>
      </c>
      <c r="E70" s="4" t="s">
        <v>15</v>
      </c>
      <c r="F70" s="4" t="s">
        <v>330</v>
      </c>
      <c r="G70" s="4" t="s">
        <v>331</v>
      </c>
      <c r="H70" s="4" t="s">
        <v>18</v>
      </c>
      <c r="I70" s="4" t="s">
        <v>30</v>
      </c>
      <c r="J70" s="4">
        <v>81</v>
      </c>
      <c r="L70" s="4">
        <v>10</v>
      </c>
    </row>
    <row r="71" spans="1:12">
      <c r="A71" s="3">
        <v>43985.454657372684</v>
      </c>
      <c r="B71" s="4" t="s">
        <v>102</v>
      </c>
      <c r="C71" s="4" t="s">
        <v>332</v>
      </c>
      <c r="D71" s="4" t="s">
        <v>333</v>
      </c>
      <c r="E71" s="4" t="s">
        <v>15</v>
      </c>
      <c r="F71" s="4" t="s">
        <v>334</v>
      </c>
      <c r="G71" s="4">
        <v>8128472221</v>
      </c>
      <c r="H71" s="4" t="s">
        <v>18</v>
      </c>
      <c r="I71" s="4" t="s">
        <v>30</v>
      </c>
      <c r="J71" s="4">
        <v>200</v>
      </c>
      <c r="L71" s="4">
        <v>14</v>
      </c>
    </row>
    <row r="72" spans="1:12">
      <c r="A72" s="3">
        <v>43985.619283020831</v>
      </c>
      <c r="B72" s="4" t="s">
        <v>12</v>
      </c>
      <c r="C72" s="4" t="s">
        <v>335</v>
      </c>
      <c r="D72" s="4" t="s">
        <v>336</v>
      </c>
      <c r="E72" s="4" t="s">
        <v>15</v>
      </c>
      <c r="F72" s="4" t="s">
        <v>337</v>
      </c>
      <c r="G72" s="4" t="s">
        <v>338</v>
      </c>
      <c r="H72" s="4" t="s">
        <v>91</v>
      </c>
      <c r="J72" s="4">
        <v>230</v>
      </c>
      <c r="L72" s="4">
        <v>10</v>
      </c>
    </row>
    <row r="73" spans="1:12">
      <c r="A73" s="3">
        <v>43985.595717060191</v>
      </c>
      <c r="B73" s="4" t="s">
        <v>136</v>
      </c>
      <c r="C73" s="4" t="s">
        <v>339</v>
      </c>
      <c r="D73" s="4" t="s">
        <v>340</v>
      </c>
      <c r="E73" s="4" t="s">
        <v>15</v>
      </c>
      <c r="F73" s="4" t="s">
        <v>341</v>
      </c>
      <c r="G73" s="4" t="s">
        <v>342</v>
      </c>
      <c r="H73" s="4" t="s">
        <v>18</v>
      </c>
      <c r="J73" s="4">
        <v>104</v>
      </c>
      <c r="K73" s="4" t="s">
        <v>343</v>
      </c>
      <c r="L73" s="4">
        <v>5</v>
      </c>
    </row>
    <row r="74" spans="1:12">
      <c r="A74" s="3">
        <v>43985.537568402782</v>
      </c>
      <c r="B74" s="4" t="s">
        <v>102</v>
      </c>
      <c r="C74" s="4" t="s">
        <v>344</v>
      </c>
      <c r="D74" s="4" t="s">
        <v>345</v>
      </c>
      <c r="E74" s="4" t="s">
        <v>15</v>
      </c>
      <c r="F74" s="4" t="s">
        <v>346</v>
      </c>
      <c r="G74" s="4" t="s">
        <v>347</v>
      </c>
      <c r="H74" s="4" t="s">
        <v>18</v>
      </c>
      <c r="I74" s="4" t="s">
        <v>19</v>
      </c>
      <c r="J74" s="4">
        <v>80</v>
      </c>
      <c r="K74" s="4" t="s">
        <v>348</v>
      </c>
      <c r="L74" s="4">
        <v>13</v>
      </c>
    </row>
    <row r="75" spans="1:12">
      <c r="A75" s="3">
        <v>43985.503987037038</v>
      </c>
      <c r="B75" s="4" t="s">
        <v>131</v>
      </c>
      <c r="C75" s="4" t="s">
        <v>349</v>
      </c>
      <c r="D75" s="4" t="s">
        <v>350</v>
      </c>
      <c r="E75" s="4" t="s">
        <v>15</v>
      </c>
      <c r="F75" s="4" t="s">
        <v>351</v>
      </c>
      <c r="G75" s="4" t="s">
        <v>352</v>
      </c>
      <c r="H75" s="4" t="s">
        <v>18</v>
      </c>
      <c r="I75" s="4" t="s">
        <v>30</v>
      </c>
      <c r="J75" s="4">
        <v>200</v>
      </c>
      <c r="L75" s="4">
        <v>15</v>
      </c>
    </row>
    <row r="76" spans="1:12">
      <c r="A76" s="3">
        <v>43985.511031863425</v>
      </c>
      <c r="B76" s="4" t="s">
        <v>117</v>
      </c>
      <c r="C76" s="4" t="s">
        <v>353</v>
      </c>
      <c r="D76" s="4" t="s">
        <v>354</v>
      </c>
      <c r="E76" s="4" t="s">
        <v>15</v>
      </c>
      <c r="F76" s="4" t="s">
        <v>355</v>
      </c>
      <c r="G76" s="4" t="s">
        <v>356</v>
      </c>
      <c r="H76" s="4" t="s">
        <v>18</v>
      </c>
      <c r="I76" s="4" t="s">
        <v>30</v>
      </c>
      <c r="J76" s="4">
        <v>95</v>
      </c>
      <c r="L76" s="4">
        <v>4</v>
      </c>
    </row>
    <row r="77" spans="1:12">
      <c r="A77" s="3">
        <v>43985.475564328706</v>
      </c>
      <c r="B77" s="4" t="s">
        <v>25</v>
      </c>
      <c r="C77" s="4" t="s">
        <v>357</v>
      </c>
      <c r="D77" s="4" t="s">
        <v>358</v>
      </c>
      <c r="E77" s="4" t="s">
        <v>15</v>
      </c>
      <c r="F77" s="4" t="s">
        <v>359</v>
      </c>
      <c r="G77" s="4" t="s">
        <v>360</v>
      </c>
      <c r="H77" s="4" t="s">
        <v>91</v>
      </c>
      <c r="I77" s="4" t="s">
        <v>30</v>
      </c>
      <c r="J77" s="4">
        <v>170</v>
      </c>
      <c r="L77" s="4">
        <v>12</v>
      </c>
    </row>
    <row r="78" spans="1:12">
      <c r="A78" s="3">
        <v>43985.581722118055</v>
      </c>
      <c r="B78" s="4" t="s">
        <v>117</v>
      </c>
      <c r="C78" s="4" t="s">
        <v>361</v>
      </c>
      <c r="D78" s="4" t="s">
        <v>362</v>
      </c>
      <c r="E78" s="4" t="s">
        <v>15</v>
      </c>
      <c r="F78" s="4" t="s">
        <v>363</v>
      </c>
      <c r="G78" s="4" t="s">
        <v>364</v>
      </c>
      <c r="H78" s="4" t="s">
        <v>18</v>
      </c>
      <c r="I78" s="4" t="s">
        <v>19</v>
      </c>
      <c r="J78" s="4">
        <v>100</v>
      </c>
      <c r="L78" s="4">
        <v>23</v>
      </c>
    </row>
    <row r="79" spans="1:12">
      <c r="A79" s="3">
        <v>43985.432817361114</v>
      </c>
      <c r="B79" s="4" t="s">
        <v>122</v>
      </c>
      <c r="C79" s="4" t="s">
        <v>365</v>
      </c>
      <c r="D79" s="4" t="s">
        <v>366</v>
      </c>
      <c r="E79" s="4" t="s">
        <v>15</v>
      </c>
      <c r="F79" s="4" t="s">
        <v>367</v>
      </c>
      <c r="G79" s="4" t="s">
        <v>368</v>
      </c>
      <c r="H79" s="4" t="s">
        <v>18</v>
      </c>
      <c r="I79" s="4" t="s">
        <v>19</v>
      </c>
      <c r="J79" s="4">
        <v>145</v>
      </c>
      <c r="K79" s="4" t="s">
        <v>369</v>
      </c>
      <c r="L79" s="4">
        <v>9</v>
      </c>
    </row>
    <row r="80" spans="1:12">
      <c r="A80" s="3">
        <v>43985.568182708332</v>
      </c>
      <c r="B80" s="4" t="s">
        <v>131</v>
      </c>
      <c r="C80" s="4" t="s">
        <v>370</v>
      </c>
      <c r="D80" s="4" t="s">
        <v>371</v>
      </c>
      <c r="E80" s="4" t="s">
        <v>15</v>
      </c>
      <c r="F80" s="4" t="s">
        <v>372</v>
      </c>
      <c r="G80" s="4" t="s">
        <v>373</v>
      </c>
      <c r="H80" s="4" t="s">
        <v>18</v>
      </c>
      <c r="I80" s="4" t="s">
        <v>19</v>
      </c>
      <c r="J80" s="4">
        <v>350</v>
      </c>
      <c r="L80" s="4">
        <v>5</v>
      </c>
    </row>
    <row r="81" spans="1:12">
      <c r="A81" s="3">
        <v>43985.550887789352</v>
      </c>
      <c r="B81" s="4" t="s">
        <v>117</v>
      </c>
      <c r="C81" s="4" t="s">
        <v>374</v>
      </c>
      <c r="D81" s="4" t="s">
        <v>375</v>
      </c>
      <c r="E81" s="4" t="s">
        <v>15</v>
      </c>
      <c r="F81" s="4" t="s">
        <v>376</v>
      </c>
      <c r="G81" s="4" t="s">
        <v>377</v>
      </c>
      <c r="H81" s="4" t="s">
        <v>18</v>
      </c>
      <c r="I81" s="4" t="s">
        <v>30</v>
      </c>
      <c r="J81" s="4">
        <v>300</v>
      </c>
      <c r="L81" s="4">
        <v>14</v>
      </c>
    </row>
    <row r="82" spans="1:12">
      <c r="A82" s="3">
        <v>43985.495065370371</v>
      </c>
      <c r="B82" s="4" t="s">
        <v>25</v>
      </c>
      <c r="C82" s="4" t="s">
        <v>378</v>
      </c>
      <c r="D82" s="4" t="s">
        <v>379</v>
      </c>
      <c r="E82" s="4" t="s">
        <v>15</v>
      </c>
      <c r="F82" s="4" t="s">
        <v>380</v>
      </c>
      <c r="G82" s="4" t="s">
        <v>381</v>
      </c>
      <c r="H82" s="4" t="s">
        <v>18</v>
      </c>
      <c r="I82" s="4" t="s">
        <v>30</v>
      </c>
      <c r="J82" s="4">
        <v>100</v>
      </c>
      <c r="L82" s="4">
        <v>10</v>
      </c>
    </row>
    <row r="83" spans="1:12">
      <c r="A83" s="3">
        <v>43985.425767349538</v>
      </c>
      <c r="B83" s="4" t="s">
        <v>122</v>
      </c>
      <c r="C83" s="4" t="s">
        <v>382</v>
      </c>
      <c r="D83" s="4" t="s">
        <v>383</v>
      </c>
      <c r="E83" s="4" t="s">
        <v>15</v>
      </c>
      <c r="F83" s="4" t="s">
        <v>384</v>
      </c>
      <c r="G83" s="4" t="s">
        <v>385</v>
      </c>
      <c r="H83" s="4" t="s">
        <v>18</v>
      </c>
      <c r="I83" s="4" t="s">
        <v>19</v>
      </c>
      <c r="J83" s="4">
        <v>100</v>
      </c>
      <c r="K83" s="4" t="s">
        <v>386</v>
      </c>
      <c r="L83" s="4">
        <v>8</v>
      </c>
    </row>
    <row r="84" spans="1:12">
      <c r="A84" s="3">
        <v>43985.451066273148</v>
      </c>
      <c r="B84" s="4" t="s">
        <v>122</v>
      </c>
      <c r="C84" s="4" t="s">
        <v>387</v>
      </c>
      <c r="D84" s="4" t="s">
        <v>388</v>
      </c>
      <c r="E84" s="4" t="s">
        <v>15</v>
      </c>
      <c r="F84" s="4" t="s">
        <v>389</v>
      </c>
      <c r="G84" s="4" t="s">
        <v>390</v>
      </c>
      <c r="H84" s="4" t="s">
        <v>91</v>
      </c>
      <c r="J84" s="4">
        <v>106</v>
      </c>
      <c r="K84" s="4" t="s">
        <v>391</v>
      </c>
      <c r="L84" s="4">
        <v>5</v>
      </c>
    </row>
    <row r="85" spans="1:12">
      <c r="A85" s="3">
        <v>43985.451360335646</v>
      </c>
      <c r="B85" s="4" t="s">
        <v>131</v>
      </c>
      <c r="C85" s="4" t="s">
        <v>392</v>
      </c>
      <c r="D85" s="4" t="s">
        <v>393</v>
      </c>
      <c r="E85" s="4" t="s">
        <v>289</v>
      </c>
      <c r="F85" s="4" t="s">
        <v>394</v>
      </c>
      <c r="G85" s="4" t="s">
        <v>395</v>
      </c>
      <c r="H85" s="4" t="s">
        <v>18</v>
      </c>
      <c r="I85" s="4" t="s">
        <v>30</v>
      </c>
      <c r="J85" s="4">
        <v>300</v>
      </c>
      <c r="L85" s="4">
        <v>10</v>
      </c>
    </row>
    <row r="86" spans="1:12">
      <c r="A86" s="3">
        <v>43985.490974305554</v>
      </c>
      <c r="B86" s="4" t="s">
        <v>136</v>
      </c>
      <c r="C86" s="4" t="s">
        <v>396</v>
      </c>
      <c r="D86" s="4" t="s">
        <v>397</v>
      </c>
      <c r="E86" s="4" t="s">
        <v>15</v>
      </c>
      <c r="F86" s="4" t="s">
        <v>398</v>
      </c>
      <c r="G86" s="4" t="s">
        <v>399</v>
      </c>
      <c r="H86" s="4" t="s">
        <v>18</v>
      </c>
      <c r="I86" s="4" t="s">
        <v>30</v>
      </c>
      <c r="J86" s="4">
        <v>275</v>
      </c>
      <c r="K86" s="4" t="s">
        <v>400</v>
      </c>
      <c r="L86" s="4">
        <v>14</v>
      </c>
    </row>
    <row r="87" spans="1:12">
      <c r="A87" s="3">
        <v>43985.391064386575</v>
      </c>
      <c r="B87" s="4" t="s">
        <v>66</v>
      </c>
      <c r="C87" s="4" t="s">
        <v>401</v>
      </c>
      <c r="D87" s="4" t="s">
        <v>402</v>
      </c>
      <c r="E87" s="4" t="s">
        <v>15</v>
      </c>
      <c r="F87" s="4" t="s">
        <v>403</v>
      </c>
      <c r="G87" s="4" t="s">
        <v>404</v>
      </c>
      <c r="H87" s="4" t="s">
        <v>18</v>
      </c>
      <c r="I87" s="4" t="s">
        <v>30</v>
      </c>
      <c r="J87" s="4">
        <v>100</v>
      </c>
      <c r="K87" s="4" t="s">
        <v>405</v>
      </c>
      <c r="L87" s="4">
        <v>5</v>
      </c>
    </row>
    <row r="88" spans="1:12">
      <c r="A88" s="3">
        <v>43985.522561284721</v>
      </c>
      <c r="B88" s="4" t="s">
        <v>122</v>
      </c>
      <c r="C88" s="4" t="s">
        <v>406</v>
      </c>
      <c r="D88" s="4" t="s">
        <v>407</v>
      </c>
      <c r="E88" s="4" t="s">
        <v>289</v>
      </c>
      <c r="F88" s="4" t="s">
        <v>408</v>
      </c>
      <c r="G88" s="4" t="s">
        <v>409</v>
      </c>
      <c r="H88" s="4" t="s">
        <v>18</v>
      </c>
      <c r="I88" s="4" t="s">
        <v>19</v>
      </c>
      <c r="J88" s="4">
        <v>325</v>
      </c>
      <c r="K88" s="4" t="s">
        <v>410</v>
      </c>
      <c r="L88" s="4">
        <v>12</v>
      </c>
    </row>
    <row r="89" spans="1:12">
      <c r="A89" s="3">
        <v>43985.558667291669</v>
      </c>
      <c r="B89" s="4" t="s">
        <v>31</v>
      </c>
      <c r="C89" s="4" t="s">
        <v>411</v>
      </c>
      <c r="D89" s="4" t="s">
        <v>412</v>
      </c>
      <c r="E89" s="4" t="s">
        <v>15</v>
      </c>
      <c r="F89" s="4" t="s">
        <v>413</v>
      </c>
      <c r="G89" s="4" t="s">
        <v>414</v>
      </c>
      <c r="H89" s="4" t="s">
        <v>91</v>
      </c>
      <c r="J89" s="4">
        <v>75</v>
      </c>
      <c r="L89" s="4">
        <v>10</v>
      </c>
    </row>
    <row r="90" spans="1:12">
      <c r="A90" s="3">
        <v>43985.620765810185</v>
      </c>
      <c r="B90" s="4" t="s">
        <v>12</v>
      </c>
      <c r="C90" s="4" t="s">
        <v>415</v>
      </c>
      <c r="D90" s="4" t="s">
        <v>416</v>
      </c>
      <c r="E90" s="4" t="s">
        <v>15</v>
      </c>
      <c r="F90" s="4" t="s">
        <v>417</v>
      </c>
      <c r="G90" s="4" t="s">
        <v>418</v>
      </c>
      <c r="H90" s="4" t="s">
        <v>18</v>
      </c>
      <c r="I90" s="4" t="s">
        <v>30</v>
      </c>
      <c r="J90" s="4">
        <v>130</v>
      </c>
      <c r="L90" s="4">
        <v>12</v>
      </c>
    </row>
    <row r="91" spans="1:12">
      <c r="A91" s="3">
        <v>43985.62314210648</v>
      </c>
      <c r="B91" s="4" t="s">
        <v>12</v>
      </c>
      <c r="C91" s="4" t="s">
        <v>419</v>
      </c>
      <c r="D91" s="4" t="s">
        <v>420</v>
      </c>
      <c r="E91" s="4" t="s">
        <v>15</v>
      </c>
      <c r="F91" s="4" t="s">
        <v>421</v>
      </c>
      <c r="G91" s="4" t="s">
        <v>422</v>
      </c>
      <c r="H91" s="4" t="s">
        <v>18</v>
      </c>
      <c r="I91" s="4" t="s">
        <v>19</v>
      </c>
      <c r="J91" s="4">
        <v>160</v>
      </c>
      <c r="K91" s="4" t="s">
        <v>423</v>
      </c>
      <c r="L91" s="4">
        <v>15</v>
      </c>
    </row>
    <row r="92" spans="1:12">
      <c r="A92" s="3">
        <v>43985.62646324074</v>
      </c>
      <c r="B92" s="4" t="s">
        <v>12</v>
      </c>
      <c r="C92" s="4" t="s">
        <v>424</v>
      </c>
      <c r="D92" s="4" t="s">
        <v>425</v>
      </c>
      <c r="E92" s="4" t="s">
        <v>15</v>
      </c>
      <c r="F92" s="4" t="s">
        <v>426</v>
      </c>
      <c r="G92" s="4" t="s">
        <v>427</v>
      </c>
      <c r="H92" s="4" t="s">
        <v>91</v>
      </c>
      <c r="J92" s="4">
        <v>345</v>
      </c>
      <c r="L92" s="4">
        <v>15</v>
      </c>
    </row>
    <row r="93" spans="1:12">
      <c r="A93" s="3">
        <v>43985.463373773149</v>
      </c>
      <c r="B93" s="4" t="s">
        <v>151</v>
      </c>
      <c r="C93" s="4" t="s">
        <v>428</v>
      </c>
      <c r="D93" s="4" t="s">
        <v>429</v>
      </c>
      <c r="E93" s="4" t="s">
        <v>74</v>
      </c>
      <c r="F93" s="4" t="s">
        <v>430</v>
      </c>
      <c r="G93" s="4" t="s">
        <v>431</v>
      </c>
      <c r="H93" s="4" t="s">
        <v>18</v>
      </c>
      <c r="I93" s="4" t="s">
        <v>30</v>
      </c>
      <c r="J93" s="4">
        <v>44</v>
      </c>
      <c r="L93" s="4">
        <v>8</v>
      </c>
    </row>
    <row r="94" spans="1:12">
      <c r="A94" s="3">
        <v>43985.400973796292</v>
      </c>
      <c r="B94" s="4" t="s">
        <v>432</v>
      </c>
      <c r="C94" s="4" t="s">
        <v>433</v>
      </c>
      <c r="D94" s="4" t="s">
        <v>434</v>
      </c>
      <c r="E94" s="4" t="s">
        <v>15</v>
      </c>
      <c r="F94" s="4" t="s">
        <v>435</v>
      </c>
      <c r="G94" s="4" t="s">
        <v>436</v>
      </c>
      <c r="H94" s="4" t="s">
        <v>18</v>
      </c>
      <c r="K94" s="4" t="s">
        <v>437</v>
      </c>
      <c r="L94" s="4">
        <v>5</v>
      </c>
    </row>
    <row r="95" spans="1:12">
      <c r="A95" s="3">
        <v>43985.395636516201</v>
      </c>
      <c r="B95" s="4" t="s">
        <v>122</v>
      </c>
      <c r="C95" s="4" t="s">
        <v>438</v>
      </c>
      <c r="D95" s="4" t="s">
        <v>439</v>
      </c>
      <c r="E95" s="4" t="s">
        <v>15</v>
      </c>
      <c r="F95" s="4" t="s">
        <v>440</v>
      </c>
      <c r="G95" s="4" t="s">
        <v>441</v>
      </c>
      <c r="H95" s="4" t="s">
        <v>18</v>
      </c>
      <c r="I95" s="4" t="s">
        <v>30</v>
      </c>
      <c r="J95" s="4">
        <v>35</v>
      </c>
      <c r="L95" s="4">
        <v>4</v>
      </c>
    </row>
    <row r="96" spans="1:12">
      <c r="A96" s="3">
        <v>43985.466472141205</v>
      </c>
      <c r="B96" s="4" t="s">
        <v>122</v>
      </c>
      <c r="C96" s="4" t="s">
        <v>442</v>
      </c>
      <c r="D96" s="4" t="s">
        <v>443</v>
      </c>
      <c r="E96" s="4" t="s">
        <v>15</v>
      </c>
      <c r="F96" s="4" t="s">
        <v>444</v>
      </c>
      <c r="G96" s="4" t="s">
        <v>445</v>
      </c>
      <c r="H96" s="4" t="s">
        <v>18</v>
      </c>
      <c r="I96" s="4" t="s">
        <v>19</v>
      </c>
      <c r="J96" s="4">
        <v>40</v>
      </c>
      <c r="K96" s="4" t="s">
        <v>446</v>
      </c>
      <c r="L96" s="4">
        <v>12</v>
      </c>
    </row>
    <row r="97" spans="1:12">
      <c r="A97" s="3">
        <v>43985.409868819443</v>
      </c>
      <c r="B97" s="4" t="s">
        <v>432</v>
      </c>
      <c r="C97" s="4" t="s">
        <v>447</v>
      </c>
      <c r="D97" s="4" t="s">
        <v>448</v>
      </c>
      <c r="E97" s="4" t="s">
        <v>15</v>
      </c>
      <c r="F97" s="4" t="s">
        <v>449</v>
      </c>
      <c r="G97" s="4" t="s">
        <v>450</v>
      </c>
      <c r="H97" s="4" t="s">
        <v>18</v>
      </c>
      <c r="L97" s="4">
        <v>6</v>
      </c>
    </row>
    <row r="98" spans="1:12">
      <c r="A98" s="3">
        <v>43985.455123125001</v>
      </c>
      <c r="B98" s="4" t="s">
        <v>131</v>
      </c>
      <c r="C98" s="4" t="s">
        <v>451</v>
      </c>
      <c r="D98" s="4" t="s">
        <v>452</v>
      </c>
      <c r="E98" s="4" t="s">
        <v>15</v>
      </c>
      <c r="F98" s="4" t="s">
        <v>453</v>
      </c>
      <c r="G98" s="4" t="s">
        <v>454</v>
      </c>
      <c r="H98" s="4" t="s">
        <v>18</v>
      </c>
      <c r="I98" s="4" t="s">
        <v>30</v>
      </c>
      <c r="J98" s="4">
        <v>35</v>
      </c>
      <c r="L98" s="4">
        <v>5</v>
      </c>
    </row>
    <row r="99" spans="1:12">
      <c r="A99" s="3">
        <v>43985.4040828125</v>
      </c>
      <c r="B99" s="4" t="s">
        <v>122</v>
      </c>
      <c r="C99" s="4" t="s">
        <v>455</v>
      </c>
      <c r="D99" s="4" t="s">
        <v>456</v>
      </c>
      <c r="E99" s="4" t="s">
        <v>74</v>
      </c>
      <c r="F99" s="4" t="s">
        <v>457</v>
      </c>
      <c r="G99" s="4" t="s">
        <v>458</v>
      </c>
      <c r="H99" s="4" t="s">
        <v>18</v>
      </c>
      <c r="I99" s="4" t="s">
        <v>19</v>
      </c>
      <c r="J99" s="4">
        <v>46</v>
      </c>
      <c r="K99" s="4" t="s">
        <v>459</v>
      </c>
      <c r="L99" s="4">
        <v>6</v>
      </c>
    </row>
    <row r="100" spans="1:12">
      <c r="A100" s="3">
        <v>43985.45423758102</v>
      </c>
      <c r="B100" s="4" t="s">
        <v>131</v>
      </c>
      <c r="C100" s="4" t="s">
        <v>460</v>
      </c>
      <c r="D100" s="4" t="s">
        <v>461</v>
      </c>
      <c r="E100" s="4" t="s">
        <v>15</v>
      </c>
      <c r="F100" s="4" t="s">
        <v>462</v>
      </c>
      <c r="G100" s="4" t="s">
        <v>463</v>
      </c>
      <c r="H100" s="4" t="s">
        <v>18</v>
      </c>
      <c r="I100" s="4" t="s">
        <v>30</v>
      </c>
      <c r="J100" s="4">
        <v>30</v>
      </c>
      <c r="L100" s="4">
        <v>5</v>
      </c>
    </row>
    <row r="101" spans="1:12">
      <c r="A101" s="3">
        <v>43985.458321134254</v>
      </c>
      <c r="B101" s="4" t="s">
        <v>131</v>
      </c>
      <c r="C101" s="4" t="s">
        <v>464</v>
      </c>
      <c r="D101" s="4" t="s">
        <v>465</v>
      </c>
      <c r="E101" s="4" t="s">
        <v>15</v>
      </c>
      <c r="F101" s="4" t="s">
        <v>466</v>
      </c>
      <c r="G101" s="4" t="s">
        <v>467</v>
      </c>
      <c r="H101" s="4" t="s">
        <v>18</v>
      </c>
      <c r="I101" s="4" t="s">
        <v>30</v>
      </c>
      <c r="J101" s="4">
        <v>190</v>
      </c>
      <c r="L101" s="4">
        <v>15</v>
      </c>
    </row>
    <row r="102" spans="1:12">
      <c r="A102" s="3">
        <v>43985.381564664349</v>
      </c>
      <c r="B102" s="4" t="s">
        <v>468</v>
      </c>
      <c r="C102" s="4" t="s">
        <v>469</v>
      </c>
      <c r="D102" s="4" t="s">
        <v>470</v>
      </c>
      <c r="E102" s="4" t="s">
        <v>15</v>
      </c>
      <c r="F102" s="4" t="s">
        <v>471</v>
      </c>
      <c r="G102" s="4" t="s">
        <v>472</v>
      </c>
      <c r="H102" s="4" t="s">
        <v>91</v>
      </c>
      <c r="I102" s="4" t="s">
        <v>30</v>
      </c>
      <c r="J102" s="4">
        <v>80</v>
      </c>
      <c r="K102" s="4" t="s">
        <v>473</v>
      </c>
      <c r="L102" s="4">
        <v>5</v>
      </c>
    </row>
    <row r="103" spans="1:12">
      <c r="A103" s="3">
        <v>43985.500714733796</v>
      </c>
      <c r="B103" s="4" t="s">
        <v>468</v>
      </c>
      <c r="C103" s="4" t="s">
        <v>474</v>
      </c>
      <c r="D103" s="4" t="s">
        <v>475</v>
      </c>
      <c r="E103" s="4" t="s">
        <v>15</v>
      </c>
      <c r="F103" s="4" t="s">
        <v>476</v>
      </c>
      <c r="G103" s="4" t="s">
        <v>477</v>
      </c>
      <c r="H103" s="4" t="s">
        <v>18</v>
      </c>
      <c r="I103" s="4" t="s">
        <v>30</v>
      </c>
      <c r="J103" s="4">
        <v>145</v>
      </c>
      <c r="L103" s="4">
        <v>5</v>
      </c>
    </row>
    <row r="104" spans="1:12">
      <c r="A104" s="3">
        <v>43985.419138784724</v>
      </c>
      <c r="B104" s="4" t="s">
        <v>151</v>
      </c>
      <c r="C104" s="4" t="s">
        <v>478</v>
      </c>
      <c r="D104" s="4" t="s">
        <v>479</v>
      </c>
      <c r="E104" s="4" t="s">
        <v>15</v>
      </c>
      <c r="F104" s="4" t="s">
        <v>480</v>
      </c>
      <c r="G104" s="4" t="s">
        <v>481</v>
      </c>
      <c r="H104" s="4" t="s">
        <v>18</v>
      </c>
      <c r="I104" s="4" t="s">
        <v>30</v>
      </c>
      <c r="J104" s="4">
        <v>123</v>
      </c>
      <c r="L104" s="4">
        <v>8</v>
      </c>
    </row>
    <row r="105" spans="1:12">
      <c r="A105" s="3">
        <v>43985.5629122338</v>
      </c>
      <c r="B105" s="4" t="s">
        <v>468</v>
      </c>
      <c r="C105" s="4" t="s">
        <v>482</v>
      </c>
      <c r="D105" s="4" t="s">
        <v>483</v>
      </c>
      <c r="E105" s="4" t="s">
        <v>15</v>
      </c>
      <c r="F105" s="4" t="s">
        <v>484</v>
      </c>
      <c r="G105" s="4" t="s">
        <v>485</v>
      </c>
      <c r="H105" s="4" t="s">
        <v>18</v>
      </c>
      <c r="I105" s="4" t="s">
        <v>30</v>
      </c>
      <c r="J105" s="4">
        <v>207</v>
      </c>
      <c r="L105" s="4">
        <v>8</v>
      </c>
    </row>
    <row r="106" spans="1:12">
      <c r="A106" s="3">
        <v>43985.530927939813</v>
      </c>
      <c r="B106" s="4" t="s">
        <v>468</v>
      </c>
      <c r="C106" s="4" t="s">
        <v>486</v>
      </c>
      <c r="D106" s="4" t="s">
        <v>487</v>
      </c>
      <c r="E106" s="4" t="s">
        <v>74</v>
      </c>
      <c r="F106" s="4" t="s">
        <v>488</v>
      </c>
      <c r="G106" s="4" t="s">
        <v>489</v>
      </c>
      <c r="H106" s="4" t="s">
        <v>18</v>
      </c>
      <c r="I106" s="4" t="s">
        <v>30</v>
      </c>
      <c r="J106" s="4">
        <v>315</v>
      </c>
      <c r="L106" s="4">
        <v>8</v>
      </c>
    </row>
    <row r="107" spans="1:12">
      <c r="A107" s="3">
        <v>43985.409495370375</v>
      </c>
      <c r="B107" s="4" t="s">
        <v>122</v>
      </c>
      <c r="C107" s="4" t="s">
        <v>490</v>
      </c>
      <c r="D107" s="4" t="s">
        <v>491</v>
      </c>
      <c r="E107" s="4" t="s">
        <v>15</v>
      </c>
      <c r="F107" s="4" t="s">
        <v>492</v>
      </c>
      <c r="G107" s="4" t="s">
        <v>493</v>
      </c>
      <c r="H107" s="4" t="s">
        <v>91</v>
      </c>
      <c r="J107" s="4">
        <v>200</v>
      </c>
      <c r="K107" s="4" t="s">
        <v>494</v>
      </c>
      <c r="L107" s="4">
        <v>6</v>
      </c>
    </row>
    <row r="108" spans="1:12">
      <c r="A108" s="3">
        <v>43985.416676701388</v>
      </c>
      <c r="B108" s="4" t="s">
        <v>468</v>
      </c>
      <c r="C108" s="4" t="s">
        <v>495</v>
      </c>
      <c r="D108" s="4" t="s">
        <v>496</v>
      </c>
      <c r="E108" s="4" t="s">
        <v>15</v>
      </c>
      <c r="F108" s="4" t="s">
        <v>497</v>
      </c>
      <c r="G108" s="4" t="s">
        <v>498</v>
      </c>
      <c r="H108" s="4" t="s">
        <v>18</v>
      </c>
      <c r="I108" s="4" t="s">
        <v>30</v>
      </c>
      <c r="J108" s="4">
        <v>325</v>
      </c>
      <c r="L108" s="4">
        <v>12</v>
      </c>
    </row>
    <row r="109" spans="1:12">
      <c r="A109" s="3">
        <v>43985.628875289352</v>
      </c>
      <c r="B109" s="4" t="s">
        <v>12</v>
      </c>
      <c r="C109" s="4" t="s">
        <v>499</v>
      </c>
      <c r="D109" s="4" t="s">
        <v>500</v>
      </c>
      <c r="E109" s="4" t="s">
        <v>15</v>
      </c>
      <c r="F109" s="4" t="s">
        <v>501</v>
      </c>
      <c r="G109" s="4" t="s">
        <v>502</v>
      </c>
      <c r="H109" s="4" t="s">
        <v>91</v>
      </c>
      <c r="J109" s="4">
        <v>45</v>
      </c>
      <c r="K109" s="4" t="s">
        <v>503</v>
      </c>
      <c r="L109" s="4">
        <v>15</v>
      </c>
    </row>
    <row r="110" spans="1:12">
      <c r="A110" s="3">
        <v>43985.423387627314</v>
      </c>
      <c r="B110" s="4" t="s">
        <v>432</v>
      </c>
      <c r="C110" s="4" t="s">
        <v>504</v>
      </c>
      <c r="D110" s="4" t="s">
        <v>505</v>
      </c>
      <c r="E110" s="4" t="s">
        <v>74</v>
      </c>
      <c r="F110" s="4" t="s">
        <v>506</v>
      </c>
      <c r="G110" s="4" t="s">
        <v>507</v>
      </c>
      <c r="H110" s="4" t="s">
        <v>91</v>
      </c>
      <c r="L110" s="4">
        <v>6</v>
      </c>
    </row>
    <row r="111" spans="1:12">
      <c r="A111" s="3">
        <v>43985.561786226855</v>
      </c>
      <c r="B111" s="4" t="s">
        <v>25</v>
      </c>
      <c r="C111" s="4" t="s">
        <v>508</v>
      </c>
      <c r="D111" s="4" t="s">
        <v>509</v>
      </c>
      <c r="E111" s="4" t="s">
        <v>15</v>
      </c>
      <c r="F111" s="4" t="s">
        <v>510</v>
      </c>
      <c r="G111" s="4" t="s">
        <v>511</v>
      </c>
      <c r="H111" s="4" t="s">
        <v>18</v>
      </c>
      <c r="I111" s="4" t="s">
        <v>30</v>
      </c>
      <c r="J111" s="4">
        <v>100</v>
      </c>
      <c r="L111" s="4">
        <v>10</v>
      </c>
    </row>
    <row r="112" spans="1:12">
      <c r="A112" s="3">
        <v>43985.51564784722</v>
      </c>
      <c r="B112" s="4" t="s">
        <v>25</v>
      </c>
      <c r="C112" s="4" t="s">
        <v>512</v>
      </c>
      <c r="D112" s="4" t="s">
        <v>513</v>
      </c>
      <c r="E112" s="4" t="s">
        <v>15</v>
      </c>
      <c r="F112" s="4" t="s">
        <v>514</v>
      </c>
      <c r="G112" s="4" t="s">
        <v>515</v>
      </c>
      <c r="H112" s="4" t="s">
        <v>91</v>
      </c>
      <c r="I112" s="4" t="s">
        <v>30</v>
      </c>
      <c r="L112" s="4">
        <v>15</v>
      </c>
    </row>
    <row r="113" spans="1:12">
      <c r="A113" s="3">
        <v>43985.446084884257</v>
      </c>
      <c r="B113" s="4" t="s">
        <v>468</v>
      </c>
      <c r="C113" s="4" t="s">
        <v>516</v>
      </c>
      <c r="D113" s="4" t="s">
        <v>517</v>
      </c>
      <c r="E113" s="4" t="s">
        <v>15</v>
      </c>
      <c r="F113" s="4" t="s">
        <v>518</v>
      </c>
      <c r="G113" s="4" t="s">
        <v>519</v>
      </c>
      <c r="H113" s="4" t="s">
        <v>18</v>
      </c>
      <c r="I113" s="4" t="s">
        <v>30</v>
      </c>
      <c r="J113" s="4">
        <v>94</v>
      </c>
      <c r="L113" s="4">
        <v>3</v>
      </c>
    </row>
    <row r="114" spans="1:12">
      <c r="A114" s="3">
        <v>43985.365784710651</v>
      </c>
      <c r="B114" s="4" t="s">
        <v>122</v>
      </c>
      <c r="C114" s="4" t="s">
        <v>520</v>
      </c>
      <c r="D114" s="4" t="s">
        <v>521</v>
      </c>
      <c r="E114" s="4" t="s">
        <v>15</v>
      </c>
      <c r="F114" s="4" t="s">
        <v>522</v>
      </c>
      <c r="G114" s="4" t="s">
        <v>523</v>
      </c>
      <c r="H114" s="4" t="s">
        <v>91</v>
      </c>
      <c r="J114" s="4">
        <v>120</v>
      </c>
      <c r="L114" s="4">
        <v>4</v>
      </c>
    </row>
    <row r="115" spans="1:12">
      <c r="A115" s="3">
        <v>43985.436449884262</v>
      </c>
      <c r="B115" s="4" t="s">
        <v>432</v>
      </c>
      <c r="C115" s="4" t="s">
        <v>524</v>
      </c>
      <c r="D115" s="4" t="s">
        <v>525</v>
      </c>
      <c r="E115" s="4" t="s">
        <v>15</v>
      </c>
      <c r="F115" s="4" t="s">
        <v>526</v>
      </c>
      <c r="G115" s="4" t="s">
        <v>527</v>
      </c>
      <c r="H115" s="4" t="s">
        <v>18</v>
      </c>
      <c r="L115" s="4">
        <v>2</v>
      </c>
    </row>
    <row r="116" spans="1:12">
      <c r="A116" s="3">
        <v>43985.377454629634</v>
      </c>
      <c r="B116" s="4" t="s">
        <v>528</v>
      </c>
      <c r="C116" s="4" t="s">
        <v>529</v>
      </c>
      <c r="D116" s="4" t="s">
        <v>530</v>
      </c>
      <c r="E116" s="4" t="s">
        <v>15</v>
      </c>
      <c r="F116" s="4" t="s">
        <v>531</v>
      </c>
      <c r="G116" s="4" t="s">
        <v>532</v>
      </c>
      <c r="H116" s="4" t="s">
        <v>18</v>
      </c>
      <c r="I116" s="4" t="s">
        <v>30</v>
      </c>
      <c r="J116" s="4">
        <v>75</v>
      </c>
      <c r="K116" s="4" t="s">
        <v>533</v>
      </c>
      <c r="L116" s="4">
        <v>8</v>
      </c>
    </row>
    <row r="117" spans="1:12">
      <c r="A117" s="3">
        <v>43985.406056226857</v>
      </c>
      <c r="B117" s="4" t="s">
        <v>528</v>
      </c>
      <c r="C117" s="4" t="s">
        <v>534</v>
      </c>
      <c r="D117" s="4" t="s">
        <v>535</v>
      </c>
      <c r="E117" s="4" t="s">
        <v>15</v>
      </c>
      <c r="F117" s="4" t="s">
        <v>536</v>
      </c>
      <c r="G117" s="4" t="s">
        <v>537</v>
      </c>
      <c r="H117" s="4" t="s">
        <v>18</v>
      </c>
      <c r="I117" s="4" t="s">
        <v>30</v>
      </c>
      <c r="J117" s="4">
        <v>80</v>
      </c>
      <c r="K117" s="4" t="s">
        <v>538</v>
      </c>
      <c r="L117" s="4">
        <v>8</v>
      </c>
    </row>
    <row r="118" spans="1:12">
      <c r="A118" s="3">
        <v>43985.459380659726</v>
      </c>
      <c r="B118" s="4" t="s">
        <v>131</v>
      </c>
      <c r="C118" s="4" t="s">
        <v>539</v>
      </c>
      <c r="D118" s="4" t="s">
        <v>540</v>
      </c>
      <c r="E118" s="4" t="s">
        <v>15</v>
      </c>
      <c r="F118" s="4" t="s">
        <v>541</v>
      </c>
      <c r="G118" s="4" t="s">
        <v>542</v>
      </c>
      <c r="H118" s="4" t="s">
        <v>18</v>
      </c>
      <c r="I118" s="4" t="s">
        <v>30</v>
      </c>
      <c r="J118" s="4">
        <v>80</v>
      </c>
      <c r="L118" s="4">
        <v>4</v>
      </c>
    </row>
    <row r="119" spans="1:12">
      <c r="A119" s="3">
        <v>43985.524611631947</v>
      </c>
      <c r="B119" s="4" t="s">
        <v>25</v>
      </c>
      <c r="C119" s="4" t="s">
        <v>543</v>
      </c>
      <c r="D119" s="4" t="s">
        <v>544</v>
      </c>
      <c r="E119" s="4" t="s">
        <v>15</v>
      </c>
      <c r="F119" s="4" t="s">
        <v>545</v>
      </c>
      <c r="G119" s="4" t="s">
        <v>546</v>
      </c>
      <c r="H119" s="4" t="s">
        <v>18</v>
      </c>
      <c r="I119" s="4" t="s">
        <v>30</v>
      </c>
      <c r="J119" s="4">
        <v>130</v>
      </c>
      <c r="L119" s="4">
        <v>15</v>
      </c>
    </row>
    <row r="120" spans="1:12">
      <c r="A120" s="3">
        <v>43985.535029479171</v>
      </c>
      <c r="B120" s="4" t="s">
        <v>25</v>
      </c>
      <c r="C120" s="4" t="s">
        <v>547</v>
      </c>
      <c r="D120" s="4" t="s">
        <v>548</v>
      </c>
      <c r="E120" s="4" t="s">
        <v>15</v>
      </c>
      <c r="F120" s="4" t="s">
        <v>549</v>
      </c>
      <c r="G120" s="4" t="s">
        <v>550</v>
      </c>
      <c r="H120" s="4" t="s">
        <v>18</v>
      </c>
      <c r="I120" s="4" t="s">
        <v>30</v>
      </c>
      <c r="J120" s="4">
        <v>165</v>
      </c>
      <c r="L120" s="4">
        <v>15</v>
      </c>
    </row>
    <row r="121" spans="1:12">
      <c r="A121" s="3">
        <v>43985.554130578705</v>
      </c>
      <c r="B121" s="4" t="s">
        <v>25</v>
      </c>
      <c r="C121" s="4" t="s">
        <v>551</v>
      </c>
      <c r="D121" s="4" t="s">
        <v>552</v>
      </c>
      <c r="E121" s="4" t="s">
        <v>15</v>
      </c>
      <c r="F121" s="4" t="s">
        <v>553</v>
      </c>
      <c r="G121" s="4" t="s">
        <v>554</v>
      </c>
      <c r="H121" s="4" t="s">
        <v>18</v>
      </c>
      <c r="I121" s="4" t="s">
        <v>30</v>
      </c>
      <c r="J121" s="4">
        <v>120</v>
      </c>
      <c r="L121" s="4">
        <v>10</v>
      </c>
    </row>
    <row r="122" spans="1:12">
      <c r="A122" s="3">
        <v>43985.555690567126</v>
      </c>
      <c r="B122" s="4" t="s">
        <v>25</v>
      </c>
      <c r="C122" s="4" t="s">
        <v>551</v>
      </c>
      <c r="D122" s="4" t="s">
        <v>552</v>
      </c>
      <c r="E122" s="4" t="s">
        <v>15</v>
      </c>
      <c r="F122" s="4" t="s">
        <v>553</v>
      </c>
      <c r="G122" s="4" t="s">
        <v>554</v>
      </c>
      <c r="H122" s="4" t="s">
        <v>18</v>
      </c>
      <c r="I122" s="4" t="s">
        <v>30</v>
      </c>
      <c r="J122" s="4">
        <v>120</v>
      </c>
      <c r="L122" s="4">
        <v>15</v>
      </c>
    </row>
    <row r="123" spans="1:12">
      <c r="A123" s="3">
        <v>43985.446753854165</v>
      </c>
      <c r="B123" s="4" t="s">
        <v>432</v>
      </c>
      <c r="C123" s="4" t="s">
        <v>555</v>
      </c>
      <c r="D123" s="4" t="s">
        <v>556</v>
      </c>
      <c r="E123" s="4" t="s">
        <v>74</v>
      </c>
      <c r="F123" s="4" t="s">
        <v>557</v>
      </c>
      <c r="G123" s="4" t="s">
        <v>558</v>
      </c>
      <c r="H123" s="4" t="s">
        <v>18</v>
      </c>
      <c r="K123" s="4" t="s">
        <v>559</v>
      </c>
      <c r="L123" s="4">
        <v>5</v>
      </c>
    </row>
    <row r="124" spans="1:12">
      <c r="A124" s="3">
        <v>43985.504670648152</v>
      </c>
      <c r="B124" s="4" t="s">
        <v>136</v>
      </c>
      <c r="C124" s="4" t="s">
        <v>560</v>
      </c>
      <c r="D124" s="4" t="s">
        <v>561</v>
      </c>
      <c r="E124" s="4" t="s">
        <v>15</v>
      </c>
      <c r="F124" s="4" t="s">
        <v>562</v>
      </c>
      <c r="G124" s="4" t="s">
        <v>563</v>
      </c>
      <c r="H124" s="4" t="s">
        <v>18</v>
      </c>
      <c r="I124" s="4" t="s">
        <v>19</v>
      </c>
      <c r="J124" s="4">
        <v>70</v>
      </c>
      <c r="K124" s="4" t="s">
        <v>564</v>
      </c>
      <c r="L124" s="4">
        <v>14</v>
      </c>
    </row>
    <row r="125" spans="1:12">
      <c r="A125" s="3">
        <v>43985.520779351849</v>
      </c>
      <c r="B125" s="4" t="s">
        <v>136</v>
      </c>
      <c r="C125" s="4" t="s">
        <v>565</v>
      </c>
      <c r="D125" s="4" t="s">
        <v>566</v>
      </c>
      <c r="E125" s="4" t="s">
        <v>15</v>
      </c>
      <c r="F125" s="4" t="s">
        <v>567</v>
      </c>
      <c r="G125" s="4" t="s">
        <v>568</v>
      </c>
      <c r="H125" s="4" t="s">
        <v>18</v>
      </c>
      <c r="I125" s="4" t="s">
        <v>30</v>
      </c>
      <c r="J125" s="4">
        <v>90</v>
      </c>
      <c r="K125" s="4" t="s">
        <v>569</v>
      </c>
      <c r="L125" s="4">
        <v>9</v>
      </c>
    </row>
    <row r="126" spans="1:12">
      <c r="A126" s="3">
        <v>43985.650365150461</v>
      </c>
      <c r="B126" s="4" t="s">
        <v>151</v>
      </c>
      <c r="C126" s="4" t="s">
        <v>570</v>
      </c>
      <c r="D126" s="4" t="s">
        <v>571</v>
      </c>
      <c r="E126" s="4" t="s">
        <v>74</v>
      </c>
      <c r="F126" s="4" t="s">
        <v>572</v>
      </c>
      <c r="G126" s="4" t="s">
        <v>573</v>
      </c>
      <c r="H126" s="4" t="s">
        <v>54</v>
      </c>
      <c r="L126" s="4">
        <v>6</v>
      </c>
    </row>
    <row r="127" spans="1:12">
      <c r="A127" s="3">
        <v>43985.38379162037</v>
      </c>
      <c r="B127" s="4" t="s">
        <v>528</v>
      </c>
      <c r="C127" s="4" t="s">
        <v>574</v>
      </c>
      <c r="D127" s="4" t="s">
        <v>575</v>
      </c>
      <c r="E127" s="4" t="s">
        <v>15</v>
      </c>
      <c r="F127" s="4" t="s">
        <v>576</v>
      </c>
      <c r="G127" s="4" t="s">
        <v>577</v>
      </c>
      <c r="H127" s="4" t="s">
        <v>18</v>
      </c>
      <c r="I127" s="4" t="s">
        <v>30</v>
      </c>
      <c r="J127" s="4">
        <v>325</v>
      </c>
      <c r="L127" s="4">
        <v>5</v>
      </c>
    </row>
    <row r="128" spans="1:12">
      <c r="A128" s="3">
        <v>43985.419079467596</v>
      </c>
      <c r="B128" s="4" t="s">
        <v>528</v>
      </c>
      <c r="C128" s="4" t="s">
        <v>578</v>
      </c>
      <c r="D128" s="4" t="s">
        <v>579</v>
      </c>
      <c r="E128" s="4" t="s">
        <v>15</v>
      </c>
      <c r="F128" s="4" t="s">
        <v>580</v>
      </c>
      <c r="G128" s="4" t="s">
        <v>581</v>
      </c>
      <c r="H128" s="4" t="s">
        <v>18</v>
      </c>
      <c r="I128" s="4" t="s">
        <v>30</v>
      </c>
      <c r="J128" s="4">
        <v>211</v>
      </c>
      <c r="L128" s="4">
        <v>5</v>
      </c>
    </row>
    <row r="129" spans="1:12">
      <c r="A129" s="3">
        <v>43985.443121539356</v>
      </c>
      <c r="B129" s="4" t="s">
        <v>468</v>
      </c>
      <c r="C129" s="4" t="s">
        <v>582</v>
      </c>
      <c r="D129" s="4" t="s">
        <v>583</v>
      </c>
      <c r="E129" s="4" t="s">
        <v>74</v>
      </c>
      <c r="F129" s="4" t="s">
        <v>584</v>
      </c>
      <c r="G129" s="4" t="s">
        <v>585</v>
      </c>
      <c r="H129" s="4" t="s">
        <v>18</v>
      </c>
      <c r="I129" s="4" t="s">
        <v>30</v>
      </c>
      <c r="J129" s="4">
        <v>90</v>
      </c>
      <c r="L129" s="4">
        <v>5</v>
      </c>
    </row>
    <row r="130" spans="1:12">
      <c r="A130" s="3">
        <v>43985.427221550926</v>
      </c>
      <c r="B130" s="4" t="s">
        <v>528</v>
      </c>
      <c r="C130" s="4" t="s">
        <v>586</v>
      </c>
      <c r="D130" s="4" t="s">
        <v>587</v>
      </c>
      <c r="E130" s="4" t="s">
        <v>15</v>
      </c>
      <c r="F130" s="4" t="s">
        <v>588</v>
      </c>
      <c r="G130" s="4" t="s">
        <v>589</v>
      </c>
      <c r="H130" s="4" t="s">
        <v>18</v>
      </c>
      <c r="I130" s="4" t="s">
        <v>30</v>
      </c>
      <c r="J130" s="4">
        <v>85</v>
      </c>
      <c r="K130" s="4" t="s">
        <v>590</v>
      </c>
      <c r="L130" s="4">
        <v>8</v>
      </c>
    </row>
    <row r="131" spans="1:12">
      <c r="A131" s="3">
        <v>43985.432321898144</v>
      </c>
      <c r="B131" s="4" t="s">
        <v>528</v>
      </c>
      <c r="C131" s="4" t="s">
        <v>591</v>
      </c>
      <c r="D131" s="4" t="s">
        <v>592</v>
      </c>
      <c r="E131" s="4" t="s">
        <v>15</v>
      </c>
      <c r="F131" s="4" t="s">
        <v>593</v>
      </c>
      <c r="G131" s="4" t="s">
        <v>594</v>
      </c>
      <c r="H131" s="4" t="s">
        <v>18</v>
      </c>
      <c r="I131" s="4" t="s">
        <v>30</v>
      </c>
      <c r="J131" s="4">
        <v>150</v>
      </c>
      <c r="L131" s="4">
        <v>5</v>
      </c>
    </row>
    <row r="132" spans="1:12">
      <c r="A132" s="3">
        <v>43985.419429803238</v>
      </c>
      <c r="B132" s="4" t="s">
        <v>122</v>
      </c>
      <c r="C132" s="4" t="s">
        <v>595</v>
      </c>
      <c r="D132" s="4" t="s">
        <v>596</v>
      </c>
      <c r="E132" s="4" t="s">
        <v>15</v>
      </c>
      <c r="F132" s="4" t="s">
        <v>597</v>
      </c>
      <c r="G132" s="4" t="s">
        <v>598</v>
      </c>
      <c r="H132" s="4" t="s">
        <v>54</v>
      </c>
      <c r="K132" s="4" t="s">
        <v>599</v>
      </c>
      <c r="L132" s="4">
        <v>4</v>
      </c>
    </row>
    <row r="133" spans="1:12">
      <c r="A133" s="3">
        <v>43985.451834050924</v>
      </c>
      <c r="B133" s="4" t="s">
        <v>468</v>
      </c>
      <c r="C133" s="4" t="s">
        <v>600</v>
      </c>
      <c r="D133" s="4" t="s">
        <v>601</v>
      </c>
      <c r="E133" s="4" t="s">
        <v>74</v>
      </c>
      <c r="F133" s="4" t="s">
        <v>602</v>
      </c>
      <c r="G133" s="4" t="s">
        <v>603</v>
      </c>
      <c r="H133" s="4" t="s">
        <v>18</v>
      </c>
      <c r="I133" s="4" t="s">
        <v>30</v>
      </c>
      <c r="J133" s="4">
        <v>100</v>
      </c>
      <c r="L133" s="4">
        <v>5</v>
      </c>
    </row>
    <row r="134" spans="1:12">
      <c r="A134" s="3">
        <v>43985.438233912035</v>
      </c>
      <c r="B134" s="4" t="s">
        <v>528</v>
      </c>
      <c r="C134" s="4" t="s">
        <v>604</v>
      </c>
      <c r="D134" s="4" t="s">
        <v>605</v>
      </c>
      <c r="E134" s="4" t="s">
        <v>15</v>
      </c>
      <c r="F134" s="4" t="s">
        <v>606</v>
      </c>
      <c r="G134" s="4" t="s">
        <v>607</v>
      </c>
      <c r="H134" s="4" t="s">
        <v>54</v>
      </c>
      <c r="J134" s="4">
        <v>75</v>
      </c>
      <c r="L134" s="4">
        <v>6</v>
      </c>
    </row>
    <row r="135" spans="1:12">
      <c r="A135" s="3">
        <v>43985.485222326388</v>
      </c>
      <c r="B135" s="4" t="s">
        <v>122</v>
      </c>
      <c r="C135" s="4" t="s">
        <v>608</v>
      </c>
      <c r="D135" s="4" t="s">
        <v>609</v>
      </c>
      <c r="E135" s="4" t="s">
        <v>15</v>
      </c>
      <c r="F135" s="4" t="s">
        <v>610</v>
      </c>
      <c r="G135" s="4" t="s">
        <v>611</v>
      </c>
      <c r="H135" s="4" t="s">
        <v>18</v>
      </c>
      <c r="I135" s="4" t="s">
        <v>30</v>
      </c>
      <c r="J135" s="4">
        <v>80</v>
      </c>
      <c r="K135" s="4" t="s">
        <v>612</v>
      </c>
      <c r="L135" s="4">
        <v>11</v>
      </c>
    </row>
    <row r="136" spans="1:12">
      <c r="A136" s="3">
        <v>43985.616592858802</v>
      </c>
      <c r="B136" s="4" t="s">
        <v>117</v>
      </c>
      <c r="C136" s="4" t="s">
        <v>613</v>
      </c>
      <c r="D136" s="4" t="s">
        <v>614</v>
      </c>
      <c r="E136" s="4" t="s">
        <v>74</v>
      </c>
      <c r="F136" s="4" t="s">
        <v>615</v>
      </c>
      <c r="G136" s="4" t="s">
        <v>616</v>
      </c>
      <c r="H136" s="4" t="s">
        <v>18</v>
      </c>
      <c r="I136" s="4" t="s">
        <v>19</v>
      </c>
      <c r="J136" s="4">
        <v>175</v>
      </c>
      <c r="L136" s="4">
        <v>6</v>
      </c>
    </row>
    <row r="137" spans="1:12">
      <c r="A137" s="3">
        <v>43985.540536631946</v>
      </c>
      <c r="B137" s="4" t="s">
        <v>117</v>
      </c>
      <c r="C137" s="4" t="s">
        <v>617</v>
      </c>
      <c r="D137" s="4" t="s">
        <v>618</v>
      </c>
      <c r="E137" s="4" t="s">
        <v>15</v>
      </c>
      <c r="F137" s="4" t="s">
        <v>619</v>
      </c>
      <c r="G137" s="4" t="s">
        <v>620</v>
      </c>
      <c r="H137" s="4" t="s">
        <v>18</v>
      </c>
      <c r="I137" s="4" t="s">
        <v>19</v>
      </c>
      <c r="J137" s="4">
        <v>150</v>
      </c>
      <c r="L137" s="4">
        <v>18</v>
      </c>
    </row>
    <row r="138" spans="1:12">
      <c r="A138" s="3">
        <v>43985.491375555561</v>
      </c>
      <c r="B138" s="4" t="s">
        <v>122</v>
      </c>
      <c r="C138" s="4" t="s">
        <v>621</v>
      </c>
      <c r="D138" s="4" t="s">
        <v>622</v>
      </c>
      <c r="E138" s="4" t="s">
        <v>623</v>
      </c>
      <c r="F138" s="4" t="s">
        <v>624</v>
      </c>
      <c r="G138" s="4" t="s">
        <v>625</v>
      </c>
      <c r="H138" s="4" t="s">
        <v>91</v>
      </c>
      <c r="J138" s="4">
        <v>60</v>
      </c>
      <c r="K138" s="4" t="s">
        <v>626</v>
      </c>
      <c r="L138" s="4">
        <v>7</v>
      </c>
    </row>
    <row r="139" spans="1:12">
      <c r="A139" s="3">
        <v>43985.502115787036</v>
      </c>
      <c r="B139" s="4" t="s">
        <v>468</v>
      </c>
      <c r="C139" s="4" t="s">
        <v>627</v>
      </c>
      <c r="D139" s="4" t="s">
        <v>628</v>
      </c>
      <c r="E139" s="4" t="s">
        <v>15</v>
      </c>
      <c r="F139" s="4" t="s">
        <v>629</v>
      </c>
      <c r="G139" s="4" t="s">
        <v>630</v>
      </c>
      <c r="H139" s="4" t="s">
        <v>18</v>
      </c>
      <c r="I139" s="4" t="s">
        <v>30</v>
      </c>
      <c r="J139" s="4">
        <v>330</v>
      </c>
      <c r="L139" s="4">
        <v>5</v>
      </c>
    </row>
    <row r="140" spans="1:12">
      <c r="A140" s="3">
        <v>43985.45605414352</v>
      </c>
      <c r="B140" s="4" t="s">
        <v>131</v>
      </c>
      <c r="C140" s="4" t="s">
        <v>631</v>
      </c>
      <c r="D140" s="4" t="s">
        <v>632</v>
      </c>
      <c r="E140" s="4" t="s">
        <v>15</v>
      </c>
      <c r="F140" s="4" t="s">
        <v>633</v>
      </c>
      <c r="G140" s="4" t="s">
        <v>634</v>
      </c>
      <c r="H140" s="4" t="s">
        <v>18</v>
      </c>
      <c r="I140" s="4" t="s">
        <v>30</v>
      </c>
      <c r="J140" s="4">
        <v>117</v>
      </c>
      <c r="L140" s="4">
        <v>8</v>
      </c>
    </row>
    <row r="141" spans="1:12">
      <c r="A141" s="3">
        <v>43985.472405844906</v>
      </c>
      <c r="B141" s="4" t="s">
        <v>468</v>
      </c>
      <c r="C141" s="4" t="s">
        <v>635</v>
      </c>
      <c r="D141" s="4" t="s">
        <v>636</v>
      </c>
      <c r="E141" s="4" t="s">
        <v>15</v>
      </c>
      <c r="F141" s="4" t="s">
        <v>637</v>
      </c>
      <c r="G141" s="4" t="s">
        <v>638</v>
      </c>
      <c r="H141" s="4" t="s">
        <v>91</v>
      </c>
      <c r="I141" s="4" t="s">
        <v>30</v>
      </c>
      <c r="J141" s="4">
        <v>45</v>
      </c>
      <c r="K141" s="4" t="s">
        <v>639</v>
      </c>
      <c r="L141" s="4">
        <v>5</v>
      </c>
    </row>
    <row r="142" spans="1:12">
      <c r="A142" s="3">
        <v>43985.424273888886</v>
      </c>
      <c r="B142" s="4" t="s">
        <v>151</v>
      </c>
      <c r="C142" s="4" t="s">
        <v>640</v>
      </c>
      <c r="D142" s="4" t="s">
        <v>641</v>
      </c>
      <c r="E142" s="4" t="s">
        <v>15</v>
      </c>
      <c r="F142" s="4" t="s">
        <v>642</v>
      </c>
      <c r="G142" s="4" t="s">
        <v>643</v>
      </c>
      <c r="H142" s="4" t="s">
        <v>18</v>
      </c>
      <c r="I142" s="4" t="s">
        <v>30</v>
      </c>
      <c r="J142" s="4">
        <v>140</v>
      </c>
      <c r="L142" s="4">
        <v>6</v>
      </c>
    </row>
    <row r="143" spans="1:12">
      <c r="A143" s="3">
        <v>43985.464336527773</v>
      </c>
      <c r="B143" s="4" t="s">
        <v>102</v>
      </c>
      <c r="C143" s="4" t="s">
        <v>644</v>
      </c>
      <c r="D143" s="4" t="s">
        <v>645</v>
      </c>
      <c r="E143" s="4" t="s">
        <v>15</v>
      </c>
      <c r="F143" s="4" t="s">
        <v>646</v>
      </c>
      <c r="G143" s="4">
        <v>8122356281</v>
      </c>
      <c r="H143" s="4" t="s">
        <v>18</v>
      </c>
      <c r="I143" s="4" t="s">
        <v>30</v>
      </c>
      <c r="J143" s="4">
        <v>100</v>
      </c>
      <c r="L143" s="4">
        <v>10</v>
      </c>
    </row>
    <row r="144" spans="1:12">
      <c r="A144" s="3">
        <v>43985.478765324078</v>
      </c>
      <c r="B144" s="4" t="s">
        <v>102</v>
      </c>
      <c r="C144" s="4" t="s">
        <v>647</v>
      </c>
      <c r="D144" s="4" t="s">
        <v>648</v>
      </c>
      <c r="E144" s="4" t="s">
        <v>15</v>
      </c>
      <c r="F144" s="4" t="s">
        <v>649</v>
      </c>
      <c r="G144" s="4" t="s">
        <v>650</v>
      </c>
      <c r="H144" s="4" t="s">
        <v>18</v>
      </c>
      <c r="I144" s="4" t="s">
        <v>19</v>
      </c>
      <c r="J144" s="4">
        <v>113</v>
      </c>
      <c r="L144" s="4">
        <v>6</v>
      </c>
    </row>
    <row r="145" spans="1:12">
      <c r="A145" s="3">
        <v>43985.46779037037</v>
      </c>
      <c r="B145" s="4" t="s">
        <v>468</v>
      </c>
      <c r="C145" s="4" t="s">
        <v>651</v>
      </c>
      <c r="D145" s="4" t="s">
        <v>652</v>
      </c>
      <c r="E145" s="4" t="s">
        <v>74</v>
      </c>
      <c r="F145" s="4" t="s">
        <v>653</v>
      </c>
      <c r="G145" s="4" t="s">
        <v>654</v>
      </c>
      <c r="H145" s="4" t="s">
        <v>18</v>
      </c>
      <c r="I145" s="4" t="s">
        <v>30</v>
      </c>
      <c r="J145" s="4">
        <v>40</v>
      </c>
      <c r="L145" s="4">
        <v>5</v>
      </c>
    </row>
    <row r="146" spans="1:12">
      <c r="A146" s="3">
        <v>43985.452643923607</v>
      </c>
      <c r="B146" s="4" t="s">
        <v>432</v>
      </c>
      <c r="C146" s="4" t="s">
        <v>655</v>
      </c>
      <c r="D146" s="4" t="s">
        <v>656</v>
      </c>
      <c r="E146" s="4" t="s">
        <v>15</v>
      </c>
      <c r="F146" s="4" t="s">
        <v>657</v>
      </c>
      <c r="G146" s="4" t="s">
        <v>658</v>
      </c>
      <c r="H146" s="4" t="s">
        <v>91</v>
      </c>
      <c r="K146" s="4" t="s">
        <v>659</v>
      </c>
      <c r="L146" s="4">
        <v>4</v>
      </c>
    </row>
    <row r="147" spans="1:12">
      <c r="A147" s="3">
        <v>43985.433692962964</v>
      </c>
      <c r="B147" s="4" t="s">
        <v>66</v>
      </c>
      <c r="C147" s="4" t="s">
        <v>660</v>
      </c>
      <c r="D147" s="4" t="s">
        <v>661</v>
      </c>
      <c r="E147" s="4" t="s">
        <v>15</v>
      </c>
      <c r="F147" s="4" t="s">
        <v>662</v>
      </c>
      <c r="G147" s="4">
        <v>7653792112</v>
      </c>
      <c r="H147" s="4" t="s">
        <v>91</v>
      </c>
      <c r="J147" s="4">
        <v>100</v>
      </c>
      <c r="K147" s="4" t="s">
        <v>663</v>
      </c>
      <c r="L147" s="4">
        <v>5</v>
      </c>
    </row>
    <row r="148" spans="1:12">
      <c r="A148" s="3">
        <v>43985.514404467591</v>
      </c>
      <c r="B148" s="4" t="s">
        <v>131</v>
      </c>
      <c r="C148" s="4" t="s">
        <v>664</v>
      </c>
      <c r="D148" s="4" t="s">
        <v>665</v>
      </c>
      <c r="E148" s="4" t="s">
        <v>15</v>
      </c>
      <c r="F148" s="4" t="s">
        <v>666</v>
      </c>
      <c r="G148" s="4" t="s">
        <v>667</v>
      </c>
      <c r="H148" s="4" t="s">
        <v>18</v>
      </c>
      <c r="I148" s="4" t="s">
        <v>30</v>
      </c>
      <c r="J148" s="4">
        <v>60</v>
      </c>
      <c r="L148" s="4">
        <v>5</v>
      </c>
    </row>
    <row r="149" spans="1:12">
      <c r="A149" s="3">
        <v>43985.45465792824</v>
      </c>
      <c r="B149" s="4" t="s">
        <v>151</v>
      </c>
      <c r="C149" s="4" t="s">
        <v>668</v>
      </c>
      <c r="D149" s="4" t="s">
        <v>669</v>
      </c>
      <c r="E149" s="4" t="s">
        <v>15</v>
      </c>
      <c r="F149" s="4" t="s">
        <v>670</v>
      </c>
      <c r="G149" s="4" t="s">
        <v>671</v>
      </c>
      <c r="H149" s="4" t="s">
        <v>18</v>
      </c>
      <c r="I149" s="4" t="s">
        <v>30</v>
      </c>
      <c r="J149" s="4">
        <v>80</v>
      </c>
      <c r="K149" s="4" t="s">
        <v>672</v>
      </c>
      <c r="L149" s="4">
        <v>12</v>
      </c>
    </row>
    <row r="150" spans="1:12">
      <c r="A150" s="3">
        <v>43985.581140937502</v>
      </c>
      <c r="B150" s="4" t="s">
        <v>151</v>
      </c>
      <c r="C150" s="4" t="s">
        <v>673</v>
      </c>
      <c r="D150" s="4" t="s">
        <v>674</v>
      </c>
      <c r="E150" s="4" t="s">
        <v>15</v>
      </c>
      <c r="F150" s="4" t="s">
        <v>675</v>
      </c>
      <c r="G150" s="4" t="s">
        <v>676</v>
      </c>
      <c r="H150" s="4" t="s">
        <v>18</v>
      </c>
      <c r="I150" s="4" t="s">
        <v>30</v>
      </c>
      <c r="J150" s="4">
        <v>33</v>
      </c>
      <c r="L150" s="4">
        <v>15</v>
      </c>
    </row>
    <row r="151" spans="1:12">
      <c r="A151" s="3">
        <v>43985.502605960646</v>
      </c>
      <c r="B151" s="4" t="s">
        <v>122</v>
      </c>
      <c r="C151" s="4" t="s">
        <v>677</v>
      </c>
      <c r="D151" s="4" t="s">
        <v>678</v>
      </c>
      <c r="E151" s="4" t="s">
        <v>74</v>
      </c>
      <c r="F151" s="4" t="s">
        <v>679</v>
      </c>
      <c r="G151" s="4" t="s">
        <v>680</v>
      </c>
      <c r="H151" s="4" t="s">
        <v>18</v>
      </c>
      <c r="I151" s="4" t="s">
        <v>30</v>
      </c>
      <c r="J151" s="4">
        <v>126</v>
      </c>
      <c r="L151" s="4">
        <v>15</v>
      </c>
    </row>
    <row r="152" spans="1:12">
      <c r="A152" s="3">
        <v>43985.526902280093</v>
      </c>
      <c r="B152" s="4" t="s">
        <v>136</v>
      </c>
      <c r="C152" s="4" t="s">
        <v>681</v>
      </c>
      <c r="D152" s="4" t="s">
        <v>682</v>
      </c>
      <c r="E152" s="4" t="s">
        <v>15</v>
      </c>
      <c r="F152" s="4" t="s">
        <v>683</v>
      </c>
      <c r="G152" s="4" t="s">
        <v>684</v>
      </c>
      <c r="H152" s="4" t="s">
        <v>54</v>
      </c>
      <c r="J152" s="4">
        <v>142</v>
      </c>
      <c r="K152" s="4" t="s">
        <v>685</v>
      </c>
      <c r="L152" s="4">
        <v>7</v>
      </c>
    </row>
    <row r="153" spans="1:12">
      <c r="A153" s="3">
        <v>43985.446926331017</v>
      </c>
      <c r="B153" s="4" t="s">
        <v>528</v>
      </c>
      <c r="C153" s="4" t="s">
        <v>686</v>
      </c>
      <c r="D153" s="4" t="s">
        <v>687</v>
      </c>
      <c r="E153" s="4" t="s">
        <v>15</v>
      </c>
      <c r="F153" s="4" t="s">
        <v>688</v>
      </c>
      <c r="G153" s="4" t="s">
        <v>689</v>
      </c>
      <c r="H153" s="4" t="s">
        <v>18</v>
      </c>
      <c r="I153" s="4" t="s">
        <v>30</v>
      </c>
      <c r="J153" s="4">
        <v>65</v>
      </c>
      <c r="L153" s="4">
        <v>6</v>
      </c>
    </row>
    <row r="154" spans="1:12">
      <c r="A154" s="3">
        <v>43985.457114629629</v>
      </c>
      <c r="B154" s="4" t="s">
        <v>528</v>
      </c>
      <c r="C154" s="4" t="s">
        <v>690</v>
      </c>
      <c r="D154" s="4" t="s">
        <v>691</v>
      </c>
      <c r="E154" s="4" t="s">
        <v>15</v>
      </c>
      <c r="F154" s="4" t="s">
        <v>692</v>
      </c>
      <c r="G154" s="4" t="s">
        <v>693</v>
      </c>
      <c r="H154" s="4" t="s">
        <v>54</v>
      </c>
      <c r="K154" s="4" t="s">
        <v>694</v>
      </c>
      <c r="L154" s="4">
        <v>9</v>
      </c>
    </row>
    <row r="155" spans="1:12">
      <c r="A155" s="3">
        <v>43985.459654224542</v>
      </c>
      <c r="B155" s="4" t="s">
        <v>432</v>
      </c>
      <c r="C155" s="4" t="s">
        <v>695</v>
      </c>
      <c r="D155" s="4" t="s">
        <v>696</v>
      </c>
      <c r="E155" s="4" t="s">
        <v>15</v>
      </c>
      <c r="F155" s="4" t="s">
        <v>697</v>
      </c>
      <c r="G155" s="4" t="s">
        <v>698</v>
      </c>
      <c r="H155" s="4" t="s">
        <v>18</v>
      </c>
      <c r="L155" s="4">
        <v>6</v>
      </c>
    </row>
    <row r="156" spans="1:12">
      <c r="A156" s="3">
        <v>43985.485308599542</v>
      </c>
      <c r="B156" s="4" t="s">
        <v>468</v>
      </c>
      <c r="C156" s="4" t="s">
        <v>699</v>
      </c>
      <c r="D156" s="4" t="s">
        <v>700</v>
      </c>
      <c r="E156" s="4" t="s">
        <v>15</v>
      </c>
      <c r="F156" s="4" t="s">
        <v>701</v>
      </c>
      <c r="G156" s="4" t="s">
        <v>702</v>
      </c>
      <c r="H156" s="4" t="s">
        <v>18</v>
      </c>
      <c r="I156" s="4" t="s">
        <v>30</v>
      </c>
      <c r="J156" s="4">
        <v>146</v>
      </c>
      <c r="L156" s="4">
        <v>6</v>
      </c>
    </row>
    <row r="157" spans="1:12">
      <c r="A157" s="3">
        <v>43985.538384513886</v>
      </c>
      <c r="B157" s="4" t="s">
        <v>136</v>
      </c>
      <c r="C157" s="4" t="s">
        <v>703</v>
      </c>
      <c r="D157" s="4" t="s">
        <v>704</v>
      </c>
      <c r="E157" s="4" t="s">
        <v>15</v>
      </c>
      <c r="F157" s="4" t="s">
        <v>705</v>
      </c>
      <c r="G157" s="4" t="s">
        <v>706</v>
      </c>
      <c r="H157" s="4" t="s">
        <v>18</v>
      </c>
      <c r="I157" s="4" t="s">
        <v>30</v>
      </c>
      <c r="J157" s="4">
        <v>180</v>
      </c>
      <c r="K157" s="4" t="s">
        <v>707</v>
      </c>
      <c r="L157" s="4">
        <v>12</v>
      </c>
    </row>
    <row r="158" spans="1:12">
      <c r="A158" s="3">
        <v>43985.56694099537</v>
      </c>
      <c r="B158" s="4" t="s">
        <v>25</v>
      </c>
      <c r="C158" s="4" t="s">
        <v>708</v>
      </c>
      <c r="D158" s="4" t="s">
        <v>709</v>
      </c>
      <c r="E158" s="4" t="s">
        <v>15</v>
      </c>
      <c r="F158" s="4" t="s">
        <v>710</v>
      </c>
      <c r="G158" s="4" t="s">
        <v>711</v>
      </c>
      <c r="H158" s="4" t="s">
        <v>18</v>
      </c>
      <c r="I158" s="4" t="s">
        <v>30</v>
      </c>
      <c r="J158" s="4">
        <v>150</v>
      </c>
      <c r="L158" s="4">
        <v>10</v>
      </c>
    </row>
    <row r="159" spans="1:12">
      <c r="A159" s="3">
        <v>43985.542845474542</v>
      </c>
      <c r="B159" s="4" t="s">
        <v>136</v>
      </c>
      <c r="C159" s="4" t="s">
        <v>712</v>
      </c>
      <c r="D159" s="4" t="s">
        <v>713</v>
      </c>
      <c r="E159" s="4" t="s">
        <v>15</v>
      </c>
      <c r="F159" s="4" t="s">
        <v>714</v>
      </c>
      <c r="G159" s="4" t="s">
        <v>715</v>
      </c>
      <c r="H159" s="4" t="s">
        <v>91</v>
      </c>
      <c r="J159" s="4">
        <v>45</v>
      </c>
      <c r="L159" s="4">
        <v>3</v>
      </c>
    </row>
    <row r="160" spans="1:12">
      <c r="A160" s="3">
        <v>43985.473020949074</v>
      </c>
      <c r="B160" s="4" t="s">
        <v>528</v>
      </c>
      <c r="C160" s="4" t="s">
        <v>716</v>
      </c>
      <c r="D160" s="4" t="s">
        <v>717</v>
      </c>
      <c r="E160" s="4" t="s">
        <v>15</v>
      </c>
      <c r="F160" s="4" t="s">
        <v>718</v>
      </c>
      <c r="G160" s="4" t="s">
        <v>719</v>
      </c>
      <c r="H160" s="4" t="s">
        <v>18</v>
      </c>
      <c r="I160" s="4" t="s">
        <v>30</v>
      </c>
      <c r="J160" s="4">
        <v>40</v>
      </c>
      <c r="L160" s="4">
        <v>10</v>
      </c>
    </row>
    <row r="161" spans="1:12">
      <c r="A161" s="3">
        <v>43985.550775011579</v>
      </c>
      <c r="B161" s="4" t="s">
        <v>136</v>
      </c>
      <c r="C161" s="4" t="s">
        <v>720</v>
      </c>
      <c r="D161" s="4" t="s">
        <v>721</v>
      </c>
      <c r="E161" s="4" t="s">
        <v>15</v>
      </c>
      <c r="F161" s="4" t="s">
        <v>722</v>
      </c>
      <c r="G161" s="4" t="s">
        <v>723</v>
      </c>
      <c r="H161" s="4" t="s">
        <v>18</v>
      </c>
      <c r="I161" s="4" t="s">
        <v>30</v>
      </c>
      <c r="J161" s="4">
        <v>135</v>
      </c>
      <c r="L161" s="4">
        <v>8</v>
      </c>
    </row>
    <row r="162" spans="1:12">
      <c r="A162" s="3">
        <v>43985.593010439814</v>
      </c>
      <c r="B162" s="4" t="s">
        <v>25</v>
      </c>
      <c r="C162" s="4" t="s">
        <v>724</v>
      </c>
      <c r="D162" s="4" t="s">
        <v>725</v>
      </c>
      <c r="E162" s="4" t="s">
        <v>15</v>
      </c>
      <c r="F162" s="4" t="s">
        <v>726</v>
      </c>
      <c r="G162" s="4" t="s">
        <v>727</v>
      </c>
      <c r="H162" s="4" t="s">
        <v>18</v>
      </c>
      <c r="I162" s="4" t="s">
        <v>30</v>
      </c>
      <c r="J162" s="4">
        <v>150</v>
      </c>
      <c r="L162" s="4">
        <v>15</v>
      </c>
    </row>
    <row r="163" spans="1:12">
      <c r="A163" s="3">
        <v>43985.457348518517</v>
      </c>
      <c r="B163" s="4" t="s">
        <v>131</v>
      </c>
      <c r="C163" s="4" t="s">
        <v>728</v>
      </c>
      <c r="D163" s="4" t="s">
        <v>729</v>
      </c>
      <c r="E163" s="4" t="s">
        <v>15</v>
      </c>
      <c r="F163" s="4" t="s">
        <v>730</v>
      </c>
      <c r="G163" s="4" t="s">
        <v>731</v>
      </c>
      <c r="H163" s="4" t="s">
        <v>18</v>
      </c>
      <c r="I163" s="4" t="s">
        <v>19</v>
      </c>
      <c r="J163" s="4">
        <v>100</v>
      </c>
      <c r="K163" s="4" t="s">
        <v>732</v>
      </c>
      <c r="L163" s="4">
        <v>10</v>
      </c>
    </row>
    <row r="164" spans="1:12">
      <c r="A164" s="3">
        <v>43985.495544687496</v>
      </c>
      <c r="B164" s="4" t="s">
        <v>432</v>
      </c>
      <c r="C164" s="4" t="s">
        <v>733</v>
      </c>
      <c r="D164" s="4" t="s">
        <v>734</v>
      </c>
      <c r="E164" s="4" t="s">
        <v>15</v>
      </c>
      <c r="F164" s="4" t="s">
        <v>735</v>
      </c>
      <c r="G164" s="4" t="s">
        <v>736</v>
      </c>
      <c r="H164" s="4" t="s">
        <v>18</v>
      </c>
      <c r="L164" s="4">
        <v>5</v>
      </c>
    </row>
    <row r="165" spans="1:12">
      <c r="A165" s="3">
        <v>43985.460223402777</v>
      </c>
      <c r="B165" s="4" t="s">
        <v>131</v>
      </c>
      <c r="C165" s="4" t="s">
        <v>737</v>
      </c>
      <c r="D165" s="4" t="s">
        <v>738</v>
      </c>
      <c r="E165" s="4" t="s">
        <v>74</v>
      </c>
      <c r="F165" s="4" t="s">
        <v>739</v>
      </c>
      <c r="G165" s="4" t="s">
        <v>740</v>
      </c>
      <c r="H165" s="4" t="s">
        <v>91</v>
      </c>
      <c r="J165" s="4">
        <v>100</v>
      </c>
      <c r="L165" s="4">
        <v>10</v>
      </c>
    </row>
    <row r="166" spans="1:12">
      <c r="A166" s="3">
        <v>43985.501219039354</v>
      </c>
      <c r="B166" s="4" t="s">
        <v>432</v>
      </c>
      <c r="C166" s="4" t="s">
        <v>741</v>
      </c>
      <c r="D166" s="4" t="s">
        <v>742</v>
      </c>
      <c r="E166" s="4" t="s">
        <v>15</v>
      </c>
      <c r="F166" s="4" t="s">
        <v>743</v>
      </c>
      <c r="G166" s="4" t="s">
        <v>744</v>
      </c>
      <c r="H166" s="4" t="s">
        <v>18</v>
      </c>
      <c r="L166" s="4">
        <v>6</v>
      </c>
    </row>
    <row r="167" spans="1:12">
      <c r="A167" s="3">
        <v>43985.509572291667</v>
      </c>
      <c r="B167" s="4" t="s">
        <v>468</v>
      </c>
      <c r="C167" s="4" t="s">
        <v>745</v>
      </c>
      <c r="D167" s="4" t="s">
        <v>746</v>
      </c>
      <c r="E167" s="4" t="s">
        <v>15</v>
      </c>
      <c r="F167" s="4" t="s">
        <v>747</v>
      </c>
      <c r="G167" s="4" t="s">
        <v>748</v>
      </c>
      <c r="H167" s="4" t="s">
        <v>18</v>
      </c>
      <c r="I167" s="4" t="s">
        <v>19</v>
      </c>
      <c r="J167" s="4">
        <v>95</v>
      </c>
      <c r="L167" s="4">
        <v>3</v>
      </c>
    </row>
    <row r="168" spans="1:12">
      <c r="A168" s="3">
        <v>43985.523710671296</v>
      </c>
      <c r="B168" s="4" t="s">
        <v>468</v>
      </c>
      <c r="C168" s="4" t="s">
        <v>749</v>
      </c>
      <c r="D168" s="4" t="s">
        <v>750</v>
      </c>
      <c r="E168" s="4" t="s">
        <v>15</v>
      </c>
      <c r="F168" s="4" t="s">
        <v>751</v>
      </c>
      <c r="G168" s="4" t="s">
        <v>752</v>
      </c>
      <c r="H168" s="4" t="s">
        <v>91</v>
      </c>
      <c r="J168" s="4">
        <v>50</v>
      </c>
      <c r="L168" s="4">
        <v>10</v>
      </c>
    </row>
    <row r="169" spans="1:12">
      <c r="A169" s="3">
        <v>43985.556361817129</v>
      </c>
      <c r="B169" s="4" t="s">
        <v>136</v>
      </c>
      <c r="C169" s="4" t="s">
        <v>753</v>
      </c>
      <c r="D169" s="4" t="s">
        <v>754</v>
      </c>
      <c r="E169" s="4" t="s">
        <v>74</v>
      </c>
      <c r="F169" s="4" t="s">
        <v>755</v>
      </c>
      <c r="G169" s="4" t="s">
        <v>756</v>
      </c>
      <c r="H169" s="4" t="s">
        <v>18</v>
      </c>
      <c r="I169" s="4" t="s">
        <v>30</v>
      </c>
      <c r="J169" s="4">
        <v>65</v>
      </c>
      <c r="L169" s="4">
        <v>5</v>
      </c>
    </row>
    <row r="170" spans="1:12">
      <c r="A170" s="3">
        <v>43985.491507071754</v>
      </c>
      <c r="B170" s="4" t="s">
        <v>102</v>
      </c>
      <c r="C170" s="4" t="s">
        <v>757</v>
      </c>
      <c r="D170" s="4" t="s">
        <v>758</v>
      </c>
      <c r="E170" s="4" t="s">
        <v>15</v>
      </c>
      <c r="F170" s="4" t="s">
        <v>759</v>
      </c>
      <c r="G170" s="4" t="s">
        <v>760</v>
      </c>
      <c r="H170" s="4" t="s">
        <v>18</v>
      </c>
      <c r="I170" s="4" t="s">
        <v>19</v>
      </c>
      <c r="J170" s="4">
        <v>120</v>
      </c>
      <c r="L170" s="4">
        <v>13</v>
      </c>
    </row>
    <row r="171" spans="1:12">
      <c r="A171" s="3">
        <v>43985.584267060185</v>
      </c>
      <c r="B171" s="4" t="s">
        <v>25</v>
      </c>
      <c r="C171" s="4" t="s">
        <v>761</v>
      </c>
      <c r="D171" s="4" t="s">
        <v>762</v>
      </c>
      <c r="E171" s="4" t="s">
        <v>15</v>
      </c>
      <c r="F171" s="4" t="s">
        <v>763</v>
      </c>
      <c r="G171" s="4" t="s">
        <v>764</v>
      </c>
      <c r="H171" s="4" t="s">
        <v>18</v>
      </c>
      <c r="I171" s="4" t="s">
        <v>30</v>
      </c>
      <c r="J171" s="4">
        <v>125</v>
      </c>
      <c r="L171" s="4">
        <v>15</v>
      </c>
    </row>
    <row r="172" spans="1:12">
      <c r="A172" s="3">
        <v>43985.51381005787</v>
      </c>
      <c r="B172" s="4" t="s">
        <v>122</v>
      </c>
      <c r="C172" s="4" t="s">
        <v>765</v>
      </c>
      <c r="D172" s="4" t="s">
        <v>766</v>
      </c>
      <c r="E172" s="4" t="s">
        <v>15</v>
      </c>
      <c r="F172" s="4" t="s">
        <v>767</v>
      </c>
      <c r="G172" s="4" t="s">
        <v>768</v>
      </c>
      <c r="H172" s="4" t="s">
        <v>18</v>
      </c>
      <c r="I172" s="4" t="s">
        <v>30</v>
      </c>
      <c r="J172" s="4">
        <v>153</v>
      </c>
      <c r="K172" s="4" t="s">
        <v>769</v>
      </c>
      <c r="L172" s="4">
        <v>12</v>
      </c>
    </row>
    <row r="173" spans="1:12">
      <c r="A173" s="3">
        <v>43985.543762754634</v>
      </c>
      <c r="B173" s="4" t="s">
        <v>528</v>
      </c>
      <c r="C173" s="4" t="s">
        <v>770</v>
      </c>
      <c r="D173" s="4" t="s">
        <v>771</v>
      </c>
      <c r="E173" s="4" t="s">
        <v>15</v>
      </c>
      <c r="F173" s="4" t="s">
        <v>772</v>
      </c>
      <c r="G173" s="4" t="s">
        <v>773</v>
      </c>
      <c r="H173" s="4" t="s">
        <v>91</v>
      </c>
      <c r="J173" s="4">
        <v>90</v>
      </c>
      <c r="L173" s="4">
        <v>7</v>
      </c>
    </row>
    <row r="174" spans="1:12">
      <c r="A174" s="3">
        <v>43985.562669756946</v>
      </c>
      <c r="B174" s="4" t="s">
        <v>136</v>
      </c>
      <c r="C174" s="4" t="s">
        <v>774</v>
      </c>
      <c r="D174" s="4" t="s">
        <v>775</v>
      </c>
      <c r="E174" s="4" t="s">
        <v>15</v>
      </c>
      <c r="F174" s="4" t="s">
        <v>776</v>
      </c>
      <c r="G174" s="4" t="s">
        <v>777</v>
      </c>
      <c r="H174" s="4" t="s">
        <v>91</v>
      </c>
      <c r="J174" s="4">
        <v>80</v>
      </c>
      <c r="K174" s="4" t="s">
        <v>778</v>
      </c>
      <c r="L174" s="4">
        <v>7</v>
      </c>
    </row>
    <row r="175" spans="1:12">
      <c r="A175" s="3">
        <v>43985.520023333331</v>
      </c>
      <c r="B175" s="4" t="s">
        <v>468</v>
      </c>
      <c r="C175" s="4" t="s">
        <v>779</v>
      </c>
      <c r="D175" s="4" t="s">
        <v>780</v>
      </c>
      <c r="E175" s="4" t="s">
        <v>15</v>
      </c>
      <c r="F175" s="4" t="s">
        <v>781</v>
      </c>
      <c r="G175" s="4" t="s">
        <v>782</v>
      </c>
      <c r="H175" s="4" t="s">
        <v>18</v>
      </c>
      <c r="I175" s="4" t="s">
        <v>19</v>
      </c>
      <c r="J175" s="4">
        <v>50</v>
      </c>
      <c r="L175" s="4">
        <v>5</v>
      </c>
    </row>
    <row r="176" spans="1:12">
      <c r="A176" s="3">
        <v>43985.557004525464</v>
      </c>
      <c r="B176" s="4" t="s">
        <v>528</v>
      </c>
      <c r="C176" s="135" t="s">
        <v>783</v>
      </c>
      <c r="D176" s="4" t="s">
        <v>784</v>
      </c>
      <c r="E176" s="4" t="s">
        <v>15</v>
      </c>
      <c r="F176" s="4" t="s">
        <v>785</v>
      </c>
      <c r="G176" s="4" t="s">
        <v>786</v>
      </c>
      <c r="H176" s="4" t="s">
        <v>18</v>
      </c>
      <c r="I176" s="4" t="s">
        <v>30</v>
      </c>
      <c r="J176" s="4">
        <v>140</v>
      </c>
      <c r="L176" s="4">
        <v>15</v>
      </c>
    </row>
    <row r="177" spans="1:12">
      <c r="A177" s="3">
        <v>43985.553131516208</v>
      </c>
      <c r="B177" s="4" t="s">
        <v>131</v>
      </c>
      <c r="C177" s="4" t="s">
        <v>787</v>
      </c>
      <c r="D177" s="4" t="s">
        <v>788</v>
      </c>
      <c r="E177" s="4" t="s">
        <v>15</v>
      </c>
      <c r="F177" s="4" t="s">
        <v>789</v>
      </c>
      <c r="G177" s="4" t="s">
        <v>790</v>
      </c>
      <c r="H177" s="4" t="s">
        <v>18</v>
      </c>
      <c r="I177" s="4" t="s">
        <v>30</v>
      </c>
      <c r="J177" s="4">
        <v>230</v>
      </c>
      <c r="L177" s="4">
        <v>5</v>
      </c>
    </row>
    <row r="178" spans="1:12">
      <c r="A178" s="3">
        <v>43985.575237164347</v>
      </c>
      <c r="B178" s="4" t="s">
        <v>122</v>
      </c>
      <c r="C178" s="4" t="s">
        <v>791</v>
      </c>
      <c r="D178" s="4" t="s">
        <v>792</v>
      </c>
      <c r="E178" s="4" t="s">
        <v>74</v>
      </c>
      <c r="F178" s="4" t="s">
        <v>793</v>
      </c>
      <c r="G178" s="4" t="s">
        <v>794</v>
      </c>
      <c r="H178" s="4" t="s">
        <v>18</v>
      </c>
      <c r="I178" s="4" t="s">
        <v>30</v>
      </c>
      <c r="J178" s="4">
        <v>65</v>
      </c>
      <c r="K178" s="4" t="s">
        <v>795</v>
      </c>
      <c r="L178" s="4">
        <v>11</v>
      </c>
    </row>
    <row r="179" spans="1:12">
      <c r="A179" s="3">
        <v>43985.540539814814</v>
      </c>
      <c r="B179" s="4" t="s">
        <v>468</v>
      </c>
      <c r="C179" s="4" t="s">
        <v>796</v>
      </c>
      <c r="D179" s="4" t="s">
        <v>797</v>
      </c>
      <c r="E179" s="4" t="s">
        <v>15</v>
      </c>
      <c r="F179" s="4" t="s">
        <v>798</v>
      </c>
      <c r="G179" s="4" t="s">
        <v>799</v>
      </c>
      <c r="H179" s="4" t="s">
        <v>54</v>
      </c>
      <c r="L179" s="4">
        <v>5</v>
      </c>
    </row>
    <row r="180" spans="1:12">
      <c r="A180" s="3">
        <v>43985.475025266205</v>
      </c>
      <c r="B180" s="4" t="s">
        <v>131</v>
      </c>
      <c r="C180" s="4" t="s">
        <v>800</v>
      </c>
      <c r="D180" s="4" t="s">
        <v>801</v>
      </c>
      <c r="E180" s="4" t="s">
        <v>15</v>
      </c>
      <c r="F180" s="4" t="s">
        <v>802</v>
      </c>
      <c r="G180" s="4" t="s">
        <v>803</v>
      </c>
      <c r="H180" s="4" t="s">
        <v>18</v>
      </c>
      <c r="I180" s="4" t="s">
        <v>30</v>
      </c>
      <c r="J180" s="4">
        <v>80</v>
      </c>
      <c r="L180" s="4">
        <v>5</v>
      </c>
    </row>
    <row r="181" spans="1:12">
      <c r="A181" s="3">
        <v>43985.447519247682</v>
      </c>
      <c r="B181" s="4" t="s">
        <v>66</v>
      </c>
      <c r="C181" s="4" t="s">
        <v>804</v>
      </c>
      <c r="D181" s="4" t="s">
        <v>805</v>
      </c>
      <c r="E181" s="4" t="s">
        <v>15</v>
      </c>
      <c r="F181" s="4" t="s">
        <v>806</v>
      </c>
      <c r="G181" s="4">
        <v>7654777791</v>
      </c>
      <c r="H181" s="4" t="s">
        <v>18</v>
      </c>
      <c r="I181" s="4" t="s">
        <v>30</v>
      </c>
      <c r="J181" s="4">
        <v>110</v>
      </c>
      <c r="K181" s="4" t="s">
        <v>807</v>
      </c>
      <c r="L181" s="4">
        <v>5</v>
      </c>
    </row>
    <row r="182" spans="1:12">
      <c r="A182" s="3">
        <v>43985.57502113426</v>
      </c>
      <c r="B182" s="4" t="s">
        <v>136</v>
      </c>
      <c r="C182" s="4" t="s">
        <v>808</v>
      </c>
      <c r="D182" s="4" t="s">
        <v>809</v>
      </c>
      <c r="E182" s="4" t="s">
        <v>15</v>
      </c>
      <c r="F182" s="4" t="s">
        <v>810</v>
      </c>
      <c r="G182" s="4" t="s">
        <v>811</v>
      </c>
      <c r="H182" s="4" t="s">
        <v>18</v>
      </c>
      <c r="I182" s="4" t="s">
        <v>30</v>
      </c>
      <c r="J182" s="4">
        <v>75</v>
      </c>
      <c r="K182" s="4" t="s">
        <v>812</v>
      </c>
      <c r="L182" s="4">
        <v>14</v>
      </c>
    </row>
    <row r="183" spans="1:12">
      <c r="A183" s="3">
        <v>43985.522460925931</v>
      </c>
      <c r="B183" s="4" t="s">
        <v>102</v>
      </c>
      <c r="C183" s="4" t="s">
        <v>813</v>
      </c>
      <c r="D183" s="4" t="s">
        <v>814</v>
      </c>
      <c r="E183" s="4" t="s">
        <v>74</v>
      </c>
      <c r="F183" s="4" t="s">
        <v>815</v>
      </c>
      <c r="G183" s="4">
        <v>8122381555</v>
      </c>
      <c r="H183" s="4" t="s">
        <v>18</v>
      </c>
      <c r="I183" s="4" t="s">
        <v>30</v>
      </c>
      <c r="J183" s="4">
        <v>225</v>
      </c>
      <c r="L183" s="4">
        <v>7</v>
      </c>
    </row>
    <row r="184" spans="1:12">
      <c r="A184" s="3">
        <v>43985.495282430551</v>
      </c>
      <c r="B184" s="4" t="s">
        <v>131</v>
      </c>
      <c r="C184" s="4" t="s">
        <v>816</v>
      </c>
      <c r="D184" s="4" t="s">
        <v>817</v>
      </c>
      <c r="E184" s="4" t="s">
        <v>15</v>
      </c>
      <c r="F184" s="4" t="s">
        <v>818</v>
      </c>
      <c r="G184" s="4" t="s">
        <v>819</v>
      </c>
      <c r="H184" s="4" t="s">
        <v>18</v>
      </c>
      <c r="I184" s="4" t="s">
        <v>30</v>
      </c>
      <c r="J184" s="4">
        <v>145</v>
      </c>
      <c r="L184" s="4">
        <v>10</v>
      </c>
    </row>
    <row r="185" spans="1:12">
      <c r="A185" s="3">
        <v>43985.494603657411</v>
      </c>
      <c r="B185" s="4" t="s">
        <v>131</v>
      </c>
      <c r="C185" s="4" t="s">
        <v>820</v>
      </c>
      <c r="D185" s="4" t="s">
        <v>821</v>
      </c>
      <c r="E185" s="4" t="s">
        <v>15</v>
      </c>
      <c r="F185" s="4" t="s">
        <v>822</v>
      </c>
      <c r="G185" s="4" t="s">
        <v>823</v>
      </c>
      <c r="H185" s="4" t="s">
        <v>18</v>
      </c>
      <c r="I185" s="4" t="s">
        <v>19</v>
      </c>
      <c r="J185" s="4">
        <v>150</v>
      </c>
      <c r="L185" s="4">
        <v>6</v>
      </c>
    </row>
    <row r="186" spans="1:12">
      <c r="A186" s="3">
        <v>43985.555495393521</v>
      </c>
      <c r="B186" s="4" t="s">
        <v>468</v>
      </c>
      <c r="C186" s="4" t="s">
        <v>824</v>
      </c>
      <c r="D186" s="4" t="s">
        <v>825</v>
      </c>
      <c r="E186" s="4" t="s">
        <v>15</v>
      </c>
      <c r="F186" s="4" t="s">
        <v>826</v>
      </c>
      <c r="G186" s="4" t="s">
        <v>827</v>
      </c>
      <c r="H186" s="4" t="s">
        <v>18</v>
      </c>
      <c r="I186" s="4" t="s">
        <v>30</v>
      </c>
      <c r="J186" s="4">
        <v>115</v>
      </c>
      <c r="K186" s="4" t="s">
        <v>828</v>
      </c>
      <c r="L186" s="4">
        <v>17</v>
      </c>
    </row>
    <row r="187" spans="1:12">
      <c r="A187" s="3">
        <v>43985.572476967587</v>
      </c>
      <c r="B187" s="4" t="s">
        <v>468</v>
      </c>
      <c r="C187" s="4" t="s">
        <v>829</v>
      </c>
      <c r="D187" s="4" t="s">
        <v>830</v>
      </c>
      <c r="E187" s="4" t="s">
        <v>15</v>
      </c>
      <c r="F187" s="4" t="s">
        <v>831</v>
      </c>
      <c r="G187" s="4" t="s">
        <v>832</v>
      </c>
      <c r="H187" s="4" t="s">
        <v>18</v>
      </c>
      <c r="I187" s="4" t="s">
        <v>30</v>
      </c>
      <c r="J187" s="4">
        <v>100</v>
      </c>
      <c r="L187" s="4">
        <v>8</v>
      </c>
    </row>
    <row r="188" spans="1:12">
      <c r="A188" s="3">
        <v>43985.515928506946</v>
      </c>
      <c r="B188" s="4" t="s">
        <v>102</v>
      </c>
      <c r="C188" s="4" t="s">
        <v>833</v>
      </c>
      <c r="D188" s="4" t="s">
        <v>834</v>
      </c>
      <c r="E188" s="4" t="s">
        <v>15</v>
      </c>
      <c r="F188" s="4" t="s">
        <v>835</v>
      </c>
      <c r="G188" s="4" t="s">
        <v>836</v>
      </c>
      <c r="H188" s="4" t="s">
        <v>18</v>
      </c>
      <c r="I188" s="4" t="s">
        <v>30</v>
      </c>
      <c r="J188" s="4">
        <v>45</v>
      </c>
      <c r="L188" s="4">
        <v>12</v>
      </c>
    </row>
    <row r="189" spans="1:12">
      <c r="A189" s="3">
        <v>43985.521020034721</v>
      </c>
      <c r="B189" s="4" t="s">
        <v>131</v>
      </c>
      <c r="C189" s="4" t="s">
        <v>837</v>
      </c>
      <c r="D189" s="4" t="s">
        <v>838</v>
      </c>
      <c r="E189" s="4" t="s">
        <v>74</v>
      </c>
      <c r="F189" s="4" t="s">
        <v>839</v>
      </c>
      <c r="G189" s="4" t="s">
        <v>840</v>
      </c>
      <c r="H189" s="4" t="s">
        <v>18</v>
      </c>
      <c r="I189" s="4" t="s">
        <v>30</v>
      </c>
      <c r="J189" s="4">
        <v>150</v>
      </c>
      <c r="L189" s="4">
        <v>7</v>
      </c>
    </row>
    <row r="190" spans="1:12">
      <c r="A190" s="3">
        <v>43985.586927546297</v>
      </c>
      <c r="B190" s="4" t="s">
        <v>136</v>
      </c>
      <c r="C190" s="4" t="s">
        <v>841</v>
      </c>
      <c r="D190" s="4" t="s">
        <v>842</v>
      </c>
      <c r="E190" s="4" t="s">
        <v>15</v>
      </c>
      <c r="F190" s="4" t="s">
        <v>843</v>
      </c>
      <c r="G190" s="4" t="s">
        <v>844</v>
      </c>
      <c r="H190" s="4" t="s">
        <v>18</v>
      </c>
      <c r="I190" s="4" t="s">
        <v>30</v>
      </c>
      <c r="J190" s="4">
        <v>190</v>
      </c>
      <c r="K190" s="4" t="s">
        <v>845</v>
      </c>
      <c r="L190" s="4">
        <v>8</v>
      </c>
    </row>
    <row r="191" spans="1:12">
      <c r="A191" s="3">
        <v>43985.618160370374</v>
      </c>
      <c r="B191" s="4" t="s">
        <v>468</v>
      </c>
      <c r="C191" s="4" t="s">
        <v>846</v>
      </c>
      <c r="D191" s="4" t="s">
        <v>847</v>
      </c>
      <c r="E191" s="4" t="s">
        <v>15</v>
      </c>
      <c r="F191" s="4" t="s">
        <v>848</v>
      </c>
      <c r="G191" s="4" t="s">
        <v>849</v>
      </c>
      <c r="H191" s="4" t="s">
        <v>18</v>
      </c>
      <c r="I191" s="4" t="s">
        <v>30</v>
      </c>
      <c r="J191" s="4">
        <v>25</v>
      </c>
      <c r="L191" s="4">
        <v>5</v>
      </c>
    </row>
    <row r="192" spans="1:12">
      <c r="A192" s="3">
        <v>43985.619776562497</v>
      </c>
      <c r="B192" s="4" t="s">
        <v>528</v>
      </c>
      <c r="C192" s="4" t="s">
        <v>850</v>
      </c>
      <c r="D192" s="4" t="s">
        <v>851</v>
      </c>
      <c r="E192" s="4" t="s">
        <v>15</v>
      </c>
      <c r="F192" s="4" t="s">
        <v>852</v>
      </c>
      <c r="G192" s="4" t="s">
        <v>853</v>
      </c>
      <c r="H192" s="4" t="s">
        <v>91</v>
      </c>
      <c r="J192" s="4">
        <v>240</v>
      </c>
      <c r="L192" s="4">
        <v>20</v>
      </c>
    </row>
    <row r="193" spans="1:12">
      <c r="A193" s="3">
        <v>43985.60875042824</v>
      </c>
      <c r="B193" s="4" t="s">
        <v>136</v>
      </c>
      <c r="C193" s="4" t="s">
        <v>854</v>
      </c>
      <c r="D193" s="4" t="s">
        <v>855</v>
      </c>
      <c r="E193" s="4" t="s">
        <v>15</v>
      </c>
      <c r="F193" s="4" t="s">
        <v>856</v>
      </c>
      <c r="G193" s="4" t="s">
        <v>857</v>
      </c>
      <c r="H193" s="4" t="s">
        <v>18</v>
      </c>
      <c r="I193" s="4" t="s">
        <v>30</v>
      </c>
      <c r="J193" s="4">
        <v>90</v>
      </c>
      <c r="K193" s="4" t="s">
        <v>858</v>
      </c>
      <c r="L193" s="4">
        <v>5</v>
      </c>
    </row>
    <row r="194" spans="1:12">
      <c r="A194" s="3">
        <v>43985.615363680554</v>
      </c>
      <c r="B194" s="4" t="s">
        <v>136</v>
      </c>
      <c r="C194" s="4" t="s">
        <v>859</v>
      </c>
      <c r="D194" s="4" t="s">
        <v>860</v>
      </c>
      <c r="E194" s="4" t="s">
        <v>15</v>
      </c>
      <c r="F194" s="4" t="s">
        <v>861</v>
      </c>
      <c r="G194" s="4" t="s">
        <v>862</v>
      </c>
      <c r="H194" s="4" t="s">
        <v>18</v>
      </c>
      <c r="I194" s="4" t="s">
        <v>30</v>
      </c>
      <c r="J194" s="4">
        <v>60</v>
      </c>
      <c r="K194" s="4" t="s">
        <v>863</v>
      </c>
      <c r="L194" s="4">
        <v>6</v>
      </c>
    </row>
    <row r="195" spans="1:12">
      <c r="A195" s="3">
        <v>43985.624513368057</v>
      </c>
      <c r="B195" s="4" t="s">
        <v>136</v>
      </c>
      <c r="C195" s="4" t="s">
        <v>864</v>
      </c>
      <c r="D195" s="4" t="s">
        <v>865</v>
      </c>
      <c r="E195" s="4" t="s">
        <v>15</v>
      </c>
      <c r="F195" s="4" t="s">
        <v>866</v>
      </c>
      <c r="G195" s="4" t="s">
        <v>867</v>
      </c>
      <c r="H195" s="4" t="s">
        <v>18</v>
      </c>
      <c r="I195" s="4" t="s">
        <v>30</v>
      </c>
      <c r="J195" s="4">
        <v>80</v>
      </c>
      <c r="L195" s="4">
        <v>5</v>
      </c>
    </row>
    <row r="196" spans="1:12">
      <c r="A196" s="3">
        <v>43985.553614699078</v>
      </c>
      <c r="B196" s="4" t="s">
        <v>432</v>
      </c>
      <c r="C196" s="4" t="s">
        <v>868</v>
      </c>
      <c r="D196" s="4" t="s">
        <v>869</v>
      </c>
      <c r="E196" s="4" t="s">
        <v>15</v>
      </c>
      <c r="F196" s="4" t="s">
        <v>870</v>
      </c>
      <c r="G196" s="4" t="s">
        <v>871</v>
      </c>
      <c r="H196" s="4" t="s">
        <v>18</v>
      </c>
      <c r="L196" s="4">
        <v>4</v>
      </c>
    </row>
    <row r="197" spans="1:12">
      <c r="A197" s="3">
        <v>43985.461904918979</v>
      </c>
      <c r="B197" s="4" t="s">
        <v>66</v>
      </c>
      <c r="C197" s="4" t="s">
        <v>872</v>
      </c>
      <c r="D197" s="4" t="s">
        <v>873</v>
      </c>
      <c r="E197" s="4" t="s">
        <v>15</v>
      </c>
      <c r="F197" s="4" t="s">
        <v>89</v>
      </c>
      <c r="G197" s="4">
        <v>7654645600</v>
      </c>
      <c r="H197" s="4" t="s">
        <v>18</v>
      </c>
      <c r="I197" s="4" t="s">
        <v>30</v>
      </c>
      <c r="K197" s="4" t="s">
        <v>874</v>
      </c>
      <c r="L197" s="4">
        <v>15</v>
      </c>
    </row>
    <row r="198" spans="1:12">
      <c r="A198" s="3">
        <v>43985.550053310188</v>
      </c>
      <c r="B198" s="4" t="s">
        <v>102</v>
      </c>
      <c r="C198" s="4" t="s">
        <v>875</v>
      </c>
      <c r="D198" s="4" t="s">
        <v>876</v>
      </c>
      <c r="E198" s="4" t="s">
        <v>289</v>
      </c>
      <c r="F198" s="4" t="s">
        <v>877</v>
      </c>
      <c r="G198" s="4" t="s">
        <v>878</v>
      </c>
      <c r="H198" s="4" t="s">
        <v>18</v>
      </c>
      <c r="I198" s="4" t="s">
        <v>30</v>
      </c>
      <c r="J198" s="4">
        <v>80</v>
      </c>
      <c r="K198" s="4" t="s">
        <v>879</v>
      </c>
      <c r="L198" s="4">
        <v>4</v>
      </c>
    </row>
    <row r="199" spans="1:12">
      <c r="A199" s="3">
        <v>43985.596286817134</v>
      </c>
      <c r="B199" s="4" t="s">
        <v>528</v>
      </c>
      <c r="C199" s="4" t="s">
        <v>880</v>
      </c>
      <c r="D199" s="4" t="s">
        <v>881</v>
      </c>
      <c r="E199" s="4" t="s">
        <v>15</v>
      </c>
      <c r="F199" s="4" t="s">
        <v>882</v>
      </c>
      <c r="G199" s="4" t="s">
        <v>883</v>
      </c>
      <c r="H199" s="4" t="s">
        <v>91</v>
      </c>
      <c r="J199" s="4">
        <v>80</v>
      </c>
      <c r="L199" s="4">
        <v>20</v>
      </c>
    </row>
    <row r="200" spans="1:12">
      <c r="A200" s="3">
        <v>43985.55734752315</v>
      </c>
      <c r="B200" s="4" t="s">
        <v>122</v>
      </c>
      <c r="C200" s="4" t="s">
        <v>884</v>
      </c>
      <c r="D200" s="4" t="s">
        <v>885</v>
      </c>
      <c r="E200" s="4" t="s">
        <v>74</v>
      </c>
      <c r="F200" s="4" t="s">
        <v>886</v>
      </c>
      <c r="G200" s="4">
        <v>8123992751</v>
      </c>
      <c r="H200" s="4" t="s">
        <v>18</v>
      </c>
      <c r="I200" s="4" t="s">
        <v>30</v>
      </c>
      <c r="J200" s="4">
        <v>150</v>
      </c>
      <c r="K200" s="4" t="s">
        <v>887</v>
      </c>
      <c r="L200" s="4">
        <v>8</v>
      </c>
    </row>
    <row r="201" spans="1:12">
      <c r="A201" s="3">
        <v>43985.525649780087</v>
      </c>
      <c r="B201" s="4" t="s">
        <v>131</v>
      </c>
      <c r="C201" s="4" t="s">
        <v>888</v>
      </c>
      <c r="D201" s="4" t="s">
        <v>889</v>
      </c>
      <c r="E201" s="4" t="s">
        <v>15</v>
      </c>
      <c r="F201" s="4" t="s">
        <v>890</v>
      </c>
      <c r="G201" s="4" t="s">
        <v>891</v>
      </c>
      <c r="H201" s="4" t="s">
        <v>91</v>
      </c>
      <c r="I201" s="4" t="s">
        <v>30</v>
      </c>
      <c r="J201" s="4">
        <v>75</v>
      </c>
      <c r="L201" s="4">
        <v>5</v>
      </c>
    </row>
    <row r="202" spans="1:12">
      <c r="A202" s="3">
        <v>43985.576481701384</v>
      </c>
      <c r="B202" s="4" t="s">
        <v>66</v>
      </c>
      <c r="C202" s="4" t="s">
        <v>892</v>
      </c>
      <c r="D202" s="4" t="s">
        <v>893</v>
      </c>
      <c r="E202" s="4" t="s">
        <v>15</v>
      </c>
      <c r="F202" s="4" t="s">
        <v>894</v>
      </c>
      <c r="G202" s="4" t="s">
        <v>895</v>
      </c>
      <c r="H202" s="4" t="s">
        <v>18</v>
      </c>
      <c r="J202" s="4">
        <v>130</v>
      </c>
      <c r="L202" s="4">
        <v>5</v>
      </c>
    </row>
    <row r="203" spans="1:12">
      <c r="A203" s="3">
        <v>43985.544501747689</v>
      </c>
      <c r="B203" s="4" t="s">
        <v>102</v>
      </c>
      <c r="C203" s="4" t="s">
        <v>896</v>
      </c>
      <c r="D203" s="4" t="s">
        <v>897</v>
      </c>
      <c r="E203" s="4" t="s">
        <v>15</v>
      </c>
      <c r="F203" s="4" t="s">
        <v>898</v>
      </c>
      <c r="G203" s="4">
        <v>7656532602</v>
      </c>
      <c r="H203" s="4" t="s">
        <v>54</v>
      </c>
      <c r="L203" s="4">
        <v>5</v>
      </c>
    </row>
    <row r="204" spans="1:12">
      <c r="A204" s="3">
        <v>43985.547157025459</v>
      </c>
      <c r="B204" s="4" t="s">
        <v>432</v>
      </c>
      <c r="C204" s="4" t="s">
        <v>896</v>
      </c>
      <c r="D204" s="4" t="s">
        <v>899</v>
      </c>
      <c r="E204" s="4" t="s">
        <v>15</v>
      </c>
      <c r="F204" s="4" t="s">
        <v>900</v>
      </c>
      <c r="G204" s="4" t="s">
        <v>901</v>
      </c>
      <c r="H204" s="4" t="s">
        <v>18</v>
      </c>
      <c r="L204" s="4">
        <v>3</v>
      </c>
    </row>
    <row r="205" spans="1:12">
      <c r="A205" s="3">
        <v>43985.602523333335</v>
      </c>
      <c r="B205" s="4" t="s">
        <v>468</v>
      </c>
      <c r="C205" s="4" t="s">
        <v>902</v>
      </c>
      <c r="D205" s="4" t="s">
        <v>903</v>
      </c>
      <c r="E205" s="4" t="s">
        <v>15</v>
      </c>
      <c r="F205" s="4" t="s">
        <v>904</v>
      </c>
      <c r="G205" s="4" t="s">
        <v>905</v>
      </c>
      <c r="H205" s="4" t="s">
        <v>18</v>
      </c>
      <c r="I205" s="4" t="s">
        <v>30</v>
      </c>
      <c r="J205" s="4">
        <v>78</v>
      </c>
      <c r="L205" s="4">
        <v>4</v>
      </c>
    </row>
    <row r="206" spans="1:12">
      <c r="A206" s="3">
        <v>43985.533772615745</v>
      </c>
      <c r="B206" s="4" t="s">
        <v>432</v>
      </c>
      <c r="C206" s="4" t="s">
        <v>906</v>
      </c>
      <c r="D206" s="4" t="s">
        <v>907</v>
      </c>
      <c r="E206" s="4" t="s">
        <v>15</v>
      </c>
      <c r="F206" s="4" t="s">
        <v>908</v>
      </c>
      <c r="G206" s="4" t="s">
        <v>909</v>
      </c>
      <c r="H206" s="4" t="s">
        <v>18</v>
      </c>
      <c r="L206" s="4">
        <v>8</v>
      </c>
    </row>
    <row r="207" spans="1:12">
      <c r="A207" s="3">
        <v>43985.541915914349</v>
      </c>
      <c r="B207" s="4" t="s">
        <v>122</v>
      </c>
      <c r="C207" s="4" t="s">
        <v>910</v>
      </c>
      <c r="D207" s="4" t="s">
        <v>911</v>
      </c>
      <c r="E207" s="4" t="s">
        <v>15</v>
      </c>
      <c r="F207" s="4" t="s">
        <v>912</v>
      </c>
      <c r="G207" s="4" t="s">
        <v>913</v>
      </c>
      <c r="H207" s="4" t="s">
        <v>18</v>
      </c>
      <c r="I207" s="4" t="s">
        <v>30</v>
      </c>
      <c r="J207" s="4">
        <v>55</v>
      </c>
      <c r="L207" s="4">
        <v>6</v>
      </c>
    </row>
    <row r="208" spans="1:12">
      <c r="A208" s="3">
        <v>43985.560972395833</v>
      </c>
      <c r="B208" s="4" t="s">
        <v>122</v>
      </c>
      <c r="C208" s="4" t="s">
        <v>914</v>
      </c>
      <c r="D208" s="4" t="s">
        <v>915</v>
      </c>
      <c r="E208" s="4" t="s">
        <v>15</v>
      </c>
      <c r="F208" s="4" t="s">
        <v>916</v>
      </c>
      <c r="G208" s="4" t="s">
        <v>917</v>
      </c>
      <c r="H208" s="4" t="s">
        <v>18</v>
      </c>
      <c r="I208" s="4" t="s">
        <v>30</v>
      </c>
      <c r="J208" s="4">
        <v>65</v>
      </c>
      <c r="L208" s="4">
        <v>5</v>
      </c>
    </row>
    <row r="209" spans="1:12">
      <c r="A209" s="3">
        <v>43985.477088298612</v>
      </c>
      <c r="B209" s="4" t="s">
        <v>66</v>
      </c>
      <c r="C209" s="4" t="s">
        <v>918</v>
      </c>
      <c r="D209" s="4" t="s">
        <v>919</v>
      </c>
      <c r="E209" s="4" t="s">
        <v>15</v>
      </c>
      <c r="F209" s="4" t="s">
        <v>920</v>
      </c>
      <c r="G209" s="4">
        <v>7656591811</v>
      </c>
      <c r="H209" s="4" t="s">
        <v>54</v>
      </c>
      <c r="K209" s="4" t="s">
        <v>921</v>
      </c>
      <c r="L209" s="4">
        <v>5</v>
      </c>
    </row>
    <row r="210" spans="1:12">
      <c r="A210" s="3">
        <v>43985.563330821758</v>
      </c>
      <c r="B210" s="4" t="s">
        <v>432</v>
      </c>
      <c r="C210" s="4" t="s">
        <v>922</v>
      </c>
      <c r="D210" s="4" t="s">
        <v>923</v>
      </c>
      <c r="E210" s="4" t="s">
        <v>74</v>
      </c>
      <c r="F210" s="4" t="s">
        <v>924</v>
      </c>
      <c r="G210" s="4" t="s">
        <v>925</v>
      </c>
      <c r="H210" s="4" t="s">
        <v>18</v>
      </c>
      <c r="I210" s="4" t="s">
        <v>19</v>
      </c>
      <c r="K210" s="4" t="s">
        <v>926</v>
      </c>
      <c r="L210" s="4">
        <v>10</v>
      </c>
    </row>
    <row r="211" spans="1:12">
      <c r="A211" s="3">
        <v>43985.488028900465</v>
      </c>
      <c r="B211" s="4" t="s">
        <v>66</v>
      </c>
      <c r="C211" s="4" t="s">
        <v>927</v>
      </c>
      <c r="D211" s="4" t="s">
        <v>928</v>
      </c>
      <c r="E211" s="4" t="s">
        <v>15</v>
      </c>
      <c r="F211" s="4" t="s">
        <v>929</v>
      </c>
      <c r="G211" s="4">
        <v>7654637546</v>
      </c>
      <c r="H211" s="4" t="s">
        <v>18</v>
      </c>
      <c r="J211" s="4">
        <v>197</v>
      </c>
      <c r="K211" s="4" t="s">
        <v>930</v>
      </c>
      <c r="L211" s="4">
        <v>5</v>
      </c>
    </row>
    <row r="212" spans="1:12">
      <c r="A212" s="3">
        <v>43985.55686921296</v>
      </c>
      <c r="B212" s="4" t="s">
        <v>102</v>
      </c>
      <c r="C212" s="4" t="s">
        <v>931</v>
      </c>
      <c r="D212" s="4" t="s">
        <v>932</v>
      </c>
      <c r="E212" s="4" t="s">
        <v>15</v>
      </c>
      <c r="F212" s="4" t="s">
        <v>933</v>
      </c>
      <c r="G212" s="4" t="s">
        <v>934</v>
      </c>
      <c r="H212" s="4" t="s">
        <v>18</v>
      </c>
      <c r="I212" s="4" t="s">
        <v>19</v>
      </c>
      <c r="J212" s="4">
        <v>170</v>
      </c>
      <c r="L212" s="4">
        <v>10</v>
      </c>
    </row>
    <row r="213" spans="1:12">
      <c r="A213" s="3">
        <v>43985.581598020828</v>
      </c>
      <c r="B213" s="4" t="s">
        <v>432</v>
      </c>
      <c r="C213" s="4" t="s">
        <v>935</v>
      </c>
      <c r="D213" s="4" t="s">
        <v>936</v>
      </c>
      <c r="E213" s="4" t="s">
        <v>15</v>
      </c>
      <c r="F213" s="4" t="s">
        <v>937</v>
      </c>
      <c r="G213" s="4" t="s">
        <v>938</v>
      </c>
      <c r="H213" s="4" t="s">
        <v>18</v>
      </c>
      <c r="L213" s="4">
        <v>14</v>
      </c>
    </row>
    <row r="214" spans="1:12">
      <c r="A214" s="3">
        <v>43985.572744907404</v>
      </c>
      <c r="B214" s="4" t="s">
        <v>102</v>
      </c>
      <c r="C214" s="4" t="s">
        <v>939</v>
      </c>
      <c r="D214" s="4" t="s">
        <v>940</v>
      </c>
      <c r="E214" s="4" t="s">
        <v>74</v>
      </c>
      <c r="F214" s="4" t="s">
        <v>941</v>
      </c>
      <c r="G214" s="4" t="s">
        <v>942</v>
      </c>
      <c r="H214" s="4" t="s">
        <v>18</v>
      </c>
      <c r="I214" s="4" t="s">
        <v>30</v>
      </c>
      <c r="J214" s="4">
        <v>75</v>
      </c>
      <c r="L214" s="4">
        <v>20</v>
      </c>
    </row>
    <row r="215" spans="1:12">
      <c r="A215" s="3">
        <v>43985.569867789352</v>
      </c>
      <c r="B215" s="4" t="s">
        <v>151</v>
      </c>
      <c r="C215" s="4" t="s">
        <v>943</v>
      </c>
      <c r="D215" s="4" t="s">
        <v>944</v>
      </c>
      <c r="E215" s="4" t="s">
        <v>15</v>
      </c>
      <c r="F215" s="4" t="s">
        <v>945</v>
      </c>
      <c r="G215" s="4" t="s">
        <v>946</v>
      </c>
      <c r="H215" s="4" t="s">
        <v>18</v>
      </c>
      <c r="I215" s="4" t="s">
        <v>30</v>
      </c>
      <c r="J215" s="4">
        <v>60</v>
      </c>
      <c r="K215" s="4" t="s">
        <v>947</v>
      </c>
      <c r="L215" s="4">
        <v>15</v>
      </c>
    </row>
    <row r="216" spans="1:12">
      <c r="A216" s="3">
        <v>43985.496766736112</v>
      </c>
      <c r="B216" s="4" t="s">
        <v>151</v>
      </c>
      <c r="C216" s="4" t="s">
        <v>948</v>
      </c>
      <c r="D216" s="4" t="s">
        <v>949</v>
      </c>
      <c r="E216" s="4" t="s">
        <v>15</v>
      </c>
      <c r="F216" s="4" t="s">
        <v>950</v>
      </c>
      <c r="G216" s="4" t="s">
        <v>951</v>
      </c>
      <c r="H216" s="4" t="s">
        <v>18</v>
      </c>
      <c r="I216" s="4" t="s">
        <v>30</v>
      </c>
      <c r="J216" s="4">
        <v>88</v>
      </c>
      <c r="L216" s="4">
        <v>9</v>
      </c>
    </row>
    <row r="217" spans="1:12">
      <c r="A217" s="3">
        <v>43985.587158275463</v>
      </c>
      <c r="B217" s="4" t="s">
        <v>432</v>
      </c>
      <c r="C217" s="4" t="s">
        <v>952</v>
      </c>
      <c r="D217" s="4" t="s">
        <v>953</v>
      </c>
      <c r="E217" s="4" t="s">
        <v>15</v>
      </c>
      <c r="F217" s="4" t="s">
        <v>954</v>
      </c>
      <c r="G217" s="4" t="s">
        <v>955</v>
      </c>
      <c r="H217" s="4" t="s">
        <v>18</v>
      </c>
      <c r="L217" s="4">
        <v>3</v>
      </c>
    </row>
    <row r="218" spans="1:12">
      <c r="A218" s="3">
        <v>43985.53058233796</v>
      </c>
      <c r="B218" s="4" t="s">
        <v>131</v>
      </c>
      <c r="C218" s="4" t="s">
        <v>956</v>
      </c>
      <c r="D218" s="4" t="s">
        <v>957</v>
      </c>
      <c r="E218" s="4" t="s">
        <v>289</v>
      </c>
      <c r="F218" s="4" t="s">
        <v>958</v>
      </c>
      <c r="G218" s="4" t="s">
        <v>959</v>
      </c>
      <c r="H218" s="4" t="s">
        <v>18</v>
      </c>
      <c r="I218" s="4" t="s">
        <v>30</v>
      </c>
      <c r="J218" s="4">
        <v>65</v>
      </c>
      <c r="K218" s="4" t="s">
        <v>960</v>
      </c>
      <c r="L218" s="4">
        <v>6</v>
      </c>
    </row>
    <row r="219" spans="1:12">
      <c r="A219" s="3">
        <v>43985.56625142361</v>
      </c>
      <c r="B219" s="4" t="s">
        <v>122</v>
      </c>
      <c r="C219" s="4" t="s">
        <v>961</v>
      </c>
      <c r="D219" s="4" t="s">
        <v>962</v>
      </c>
      <c r="E219" s="4" t="s">
        <v>15</v>
      </c>
      <c r="F219" s="4" t="s">
        <v>963</v>
      </c>
      <c r="G219" s="4" t="s">
        <v>964</v>
      </c>
      <c r="H219" s="4" t="s">
        <v>18</v>
      </c>
      <c r="I219" s="4" t="s">
        <v>30</v>
      </c>
      <c r="J219" s="4">
        <v>50</v>
      </c>
      <c r="L219" s="4">
        <v>7</v>
      </c>
    </row>
    <row r="220" spans="1:12">
      <c r="A220" s="3">
        <v>43985.534168923608</v>
      </c>
      <c r="B220" s="4" t="s">
        <v>131</v>
      </c>
      <c r="C220" s="4" t="s">
        <v>965</v>
      </c>
      <c r="D220" s="4" t="s">
        <v>966</v>
      </c>
      <c r="E220" s="4" t="s">
        <v>74</v>
      </c>
      <c r="F220" s="8" t="s">
        <v>967</v>
      </c>
      <c r="G220" s="4" t="s">
        <v>968</v>
      </c>
      <c r="H220" s="4" t="s">
        <v>91</v>
      </c>
      <c r="I220" s="4" t="s">
        <v>30</v>
      </c>
      <c r="J220" s="4">
        <v>75</v>
      </c>
      <c r="K220" s="4" t="s">
        <v>969</v>
      </c>
      <c r="L220" s="4">
        <v>3</v>
      </c>
    </row>
    <row r="221" spans="1:12">
      <c r="A221" s="3">
        <v>43986.224513506946</v>
      </c>
      <c r="B221" s="4" t="s">
        <v>528</v>
      </c>
      <c r="C221" s="4" t="s">
        <v>970</v>
      </c>
      <c r="D221" s="4" t="s">
        <v>971</v>
      </c>
      <c r="E221" s="4" t="s">
        <v>15</v>
      </c>
      <c r="F221" s="4" t="s">
        <v>972</v>
      </c>
      <c r="G221" s="4" t="s">
        <v>973</v>
      </c>
      <c r="H221" s="4" t="s">
        <v>91</v>
      </c>
      <c r="J221" s="4">
        <v>90</v>
      </c>
      <c r="L221" s="4">
        <v>5</v>
      </c>
    </row>
    <row r="222" spans="1:12">
      <c r="A222" s="3">
        <v>43986.227186273143</v>
      </c>
      <c r="B222" s="4" t="s">
        <v>66</v>
      </c>
      <c r="C222" s="4" t="s">
        <v>974</v>
      </c>
      <c r="D222" s="4" t="s">
        <v>975</v>
      </c>
      <c r="E222" s="4" t="s">
        <v>74</v>
      </c>
      <c r="F222" s="4" t="s">
        <v>976</v>
      </c>
      <c r="G222" s="4" t="s">
        <v>977</v>
      </c>
      <c r="H222" s="4" t="s">
        <v>18</v>
      </c>
      <c r="I222" s="4" t="s">
        <v>30</v>
      </c>
      <c r="J222" s="4">
        <v>200</v>
      </c>
      <c r="K222" s="4" t="s">
        <v>978</v>
      </c>
      <c r="L222" s="4">
        <v>10</v>
      </c>
    </row>
    <row r="223" spans="1:12">
      <c r="A223" s="3">
        <v>43986.227686643513</v>
      </c>
      <c r="B223" s="4" t="s">
        <v>136</v>
      </c>
      <c r="C223" s="4" t="s">
        <v>979</v>
      </c>
      <c r="D223" s="4" t="s">
        <v>980</v>
      </c>
      <c r="E223" s="4" t="s">
        <v>74</v>
      </c>
      <c r="F223" s="4" t="s">
        <v>981</v>
      </c>
      <c r="G223" s="4" t="s">
        <v>982</v>
      </c>
      <c r="H223" s="4" t="s">
        <v>18</v>
      </c>
      <c r="I223" s="4" t="s">
        <v>30</v>
      </c>
      <c r="J223" s="4">
        <v>96</v>
      </c>
      <c r="K223" s="4" t="s">
        <v>983</v>
      </c>
      <c r="L223" s="4">
        <v>6</v>
      </c>
    </row>
    <row r="224" spans="1:12">
      <c r="A224" s="3">
        <v>43986.233875219907</v>
      </c>
      <c r="B224" s="4" t="s">
        <v>528</v>
      </c>
      <c r="C224" s="4" t="s">
        <v>984</v>
      </c>
      <c r="D224" s="4" t="s">
        <v>985</v>
      </c>
      <c r="E224" s="4" t="s">
        <v>15</v>
      </c>
      <c r="F224" s="4" t="s">
        <v>986</v>
      </c>
      <c r="G224" s="4" t="s">
        <v>987</v>
      </c>
      <c r="H224" s="4" t="s">
        <v>18</v>
      </c>
      <c r="I224" s="4" t="s">
        <v>19</v>
      </c>
      <c r="J224" s="4">
        <v>80</v>
      </c>
      <c r="L224" s="4">
        <v>9</v>
      </c>
    </row>
    <row r="225" spans="1:12">
      <c r="A225" s="3">
        <v>43986.23474777778</v>
      </c>
      <c r="B225" s="4" t="s">
        <v>102</v>
      </c>
      <c r="C225" s="4" t="s">
        <v>988</v>
      </c>
      <c r="D225" s="4" t="s">
        <v>989</v>
      </c>
      <c r="E225" s="4" t="s">
        <v>15</v>
      </c>
      <c r="F225" s="4" t="s">
        <v>990</v>
      </c>
      <c r="G225" s="4" t="s">
        <v>991</v>
      </c>
      <c r="H225" s="4" t="s">
        <v>18</v>
      </c>
      <c r="I225" s="4" t="s">
        <v>19</v>
      </c>
      <c r="J225" s="4">
        <v>135</v>
      </c>
      <c r="L225" s="4">
        <v>5</v>
      </c>
    </row>
    <row r="226" spans="1:12">
      <c r="A226" s="3">
        <v>43986.238422951385</v>
      </c>
      <c r="B226" s="4" t="s">
        <v>66</v>
      </c>
      <c r="C226" s="4" t="s">
        <v>992</v>
      </c>
      <c r="D226" s="4" t="s">
        <v>993</v>
      </c>
      <c r="E226" s="4" t="s">
        <v>15</v>
      </c>
      <c r="F226" s="4" t="s">
        <v>994</v>
      </c>
      <c r="G226" s="4" t="s">
        <v>995</v>
      </c>
      <c r="H226" s="4" t="s">
        <v>18</v>
      </c>
      <c r="I226" s="4" t="s">
        <v>30</v>
      </c>
      <c r="J226" s="4">
        <v>50</v>
      </c>
      <c r="L226" s="4">
        <v>5</v>
      </c>
    </row>
    <row r="227" spans="1:12">
      <c r="A227" s="3">
        <v>43986.23849423611</v>
      </c>
      <c r="B227" s="4" t="s">
        <v>432</v>
      </c>
      <c r="C227" s="4" t="s">
        <v>996</v>
      </c>
      <c r="D227" s="4" t="s">
        <v>997</v>
      </c>
      <c r="E227" s="4" t="s">
        <v>15</v>
      </c>
      <c r="F227" s="4" t="s">
        <v>998</v>
      </c>
      <c r="G227" s="4" t="s">
        <v>999</v>
      </c>
      <c r="H227" s="4" t="s">
        <v>91</v>
      </c>
      <c r="L227" s="4">
        <v>6</v>
      </c>
    </row>
    <row r="228" spans="1:12">
      <c r="A228" s="3">
        <v>43986.238949293984</v>
      </c>
      <c r="B228" s="4" t="s">
        <v>136</v>
      </c>
      <c r="C228" s="4" t="s">
        <v>1000</v>
      </c>
      <c r="D228" s="4" t="s">
        <v>1001</v>
      </c>
      <c r="E228" s="4" t="s">
        <v>15</v>
      </c>
      <c r="F228" s="4" t="s">
        <v>1002</v>
      </c>
      <c r="G228" s="4" t="s">
        <v>1003</v>
      </c>
      <c r="H228" s="4" t="s">
        <v>18</v>
      </c>
      <c r="I228" s="4" t="s">
        <v>19</v>
      </c>
      <c r="J228" s="4">
        <v>80</v>
      </c>
      <c r="K228" s="4" t="s">
        <v>1004</v>
      </c>
      <c r="L228" s="4">
        <v>4</v>
      </c>
    </row>
    <row r="229" spans="1:12">
      <c r="A229" s="3">
        <v>43986.245290162042</v>
      </c>
      <c r="B229" s="4" t="s">
        <v>136</v>
      </c>
      <c r="C229" s="4" t="s">
        <v>1005</v>
      </c>
      <c r="D229" s="4" t="s">
        <v>1006</v>
      </c>
      <c r="E229" s="4" t="s">
        <v>15</v>
      </c>
      <c r="F229" s="4" t="s">
        <v>1007</v>
      </c>
      <c r="G229" s="4" t="s">
        <v>1008</v>
      </c>
      <c r="H229" s="4" t="s">
        <v>18</v>
      </c>
      <c r="I229" s="4" t="s">
        <v>30</v>
      </c>
      <c r="J229" s="4">
        <v>95</v>
      </c>
      <c r="L229" s="4">
        <v>5</v>
      </c>
    </row>
    <row r="230" spans="1:12">
      <c r="A230" s="3">
        <v>43986.247999259256</v>
      </c>
      <c r="B230" s="4" t="s">
        <v>528</v>
      </c>
      <c r="C230" s="4" t="s">
        <v>1009</v>
      </c>
      <c r="D230" s="4" t="s">
        <v>1010</v>
      </c>
      <c r="E230" s="4" t="s">
        <v>15</v>
      </c>
      <c r="F230" s="4" t="s">
        <v>1011</v>
      </c>
      <c r="G230" s="4" t="s">
        <v>1012</v>
      </c>
      <c r="H230" s="4" t="s">
        <v>18</v>
      </c>
      <c r="I230" s="4" t="s">
        <v>19</v>
      </c>
      <c r="J230" s="4">
        <v>300</v>
      </c>
      <c r="L230" s="4">
        <v>8</v>
      </c>
    </row>
    <row r="231" spans="1:12">
      <c r="A231" s="3">
        <v>43986.248793402774</v>
      </c>
      <c r="B231" s="4" t="s">
        <v>432</v>
      </c>
      <c r="C231" s="4" t="s">
        <v>1013</v>
      </c>
      <c r="D231" s="4" t="s">
        <v>1014</v>
      </c>
      <c r="E231" s="4" t="s">
        <v>15</v>
      </c>
      <c r="F231" s="4" t="s">
        <v>1015</v>
      </c>
      <c r="G231" s="4" t="s">
        <v>1016</v>
      </c>
      <c r="H231" s="4" t="s">
        <v>18</v>
      </c>
      <c r="L231" s="4">
        <v>9</v>
      </c>
    </row>
    <row r="232" spans="1:12">
      <c r="A232" s="3">
        <v>43986.249663854163</v>
      </c>
      <c r="B232" s="4" t="s">
        <v>102</v>
      </c>
      <c r="C232" s="4" t="s">
        <v>1017</v>
      </c>
      <c r="D232" s="4" t="s">
        <v>1018</v>
      </c>
      <c r="E232" s="4" t="s">
        <v>74</v>
      </c>
      <c r="F232" s="4" t="s">
        <v>1019</v>
      </c>
      <c r="G232" s="4" t="s">
        <v>1020</v>
      </c>
      <c r="H232" s="4" t="s">
        <v>18</v>
      </c>
      <c r="I232" s="4" t="s">
        <v>30</v>
      </c>
      <c r="J232" s="4">
        <v>120</v>
      </c>
      <c r="L232" s="4">
        <v>7</v>
      </c>
    </row>
    <row r="233" spans="1:12">
      <c r="A233" s="3">
        <v>43986.25053060185</v>
      </c>
      <c r="B233" s="4" t="s">
        <v>66</v>
      </c>
      <c r="C233" s="4" t="s">
        <v>1021</v>
      </c>
      <c r="D233" s="4" t="s">
        <v>1022</v>
      </c>
      <c r="E233" s="4" t="s">
        <v>74</v>
      </c>
      <c r="F233" s="4" t="s">
        <v>1023</v>
      </c>
      <c r="G233" s="4" t="s">
        <v>1024</v>
      </c>
      <c r="H233" s="4" t="s">
        <v>18</v>
      </c>
      <c r="I233" s="4" t="s">
        <v>30</v>
      </c>
      <c r="J233" s="4">
        <v>50</v>
      </c>
      <c r="L233" s="4">
        <v>5</v>
      </c>
    </row>
    <row r="234" spans="1:12">
      <c r="A234" s="3">
        <v>43986.255323078702</v>
      </c>
      <c r="B234" s="4" t="s">
        <v>528</v>
      </c>
      <c r="C234" s="4" t="s">
        <v>1025</v>
      </c>
      <c r="D234" s="4" t="s">
        <v>1026</v>
      </c>
      <c r="E234" s="4" t="s">
        <v>74</v>
      </c>
      <c r="F234" s="4" t="s">
        <v>1027</v>
      </c>
      <c r="G234" s="4" t="s">
        <v>1028</v>
      </c>
      <c r="H234" s="4" t="s">
        <v>18</v>
      </c>
      <c r="I234" s="4" t="s">
        <v>19</v>
      </c>
      <c r="J234" s="4">
        <v>170</v>
      </c>
      <c r="L234" s="4">
        <v>6</v>
      </c>
    </row>
    <row r="235" spans="1:12">
      <c r="A235" s="3">
        <v>43986.257530081013</v>
      </c>
      <c r="B235" s="4" t="s">
        <v>66</v>
      </c>
      <c r="C235" s="4" t="s">
        <v>1029</v>
      </c>
      <c r="D235" s="4" t="s">
        <v>1030</v>
      </c>
      <c r="E235" s="4" t="s">
        <v>74</v>
      </c>
      <c r="F235" s="4" t="s">
        <v>1031</v>
      </c>
      <c r="G235" s="4" t="s">
        <v>1032</v>
      </c>
      <c r="H235" s="4" t="s">
        <v>91</v>
      </c>
      <c r="I235" s="4" t="s">
        <v>30</v>
      </c>
      <c r="J235" s="4">
        <v>100</v>
      </c>
      <c r="L235" s="4">
        <v>5</v>
      </c>
    </row>
    <row r="236" spans="1:12">
      <c r="A236" s="3">
        <v>43986.258312719903</v>
      </c>
      <c r="B236" s="4" t="s">
        <v>12</v>
      </c>
      <c r="C236" s="4" t="s">
        <v>1033</v>
      </c>
      <c r="D236" s="4" t="s">
        <v>1034</v>
      </c>
      <c r="E236" s="4" t="s">
        <v>15</v>
      </c>
      <c r="F236" s="4" t="s">
        <v>1035</v>
      </c>
      <c r="G236" s="4" t="s">
        <v>1036</v>
      </c>
      <c r="H236" s="4" t="s">
        <v>18</v>
      </c>
      <c r="I236" s="4" t="s">
        <v>30</v>
      </c>
      <c r="J236" s="4">
        <v>180</v>
      </c>
      <c r="K236" s="4" t="s">
        <v>1037</v>
      </c>
      <c r="L236" s="4">
        <v>20</v>
      </c>
    </row>
    <row r="237" spans="1:12">
      <c r="A237" s="3">
        <v>43986.259465868061</v>
      </c>
      <c r="B237" s="4" t="s">
        <v>136</v>
      </c>
      <c r="C237" s="4" t="s">
        <v>965</v>
      </c>
      <c r="D237" s="4" t="s">
        <v>1038</v>
      </c>
      <c r="E237" s="4" t="s">
        <v>15</v>
      </c>
      <c r="F237" s="4" t="s">
        <v>1039</v>
      </c>
      <c r="G237" s="4" t="s">
        <v>1040</v>
      </c>
      <c r="H237" s="4" t="s">
        <v>91</v>
      </c>
      <c r="I237" s="4" t="s">
        <v>30</v>
      </c>
      <c r="J237" s="4">
        <v>70</v>
      </c>
      <c r="K237" s="4" t="s">
        <v>1041</v>
      </c>
      <c r="L237" s="4">
        <v>8</v>
      </c>
    </row>
    <row r="238" spans="1:12">
      <c r="A238" s="3">
        <v>43986.262408113427</v>
      </c>
      <c r="B238" s="4" t="s">
        <v>117</v>
      </c>
      <c r="C238" s="4" t="s">
        <v>1042</v>
      </c>
      <c r="D238" s="4" t="s">
        <v>1043</v>
      </c>
      <c r="E238" s="4" t="s">
        <v>15</v>
      </c>
      <c r="F238" s="4" t="s">
        <v>1044</v>
      </c>
      <c r="G238" s="4" t="s">
        <v>1045</v>
      </c>
      <c r="H238" s="4" t="s">
        <v>18</v>
      </c>
      <c r="I238" s="4" t="s">
        <v>19</v>
      </c>
      <c r="J238" s="4">
        <v>360</v>
      </c>
      <c r="L238" s="4">
        <v>13</v>
      </c>
    </row>
    <row r="239" spans="1:12">
      <c r="A239" s="3">
        <v>43986.263550104166</v>
      </c>
      <c r="B239" s="4" t="s">
        <v>151</v>
      </c>
      <c r="C239" s="4" t="s">
        <v>1046</v>
      </c>
      <c r="D239" s="4" t="s">
        <v>1047</v>
      </c>
      <c r="E239" s="4" t="s">
        <v>74</v>
      </c>
      <c r="F239" s="4" t="s">
        <v>1048</v>
      </c>
      <c r="G239" s="4" t="s">
        <v>1049</v>
      </c>
      <c r="H239" s="4" t="s">
        <v>91</v>
      </c>
      <c r="I239" s="4" t="s">
        <v>30</v>
      </c>
      <c r="J239" s="4">
        <v>245</v>
      </c>
      <c r="L239" s="4">
        <v>14</v>
      </c>
    </row>
    <row r="240" spans="1:12">
      <c r="A240" s="3">
        <v>43986.266041342591</v>
      </c>
      <c r="B240" s="4" t="s">
        <v>432</v>
      </c>
      <c r="C240" s="4" t="s">
        <v>1050</v>
      </c>
      <c r="D240" s="4" t="s">
        <v>1051</v>
      </c>
      <c r="E240" s="4" t="s">
        <v>15</v>
      </c>
      <c r="F240" s="4" t="s">
        <v>1052</v>
      </c>
      <c r="G240" s="4" t="s">
        <v>1053</v>
      </c>
      <c r="H240" s="4" t="s">
        <v>18</v>
      </c>
      <c r="L240" s="4">
        <v>6</v>
      </c>
    </row>
    <row r="241" spans="1:12">
      <c r="A241" s="3">
        <v>43986.271989490742</v>
      </c>
      <c r="B241" s="4" t="s">
        <v>151</v>
      </c>
      <c r="C241" s="4" t="s">
        <v>1054</v>
      </c>
      <c r="D241" s="4" t="s">
        <v>1055</v>
      </c>
      <c r="E241" s="4" t="s">
        <v>15</v>
      </c>
      <c r="F241" s="4" t="s">
        <v>1056</v>
      </c>
      <c r="G241" s="4" t="s">
        <v>1057</v>
      </c>
      <c r="H241" s="4" t="s">
        <v>91</v>
      </c>
      <c r="I241" s="4" t="s">
        <v>30</v>
      </c>
      <c r="J241" s="4">
        <v>250</v>
      </c>
      <c r="L241" s="4">
        <v>15</v>
      </c>
    </row>
    <row r="242" spans="1:12">
      <c r="A242" s="3">
        <v>43986.27302876157</v>
      </c>
      <c r="B242" s="4" t="s">
        <v>432</v>
      </c>
      <c r="C242" s="4" t="s">
        <v>1058</v>
      </c>
      <c r="D242" s="4" t="s">
        <v>1059</v>
      </c>
      <c r="E242" s="4" t="s">
        <v>15</v>
      </c>
      <c r="F242" s="4" t="s">
        <v>1060</v>
      </c>
      <c r="G242" s="4" t="s">
        <v>1061</v>
      </c>
      <c r="H242" s="4" t="s">
        <v>18</v>
      </c>
      <c r="K242" s="4" t="s">
        <v>1062</v>
      </c>
      <c r="L242" s="4">
        <v>8</v>
      </c>
    </row>
    <row r="243" spans="1:12">
      <c r="A243" s="3">
        <v>43986.274158229164</v>
      </c>
      <c r="B243" s="4" t="s">
        <v>151</v>
      </c>
      <c r="C243" s="4" t="s">
        <v>1063</v>
      </c>
      <c r="D243" s="4" t="s">
        <v>1064</v>
      </c>
      <c r="E243" s="4" t="s">
        <v>15</v>
      </c>
      <c r="F243" s="4" t="s">
        <v>1065</v>
      </c>
      <c r="G243" s="4" t="s">
        <v>1066</v>
      </c>
      <c r="H243" s="4" t="s">
        <v>18</v>
      </c>
      <c r="I243" s="4" t="s">
        <v>19</v>
      </c>
      <c r="J243" s="4">
        <v>45</v>
      </c>
      <c r="L243" s="4">
        <v>18</v>
      </c>
    </row>
    <row r="244" spans="1:12">
      <c r="A244" s="3">
        <v>43986.284988854168</v>
      </c>
      <c r="B244" s="4" t="s">
        <v>432</v>
      </c>
      <c r="C244" s="4" t="s">
        <v>1067</v>
      </c>
      <c r="D244" s="4" t="s">
        <v>1068</v>
      </c>
      <c r="E244" s="4" t="s">
        <v>15</v>
      </c>
      <c r="F244" s="4" t="s">
        <v>1069</v>
      </c>
      <c r="G244" s="4" t="s">
        <v>1070</v>
      </c>
      <c r="H244" s="4" t="s">
        <v>18</v>
      </c>
      <c r="L244" s="4">
        <v>3</v>
      </c>
    </row>
    <row r="245" spans="1:12">
      <c r="A245" s="3">
        <v>43986.286113946757</v>
      </c>
      <c r="B245" s="4" t="s">
        <v>117</v>
      </c>
      <c r="C245" s="4" t="s">
        <v>1071</v>
      </c>
      <c r="D245" s="4" t="s">
        <v>1072</v>
      </c>
      <c r="E245" s="4" t="s">
        <v>15</v>
      </c>
      <c r="F245" s="4" t="s">
        <v>1073</v>
      </c>
      <c r="G245" s="4" t="s">
        <v>1074</v>
      </c>
      <c r="H245" s="4" t="s">
        <v>54</v>
      </c>
      <c r="I245" s="4" t="s">
        <v>30</v>
      </c>
      <c r="J245" s="4">
        <v>91</v>
      </c>
      <c r="L245" s="4">
        <v>10</v>
      </c>
    </row>
    <row r="246" spans="1:12">
      <c r="A246" s="3">
        <v>43986.288468379629</v>
      </c>
      <c r="B246" s="4" t="s">
        <v>102</v>
      </c>
      <c r="C246" s="4" t="s">
        <v>1075</v>
      </c>
      <c r="D246" s="4" t="s">
        <v>1076</v>
      </c>
      <c r="E246" s="4" t="s">
        <v>15</v>
      </c>
      <c r="F246" s="4" t="s">
        <v>1077</v>
      </c>
      <c r="G246" s="4">
        <v>2196620642</v>
      </c>
      <c r="H246" s="4" t="s">
        <v>18</v>
      </c>
      <c r="I246" s="4" t="s">
        <v>30</v>
      </c>
      <c r="J246" s="4">
        <v>175</v>
      </c>
      <c r="L246" s="4">
        <v>9</v>
      </c>
    </row>
    <row r="247" spans="1:12">
      <c r="A247" s="3">
        <v>43986.295672152773</v>
      </c>
      <c r="B247" s="4" t="s">
        <v>151</v>
      </c>
      <c r="C247" s="4" t="s">
        <v>1078</v>
      </c>
      <c r="D247" s="4" t="s">
        <v>1079</v>
      </c>
      <c r="E247" s="4" t="s">
        <v>74</v>
      </c>
      <c r="F247" s="4" t="s">
        <v>1080</v>
      </c>
      <c r="G247" s="4" t="s">
        <v>1081</v>
      </c>
      <c r="H247" s="4" t="s">
        <v>18</v>
      </c>
      <c r="I247" s="4" t="s">
        <v>30</v>
      </c>
      <c r="J247" s="4">
        <v>150</v>
      </c>
      <c r="L247" s="4">
        <v>14</v>
      </c>
    </row>
    <row r="248" spans="1:12">
      <c r="A248" s="3">
        <v>43986.295898622688</v>
      </c>
      <c r="B248" s="4" t="s">
        <v>31</v>
      </c>
      <c r="C248" s="4" t="s">
        <v>1082</v>
      </c>
      <c r="D248" s="4" t="s">
        <v>1083</v>
      </c>
      <c r="E248" s="4" t="s">
        <v>74</v>
      </c>
      <c r="F248" s="4" t="s">
        <v>1084</v>
      </c>
      <c r="G248" s="4" t="s">
        <v>1085</v>
      </c>
      <c r="H248" s="4" t="s">
        <v>18</v>
      </c>
      <c r="I248" s="4" t="s">
        <v>30</v>
      </c>
      <c r="J248" s="4">
        <v>150</v>
      </c>
      <c r="L248" s="4">
        <v>10</v>
      </c>
    </row>
    <row r="249" spans="1:12">
      <c r="A249" s="3">
        <v>43986.29594679398</v>
      </c>
      <c r="B249" s="4" t="s">
        <v>102</v>
      </c>
      <c r="C249" s="4" t="s">
        <v>1086</v>
      </c>
      <c r="D249" s="4" t="s">
        <v>1087</v>
      </c>
      <c r="E249" s="4" t="s">
        <v>74</v>
      </c>
      <c r="F249" s="4" t="s">
        <v>1088</v>
      </c>
      <c r="G249" s="4" t="s">
        <v>1089</v>
      </c>
      <c r="H249" s="4" t="s">
        <v>18</v>
      </c>
      <c r="I249" s="4" t="s">
        <v>30</v>
      </c>
      <c r="J249" s="4">
        <v>125</v>
      </c>
      <c r="L249" s="4">
        <v>8</v>
      </c>
    </row>
    <row r="250" spans="1:12">
      <c r="A250" s="3">
        <v>43986.296563888885</v>
      </c>
      <c r="B250" s="4" t="s">
        <v>151</v>
      </c>
      <c r="C250" s="4" t="s">
        <v>1090</v>
      </c>
      <c r="D250" s="4" t="s">
        <v>1091</v>
      </c>
      <c r="E250" s="4" t="s">
        <v>15</v>
      </c>
      <c r="F250" s="4" t="s">
        <v>1092</v>
      </c>
      <c r="G250" s="4" t="s">
        <v>1093</v>
      </c>
      <c r="H250" s="4" t="s">
        <v>18</v>
      </c>
      <c r="I250" s="4" t="s">
        <v>30</v>
      </c>
      <c r="J250" s="4">
        <v>185</v>
      </c>
      <c r="L250" s="4">
        <v>18</v>
      </c>
    </row>
    <row r="251" spans="1:12">
      <c r="A251" s="3">
        <v>43986.297246863425</v>
      </c>
      <c r="B251" s="4" t="s">
        <v>432</v>
      </c>
      <c r="C251" s="4" t="s">
        <v>1094</v>
      </c>
      <c r="D251" s="4" t="s">
        <v>1095</v>
      </c>
      <c r="E251" s="4" t="s">
        <v>15</v>
      </c>
      <c r="F251" s="4" t="s">
        <v>1096</v>
      </c>
      <c r="G251" s="4" t="s">
        <v>1097</v>
      </c>
      <c r="H251" s="4" t="s">
        <v>54</v>
      </c>
      <c r="L251" s="4">
        <v>3</v>
      </c>
    </row>
    <row r="252" spans="1:12">
      <c r="A252" s="3">
        <v>43986.29744631944</v>
      </c>
      <c r="B252" s="4" t="s">
        <v>31</v>
      </c>
      <c r="C252" s="4" t="s">
        <v>1098</v>
      </c>
      <c r="D252" s="4" t="s">
        <v>1099</v>
      </c>
      <c r="E252" s="4" t="s">
        <v>15</v>
      </c>
      <c r="F252" s="4" t="s">
        <v>1100</v>
      </c>
      <c r="G252" s="4" t="s">
        <v>1101</v>
      </c>
      <c r="H252" s="4" t="s">
        <v>91</v>
      </c>
      <c r="J252" s="4">
        <v>130</v>
      </c>
      <c r="L252" s="4">
        <v>10</v>
      </c>
    </row>
    <row r="253" spans="1:12">
      <c r="A253" s="3">
        <v>43986.30029162037</v>
      </c>
      <c r="B253" s="4" t="s">
        <v>432</v>
      </c>
      <c r="C253" s="4" t="s">
        <v>1102</v>
      </c>
      <c r="D253" s="4" t="s">
        <v>1103</v>
      </c>
      <c r="E253" s="4" t="s">
        <v>15</v>
      </c>
      <c r="F253" s="4" t="s">
        <v>1104</v>
      </c>
      <c r="G253" s="4" t="s">
        <v>1105</v>
      </c>
      <c r="H253" s="4" t="s">
        <v>18</v>
      </c>
    </row>
    <row r="254" spans="1:12">
      <c r="A254" s="3">
        <v>43986.300521504629</v>
      </c>
      <c r="B254" s="4" t="s">
        <v>117</v>
      </c>
      <c r="C254" s="4" t="s">
        <v>1106</v>
      </c>
      <c r="D254" s="4" t="s">
        <v>1107</v>
      </c>
      <c r="E254" s="4" t="s">
        <v>15</v>
      </c>
      <c r="F254" s="4" t="s">
        <v>1108</v>
      </c>
      <c r="G254" s="4" t="s">
        <v>1109</v>
      </c>
      <c r="H254" s="4" t="s">
        <v>18</v>
      </c>
      <c r="I254" s="4" t="s">
        <v>30</v>
      </c>
      <c r="J254" s="4">
        <v>110</v>
      </c>
      <c r="L254" s="4">
        <v>6</v>
      </c>
    </row>
    <row r="255" spans="1:12">
      <c r="A255" s="3">
        <v>43986.304896412039</v>
      </c>
      <c r="B255" s="4" t="s">
        <v>432</v>
      </c>
      <c r="C255" s="4" t="s">
        <v>1110</v>
      </c>
      <c r="D255" s="4" t="s">
        <v>1111</v>
      </c>
      <c r="E255" s="4" t="s">
        <v>15</v>
      </c>
      <c r="F255" s="4" t="s">
        <v>1112</v>
      </c>
      <c r="G255" s="4" t="s">
        <v>1113</v>
      </c>
      <c r="H255" s="4" t="s">
        <v>54</v>
      </c>
      <c r="L255" s="4">
        <v>7</v>
      </c>
    </row>
    <row r="256" spans="1:12">
      <c r="A256" s="3">
        <v>43986.305575138889</v>
      </c>
      <c r="B256" s="4" t="s">
        <v>528</v>
      </c>
      <c r="C256" s="4" t="s">
        <v>1114</v>
      </c>
      <c r="D256" s="4" t="s">
        <v>1115</v>
      </c>
      <c r="E256" s="4" t="s">
        <v>15</v>
      </c>
      <c r="F256" s="4" t="s">
        <v>1116</v>
      </c>
      <c r="G256" s="4" t="s">
        <v>1117</v>
      </c>
      <c r="H256" s="4" t="s">
        <v>91</v>
      </c>
      <c r="I256" s="4" t="s">
        <v>19</v>
      </c>
      <c r="J256" s="4">
        <v>67</v>
      </c>
      <c r="L256" s="4">
        <v>9</v>
      </c>
    </row>
    <row r="257" spans="1:12">
      <c r="A257" s="3">
        <v>43986.306515972217</v>
      </c>
      <c r="B257" s="4" t="s">
        <v>31</v>
      </c>
      <c r="C257" s="4" t="s">
        <v>1118</v>
      </c>
      <c r="D257" s="4" t="s">
        <v>842</v>
      </c>
      <c r="E257" s="4" t="s">
        <v>15</v>
      </c>
      <c r="F257" s="4" t="s">
        <v>843</v>
      </c>
      <c r="G257" s="4" t="s">
        <v>844</v>
      </c>
      <c r="H257" s="4" t="s">
        <v>18</v>
      </c>
      <c r="I257" s="4" t="s">
        <v>30</v>
      </c>
      <c r="J257" s="4">
        <v>175</v>
      </c>
      <c r="K257" s="4" t="s">
        <v>1119</v>
      </c>
      <c r="L257" s="4">
        <v>15</v>
      </c>
    </row>
    <row r="258" spans="1:12">
      <c r="A258" s="3">
        <v>43986.310756493054</v>
      </c>
      <c r="B258" s="4" t="s">
        <v>117</v>
      </c>
      <c r="C258" s="4" t="s">
        <v>1120</v>
      </c>
      <c r="D258" s="4" t="s">
        <v>1121</v>
      </c>
      <c r="E258" s="4" t="s">
        <v>74</v>
      </c>
      <c r="F258" s="4" t="s">
        <v>1122</v>
      </c>
      <c r="G258" s="4" t="s">
        <v>1123</v>
      </c>
      <c r="H258" s="4" t="s">
        <v>18</v>
      </c>
      <c r="I258" s="4" t="s">
        <v>30</v>
      </c>
      <c r="J258" s="4">
        <v>35</v>
      </c>
      <c r="L258" s="4">
        <v>11</v>
      </c>
    </row>
    <row r="259" spans="1:12">
      <c r="A259" s="3">
        <v>43986.311014861116</v>
      </c>
      <c r="B259" s="4" t="s">
        <v>136</v>
      </c>
      <c r="C259" s="4" t="s">
        <v>1124</v>
      </c>
      <c r="D259" s="4" t="s">
        <v>1125</v>
      </c>
      <c r="E259" s="4" t="s">
        <v>15</v>
      </c>
      <c r="F259" s="4" t="s">
        <v>1126</v>
      </c>
      <c r="G259" s="4" t="s">
        <v>1127</v>
      </c>
      <c r="H259" s="4" t="s">
        <v>18</v>
      </c>
      <c r="I259" s="4" t="s">
        <v>30</v>
      </c>
      <c r="J259" s="4">
        <v>54</v>
      </c>
      <c r="K259" s="4" t="s">
        <v>1128</v>
      </c>
      <c r="L259" s="4">
        <v>4</v>
      </c>
    </row>
    <row r="260" spans="1:12">
      <c r="A260" s="3">
        <v>43986.312733148152</v>
      </c>
      <c r="B260" s="4" t="s">
        <v>102</v>
      </c>
      <c r="C260" s="4" t="s">
        <v>1129</v>
      </c>
      <c r="D260" s="4" t="s">
        <v>1130</v>
      </c>
      <c r="E260" s="4" t="s">
        <v>15</v>
      </c>
      <c r="F260" s="4" t="s">
        <v>1131</v>
      </c>
      <c r="G260" s="4" t="s">
        <v>1132</v>
      </c>
      <c r="H260" s="4" t="s">
        <v>91</v>
      </c>
      <c r="J260" s="4">
        <v>160</v>
      </c>
      <c r="L260" s="4">
        <v>15</v>
      </c>
    </row>
    <row r="261" spans="1:12">
      <c r="A261" s="3">
        <v>43986.317548449078</v>
      </c>
      <c r="B261" s="4" t="s">
        <v>136</v>
      </c>
      <c r="C261" s="4" t="s">
        <v>1133</v>
      </c>
      <c r="D261" s="4" t="s">
        <v>1134</v>
      </c>
      <c r="E261" s="4" t="s">
        <v>15</v>
      </c>
      <c r="F261" s="4" t="s">
        <v>1135</v>
      </c>
      <c r="G261" s="4" t="s">
        <v>1136</v>
      </c>
      <c r="H261" s="4" t="s">
        <v>18</v>
      </c>
      <c r="I261" s="4" t="s">
        <v>30</v>
      </c>
      <c r="J261" s="4">
        <v>130</v>
      </c>
      <c r="L261" s="4">
        <v>6</v>
      </c>
    </row>
    <row r="262" spans="1:12">
      <c r="A262" s="3">
        <v>43986.319150451389</v>
      </c>
      <c r="B262" s="4" t="s">
        <v>31</v>
      </c>
      <c r="C262" s="4" t="s">
        <v>1137</v>
      </c>
      <c r="D262" s="4" t="s">
        <v>1138</v>
      </c>
      <c r="E262" s="4" t="s">
        <v>15</v>
      </c>
      <c r="F262" s="4" t="s">
        <v>1139</v>
      </c>
      <c r="G262" s="4" t="s">
        <v>1140</v>
      </c>
      <c r="H262" s="4" t="s">
        <v>18</v>
      </c>
      <c r="I262" s="4" t="s">
        <v>30</v>
      </c>
      <c r="J262" s="4">
        <v>155</v>
      </c>
      <c r="L262" s="4">
        <v>10</v>
      </c>
    </row>
    <row r="263" spans="1:12">
      <c r="A263" s="3">
        <v>43986.321493912037</v>
      </c>
      <c r="B263" s="4" t="s">
        <v>31</v>
      </c>
      <c r="C263" s="4" t="s">
        <v>1141</v>
      </c>
      <c r="D263" s="4" t="s">
        <v>1142</v>
      </c>
      <c r="E263" s="4" t="s">
        <v>15</v>
      </c>
      <c r="F263" s="4" t="s">
        <v>1143</v>
      </c>
      <c r="G263" s="4" t="s">
        <v>1144</v>
      </c>
      <c r="H263" s="4" t="s">
        <v>18</v>
      </c>
      <c r="I263" s="4" t="s">
        <v>30</v>
      </c>
      <c r="J263" s="4">
        <v>125</v>
      </c>
      <c r="L263" s="4">
        <v>15</v>
      </c>
    </row>
    <row r="264" spans="1:12">
      <c r="A264" s="3">
        <v>43986.325773136574</v>
      </c>
      <c r="B264" s="4" t="s">
        <v>131</v>
      </c>
      <c r="C264" s="4" t="s">
        <v>1145</v>
      </c>
      <c r="D264" s="4" t="s">
        <v>1146</v>
      </c>
      <c r="E264" s="4" t="s">
        <v>74</v>
      </c>
      <c r="F264" s="4" t="s">
        <v>1147</v>
      </c>
      <c r="G264" s="4" t="s">
        <v>1148</v>
      </c>
      <c r="H264" s="4" t="s">
        <v>18</v>
      </c>
      <c r="I264" s="4" t="s">
        <v>30</v>
      </c>
      <c r="J264" s="4">
        <v>140</v>
      </c>
      <c r="L264" s="4">
        <v>5</v>
      </c>
    </row>
    <row r="265" spans="1:12">
      <c r="A265" s="3">
        <v>43986.327273090283</v>
      </c>
      <c r="B265" s="4" t="s">
        <v>131</v>
      </c>
      <c r="C265" s="4" t="s">
        <v>1149</v>
      </c>
      <c r="D265" s="4" t="s">
        <v>1150</v>
      </c>
      <c r="E265" s="4" t="s">
        <v>15</v>
      </c>
      <c r="F265" s="4" t="s">
        <v>1151</v>
      </c>
      <c r="G265" s="4" t="s">
        <v>1152</v>
      </c>
      <c r="H265" s="4" t="s">
        <v>18</v>
      </c>
      <c r="I265" s="4" t="s">
        <v>30</v>
      </c>
      <c r="J265" s="4">
        <v>52</v>
      </c>
      <c r="L265" s="4">
        <v>3</v>
      </c>
    </row>
    <row r="266" spans="1:12">
      <c r="A266" s="3">
        <v>43986.327810381947</v>
      </c>
      <c r="B266" s="4" t="s">
        <v>136</v>
      </c>
      <c r="C266" s="4" t="s">
        <v>1153</v>
      </c>
      <c r="D266" s="4" t="s">
        <v>1154</v>
      </c>
      <c r="E266" s="4" t="s">
        <v>15</v>
      </c>
      <c r="F266" s="4" t="s">
        <v>1155</v>
      </c>
      <c r="G266" s="4" t="s">
        <v>1156</v>
      </c>
      <c r="H266" s="4" t="s">
        <v>18</v>
      </c>
      <c r="I266" s="4" t="s">
        <v>30</v>
      </c>
      <c r="J266" s="4">
        <v>75</v>
      </c>
      <c r="K266" s="4" t="s">
        <v>1157</v>
      </c>
      <c r="L266" s="4">
        <v>10</v>
      </c>
    </row>
    <row r="267" spans="1:12">
      <c r="A267" s="3">
        <v>43986.328665439811</v>
      </c>
      <c r="B267" s="4" t="s">
        <v>131</v>
      </c>
      <c r="C267" s="4" t="s">
        <v>1158</v>
      </c>
      <c r="D267" s="4" t="s">
        <v>1159</v>
      </c>
      <c r="E267" s="4" t="s">
        <v>15</v>
      </c>
      <c r="F267" s="4" t="s">
        <v>1160</v>
      </c>
      <c r="G267" s="4" t="s">
        <v>1161</v>
      </c>
      <c r="H267" s="4" t="s">
        <v>91</v>
      </c>
      <c r="J267" s="4">
        <v>70</v>
      </c>
      <c r="L267" s="4">
        <v>5</v>
      </c>
    </row>
    <row r="268" spans="1:12">
      <c r="A268" s="3">
        <v>43986.328814872686</v>
      </c>
      <c r="B268" s="4" t="s">
        <v>31</v>
      </c>
      <c r="C268" s="4" t="s">
        <v>1162</v>
      </c>
      <c r="D268" s="4" t="s">
        <v>1163</v>
      </c>
      <c r="E268" s="4" t="s">
        <v>15</v>
      </c>
      <c r="F268" s="4" t="s">
        <v>1164</v>
      </c>
      <c r="G268" s="4" t="s">
        <v>1165</v>
      </c>
      <c r="H268" s="4" t="s">
        <v>18</v>
      </c>
      <c r="I268" s="4" t="s">
        <v>19</v>
      </c>
      <c r="J268" s="4">
        <v>110</v>
      </c>
      <c r="L268" s="4">
        <v>12</v>
      </c>
    </row>
    <row r="269" spans="1:12">
      <c r="A269" s="3">
        <v>43986.330757615739</v>
      </c>
      <c r="B269" s="4" t="s">
        <v>131</v>
      </c>
      <c r="C269" s="4" t="s">
        <v>1166</v>
      </c>
      <c r="D269" s="4" t="s">
        <v>1167</v>
      </c>
      <c r="E269" s="4" t="s">
        <v>15</v>
      </c>
      <c r="F269" s="4" t="s">
        <v>1168</v>
      </c>
      <c r="G269" s="4" t="s">
        <v>1169</v>
      </c>
      <c r="H269" s="4" t="s">
        <v>91</v>
      </c>
      <c r="J269" s="4">
        <v>59</v>
      </c>
      <c r="L269" s="4">
        <v>5</v>
      </c>
    </row>
    <row r="270" spans="1:12">
      <c r="A270" s="3">
        <v>43986.330972662035</v>
      </c>
      <c r="B270" s="4" t="s">
        <v>117</v>
      </c>
      <c r="C270" s="4" t="s">
        <v>1170</v>
      </c>
      <c r="D270" s="4" t="s">
        <v>1171</v>
      </c>
      <c r="E270" s="4" t="s">
        <v>15</v>
      </c>
      <c r="F270" s="4" t="s">
        <v>1172</v>
      </c>
      <c r="G270" s="4" t="s">
        <v>1173</v>
      </c>
      <c r="H270" s="4" t="s">
        <v>18</v>
      </c>
      <c r="I270" s="4" t="s">
        <v>30</v>
      </c>
      <c r="J270" s="4">
        <v>150</v>
      </c>
      <c r="L270" s="4">
        <v>13</v>
      </c>
    </row>
    <row r="271" spans="1:12">
      <c r="A271" s="3">
        <v>43986.33257820602</v>
      </c>
      <c r="B271" s="4" t="s">
        <v>528</v>
      </c>
      <c r="C271" s="4" t="s">
        <v>1174</v>
      </c>
      <c r="D271" s="4" t="s">
        <v>1175</v>
      </c>
      <c r="E271" s="4" t="s">
        <v>15</v>
      </c>
      <c r="F271" s="4" t="s">
        <v>1176</v>
      </c>
      <c r="G271" s="4" t="s">
        <v>1177</v>
      </c>
      <c r="H271" s="4" t="s">
        <v>91</v>
      </c>
      <c r="J271" s="4">
        <v>80</v>
      </c>
      <c r="L271" s="4">
        <v>7</v>
      </c>
    </row>
    <row r="272" spans="1:12">
      <c r="A272" s="3">
        <v>43986.335919999998</v>
      </c>
      <c r="B272" s="4" t="s">
        <v>131</v>
      </c>
      <c r="C272" s="4" t="s">
        <v>1178</v>
      </c>
      <c r="D272" s="4" t="s">
        <v>1179</v>
      </c>
      <c r="E272" s="4" t="s">
        <v>15</v>
      </c>
      <c r="F272" s="4" t="s">
        <v>1180</v>
      </c>
      <c r="G272" s="4" t="s">
        <v>1181</v>
      </c>
      <c r="H272" s="4" t="s">
        <v>18</v>
      </c>
      <c r="I272" s="4" t="s">
        <v>30</v>
      </c>
      <c r="J272" s="4">
        <v>105</v>
      </c>
      <c r="L272" s="4">
        <v>10</v>
      </c>
    </row>
    <row r="273" spans="1:12">
      <c r="A273" s="3">
        <v>43986.336209953704</v>
      </c>
      <c r="B273" s="4" t="s">
        <v>136</v>
      </c>
      <c r="C273" s="4" t="s">
        <v>1182</v>
      </c>
      <c r="D273" s="4" t="s">
        <v>1183</v>
      </c>
      <c r="E273" s="4" t="s">
        <v>15</v>
      </c>
      <c r="F273" s="4" t="s">
        <v>1184</v>
      </c>
      <c r="G273" s="4" t="s">
        <v>1185</v>
      </c>
      <c r="H273" s="4" t="s">
        <v>18</v>
      </c>
      <c r="I273" s="4" t="s">
        <v>30</v>
      </c>
      <c r="J273" s="4">
        <v>200</v>
      </c>
      <c r="K273" s="4" t="s">
        <v>1186</v>
      </c>
      <c r="L273" s="4">
        <v>6</v>
      </c>
    </row>
    <row r="274" spans="1:12">
      <c r="A274" s="3">
        <v>43986.338031689811</v>
      </c>
      <c r="B274" s="4" t="s">
        <v>102</v>
      </c>
      <c r="C274" s="4" t="s">
        <v>1187</v>
      </c>
      <c r="D274" s="4" t="s">
        <v>1188</v>
      </c>
      <c r="E274" s="4" t="s">
        <v>15</v>
      </c>
      <c r="F274" s="4" t="s">
        <v>1189</v>
      </c>
      <c r="G274" s="4">
        <v>8122792001</v>
      </c>
      <c r="H274" s="4" t="s">
        <v>18</v>
      </c>
      <c r="I274" s="4" t="s">
        <v>19</v>
      </c>
      <c r="J274" s="4">
        <v>31</v>
      </c>
      <c r="L274" s="4">
        <v>10</v>
      </c>
    </row>
    <row r="275" spans="1:12">
      <c r="A275" s="3">
        <v>43986.338651597223</v>
      </c>
      <c r="B275" s="4" t="s">
        <v>131</v>
      </c>
      <c r="C275" s="4" t="s">
        <v>83</v>
      </c>
      <c r="D275" s="4" t="s">
        <v>1190</v>
      </c>
      <c r="E275" s="4" t="s">
        <v>74</v>
      </c>
      <c r="F275" s="4" t="s">
        <v>1191</v>
      </c>
      <c r="G275" s="4" t="s">
        <v>1192</v>
      </c>
      <c r="H275" s="4" t="s">
        <v>18</v>
      </c>
      <c r="I275" s="4" t="s">
        <v>30</v>
      </c>
      <c r="J275" s="4">
        <v>99</v>
      </c>
      <c r="K275" s="4" t="s">
        <v>1193</v>
      </c>
      <c r="L275" s="4">
        <v>10</v>
      </c>
    </row>
    <row r="276" spans="1:12">
      <c r="A276" s="3">
        <v>43986.344517013888</v>
      </c>
      <c r="B276" s="4" t="s">
        <v>528</v>
      </c>
      <c r="C276" s="4" t="s">
        <v>1194</v>
      </c>
      <c r="D276" s="4" t="s">
        <v>1195</v>
      </c>
      <c r="E276" s="4" t="s">
        <v>15</v>
      </c>
      <c r="F276" s="4" t="s">
        <v>1196</v>
      </c>
      <c r="G276" s="4" t="s">
        <v>1197</v>
      </c>
      <c r="H276" s="4" t="s">
        <v>18</v>
      </c>
      <c r="I276" s="4" t="s">
        <v>30</v>
      </c>
      <c r="J276" s="4">
        <v>125</v>
      </c>
      <c r="L276" s="4">
        <v>10</v>
      </c>
    </row>
    <row r="277" spans="1:12">
      <c r="A277" s="3">
        <v>43986.352439062495</v>
      </c>
      <c r="B277" s="4" t="s">
        <v>131</v>
      </c>
      <c r="C277" s="4" t="s">
        <v>1198</v>
      </c>
      <c r="D277" s="4" t="s">
        <v>1199</v>
      </c>
      <c r="E277" s="4" t="s">
        <v>15</v>
      </c>
      <c r="F277" s="4" t="s">
        <v>1200</v>
      </c>
      <c r="G277" s="4" t="s">
        <v>1201</v>
      </c>
      <c r="H277" s="4" t="s">
        <v>18</v>
      </c>
      <c r="I277" s="4" t="s">
        <v>30</v>
      </c>
      <c r="J277" s="4">
        <v>45</v>
      </c>
      <c r="L277" s="4">
        <v>5</v>
      </c>
    </row>
    <row r="278" spans="1:12">
      <c r="A278" s="3">
        <v>43986.355814629627</v>
      </c>
      <c r="B278" s="4" t="s">
        <v>136</v>
      </c>
      <c r="C278" s="4" t="s">
        <v>1202</v>
      </c>
      <c r="D278" s="4" t="s">
        <v>1203</v>
      </c>
      <c r="E278" s="4" t="s">
        <v>15</v>
      </c>
      <c r="F278" s="4" t="s">
        <v>1204</v>
      </c>
      <c r="G278" s="4" t="s">
        <v>1205</v>
      </c>
      <c r="H278" s="4" t="s">
        <v>54</v>
      </c>
      <c r="I278" s="4" t="s">
        <v>30</v>
      </c>
      <c r="J278" s="4">
        <v>42</v>
      </c>
      <c r="K278" s="4" t="s">
        <v>1206</v>
      </c>
      <c r="L278" s="4">
        <v>5</v>
      </c>
    </row>
    <row r="279" spans="1:12">
      <c r="A279" s="3">
        <v>43986.364347465278</v>
      </c>
      <c r="B279" s="4" t="s">
        <v>528</v>
      </c>
      <c r="C279" s="4" t="s">
        <v>1207</v>
      </c>
      <c r="D279" s="4" t="s">
        <v>1208</v>
      </c>
      <c r="E279" s="4" t="s">
        <v>15</v>
      </c>
      <c r="F279" s="4" t="s">
        <v>1209</v>
      </c>
      <c r="G279" s="4" t="s">
        <v>1210</v>
      </c>
      <c r="H279" s="4" t="s">
        <v>18</v>
      </c>
      <c r="I279" s="4" t="s">
        <v>30</v>
      </c>
      <c r="J279" s="4">
        <v>130</v>
      </c>
      <c r="L279" s="4">
        <v>9</v>
      </c>
    </row>
    <row r="280" spans="1:12">
      <c r="A280" s="3">
        <v>43986.368787060186</v>
      </c>
      <c r="B280" s="4" t="s">
        <v>66</v>
      </c>
      <c r="C280" s="4" t="s">
        <v>1211</v>
      </c>
      <c r="D280" s="4" t="s">
        <v>1212</v>
      </c>
      <c r="E280" s="4" t="s">
        <v>15</v>
      </c>
      <c r="F280" s="4" t="s">
        <v>1213</v>
      </c>
      <c r="G280" s="4">
        <v>3178236841</v>
      </c>
      <c r="H280" s="4" t="s">
        <v>91</v>
      </c>
      <c r="I280" s="4" t="s">
        <v>30</v>
      </c>
      <c r="J280" s="4">
        <v>170</v>
      </c>
      <c r="K280" s="4" t="s">
        <v>1214</v>
      </c>
      <c r="L280" s="4">
        <v>5</v>
      </c>
    </row>
    <row r="281" spans="1:12">
      <c r="A281" s="3">
        <v>43986.3976333912</v>
      </c>
      <c r="B281" s="4" t="s">
        <v>102</v>
      </c>
      <c r="C281" s="4" t="s">
        <v>1215</v>
      </c>
      <c r="D281" s="4" t="s">
        <v>1216</v>
      </c>
      <c r="E281" s="4" t="s">
        <v>289</v>
      </c>
      <c r="F281" s="4" t="s">
        <v>1217</v>
      </c>
      <c r="G281" s="4" t="s">
        <v>1218</v>
      </c>
      <c r="H281" s="4" t="s">
        <v>18</v>
      </c>
      <c r="I281" s="4" t="s">
        <v>19</v>
      </c>
      <c r="J281" s="4">
        <v>100</v>
      </c>
      <c r="K281" s="4" t="s">
        <v>1219</v>
      </c>
      <c r="L281" s="4">
        <v>8</v>
      </c>
    </row>
    <row r="282" spans="1:12">
      <c r="A282" s="3">
        <v>43986.401420243055</v>
      </c>
      <c r="B282" s="4" t="s">
        <v>131</v>
      </c>
      <c r="C282" s="4" t="s">
        <v>1220</v>
      </c>
      <c r="D282" s="4" t="s">
        <v>1221</v>
      </c>
      <c r="E282" s="4" t="s">
        <v>15</v>
      </c>
      <c r="F282" s="4" t="s">
        <v>1222</v>
      </c>
      <c r="G282" s="4" t="s">
        <v>1223</v>
      </c>
      <c r="H282" s="4" t="s">
        <v>18</v>
      </c>
      <c r="I282" s="4" t="s">
        <v>30</v>
      </c>
      <c r="J282" s="4">
        <v>20</v>
      </c>
      <c r="L282" s="4">
        <v>10</v>
      </c>
    </row>
  </sheetData>
  <autoFilter ref="A1:R282" xr:uid="{00000000-0009-0000-0000-000000000000}"/>
  <hyperlinks>
    <hyperlink ref="F220"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A392"/>
  <sheetViews>
    <sheetView zoomScale="70" zoomScaleNormal="70" workbookViewId="0">
      <selection activeCell="Q1" sqref="Q1:V1048576"/>
    </sheetView>
  </sheetViews>
  <sheetFormatPr defaultColWidth="12.625" defaultRowHeight="15" customHeight="1"/>
  <cols>
    <col min="1" max="1" width="38.5" style="28" customWidth="1"/>
    <col min="2" max="2" width="12.5" style="28" customWidth="1"/>
    <col min="3" max="3" width="10.875" style="28" customWidth="1"/>
    <col min="4" max="4" width="15.75" style="28" customWidth="1"/>
    <col min="5" max="5" width="23.25" style="28" customWidth="1"/>
    <col min="6" max="6" width="25.75" style="28" customWidth="1"/>
    <col min="7" max="7" width="19.375" style="28" customWidth="1"/>
    <col min="8" max="8" width="6.875" style="28" customWidth="1"/>
    <col min="9" max="9" width="15.5" style="28" customWidth="1"/>
    <col min="10" max="10" width="11.625" style="28" hidden="1" customWidth="1"/>
    <col min="11" max="13" width="0" hidden="1" customWidth="1"/>
    <col min="14" max="14" width="0" style="31" hidden="1" customWidth="1"/>
    <col min="15" max="16" width="12.625" style="28"/>
    <col min="17" max="17" width="0" style="28" hidden="1" customWidth="1"/>
    <col min="18" max="18" width="12.625" style="28" hidden="1" customWidth="1"/>
    <col min="19" max="22" width="0" style="28" hidden="1" customWidth="1"/>
    <col min="23" max="16384" width="12.625" style="28"/>
  </cols>
  <sheetData>
    <row r="1" spans="1:27" s="236" customFormat="1" ht="75">
      <c r="A1" s="166" t="s">
        <v>1224</v>
      </c>
      <c r="B1" s="166" t="s">
        <v>1225</v>
      </c>
      <c r="C1" s="166" t="s">
        <v>1228</v>
      </c>
      <c r="D1" s="166" t="s">
        <v>1246</v>
      </c>
      <c r="E1" s="166" t="s">
        <v>1247</v>
      </c>
      <c r="F1" s="166" t="s">
        <v>1248</v>
      </c>
      <c r="G1" s="166" t="s">
        <v>18</v>
      </c>
      <c r="H1" s="166" t="s">
        <v>1249</v>
      </c>
      <c r="I1" s="166" t="s">
        <v>1250</v>
      </c>
      <c r="J1" s="166" t="s">
        <v>10</v>
      </c>
      <c r="K1" s="167" t="s">
        <v>3651</v>
      </c>
      <c r="L1" s="167" t="s">
        <v>3652</v>
      </c>
      <c r="M1" s="167" t="s">
        <v>3653</v>
      </c>
      <c r="N1" s="167" t="s">
        <v>3654</v>
      </c>
      <c r="O1" s="235">
        <v>43991</v>
      </c>
      <c r="P1" s="53" t="s">
        <v>3655</v>
      </c>
      <c r="Q1" s="89" t="s">
        <v>3656</v>
      </c>
      <c r="R1" s="53"/>
      <c r="S1" s="53" t="s">
        <v>3657</v>
      </c>
      <c r="T1" s="167" t="s">
        <v>3658</v>
      </c>
    </row>
    <row r="2" spans="1:27" s="55" customFormat="1">
      <c r="A2" s="181" t="s">
        <v>3134</v>
      </c>
      <c r="B2" s="181" t="s">
        <v>1312</v>
      </c>
      <c r="C2" s="181" t="s">
        <v>1356</v>
      </c>
      <c r="D2" s="181" t="s">
        <v>3135</v>
      </c>
      <c r="E2" s="181" t="s">
        <v>3136</v>
      </c>
      <c r="F2" s="181" t="s">
        <v>1979</v>
      </c>
      <c r="G2" s="181" t="s">
        <v>18</v>
      </c>
      <c r="H2" s="181" t="s">
        <v>1298</v>
      </c>
      <c r="I2" s="181">
        <v>155</v>
      </c>
      <c r="J2" s="181" t="s">
        <v>3659</v>
      </c>
      <c r="K2" s="142">
        <v>4.3055555555555554</v>
      </c>
      <c r="L2" s="142">
        <v>5.0555555555555554</v>
      </c>
      <c r="M2" s="221">
        <v>15</v>
      </c>
      <c r="N2" s="132">
        <v>1</v>
      </c>
      <c r="O2" s="63">
        <f>$O$1+N2</f>
        <v>43992</v>
      </c>
      <c r="P2" s="143" t="s">
        <v>3841</v>
      </c>
      <c r="Q2" s="132">
        <f>ROUNDUP(I2/$R$2,0)</f>
        <v>4</v>
      </c>
      <c r="R2" s="143">
        <v>50</v>
      </c>
      <c r="S2" s="208" t="s">
        <v>3661</v>
      </c>
      <c r="T2" s="208">
        <v>4</v>
      </c>
      <c r="U2" s="143"/>
      <c r="V2" s="143"/>
      <c r="W2" s="143"/>
      <c r="X2" s="143"/>
      <c r="Y2" s="143"/>
      <c r="Z2" s="143"/>
      <c r="AA2" s="143"/>
    </row>
    <row r="3" spans="1:27" s="55" customFormat="1">
      <c r="A3" s="181" t="s">
        <v>1976</v>
      </c>
      <c r="B3" s="181" t="s">
        <v>1903</v>
      </c>
      <c r="C3" s="181" t="s">
        <v>1356</v>
      </c>
      <c r="D3" s="181" t="s">
        <v>1977</v>
      </c>
      <c r="E3" s="181" t="s">
        <v>1978</v>
      </c>
      <c r="F3" s="181" t="s">
        <v>1979</v>
      </c>
      <c r="G3" s="181" t="s">
        <v>18</v>
      </c>
      <c r="H3" s="181" t="s">
        <v>1298</v>
      </c>
      <c r="I3" s="181">
        <v>89</v>
      </c>
      <c r="J3" s="181" t="s">
        <v>3659</v>
      </c>
      <c r="K3" s="142">
        <v>2.4722222222222223</v>
      </c>
      <c r="L3" s="142">
        <v>3.2222222222222223</v>
      </c>
      <c r="M3" s="194"/>
      <c r="N3" s="132">
        <v>2</v>
      </c>
      <c r="O3" s="63">
        <f t="shared" ref="O3:O60" si="0">$O$1+N3</f>
        <v>43993</v>
      </c>
      <c r="P3" s="143" t="s">
        <v>3842</v>
      </c>
      <c r="Q3" s="132">
        <f t="shared" ref="Q3:Q60" si="1">ROUNDUP(I3/$R$2,0)</f>
        <v>2</v>
      </c>
      <c r="R3" s="143"/>
      <c r="S3" s="208" t="s">
        <v>3661</v>
      </c>
      <c r="T3" s="143"/>
      <c r="U3" s="143"/>
      <c r="V3" s="143"/>
      <c r="W3" s="143"/>
      <c r="X3" s="143"/>
      <c r="Y3" s="143"/>
      <c r="Z3" s="143"/>
      <c r="AA3" s="143"/>
    </row>
    <row r="4" spans="1:27" s="57" customFormat="1">
      <c r="A4" s="181" t="s">
        <v>3198</v>
      </c>
      <c r="B4" s="181" t="s">
        <v>1312</v>
      </c>
      <c r="C4" s="181" t="s">
        <v>1356</v>
      </c>
      <c r="D4" s="181" t="s">
        <v>3199</v>
      </c>
      <c r="E4" s="181" t="s">
        <v>3200</v>
      </c>
      <c r="F4" s="181" t="s">
        <v>1359</v>
      </c>
      <c r="G4" s="181" t="s">
        <v>18</v>
      </c>
      <c r="H4" s="181" t="s">
        <v>1298</v>
      </c>
      <c r="I4" s="181">
        <v>126</v>
      </c>
      <c r="J4" s="181" t="s">
        <v>3659</v>
      </c>
      <c r="K4" s="142">
        <v>3.5</v>
      </c>
      <c r="L4" s="142">
        <v>4.25</v>
      </c>
      <c r="M4" s="194"/>
      <c r="N4" s="144">
        <v>2</v>
      </c>
      <c r="O4" s="63">
        <f t="shared" si="0"/>
        <v>43993</v>
      </c>
      <c r="P4" s="143" t="s">
        <v>3843</v>
      </c>
      <c r="Q4" s="132">
        <f t="shared" si="1"/>
        <v>3</v>
      </c>
      <c r="R4" s="181"/>
      <c r="S4" s="208" t="s">
        <v>3661</v>
      </c>
      <c r="T4" s="181"/>
      <c r="U4" s="181"/>
      <c r="V4" s="181"/>
      <c r="W4" s="181"/>
      <c r="X4" s="181"/>
      <c r="Y4" s="181"/>
      <c r="Z4" s="181"/>
      <c r="AA4" s="181"/>
    </row>
    <row r="5" spans="1:27" s="57" customFormat="1">
      <c r="A5" s="181" t="s">
        <v>72</v>
      </c>
      <c r="B5" s="181" t="s">
        <v>1323</v>
      </c>
      <c r="C5" s="181" t="s">
        <v>1356</v>
      </c>
      <c r="D5" s="181" t="s">
        <v>1357</v>
      </c>
      <c r="E5" s="181" t="s">
        <v>1358</v>
      </c>
      <c r="F5" s="181" t="s">
        <v>1359</v>
      </c>
      <c r="G5" s="181" t="s">
        <v>18</v>
      </c>
      <c r="H5" s="181" t="s">
        <v>19</v>
      </c>
      <c r="I5" s="181">
        <v>67</v>
      </c>
      <c r="J5" s="181" t="s">
        <v>77</v>
      </c>
      <c r="K5" s="142">
        <v>1.8611111111111112</v>
      </c>
      <c r="L5" s="142">
        <v>2.6111111111111112</v>
      </c>
      <c r="M5" s="194"/>
      <c r="N5" s="132">
        <v>3</v>
      </c>
      <c r="O5" s="63">
        <f t="shared" si="0"/>
        <v>43994</v>
      </c>
      <c r="P5" s="143" t="s">
        <v>3847</v>
      </c>
      <c r="Q5" s="132">
        <f t="shared" si="1"/>
        <v>2</v>
      </c>
      <c r="R5" s="181"/>
      <c r="S5" s="208" t="s">
        <v>3661</v>
      </c>
      <c r="T5" s="181"/>
      <c r="U5" s="181"/>
      <c r="V5" s="181"/>
      <c r="W5" s="181"/>
      <c r="X5" s="181"/>
      <c r="Y5" s="181"/>
      <c r="Z5" s="181"/>
      <c r="AA5" s="181"/>
    </row>
    <row r="6" spans="1:27" s="55" customFormat="1">
      <c r="A6" s="181" t="s">
        <v>868</v>
      </c>
      <c r="B6" s="181" t="s">
        <v>3659</v>
      </c>
      <c r="C6" s="181" t="s">
        <v>1360</v>
      </c>
      <c r="D6" s="181" t="s">
        <v>3079</v>
      </c>
      <c r="E6" s="181" t="s">
        <v>3080</v>
      </c>
      <c r="F6" s="181" t="s">
        <v>3081</v>
      </c>
      <c r="G6" s="181" t="s">
        <v>18</v>
      </c>
      <c r="H6" s="181" t="s">
        <v>3659</v>
      </c>
      <c r="I6" s="181">
        <v>65</v>
      </c>
      <c r="J6" s="181" t="s">
        <v>3659</v>
      </c>
      <c r="K6" s="142">
        <v>1.8055555555555556</v>
      </c>
      <c r="L6" s="142">
        <v>2.5555555555555554</v>
      </c>
      <c r="M6" s="194"/>
      <c r="N6" s="144">
        <v>4</v>
      </c>
      <c r="O6" s="63">
        <f t="shared" si="0"/>
        <v>43995</v>
      </c>
      <c r="P6" s="143" t="s">
        <v>3848</v>
      </c>
      <c r="Q6" s="132">
        <f t="shared" si="1"/>
        <v>2</v>
      </c>
      <c r="R6" s="143"/>
      <c r="S6" s="208" t="s">
        <v>3661</v>
      </c>
      <c r="T6" s="143"/>
      <c r="U6" s="143"/>
      <c r="V6" s="143"/>
      <c r="W6" s="143"/>
      <c r="X6" s="143"/>
      <c r="Y6" s="143"/>
      <c r="Z6" s="143"/>
      <c r="AA6" s="143"/>
    </row>
    <row r="7" spans="1:27" s="57" customFormat="1">
      <c r="A7" s="181" t="s">
        <v>2525</v>
      </c>
      <c r="B7" s="181" t="s">
        <v>2423</v>
      </c>
      <c r="C7" s="181" t="s">
        <v>2526</v>
      </c>
      <c r="D7" s="181" t="s">
        <v>2527</v>
      </c>
      <c r="E7" s="181" t="s">
        <v>2528</v>
      </c>
      <c r="F7" s="181" t="s">
        <v>2529</v>
      </c>
      <c r="G7" s="181" t="s">
        <v>18</v>
      </c>
      <c r="H7" s="181" t="s">
        <v>1298</v>
      </c>
      <c r="I7" s="181">
        <v>202</v>
      </c>
      <c r="J7" s="181" t="s">
        <v>3659</v>
      </c>
      <c r="K7" s="142">
        <v>5.6111111111111107</v>
      </c>
      <c r="L7" s="142">
        <v>6.3611111111111107</v>
      </c>
      <c r="M7" s="194"/>
      <c r="N7" s="132">
        <v>4</v>
      </c>
      <c r="O7" s="63">
        <f t="shared" si="0"/>
        <v>43995</v>
      </c>
      <c r="P7" s="143" t="s">
        <v>3849</v>
      </c>
      <c r="Q7" s="132">
        <f t="shared" si="1"/>
        <v>5</v>
      </c>
      <c r="R7" s="181"/>
      <c r="S7" s="208" t="s">
        <v>3661</v>
      </c>
      <c r="T7" s="181"/>
      <c r="U7" s="181"/>
      <c r="V7" s="181"/>
      <c r="W7" s="181"/>
      <c r="X7" s="181"/>
      <c r="Y7" s="181"/>
      <c r="Z7" s="181"/>
      <c r="AA7" s="181"/>
    </row>
    <row r="8" spans="1:27" s="55" customFormat="1">
      <c r="A8" s="181" t="s">
        <v>922</v>
      </c>
      <c r="B8" s="181" t="s">
        <v>1265</v>
      </c>
      <c r="C8" s="181" t="s">
        <v>1360</v>
      </c>
      <c r="D8" s="181" t="s">
        <v>3213</v>
      </c>
      <c r="E8" s="181" t="s">
        <v>3214</v>
      </c>
      <c r="F8" s="181" t="s">
        <v>1363</v>
      </c>
      <c r="G8" s="181" t="s">
        <v>18</v>
      </c>
      <c r="H8" s="181" t="s">
        <v>19</v>
      </c>
      <c r="I8" s="181">
        <v>179</v>
      </c>
      <c r="J8" s="181" t="s">
        <v>926</v>
      </c>
      <c r="K8" s="142">
        <v>4.9722222222222223</v>
      </c>
      <c r="L8" s="142">
        <v>5.7222222222222223</v>
      </c>
      <c r="M8" s="194"/>
      <c r="N8" s="144">
        <v>6</v>
      </c>
      <c r="O8" s="63">
        <f t="shared" si="0"/>
        <v>43997</v>
      </c>
      <c r="P8" s="143" t="s">
        <v>3850</v>
      </c>
      <c r="Q8" s="132">
        <f t="shared" si="1"/>
        <v>4</v>
      </c>
      <c r="R8" s="143"/>
      <c r="S8" s="208" t="s">
        <v>3661</v>
      </c>
      <c r="T8" s="143"/>
      <c r="U8" s="143"/>
      <c r="V8" s="143"/>
      <c r="W8" s="143"/>
      <c r="X8" s="143"/>
      <c r="Y8" s="143"/>
      <c r="Z8" s="143"/>
      <c r="AA8" s="143"/>
    </row>
    <row r="9" spans="1:27" s="57" customFormat="1">
      <c r="A9" s="181" t="s">
        <v>244</v>
      </c>
      <c r="B9" s="181" t="s">
        <v>1265</v>
      </c>
      <c r="C9" s="181" t="s">
        <v>1360</v>
      </c>
      <c r="D9" s="181" t="s">
        <v>1693</v>
      </c>
      <c r="E9" s="181" t="s">
        <v>1694</v>
      </c>
      <c r="F9" s="181" t="s">
        <v>1363</v>
      </c>
      <c r="G9" s="181" t="s">
        <v>18</v>
      </c>
      <c r="H9" s="181" t="s">
        <v>19</v>
      </c>
      <c r="I9" s="181">
        <v>120</v>
      </c>
      <c r="J9" s="181" t="s">
        <v>3659</v>
      </c>
      <c r="K9" s="142">
        <v>3.3333333333333335</v>
      </c>
      <c r="L9" s="142">
        <v>4.0833333333333339</v>
      </c>
      <c r="M9" s="194"/>
      <c r="N9" s="132">
        <v>7</v>
      </c>
      <c r="O9" s="63">
        <f t="shared" si="0"/>
        <v>43998</v>
      </c>
      <c r="P9" s="143" t="s">
        <v>3851</v>
      </c>
      <c r="Q9" s="132">
        <f t="shared" si="1"/>
        <v>3</v>
      </c>
      <c r="R9" s="181"/>
      <c r="S9" s="208" t="s">
        <v>3661</v>
      </c>
      <c r="T9" s="181"/>
      <c r="U9" s="181"/>
      <c r="V9" s="181"/>
      <c r="W9" s="181"/>
      <c r="X9" s="181"/>
      <c r="Y9" s="181"/>
      <c r="Z9" s="181"/>
      <c r="AA9" s="181"/>
    </row>
    <row r="10" spans="1:27" s="55" customFormat="1">
      <c r="A10" s="181" t="s">
        <v>2484</v>
      </c>
      <c r="B10" s="181" t="s">
        <v>2423</v>
      </c>
      <c r="C10" s="181" t="s">
        <v>1360</v>
      </c>
      <c r="D10" s="181" t="s">
        <v>2485</v>
      </c>
      <c r="E10" s="181" t="s">
        <v>2486</v>
      </c>
      <c r="F10" s="181" t="s">
        <v>2487</v>
      </c>
      <c r="G10" s="181" t="s">
        <v>18</v>
      </c>
      <c r="H10" s="181" t="s">
        <v>1298</v>
      </c>
      <c r="I10" s="181">
        <v>95</v>
      </c>
      <c r="J10" s="181" t="s">
        <v>3659</v>
      </c>
      <c r="K10" s="142">
        <v>2.6388888888888888</v>
      </c>
      <c r="L10" s="142">
        <v>3.3888888888888888</v>
      </c>
      <c r="M10" s="194"/>
      <c r="N10" s="144">
        <v>7</v>
      </c>
      <c r="O10" s="63">
        <f t="shared" si="0"/>
        <v>43998</v>
      </c>
      <c r="P10" s="143" t="s">
        <v>3852</v>
      </c>
      <c r="Q10" s="132">
        <f t="shared" si="1"/>
        <v>2</v>
      </c>
      <c r="R10" s="143"/>
      <c r="S10" s="208" t="s">
        <v>3661</v>
      </c>
      <c r="T10" s="143"/>
      <c r="U10" s="143"/>
      <c r="V10" s="143"/>
      <c r="W10" s="143"/>
      <c r="X10" s="143"/>
      <c r="Y10" s="143"/>
      <c r="Z10" s="143"/>
      <c r="AA10" s="143"/>
    </row>
    <row r="11" spans="1:27" s="57" customFormat="1">
      <c r="A11" s="181" t="s">
        <v>3091</v>
      </c>
      <c r="B11" s="181" t="s">
        <v>343</v>
      </c>
      <c r="C11" s="181" t="s">
        <v>1360</v>
      </c>
      <c r="D11" s="181" t="s">
        <v>3093</v>
      </c>
      <c r="E11" s="181" t="s">
        <v>3094</v>
      </c>
      <c r="F11" s="181" t="s">
        <v>3095</v>
      </c>
      <c r="G11" s="181" t="s">
        <v>18</v>
      </c>
      <c r="H11" s="181" t="s">
        <v>1298</v>
      </c>
      <c r="I11" s="181">
        <v>90</v>
      </c>
      <c r="J11" s="181" t="s">
        <v>3659</v>
      </c>
      <c r="K11" s="142">
        <v>2.5</v>
      </c>
      <c r="L11" s="142">
        <v>3.25</v>
      </c>
      <c r="M11" s="194"/>
      <c r="N11" s="132">
        <v>8</v>
      </c>
      <c r="O11" s="63">
        <f t="shared" si="0"/>
        <v>43999</v>
      </c>
      <c r="P11" s="143" t="s">
        <v>3842</v>
      </c>
      <c r="Q11" s="132">
        <f t="shared" si="1"/>
        <v>2</v>
      </c>
      <c r="R11" s="181"/>
      <c r="S11" s="208" t="s">
        <v>3661</v>
      </c>
      <c r="T11" s="181"/>
      <c r="U11" s="181"/>
      <c r="V11" s="181"/>
      <c r="W11" s="181"/>
      <c r="X11" s="181"/>
      <c r="Y11" s="181"/>
      <c r="Z11" s="181"/>
      <c r="AA11" s="181"/>
    </row>
    <row r="12" spans="1:27" s="55" customFormat="1">
      <c r="A12" s="181" t="s">
        <v>78</v>
      </c>
      <c r="B12" s="181" t="s">
        <v>1323</v>
      </c>
      <c r="C12" s="181" t="s">
        <v>1360</v>
      </c>
      <c r="D12" s="181" t="s">
        <v>1361</v>
      </c>
      <c r="E12" s="181" t="s">
        <v>1362</v>
      </c>
      <c r="F12" s="181" t="s">
        <v>1363</v>
      </c>
      <c r="G12" s="181" t="s">
        <v>18</v>
      </c>
      <c r="H12" s="181" t="s">
        <v>19</v>
      </c>
      <c r="I12" s="181">
        <v>15</v>
      </c>
      <c r="J12" s="181" t="s">
        <v>82</v>
      </c>
      <c r="K12" s="142">
        <v>0.41666666666666669</v>
      </c>
      <c r="L12" s="142">
        <v>1.1666666666666667</v>
      </c>
      <c r="M12" s="194"/>
      <c r="N12" s="132">
        <v>8</v>
      </c>
      <c r="O12" s="63">
        <f t="shared" si="0"/>
        <v>43999</v>
      </c>
      <c r="P12" s="143" t="s">
        <v>3853</v>
      </c>
      <c r="Q12" s="132">
        <f t="shared" si="1"/>
        <v>1</v>
      </c>
      <c r="R12" s="143"/>
      <c r="S12" s="208" t="s">
        <v>3661</v>
      </c>
      <c r="T12" s="143"/>
      <c r="U12" s="143"/>
      <c r="V12" s="143"/>
      <c r="W12" s="143"/>
      <c r="X12" s="143"/>
      <c r="Y12" s="143"/>
      <c r="Z12" s="143"/>
      <c r="AA12" s="143"/>
    </row>
    <row r="13" spans="1:27" s="55" customFormat="1">
      <c r="A13" s="181" t="s">
        <v>2762</v>
      </c>
      <c r="B13" s="181" t="s">
        <v>1303</v>
      </c>
      <c r="C13" s="181" t="s">
        <v>1281</v>
      </c>
      <c r="D13" s="181" t="s">
        <v>3854</v>
      </c>
      <c r="E13" s="181" t="s">
        <v>2764</v>
      </c>
      <c r="F13" s="181" t="s">
        <v>3855</v>
      </c>
      <c r="G13" s="181" t="s">
        <v>18</v>
      </c>
      <c r="H13" s="181" t="s">
        <v>1298</v>
      </c>
      <c r="I13" s="181">
        <v>143</v>
      </c>
      <c r="J13" s="181" t="s">
        <v>3659</v>
      </c>
      <c r="K13" s="142">
        <v>3.9722222222222223</v>
      </c>
      <c r="L13" s="142">
        <v>4.7222222222222223</v>
      </c>
      <c r="M13" s="194"/>
      <c r="N13" s="132">
        <v>8</v>
      </c>
      <c r="O13" s="63">
        <f t="shared" si="0"/>
        <v>43999</v>
      </c>
      <c r="P13" s="143" t="s">
        <v>3856</v>
      </c>
      <c r="Q13" s="132">
        <f t="shared" si="1"/>
        <v>3</v>
      </c>
      <c r="R13" s="143"/>
      <c r="S13" s="208" t="s">
        <v>3661</v>
      </c>
      <c r="T13" s="143"/>
      <c r="U13" s="143"/>
      <c r="V13" s="143"/>
      <c r="W13" s="143"/>
      <c r="X13" s="143"/>
      <c r="Y13" s="143"/>
      <c r="Z13" s="143"/>
      <c r="AA13" s="143"/>
    </row>
    <row r="14" spans="1:27" s="57" customFormat="1">
      <c r="A14" s="181" t="s">
        <v>1717</v>
      </c>
      <c r="B14" s="181" t="s">
        <v>1303</v>
      </c>
      <c r="C14" s="181" t="s">
        <v>1281</v>
      </c>
      <c r="D14" s="181" t="s">
        <v>3857</v>
      </c>
      <c r="E14" s="181" t="s">
        <v>1718</v>
      </c>
      <c r="F14" s="181" t="s">
        <v>3858</v>
      </c>
      <c r="G14" s="181" t="s">
        <v>18</v>
      </c>
      <c r="H14" s="181" t="s">
        <v>1298</v>
      </c>
      <c r="I14" s="181">
        <v>115</v>
      </c>
      <c r="J14" s="181" t="s">
        <v>3659</v>
      </c>
      <c r="K14" s="142">
        <v>3.1944444444444446</v>
      </c>
      <c r="L14" s="142">
        <v>3.9444444444444446</v>
      </c>
      <c r="M14" s="194"/>
      <c r="N14" s="132">
        <v>9</v>
      </c>
      <c r="O14" s="63">
        <f t="shared" si="0"/>
        <v>44000</v>
      </c>
      <c r="P14" s="143" t="s">
        <v>3851</v>
      </c>
      <c r="Q14" s="132">
        <f t="shared" si="1"/>
        <v>3</v>
      </c>
      <c r="R14" s="181"/>
      <c r="S14" s="208" t="s">
        <v>3661</v>
      </c>
      <c r="T14" s="181"/>
      <c r="U14" s="181"/>
      <c r="V14" s="181"/>
      <c r="W14" s="181"/>
      <c r="X14" s="181"/>
      <c r="Y14" s="181"/>
      <c r="Z14" s="181"/>
      <c r="AA14" s="181"/>
    </row>
    <row r="15" spans="1:27" s="55" customFormat="1">
      <c r="A15" s="181" t="s">
        <v>1194</v>
      </c>
      <c r="B15" s="181" t="s">
        <v>3659</v>
      </c>
      <c r="C15" s="181" t="s">
        <v>1281</v>
      </c>
      <c r="D15" s="181" t="s">
        <v>2751</v>
      </c>
      <c r="E15" s="181" t="s">
        <v>2752</v>
      </c>
      <c r="F15" s="181" t="s">
        <v>1802</v>
      </c>
      <c r="G15" s="181" t="s">
        <v>18</v>
      </c>
      <c r="H15" s="181" t="s">
        <v>30</v>
      </c>
      <c r="I15" s="181">
        <v>125</v>
      </c>
      <c r="J15" s="181" t="s">
        <v>3665</v>
      </c>
      <c r="K15" s="142">
        <v>3.4722222222222223</v>
      </c>
      <c r="L15" s="142">
        <v>4.2222222222222223</v>
      </c>
      <c r="M15" s="194"/>
      <c r="N15" s="132">
        <v>9</v>
      </c>
      <c r="O15" s="63">
        <f t="shared" si="0"/>
        <v>44000</v>
      </c>
      <c r="P15" s="143" t="s">
        <v>3859</v>
      </c>
      <c r="Q15" s="132">
        <f t="shared" si="1"/>
        <v>3</v>
      </c>
      <c r="R15" s="143"/>
      <c r="S15" s="208" t="s">
        <v>3661</v>
      </c>
      <c r="T15" s="143"/>
      <c r="U15" s="143"/>
      <c r="V15" s="143"/>
      <c r="W15" s="143"/>
      <c r="X15" s="143"/>
      <c r="Y15" s="143"/>
      <c r="Z15" s="143"/>
      <c r="AA15" s="143"/>
    </row>
    <row r="16" spans="1:27" s="57" customFormat="1">
      <c r="A16" s="181" t="s">
        <v>695</v>
      </c>
      <c r="B16" s="181" t="s">
        <v>3659</v>
      </c>
      <c r="C16" s="181" t="s">
        <v>1281</v>
      </c>
      <c r="D16" s="181" t="s">
        <v>2636</v>
      </c>
      <c r="E16" s="181" t="s">
        <v>2637</v>
      </c>
      <c r="F16" s="181" t="s">
        <v>1802</v>
      </c>
      <c r="G16" s="181" t="s">
        <v>18</v>
      </c>
      <c r="H16" s="181" t="s">
        <v>3659</v>
      </c>
      <c r="I16" s="181">
        <v>111</v>
      </c>
      <c r="J16" s="181" t="s">
        <v>3659</v>
      </c>
      <c r="K16" s="142">
        <v>3.0833333333333335</v>
      </c>
      <c r="L16" s="142">
        <v>3.8333333333333335</v>
      </c>
      <c r="M16" s="194"/>
      <c r="N16" s="132">
        <v>10</v>
      </c>
      <c r="O16" s="63">
        <f t="shared" si="0"/>
        <v>44001</v>
      </c>
      <c r="P16" s="143" t="s">
        <v>3851</v>
      </c>
      <c r="Q16" s="132">
        <f t="shared" si="1"/>
        <v>3</v>
      </c>
      <c r="R16" s="181"/>
      <c r="S16" s="208" t="s">
        <v>3661</v>
      </c>
      <c r="T16" s="181"/>
      <c r="U16" s="181"/>
      <c r="V16" s="181"/>
      <c r="W16" s="181"/>
      <c r="X16" s="181"/>
      <c r="Y16" s="181"/>
      <c r="Z16" s="181"/>
      <c r="AA16" s="181"/>
    </row>
    <row r="17" spans="1:27" s="55" customFormat="1">
      <c r="A17" s="181" t="s">
        <v>1799</v>
      </c>
      <c r="B17" s="181" t="s">
        <v>343</v>
      </c>
      <c r="C17" s="181" t="s">
        <v>1281</v>
      </c>
      <c r="D17" s="181" t="s">
        <v>1800</v>
      </c>
      <c r="E17" s="181" t="s">
        <v>1801</v>
      </c>
      <c r="F17" s="181" t="s">
        <v>1802</v>
      </c>
      <c r="G17" s="181" t="s">
        <v>18</v>
      </c>
      <c r="H17" s="181" t="s">
        <v>1298</v>
      </c>
      <c r="I17" s="181">
        <v>80</v>
      </c>
      <c r="J17" s="181" t="s">
        <v>3659</v>
      </c>
      <c r="K17" s="142">
        <v>2.2222222222222223</v>
      </c>
      <c r="L17" s="142">
        <v>2.9722222222222223</v>
      </c>
      <c r="M17" s="194"/>
      <c r="N17" s="132">
        <v>10</v>
      </c>
      <c r="O17" s="63">
        <f t="shared" si="0"/>
        <v>44001</v>
      </c>
      <c r="P17" s="143" t="s">
        <v>3847</v>
      </c>
      <c r="Q17" s="132">
        <f t="shared" si="1"/>
        <v>2</v>
      </c>
      <c r="R17" s="143"/>
      <c r="S17" s="208" t="s">
        <v>3661</v>
      </c>
      <c r="T17" s="143"/>
      <c r="U17" s="143"/>
      <c r="V17" s="143"/>
      <c r="W17" s="143"/>
      <c r="X17" s="143"/>
      <c r="Y17" s="143"/>
      <c r="Z17" s="143"/>
      <c r="AA17" s="143"/>
    </row>
    <row r="18" spans="1:27" s="57" customFormat="1">
      <c r="A18" s="181" t="s">
        <v>2433</v>
      </c>
      <c r="B18" s="181" t="s">
        <v>2423</v>
      </c>
      <c r="C18" s="181" t="s">
        <v>1281</v>
      </c>
      <c r="D18" s="181" t="s">
        <v>2435</v>
      </c>
      <c r="E18" s="181" t="s">
        <v>2436</v>
      </c>
      <c r="F18" s="181" t="s">
        <v>2437</v>
      </c>
      <c r="G18" s="181" t="s">
        <v>18</v>
      </c>
      <c r="H18" s="181" t="s">
        <v>1298</v>
      </c>
      <c r="I18" s="181">
        <v>72</v>
      </c>
      <c r="J18" s="181" t="s">
        <v>3659</v>
      </c>
      <c r="K18" s="142">
        <v>2</v>
      </c>
      <c r="L18" s="142">
        <v>2.75</v>
      </c>
      <c r="M18" s="194"/>
      <c r="N18" s="132">
        <v>10</v>
      </c>
      <c r="O18" s="63">
        <f t="shared" si="0"/>
        <v>44001</v>
      </c>
      <c r="P18" s="143" t="s">
        <v>3860</v>
      </c>
      <c r="Q18" s="132">
        <f t="shared" si="1"/>
        <v>2</v>
      </c>
      <c r="R18" s="181"/>
      <c r="S18" s="208" t="s">
        <v>3661</v>
      </c>
      <c r="T18" s="181"/>
      <c r="U18" s="181"/>
      <c r="V18" s="181"/>
      <c r="W18" s="181"/>
      <c r="X18" s="181"/>
      <c r="Y18" s="181"/>
      <c r="Z18" s="181"/>
      <c r="AA18" s="181"/>
    </row>
    <row r="19" spans="1:27" s="55" customFormat="1">
      <c r="A19" s="181" t="s">
        <v>555</v>
      </c>
      <c r="B19" s="181" t="s">
        <v>3659</v>
      </c>
      <c r="C19" s="181" t="s">
        <v>1281</v>
      </c>
      <c r="D19" s="181" t="s">
        <v>2302</v>
      </c>
      <c r="E19" s="181" t="s">
        <v>2303</v>
      </c>
      <c r="F19" s="181" t="s">
        <v>1501</v>
      </c>
      <c r="G19" s="181" t="s">
        <v>18</v>
      </c>
      <c r="H19" s="181" t="s">
        <v>3659</v>
      </c>
      <c r="I19" s="181">
        <v>69</v>
      </c>
      <c r="J19" s="181" t="s">
        <v>559</v>
      </c>
      <c r="K19" s="142">
        <v>1.9166666666666667</v>
      </c>
      <c r="L19" s="142">
        <v>2.666666666666667</v>
      </c>
      <c r="M19" s="194"/>
      <c r="N19" s="132">
        <v>11</v>
      </c>
      <c r="O19" s="63">
        <f t="shared" si="0"/>
        <v>44002</v>
      </c>
      <c r="P19" s="143" t="s">
        <v>3848</v>
      </c>
      <c r="Q19" s="132">
        <f t="shared" si="1"/>
        <v>2</v>
      </c>
      <c r="R19" s="143"/>
      <c r="S19" s="208" t="s">
        <v>3661</v>
      </c>
      <c r="T19" s="143"/>
      <c r="U19" s="143"/>
      <c r="V19" s="143"/>
      <c r="W19" s="143"/>
      <c r="X19" s="143"/>
      <c r="Y19" s="143"/>
      <c r="Z19" s="143"/>
      <c r="AA19" s="143"/>
    </row>
    <row r="20" spans="1:27" s="57" customFormat="1">
      <c r="A20" s="181" t="s">
        <v>1497</v>
      </c>
      <c r="B20" s="181" t="s">
        <v>1312</v>
      </c>
      <c r="C20" s="181" t="s">
        <v>1281</v>
      </c>
      <c r="D20" s="181" t="s">
        <v>1499</v>
      </c>
      <c r="E20" s="181" t="s">
        <v>1500</v>
      </c>
      <c r="F20" s="181" t="s">
        <v>1501</v>
      </c>
      <c r="G20" s="181" t="s">
        <v>18</v>
      </c>
      <c r="H20" s="181" t="s">
        <v>1298</v>
      </c>
      <c r="I20" s="181">
        <v>65</v>
      </c>
      <c r="J20" s="181" t="s">
        <v>3659</v>
      </c>
      <c r="K20" s="142">
        <v>1.8055555555555556</v>
      </c>
      <c r="L20" s="142">
        <v>2.5555555555555554</v>
      </c>
      <c r="M20" s="194"/>
      <c r="N20" s="132">
        <v>11</v>
      </c>
      <c r="O20" s="63">
        <f t="shared" si="0"/>
        <v>44002</v>
      </c>
      <c r="P20" s="143" t="s">
        <v>3861</v>
      </c>
      <c r="Q20" s="132">
        <f t="shared" si="1"/>
        <v>2</v>
      </c>
      <c r="R20" s="181"/>
      <c r="S20" s="208" t="s">
        <v>3661</v>
      </c>
      <c r="T20" s="181"/>
      <c r="U20" s="181"/>
      <c r="V20" s="181"/>
      <c r="W20" s="181"/>
      <c r="X20" s="181"/>
      <c r="Y20" s="181"/>
      <c r="Z20" s="181"/>
      <c r="AA20" s="181"/>
    </row>
    <row r="21" spans="1:27" s="334" customFormat="1">
      <c r="A21" s="331" t="s">
        <v>3134</v>
      </c>
      <c r="B21" s="331" t="s">
        <v>1312</v>
      </c>
      <c r="C21" s="331" t="s">
        <v>1356</v>
      </c>
      <c r="D21" s="331" t="s">
        <v>3135</v>
      </c>
      <c r="E21" s="331" t="s">
        <v>3136</v>
      </c>
      <c r="F21" s="331" t="s">
        <v>1979</v>
      </c>
      <c r="G21" s="331" t="s">
        <v>18</v>
      </c>
      <c r="H21" s="331" t="s">
        <v>1298</v>
      </c>
      <c r="I21" s="331">
        <v>48</v>
      </c>
      <c r="J21" s="331" t="s">
        <v>3659</v>
      </c>
      <c r="K21" s="332">
        <f>I21/B78</f>
        <v>1.3333333333333333</v>
      </c>
      <c r="L21" s="332">
        <f>K21+(B75+B76)/60</f>
        <v>2.083333333333333</v>
      </c>
      <c r="M21" s="341"/>
      <c r="N21" s="333">
        <v>13</v>
      </c>
      <c r="O21" s="342">
        <f>$O$1+N21</f>
        <v>44004</v>
      </c>
      <c r="P21" s="334" t="s">
        <v>3885</v>
      </c>
      <c r="Q21" s="333">
        <f>ROUNDUP(I21/$R$2,0)</f>
        <v>1</v>
      </c>
      <c r="R21" s="334">
        <v>50</v>
      </c>
      <c r="S21" s="334" t="s">
        <v>3661</v>
      </c>
      <c r="T21" s="334">
        <v>1</v>
      </c>
    </row>
    <row r="22" spans="1:27" s="59" customFormat="1">
      <c r="A22" s="182" t="s">
        <v>36</v>
      </c>
      <c r="B22" s="182" t="s">
        <v>3659</v>
      </c>
      <c r="C22" s="182" t="s">
        <v>1281</v>
      </c>
      <c r="D22" s="182" t="s">
        <v>1284</v>
      </c>
      <c r="E22" s="182" t="s">
        <v>1285</v>
      </c>
      <c r="F22" s="182" t="s">
        <v>1286</v>
      </c>
      <c r="G22" s="182" t="s">
        <v>18</v>
      </c>
      <c r="H22" s="182" t="s">
        <v>19</v>
      </c>
      <c r="I22" s="182">
        <v>70</v>
      </c>
      <c r="J22" s="182" t="s">
        <v>40</v>
      </c>
      <c r="K22" s="147">
        <v>1.9444444444444444</v>
      </c>
      <c r="L22" s="147">
        <v>2.6944444444444446</v>
      </c>
      <c r="M22" s="222">
        <v>16</v>
      </c>
      <c r="N22" s="133">
        <v>1</v>
      </c>
      <c r="O22" s="62">
        <f t="shared" si="0"/>
        <v>43992</v>
      </c>
      <c r="P22" s="149" t="s">
        <v>3848</v>
      </c>
      <c r="Q22" s="133">
        <f t="shared" si="1"/>
        <v>2</v>
      </c>
      <c r="R22" s="149"/>
      <c r="S22" s="169" t="s">
        <v>3661</v>
      </c>
      <c r="T22" s="149">
        <v>2</v>
      </c>
      <c r="U22" s="149"/>
      <c r="V22" s="149"/>
      <c r="W22" s="149"/>
      <c r="X22" s="149"/>
      <c r="Y22" s="149"/>
      <c r="Z22" s="149"/>
      <c r="AA22" s="149"/>
    </row>
    <row r="23" spans="1:27" s="59" customFormat="1">
      <c r="A23" s="182" t="s">
        <v>1120</v>
      </c>
      <c r="B23" s="182" t="s">
        <v>3659</v>
      </c>
      <c r="C23" s="182" t="s">
        <v>1281</v>
      </c>
      <c r="D23" s="182" t="s">
        <v>3007</v>
      </c>
      <c r="E23" s="182" t="s">
        <v>3008</v>
      </c>
      <c r="F23" s="182" t="s">
        <v>3009</v>
      </c>
      <c r="G23" s="182" t="s">
        <v>18</v>
      </c>
      <c r="H23" s="182" t="s">
        <v>30</v>
      </c>
      <c r="I23" s="182">
        <v>35</v>
      </c>
      <c r="J23" s="182" t="s">
        <v>3665</v>
      </c>
      <c r="K23" s="147">
        <v>0.97222222222222221</v>
      </c>
      <c r="L23" s="147">
        <v>1.7222222222222223</v>
      </c>
      <c r="M23" s="229"/>
      <c r="N23" s="133">
        <v>1</v>
      </c>
      <c r="O23" s="62">
        <f t="shared" si="0"/>
        <v>43992</v>
      </c>
      <c r="P23" s="149" t="s">
        <v>3862</v>
      </c>
      <c r="Q23" s="133">
        <f t="shared" si="1"/>
        <v>1</v>
      </c>
      <c r="R23" s="149"/>
      <c r="S23" s="169" t="s">
        <v>3661</v>
      </c>
      <c r="T23" s="149">
        <v>1</v>
      </c>
      <c r="U23" s="149"/>
      <c r="V23" s="149"/>
      <c r="W23" s="149"/>
      <c r="X23" s="149"/>
      <c r="Y23" s="149"/>
      <c r="Z23" s="149"/>
      <c r="AA23" s="149"/>
    </row>
    <row r="24" spans="1:27" s="59" customFormat="1">
      <c r="A24" s="182" t="s">
        <v>935</v>
      </c>
      <c r="B24" s="182" t="s">
        <v>3659</v>
      </c>
      <c r="C24" s="182" t="s">
        <v>1275</v>
      </c>
      <c r="D24" s="182" t="s">
        <v>3233</v>
      </c>
      <c r="E24" s="182" t="s">
        <v>3234</v>
      </c>
      <c r="F24" s="182" t="s">
        <v>1516</v>
      </c>
      <c r="G24" s="182" t="s">
        <v>18</v>
      </c>
      <c r="H24" s="182" t="s">
        <v>3659</v>
      </c>
      <c r="I24" s="182">
        <v>226</v>
      </c>
      <c r="J24" s="182" t="s">
        <v>3659</v>
      </c>
      <c r="K24" s="147">
        <v>6.2777777777777777</v>
      </c>
      <c r="L24" s="147">
        <v>7.0277777777777777</v>
      </c>
      <c r="M24" s="229"/>
      <c r="N24" s="133">
        <v>2</v>
      </c>
      <c r="O24" s="62">
        <f t="shared" si="0"/>
        <v>43993</v>
      </c>
      <c r="P24" s="149" t="s">
        <v>3863</v>
      </c>
      <c r="Q24" s="133">
        <f t="shared" si="1"/>
        <v>5</v>
      </c>
      <c r="R24" s="149"/>
      <c r="S24" s="169" t="s">
        <v>3661</v>
      </c>
      <c r="T24" s="149"/>
      <c r="U24" s="149"/>
      <c r="V24" s="149"/>
      <c r="W24" s="149"/>
      <c r="X24" s="149"/>
      <c r="Y24" s="149"/>
      <c r="Z24" s="149"/>
      <c r="AA24" s="149"/>
    </row>
    <row r="25" spans="1:27" s="59" customFormat="1">
      <c r="A25" s="182" t="s">
        <v>2579</v>
      </c>
      <c r="B25" s="182" t="s">
        <v>1312</v>
      </c>
      <c r="C25" s="182" t="s">
        <v>1275</v>
      </c>
      <c r="D25" s="182" t="s">
        <v>2580</v>
      </c>
      <c r="E25" s="182" t="s">
        <v>2581</v>
      </c>
      <c r="F25" s="182" t="s">
        <v>1516</v>
      </c>
      <c r="G25" s="182" t="s">
        <v>18</v>
      </c>
      <c r="H25" s="182" t="s">
        <v>1298</v>
      </c>
      <c r="I25" s="182">
        <v>156</v>
      </c>
      <c r="J25" s="182" t="s">
        <v>3659</v>
      </c>
      <c r="K25" s="147">
        <v>4.333333333333333</v>
      </c>
      <c r="L25" s="147">
        <v>5.083333333333333</v>
      </c>
      <c r="M25" s="229"/>
      <c r="N25" s="133">
        <v>3</v>
      </c>
      <c r="O25" s="62">
        <f t="shared" si="0"/>
        <v>43994</v>
      </c>
      <c r="P25" s="149" t="s">
        <v>3864</v>
      </c>
      <c r="Q25" s="133">
        <f t="shared" si="1"/>
        <v>4</v>
      </c>
      <c r="R25" s="149"/>
      <c r="S25" s="169" t="s">
        <v>3661</v>
      </c>
      <c r="T25" s="149"/>
      <c r="U25" s="149"/>
      <c r="V25" s="149"/>
      <c r="W25" s="149"/>
      <c r="X25" s="149"/>
      <c r="Y25" s="149"/>
      <c r="Z25" s="149"/>
      <c r="AA25" s="149"/>
    </row>
    <row r="26" spans="1:27" s="59" customFormat="1">
      <c r="A26" s="182" t="s">
        <v>3291</v>
      </c>
      <c r="B26" s="182" t="s">
        <v>2027</v>
      </c>
      <c r="C26" s="182" t="s">
        <v>1275</v>
      </c>
      <c r="D26" s="182" t="s">
        <v>3292</v>
      </c>
      <c r="E26" s="182" t="s">
        <v>3293</v>
      </c>
      <c r="F26" s="182" t="s">
        <v>1516</v>
      </c>
      <c r="G26" s="182" t="s">
        <v>18</v>
      </c>
      <c r="H26" s="182"/>
      <c r="I26" s="182">
        <v>108</v>
      </c>
      <c r="J26" s="182" t="s">
        <v>3665</v>
      </c>
      <c r="K26" s="147">
        <v>3</v>
      </c>
      <c r="L26" s="147">
        <v>3.75</v>
      </c>
      <c r="M26" s="229"/>
      <c r="N26" s="61">
        <v>4</v>
      </c>
      <c r="O26" s="62">
        <f t="shared" si="0"/>
        <v>43995</v>
      </c>
      <c r="P26" s="149" t="s">
        <v>3851</v>
      </c>
      <c r="Q26" s="133">
        <f t="shared" si="1"/>
        <v>3</v>
      </c>
      <c r="R26" s="149"/>
      <c r="S26" s="169" t="s">
        <v>3661</v>
      </c>
      <c r="T26" s="149"/>
      <c r="U26" s="149"/>
      <c r="V26" s="149"/>
      <c r="W26" s="149"/>
      <c r="X26" s="149"/>
      <c r="Y26" s="149"/>
      <c r="Z26" s="149"/>
      <c r="AA26" s="149"/>
    </row>
    <row r="27" spans="1:27" s="59" customFormat="1">
      <c r="A27" s="182" t="s">
        <v>147</v>
      </c>
      <c r="B27" s="182" t="s">
        <v>1265</v>
      </c>
      <c r="C27" s="182" t="s">
        <v>1275</v>
      </c>
      <c r="D27" s="182" t="s">
        <v>1514</v>
      </c>
      <c r="E27" s="182" t="s">
        <v>1515</v>
      </c>
      <c r="F27" s="182" t="s">
        <v>1516</v>
      </c>
      <c r="G27" s="182" t="s">
        <v>18</v>
      </c>
      <c r="H27" s="182" t="s">
        <v>30</v>
      </c>
      <c r="I27" s="182">
        <v>160</v>
      </c>
      <c r="J27" s="182" t="s">
        <v>3659</v>
      </c>
      <c r="K27" s="147">
        <v>4.4444444444444446</v>
      </c>
      <c r="L27" s="147">
        <v>5.1944444444444446</v>
      </c>
      <c r="M27" s="229"/>
      <c r="N27" s="61">
        <v>4</v>
      </c>
      <c r="O27" s="62">
        <f t="shared" si="0"/>
        <v>43995</v>
      </c>
      <c r="P27" s="149" t="s">
        <v>3865</v>
      </c>
      <c r="Q27" s="133">
        <f t="shared" si="1"/>
        <v>4</v>
      </c>
      <c r="R27" s="149"/>
      <c r="S27" s="169" t="s">
        <v>3661</v>
      </c>
      <c r="T27" s="149"/>
      <c r="U27" s="149"/>
      <c r="V27" s="149"/>
      <c r="W27" s="149"/>
      <c r="X27" s="149"/>
      <c r="Y27" s="149"/>
      <c r="Z27" s="149"/>
      <c r="AA27" s="149"/>
    </row>
    <row r="28" spans="1:27" s="59" customFormat="1">
      <c r="A28" s="182" t="s">
        <v>1966</v>
      </c>
      <c r="B28" s="182" t="s">
        <v>1903</v>
      </c>
      <c r="C28" s="182" t="s">
        <v>1275</v>
      </c>
      <c r="D28" s="182" t="s">
        <v>1967</v>
      </c>
      <c r="E28" s="182" t="s">
        <v>1968</v>
      </c>
      <c r="F28" s="182" t="s">
        <v>1516</v>
      </c>
      <c r="G28" s="182" t="s">
        <v>18</v>
      </c>
      <c r="H28" s="182" t="s">
        <v>1298</v>
      </c>
      <c r="I28" s="182">
        <v>117</v>
      </c>
      <c r="J28" s="182" t="s">
        <v>3659</v>
      </c>
      <c r="K28" s="147">
        <v>3.25</v>
      </c>
      <c r="L28" s="147">
        <v>4</v>
      </c>
      <c r="M28" s="229"/>
      <c r="N28" s="133">
        <v>6</v>
      </c>
      <c r="O28" s="62">
        <f t="shared" si="0"/>
        <v>43997</v>
      </c>
      <c r="P28" s="149" t="s">
        <v>3851</v>
      </c>
      <c r="Q28" s="133">
        <f t="shared" si="1"/>
        <v>3</v>
      </c>
      <c r="R28" s="149"/>
      <c r="S28" s="169" t="s">
        <v>3661</v>
      </c>
      <c r="T28" s="149"/>
      <c r="U28" s="149"/>
      <c r="V28" s="149"/>
      <c r="W28" s="149"/>
      <c r="X28" s="149"/>
      <c r="Y28" s="149"/>
      <c r="Z28" s="149"/>
      <c r="AA28" s="149"/>
    </row>
    <row r="29" spans="1:27" s="59" customFormat="1">
      <c r="A29" s="182" t="s">
        <v>906</v>
      </c>
      <c r="B29" s="182" t="s">
        <v>1300</v>
      </c>
      <c r="C29" s="182" t="s">
        <v>1275</v>
      </c>
      <c r="D29" s="182" t="s">
        <v>3168</v>
      </c>
      <c r="E29" s="182" t="s">
        <v>3169</v>
      </c>
      <c r="F29" s="182" t="s">
        <v>1572</v>
      </c>
      <c r="G29" s="182" t="s">
        <v>18</v>
      </c>
      <c r="H29" s="182" t="s">
        <v>3659</v>
      </c>
      <c r="I29" s="182">
        <v>52</v>
      </c>
      <c r="J29" s="182" t="s">
        <v>3659</v>
      </c>
      <c r="K29" s="147">
        <v>1.4444444444444444</v>
      </c>
      <c r="L29" s="147">
        <v>2.1944444444444446</v>
      </c>
      <c r="M29" s="229"/>
      <c r="N29" s="61">
        <v>6</v>
      </c>
      <c r="O29" s="62">
        <f t="shared" si="0"/>
        <v>43997</v>
      </c>
      <c r="P29" s="149" t="s">
        <v>3866</v>
      </c>
      <c r="Q29" s="133">
        <f t="shared" si="1"/>
        <v>2</v>
      </c>
      <c r="R29" s="149"/>
      <c r="S29" s="169" t="s">
        <v>3661</v>
      </c>
      <c r="T29" s="149"/>
      <c r="U29" s="149"/>
      <c r="V29" s="149"/>
      <c r="W29" s="149"/>
      <c r="X29" s="149"/>
      <c r="Y29" s="149"/>
      <c r="Z29" s="149"/>
      <c r="AA29" s="149"/>
    </row>
    <row r="30" spans="1:27" s="60" customFormat="1">
      <c r="A30" s="182" t="s">
        <v>32</v>
      </c>
      <c r="B30" s="182" t="s">
        <v>1265</v>
      </c>
      <c r="C30" s="182" t="s">
        <v>1275</v>
      </c>
      <c r="D30" s="182" t="s">
        <v>1277</v>
      </c>
      <c r="E30" s="182" t="s">
        <v>1278</v>
      </c>
      <c r="F30" s="182" t="s">
        <v>1279</v>
      </c>
      <c r="G30" s="182" t="s">
        <v>18</v>
      </c>
      <c r="H30" s="182" t="s">
        <v>19</v>
      </c>
      <c r="I30" s="182">
        <v>130</v>
      </c>
      <c r="J30" s="182" t="s">
        <v>3659</v>
      </c>
      <c r="K30" s="147">
        <v>3.6111111111111112</v>
      </c>
      <c r="L30" s="147">
        <v>4.3611111111111107</v>
      </c>
      <c r="M30" s="229"/>
      <c r="N30" s="61">
        <v>7</v>
      </c>
      <c r="O30" s="62">
        <f t="shared" si="0"/>
        <v>43998</v>
      </c>
      <c r="P30" s="149" t="s">
        <v>3867</v>
      </c>
      <c r="Q30" s="133">
        <f t="shared" si="1"/>
        <v>3</v>
      </c>
      <c r="R30" s="182"/>
      <c r="S30" s="169" t="s">
        <v>3661</v>
      </c>
      <c r="T30" s="182"/>
      <c r="U30" s="182"/>
      <c r="V30" s="182"/>
      <c r="W30" s="182"/>
      <c r="X30" s="182"/>
      <c r="Y30" s="182"/>
      <c r="Z30" s="182"/>
      <c r="AA30" s="182"/>
    </row>
    <row r="31" spans="1:27" s="59" customFormat="1">
      <c r="A31" s="182" t="s">
        <v>524</v>
      </c>
      <c r="B31" s="182" t="s">
        <v>3659</v>
      </c>
      <c r="C31" s="182" t="s">
        <v>1275</v>
      </c>
      <c r="D31" s="182" t="s">
        <v>2272</v>
      </c>
      <c r="E31" s="182" t="s">
        <v>2273</v>
      </c>
      <c r="F31" s="182" t="s">
        <v>1572</v>
      </c>
      <c r="G31" s="182" t="s">
        <v>18</v>
      </c>
      <c r="H31" s="182" t="s">
        <v>3659</v>
      </c>
      <c r="I31" s="182">
        <v>69</v>
      </c>
      <c r="J31" s="182" t="s">
        <v>3659</v>
      </c>
      <c r="K31" s="147">
        <v>1.9166666666666667</v>
      </c>
      <c r="L31" s="147">
        <v>2.666666666666667</v>
      </c>
      <c r="M31" s="229"/>
      <c r="N31" s="133">
        <v>7</v>
      </c>
      <c r="O31" s="62">
        <f t="shared" si="0"/>
        <v>43998</v>
      </c>
      <c r="P31" s="149" t="s">
        <v>3868</v>
      </c>
      <c r="Q31" s="133">
        <f t="shared" si="1"/>
        <v>2</v>
      </c>
      <c r="R31" s="149"/>
      <c r="S31" s="169" t="s">
        <v>3661</v>
      </c>
      <c r="T31" s="149"/>
      <c r="U31" s="149"/>
      <c r="V31" s="149"/>
      <c r="W31" s="149"/>
      <c r="X31" s="149"/>
      <c r="Y31" s="149"/>
      <c r="Z31" s="149"/>
      <c r="AA31" s="149"/>
    </row>
    <row r="32" spans="1:27" s="59" customFormat="1">
      <c r="A32" s="182" t="s">
        <v>2459</v>
      </c>
      <c r="B32" s="182" t="s">
        <v>2423</v>
      </c>
      <c r="C32" s="182" t="s">
        <v>1563</v>
      </c>
      <c r="D32" s="182" t="s">
        <v>2460</v>
      </c>
      <c r="E32" s="182" t="s">
        <v>2461</v>
      </c>
      <c r="F32" s="182" t="s">
        <v>1567</v>
      </c>
      <c r="G32" s="182" t="s">
        <v>18</v>
      </c>
      <c r="H32" s="182" t="s">
        <v>1298</v>
      </c>
      <c r="I32" s="182">
        <v>65</v>
      </c>
      <c r="J32" s="182" t="s">
        <v>3659</v>
      </c>
      <c r="K32" s="147">
        <v>1.8055555555555556</v>
      </c>
      <c r="L32" s="147">
        <v>2.5555555555555554</v>
      </c>
      <c r="M32" s="229"/>
      <c r="N32" s="133">
        <v>8</v>
      </c>
      <c r="O32" s="62">
        <f t="shared" si="0"/>
        <v>43999</v>
      </c>
      <c r="P32" s="149" t="s">
        <v>3869</v>
      </c>
      <c r="Q32" s="133">
        <f t="shared" si="1"/>
        <v>2</v>
      </c>
      <c r="R32" s="149"/>
      <c r="S32" s="169" t="s">
        <v>3661</v>
      </c>
      <c r="T32" s="149"/>
      <c r="U32" s="149"/>
      <c r="V32" s="149"/>
      <c r="W32" s="149"/>
      <c r="X32" s="149"/>
      <c r="Y32" s="149"/>
      <c r="Z32" s="149"/>
      <c r="AA32" s="149"/>
    </row>
    <row r="33" spans="1:20" s="59" customFormat="1">
      <c r="A33" s="182" t="s">
        <v>2446</v>
      </c>
      <c r="B33" s="182" t="s">
        <v>2423</v>
      </c>
      <c r="C33" s="182" t="s">
        <v>1563</v>
      </c>
      <c r="D33" s="182" t="s">
        <v>2448</v>
      </c>
      <c r="E33" s="182" t="s">
        <v>2449</v>
      </c>
      <c r="F33" s="182" t="s">
        <v>2450</v>
      </c>
      <c r="G33" s="182" t="s">
        <v>18</v>
      </c>
      <c r="H33" s="182" t="s">
        <v>1298</v>
      </c>
      <c r="I33" s="182">
        <v>54</v>
      </c>
      <c r="J33" s="182" t="s">
        <v>3659</v>
      </c>
      <c r="K33" s="147">
        <v>1.5</v>
      </c>
      <c r="L33" s="147">
        <v>2.25</v>
      </c>
      <c r="M33" s="229"/>
      <c r="N33" s="133">
        <v>8</v>
      </c>
      <c r="O33" s="62">
        <f t="shared" si="0"/>
        <v>43999</v>
      </c>
      <c r="P33" s="149" t="s">
        <v>3870</v>
      </c>
      <c r="Q33" s="133">
        <f t="shared" si="1"/>
        <v>2</v>
      </c>
      <c r="R33" s="149"/>
      <c r="S33" s="169" t="s">
        <v>3661</v>
      </c>
      <c r="T33" s="149"/>
    </row>
    <row r="34" spans="1:20" s="59" customFormat="1">
      <c r="A34" s="182" t="s">
        <v>1124</v>
      </c>
      <c r="B34" s="182" t="s">
        <v>1561</v>
      </c>
      <c r="C34" s="182" t="s">
        <v>1563</v>
      </c>
      <c r="D34" s="182" t="s">
        <v>1565</v>
      </c>
      <c r="E34" s="182" t="s">
        <v>1566</v>
      </c>
      <c r="F34" s="182" t="s">
        <v>1567</v>
      </c>
      <c r="G34" s="182" t="s">
        <v>18</v>
      </c>
      <c r="H34" s="182" t="s">
        <v>3659</v>
      </c>
      <c r="I34" s="182">
        <v>50</v>
      </c>
      <c r="J34" s="182" t="s">
        <v>3665</v>
      </c>
      <c r="K34" s="147">
        <v>1.3888888888888888</v>
      </c>
      <c r="L34" s="147">
        <v>2.1388888888888888</v>
      </c>
      <c r="M34" s="229"/>
      <c r="N34" s="61">
        <v>9</v>
      </c>
      <c r="O34" s="62">
        <f t="shared" si="0"/>
        <v>44000</v>
      </c>
      <c r="P34" s="149" t="s">
        <v>3871</v>
      </c>
      <c r="Q34" s="133">
        <f t="shared" si="1"/>
        <v>1</v>
      </c>
      <c r="R34" s="149"/>
      <c r="S34" s="169" t="s">
        <v>3661</v>
      </c>
      <c r="T34" s="149"/>
    </row>
    <row r="35" spans="1:20" s="59" customFormat="1">
      <c r="A35" s="182" t="s">
        <v>952</v>
      </c>
      <c r="B35" s="182" t="s">
        <v>3659</v>
      </c>
      <c r="C35" s="182" t="s">
        <v>1275</v>
      </c>
      <c r="D35" s="182" t="s">
        <v>3273</v>
      </c>
      <c r="E35" s="182" t="s">
        <v>3274</v>
      </c>
      <c r="F35" s="182" t="s">
        <v>3275</v>
      </c>
      <c r="G35" s="182" t="s">
        <v>18</v>
      </c>
      <c r="H35" s="182" t="s">
        <v>3659</v>
      </c>
      <c r="I35" s="182">
        <v>45</v>
      </c>
      <c r="J35" s="182" t="s">
        <v>3659</v>
      </c>
      <c r="K35" s="147">
        <v>1.25</v>
      </c>
      <c r="L35" s="147">
        <v>2</v>
      </c>
      <c r="M35" s="229"/>
      <c r="N35" s="133">
        <v>9</v>
      </c>
      <c r="O35" s="62">
        <f t="shared" si="0"/>
        <v>44000</v>
      </c>
      <c r="P35" s="149" t="s">
        <v>3872</v>
      </c>
      <c r="Q35" s="133">
        <f t="shared" si="1"/>
        <v>1</v>
      </c>
      <c r="R35" s="149"/>
      <c r="S35" s="169" t="s">
        <v>3661</v>
      </c>
      <c r="T35" s="149"/>
    </row>
    <row r="36" spans="1:20" s="59" customFormat="1">
      <c r="A36" s="182" t="s">
        <v>733</v>
      </c>
      <c r="B36" s="182" t="s">
        <v>3659</v>
      </c>
      <c r="C36" s="182" t="s">
        <v>2711</v>
      </c>
      <c r="D36" s="182" t="s">
        <v>2712</v>
      </c>
      <c r="E36" s="182" t="s">
        <v>2713</v>
      </c>
      <c r="F36" s="182" t="s">
        <v>2714</v>
      </c>
      <c r="G36" s="182" t="s">
        <v>18</v>
      </c>
      <c r="H36" s="182" t="s">
        <v>3659</v>
      </c>
      <c r="I36" s="182">
        <v>84</v>
      </c>
      <c r="J36" s="182" t="s">
        <v>3659</v>
      </c>
      <c r="K36" s="147">
        <v>2.3333333333333335</v>
      </c>
      <c r="L36" s="147">
        <v>3.0833333333333335</v>
      </c>
      <c r="M36" s="229"/>
      <c r="N36" s="133">
        <v>9</v>
      </c>
      <c r="O36" s="62">
        <f t="shared" si="0"/>
        <v>44000</v>
      </c>
      <c r="P36" s="149" t="s">
        <v>3873</v>
      </c>
      <c r="Q36" s="133">
        <f t="shared" si="1"/>
        <v>2</v>
      </c>
      <c r="R36" s="149"/>
      <c r="S36" s="169" t="s">
        <v>3661</v>
      </c>
      <c r="T36" s="149"/>
    </row>
    <row r="37" spans="1:20" s="59" customFormat="1">
      <c r="A37" s="182" t="s">
        <v>2692</v>
      </c>
      <c r="B37" s="182" t="s">
        <v>1265</v>
      </c>
      <c r="C37" s="182" t="s">
        <v>2694</v>
      </c>
      <c r="D37" s="182" t="s">
        <v>3874</v>
      </c>
      <c r="E37" s="182" t="s">
        <v>2695</v>
      </c>
      <c r="F37" s="182" t="s">
        <v>3875</v>
      </c>
      <c r="G37" s="182" t="s">
        <v>18</v>
      </c>
      <c r="H37" s="182"/>
      <c r="I37" s="182">
        <v>125</v>
      </c>
      <c r="J37" s="182" t="s">
        <v>3665</v>
      </c>
      <c r="K37" s="147">
        <v>3.4722222222222223</v>
      </c>
      <c r="L37" s="147">
        <v>4.2222222222222223</v>
      </c>
      <c r="M37" s="229"/>
      <c r="N37" s="133">
        <v>10</v>
      </c>
      <c r="O37" s="62">
        <f t="shared" si="0"/>
        <v>44001</v>
      </c>
      <c r="P37" s="149" t="s">
        <v>3867</v>
      </c>
      <c r="Q37" s="133">
        <f t="shared" si="1"/>
        <v>3</v>
      </c>
      <c r="R37" s="149"/>
      <c r="S37" s="169" t="s">
        <v>3661</v>
      </c>
      <c r="T37" s="149"/>
    </row>
    <row r="38" spans="1:20" s="59" customFormat="1">
      <c r="A38" s="182" t="s">
        <v>741</v>
      </c>
      <c r="B38" s="182" t="s">
        <v>3659</v>
      </c>
      <c r="C38" s="182" t="s">
        <v>2694</v>
      </c>
      <c r="D38" s="182" t="s">
        <v>2721</v>
      </c>
      <c r="E38" s="182" t="s">
        <v>2722</v>
      </c>
      <c r="F38" s="182" t="s">
        <v>2723</v>
      </c>
      <c r="G38" s="182" t="s">
        <v>18</v>
      </c>
      <c r="H38" s="182" t="s">
        <v>3659</v>
      </c>
      <c r="I38" s="182">
        <v>85</v>
      </c>
      <c r="J38" s="182" t="s">
        <v>3659</v>
      </c>
      <c r="K38" s="147">
        <v>2.3611111111111112</v>
      </c>
      <c r="L38" s="147">
        <v>3.1111111111111112</v>
      </c>
      <c r="M38" s="229"/>
      <c r="N38" s="133">
        <v>10</v>
      </c>
      <c r="O38" s="62">
        <f t="shared" si="0"/>
        <v>44001</v>
      </c>
      <c r="P38" s="149" t="s">
        <v>3876</v>
      </c>
      <c r="Q38" s="133">
        <f t="shared" si="1"/>
        <v>2</v>
      </c>
      <c r="R38" s="149"/>
      <c r="S38" s="169" t="s">
        <v>3661</v>
      </c>
      <c r="T38" s="149"/>
    </row>
    <row r="39" spans="1:20" s="59" customFormat="1">
      <c r="A39" s="182" t="s">
        <v>309</v>
      </c>
      <c r="B39" s="182" t="s">
        <v>3659</v>
      </c>
      <c r="C39" s="182" t="s">
        <v>1306</v>
      </c>
      <c r="D39" s="182" t="s">
        <v>1867</v>
      </c>
      <c r="E39" s="182" t="s">
        <v>1868</v>
      </c>
      <c r="F39" s="182" t="s">
        <v>1398</v>
      </c>
      <c r="G39" s="182" t="s">
        <v>18</v>
      </c>
      <c r="H39" s="182" t="s">
        <v>19</v>
      </c>
      <c r="I39" s="182">
        <v>230</v>
      </c>
      <c r="J39" s="182" t="s">
        <v>313</v>
      </c>
      <c r="K39" s="147">
        <v>6.3888888888888893</v>
      </c>
      <c r="L39" s="147">
        <v>7.1388888888888893</v>
      </c>
      <c r="M39" s="229"/>
      <c r="N39" s="133">
        <v>11</v>
      </c>
      <c r="O39" s="62">
        <f t="shared" si="0"/>
        <v>44002</v>
      </c>
      <c r="P39" s="149" t="s">
        <v>3863</v>
      </c>
      <c r="Q39" s="133">
        <f t="shared" si="1"/>
        <v>5</v>
      </c>
      <c r="R39" s="149"/>
      <c r="S39" s="169" t="s">
        <v>3661</v>
      </c>
      <c r="T39" s="149"/>
    </row>
    <row r="40" spans="1:20" s="59" customFormat="1">
      <c r="A40" s="182" t="s">
        <v>2955</v>
      </c>
      <c r="B40" s="182" t="s">
        <v>1312</v>
      </c>
      <c r="C40" s="182" t="s">
        <v>1306</v>
      </c>
      <c r="D40" s="182" t="s">
        <v>2956</v>
      </c>
      <c r="E40" s="182" t="s">
        <v>2957</v>
      </c>
      <c r="F40" s="182" t="s">
        <v>1398</v>
      </c>
      <c r="G40" s="182" t="s">
        <v>18</v>
      </c>
      <c r="H40" s="182" t="s">
        <v>1298</v>
      </c>
      <c r="I40" s="182">
        <v>14</v>
      </c>
      <c r="J40" s="182" t="s">
        <v>3659</v>
      </c>
      <c r="K40" s="147">
        <v>0.3888888888888889</v>
      </c>
      <c r="L40" s="147">
        <v>1.1388888888888888</v>
      </c>
      <c r="M40" s="229"/>
      <c r="N40" s="133">
        <v>13</v>
      </c>
      <c r="O40" s="62">
        <f t="shared" si="0"/>
        <v>44004</v>
      </c>
      <c r="P40" s="149" t="s">
        <v>3877</v>
      </c>
      <c r="Q40" s="133">
        <f t="shared" si="1"/>
        <v>1</v>
      </c>
      <c r="R40" s="149"/>
      <c r="S40" s="169" t="s">
        <v>3661</v>
      </c>
      <c r="T40" s="149"/>
    </row>
    <row r="41" spans="1:20" s="68" customFormat="1">
      <c r="A41" s="183" t="s">
        <v>2829</v>
      </c>
      <c r="B41" s="183" t="s">
        <v>343</v>
      </c>
      <c r="C41" s="183" t="s">
        <v>1306</v>
      </c>
      <c r="D41" s="183" t="s">
        <v>2831</v>
      </c>
      <c r="E41" s="183" t="s">
        <v>2832</v>
      </c>
      <c r="F41" s="183" t="s">
        <v>1398</v>
      </c>
      <c r="G41" s="183" t="s">
        <v>18</v>
      </c>
      <c r="H41" s="183" t="s">
        <v>1298</v>
      </c>
      <c r="I41" s="183">
        <v>125</v>
      </c>
      <c r="J41" s="183" t="s">
        <v>3659</v>
      </c>
      <c r="K41" s="65">
        <v>3.4722222222222223</v>
      </c>
      <c r="L41" s="65">
        <v>4.2222222222222223</v>
      </c>
      <c r="M41" s="230">
        <v>17</v>
      </c>
      <c r="N41" s="66">
        <v>1</v>
      </c>
      <c r="O41" s="67">
        <f t="shared" si="0"/>
        <v>43992</v>
      </c>
      <c r="P41" s="152" t="s">
        <v>3867</v>
      </c>
      <c r="Q41" s="153">
        <f t="shared" si="1"/>
        <v>3</v>
      </c>
      <c r="R41" s="152"/>
      <c r="S41" s="211" t="s">
        <v>3661</v>
      </c>
      <c r="T41" s="152">
        <v>4</v>
      </c>
    </row>
    <row r="42" spans="1:20" s="68" customFormat="1">
      <c r="A42" s="183" t="s">
        <v>1972</v>
      </c>
      <c r="B42" s="183" t="s">
        <v>1903</v>
      </c>
      <c r="C42" s="183" t="s">
        <v>1306</v>
      </c>
      <c r="D42" s="183" t="s">
        <v>1974</v>
      </c>
      <c r="E42" s="183" t="s">
        <v>1975</v>
      </c>
      <c r="F42" s="183" t="s">
        <v>1398</v>
      </c>
      <c r="G42" s="183" t="s">
        <v>18</v>
      </c>
      <c r="H42" s="183" t="s">
        <v>1298</v>
      </c>
      <c r="I42" s="183">
        <v>100</v>
      </c>
      <c r="J42" s="183" t="s">
        <v>3659</v>
      </c>
      <c r="K42" s="65">
        <v>2.7777777777777777</v>
      </c>
      <c r="L42" s="65">
        <v>3.5277777777777777</v>
      </c>
      <c r="M42" s="65"/>
      <c r="N42" s="66">
        <v>2</v>
      </c>
      <c r="O42" s="67">
        <f t="shared" si="0"/>
        <v>43993</v>
      </c>
      <c r="P42" s="152" t="s">
        <v>3851</v>
      </c>
      <c r="Q42" s="153">
        <f t="shared" si="1"/>
        <v>2</v>
      </c>
      <c r="R42" s="152"/>
      <c r="S42" s="211" t="s">
        <v>3661</v>
      </c>
      <c r="T42" s="152"/>
    </row>
    <row r="43" spans="1:20" s="68" customFormat="1">
      <c r="A43" s="183" t="s">
        <v>1845</v>
      </c>
      <c r="B43" s="183" t="s">
        <v>1312</v>
      </c>
      <c r="C43" s="183" t="s">
        <v>1306</v>
      </c>
      <c r="D43" s="183" t="s">
        <v>1846</v>
      </c>
      <c r="E43" s="183" t="s">
        <v>1847</v>
      </c>
      <c r="F43" s="183" t="s">
        <v>1398</v>
      </c>
      <c r="G43" s="183" t="s">
        <v>18</v>
      </c>
      <c r="H43" s="183" t="s">
        <v>1298</v>
      </c>
      <c r="I43" s="183">
        <v>98</v>
      </c>
      <c r="J43" s="183" t="s">
        <v>3659</v>
      </c>
      <c r="K43" s="65">
        <v>2.7222222222222223</v>
      </c>
      <c r="L43" s="65">
        <v>3.4722222222222223</v>
      </c>
      <c r="M43" s="65"/>
      <c r="N43" s="66">
        <v>2</v>
      </c>
      <c r="O43" s="67">
        <f t="shared" si="0"/>
        <v>43993</v>
      </c>
      <c r="P43" s="152" t="s">
        <v>3852</v>
      </c>
      <c r="Q43" s="153">
        <f t="shared" si="1"/>
        <v>2</v>
      </c>
      <c r="R43" s="152"/>
      <c r="S43" s="211" t="s">
        <v>3661</v>
      </c>
      <c r="T43" s="152"/>
    </row>
    <row r="44" spans="1:20" s="68" customFormat="1">
      <c r="A44" s="183" t="s">
        <v>41</v>
      </c>
      <c r="B44" s="183" t="s">
        <v>3659</v>
      </c>
      <c r="C44" s="183" t="s">
        <v>1306</v>
      </c>
      <c r="D44" s="183" t="s">
        <v>1308</v>
      </c>
      <c r="E44" s="183" t="s">
        <v>1309</v>
      </c>
      <c r="F44" s="183" t="s">
        <v>1310</v>
      </c>
      <c r="G44" s="183" t="s">
        <v>18</v>
      </c>
      <c r="H44" s="183" t="s">
        <v>30</v>
      </c>
      <c r="I44" s="183">
        <v>164</v>
      </c>
      <c r="J44" s="183" t="s">
        <v>3659</v>
      </c>
      <c r="K44" s="65">
        <v>4.5555555555555554</v>
      </c>
      <c r="L44" s="65">
        <v>5.3055555555555554</v>
      </c>
      <c r="M44" s="65"/>
      <c r="N44" s="153">
        <v>3</v>
      </c>
      <c r="O44" s="67">
        <f t="shared" si="0"/>
        <v>43994</v>
      </c>
      <c r="P44" s="152" t="s">
        <v>3878</v>
      </c>
      <c r="Q44" s="153">
        <f t="shared" si="1"/>
        <v>4</v>
      </c>
      <c r="R44" s="152"/>
      <c r="S44" s="211" t="s">
        <v>3661</v>
      </c>
      <c r="T44" s="152"/>
    </row>
    <row r="45" spans="1:20" s="262" customFormat="1">
      <c r="A45" s="258" t="s">
        <v>3879</v>
      </c>
      <c r="B45" s="258" t="s">
        <v>1903</v>
      </c>
      <c r="C45" s="258" t="s">
        <v>1306</v>
      </c>
      <c r="D45" s="258">
        <v>7659667681</v>
      </c>
      <c r="E45" s="258" t="s">
        <v>3880</v>
      </c>
      <c r="F45" s="258" t="s">
        <v>3881</v>
      </c>
      <c r="G45" s="258" t="s">
        <v>18</v>
      </c>
      <c r="H45" s="258" t="s">
        <v>30</v>
      </c>
      <c r="I45" s="258">
        <v>107</v>
      </c>
      <c r="J45" s="258"/>
      <c r="K45" s="259">
        <f>I45/B78</f>
        <v>2.9722222222222223</v>
      </c>
      <c r="L45" s="259">
        <f>K45+(B75+B76)/60</f>
        <v>3.7222222222222223</v>
      </c>
      <c r="M45" s="259"/>
      <c r="N45" s="260">
        <v>3</v>
      </c>
      <c r="O45" s="261">
        <f t="shared" si="0"/>
        <v>43994</v>
      </c>
      <c r="P45" s="262" t="s">
        <v>3882</v>
      </c>
      <c r="Q45" s="260">
        <f t="shared" si="1"/>
        <v>3</v>
      </c>
      <c r="S45" s="211" t="s">
        <v>3661</v>
      </c>
    </row>
    <row r="46" spans="1:20" s="68" customFormat="1">
      <c r="A46" s="183" t="s">
        <v>1393</v>
      </c>
      <c r="B46" s="183" t="s">
        <v>1303</v>
      </c>
      <c r="C46" s="183" t="s">
        <v>1306</v>
      </c>
      <c r="D46" s="183" t="s">
        <v>1396</v>
      </c>
      <c r="E46" s="183" t="s">
        <v>1397</v>
      </c>
      <c r="F46" s="183" t="s">
        <v>1398</v>
      </c>
      <c r="G46" s="183" t="s">
        <v>18</v>
      </c>
      <c r="H46" s="183" t="s">
        <v>1298</v>
      </c>
      <c r="I46" s="183">
        <v>149</v>
      </c>
      <c r="J46" s="183" t="s">
        <v>3659</v>
      </c>
      <c r="K46" s="65">
        <v>4.1388888888888893</v>
      </c>
      <c r="L46" s="65">
        <v>4.8888888888888893</v>
      </c>
      <c r="M46" s="65"/>
      <c r="N46" s="153">
        <v>4</v>
      </c>
      <c r="O46" s="67">
        <f t="shared" si="0"/>
        <v>43995</v>
      </c>
      <c r="P46" s="152" t="s">
        <v>3883</v>
      </c>
      <c r="Q46" s="153">
        <f t="shared" si="1"/>
        <v>3</v>
      </c>
      <c r="R46" s="152"/>
      <c r="S46" s="211" t="s">
        <v>3661</v>
      </c>
      <c r="T46" s="152"/>
    </row>
    <row r="48" spans="1:20" s="68" customFormat="1">
      <c r="A48" s="183" t="s">
        <v>433</v>
      </c>
      <c r="B48" s="183" t="s">
        <v>2148</v>
      </c>
      <c r="C48" s="183" t="s">
        <v>1617</v>
      </c>
      <c r="D48" s="183" t="s">
        <v>2153</v>
      </c>
      <c r="E48" s="183" t="s">
        <v>2154</v>
      </c>
      <c r="F48" s="183" t="s">
        <v>1620</v>
      </c>
      <c r="G48" s="183" t="s">
        <v>18</v>
      </c>
      <c r="H48" s="183" t="s">
        <v>1298</v>
      </c>
      <c r="I48" s="183">
        <v>38</v>
      </c>
      <c r="J48" s="183" t="s">
        <v>3659</v>
      </c>
      <c r="K48" s="65">
        <v>1.0555555555555556</v>
      </c>
      <c r="L48" s="65">
        <v>1.8055555555555556</v>
      </c>
      <c r="M48" s="65"/>
      <c r="N48" s="153">
        <v>6</v>
      </c>
      <c r="O48" s="67">
        <f t="shared" si="0"/>
        <v>43997</v>
      </c>
      <c r="P48" s="152" t="s">
        <v>3885</v>
      </c>
      <c r="Q48" s="153">
        <f t="shared" si="1"/>
        <v>1</v>
      </c>
      <c r="R48" s="152"/>
      <c r="S48" s="211" t="s">
        <v>3661</v>
      </c>
      <c r="T48" s="152"/>
    </row>
    <row r="49" spans="1:27" s="68" customFormat="1">
      <c r="A49" s="183" t="s">
        <v>992</v>
      </c>
      <c r="B49" s="183" t="s">
        <v>3659</v>
      </c>
      <c r="C49" s="183" t="s">
        <v>3255</v>
      </c>
      <c r="D49" s="183" t="s">
        <v>3256</v>
      </c>
      <c r="E49" s="183" t="s">
        <v>3257</v>
      </c>
      <c r="F49" s="183" t="s">
        <v>3258</v>
      </c>
      <c r="G49" s="183" t="s">
        <v>18</v>
      </c>
      <c r="H49" s="183" t="s">
        <v>30</v>
      </c>
      <c r="I49" s="183">
        <v>50</v>
      </c>
      <c r="J49" s="183" t="s">
        <v>3665</v>
      </c>
      <c r="K49" s="65">
        <v>1.3888888888888888</v>
      </c>
      <c r="L49" s="65">
        <v>2.1388888888888888</v>
      </c>
      <c r="M49" s="65"/>
      <c r="N49" s="153">
        <v>6</v>
      </c>
      <c r="O49" s="67">
        <f t="shared" si="0"/>
        <v>43997</v>
      </c>
      <c r="P49" s="152" t="s">
        <v>3886</v>
      </c>
      <c r="Q49" s="153">
        <f t="shared" si="1"/>
        <v>1</v>
      </c>
      <c r="R49" s="152"/>
      <c r="S49" s="211" t="s">
        <v>3661</v>
      </c>
      <c r="T49" s="152"/>
      <c r="U49" s="152"/>
      <c r="V49" s="152"/>
      <c r="W49" s="152"/>
      <c r="X49" s="152"/>
      <c r="Y49" s="152"/>
      <c r="Z49" s="152"/>
      <c r="AA49" s="152"/>
    </row>
    <row r="50" spans="1:27" s="68" customFormat="1">
      <c r="A50" s="183" t="s">
        <v>2514</v>
      </c>
      <c r="B50" s="183" t="s">
        <v>2423</v>
      </c>
      <c r="C50" s="183" t="s">
        <v>1839</v>
      </c>
      <c r="D50" s="183" t="s">
        <v>2515</v>
      </c>
      <c r="E50" s="183" t="s">
        <v>2516</v>
      </c>
      <c r="F50" s="183" t="s">
        <v>1842</v>
      </c>
      <c r="G50" s="183" t="s">
        <v>18</v>
      </c>
      <c r="H50" s="183" t="s">
        <v>1298</v>
      </c>
      <c r="I50" s="183">
        <v>82</v>
      </c>
      <c r="J50" s="183" t="s">
        <v>3659</v>
      </c>
      <c r="K50" s="65">
        <v>2.2777777777777777</v>
      </c>
      <c r="L50" s="65">
        <v>3.0277777777777777</v>
      </c>
      <c r="M50" s="65"/>
      <c r="N50" s="153">
        <v>6</v>
      </c>
      <c r="O50" s="67">
        <f t="shared" si="0"/>
        <v>43997</v>
      </c>
      <c r="P50" s="152" t="s">
        <v>3887</v>
      </c>
      <c r="Q50" s="153">
        <f t="shared" si="1"/>
        <v>2</v>
      </c>
      <c r="R50" s="152"/>
      <c r="S50" s="211" t="s">
        <v>3661</v>
      </c>
      <c r="T50" s="152"/>
      <c r="U50" s="152"/>
      <c r="V50" s="152"/>
      <c r="W50" s="152"/>
      <c r="X50" s="152"/>
      <c r="Y50" s="152"/>
      <c r="Z50" s="152"/>
      <c r="AA50" s="152"/>
    </row>
    <row r="51" spans="1:27" s="68" customFormat="1">
      <c r="A51" s="183" t="s">
        <v>297</v>
      </c>
      <c r="B51" s="183" t="s">
        <v>3659</v>
      </c>
      <c r="C51" s="183" t="s">
        <v>1839</v>
      </c>
      <c r="D51" s="183" t="s">
        <v>1840</v>
      </c>
      <c r="E51" s="183" t="s">
        <v>1841</v>
      </c>
      <c r="F51" s="183" t="s">
        <v>1842</v>
      </c>
      <c r="G51" s="183" t="s">
        <v>18</v>
      </c>
      <c r="H51" s="183" t="s">
        <v>19</v>
      </c>
      <c r="I51" s="183">
        <v>52</v>
      </c>
      <c r="J51" s="183" t="s">
        <v>3659</v>
      </c>
      <c r="K51" s="65">
        <v>1.4444444444444444</v>
      </c>
      <c r="L51" s="65">
        <v>2.1944444444444446</v>
      </c>
      <c r="M51" s="65"/>
      <c r="N51" s="153">
        <v>7</v>
      </c>
      <c r="O51" s="67">
        <f t="shared" si="0"/>
        <v>43998</v>
      </c>
      <c r="P51" s="152" t="s">
        <v>3871</v>
      </c>
      <c r="Q51" s="153">
        <f t="shared" si="1"/>
        <v>2</v>
      </c>
      <c r="R51" s="152"/>
      <c r="S51" s="211" t="s">
        <v>3661</v>
      </c>
      <c r="T51" s="152"/>
      <c r="U51" s="152"/>
      <c r="V51" s="152"/>
      <c r="W51" s="152"/>
      <c r="X51" s="152"/>
      <c r="Y51" s="152"/>
      <c r="Z51" s="152"/>
      <c r="AA51" s="152"/>
    </row>
    <row r="52" spans="1:27" s="68" customFormat="1">
      <c r="A52" s="183" t="s">
        <v>1886</v>
      </c>
      <c r="B52" s="183" t="s">
        <v>1312</v>
      </c>
      <c r="C52" s="183" t="s">
        <v>1888</v>
      </c>
      <c r="D52" s="183" t="s">
        <v>1889</v>
      </c>
      <c r="E52" s="183" t="s">
        <v>1890</v>
      </c>
      <c r="F52" s="183" t="s">
        <v>1891</v>
      </c>
      <c r="G52" s="183" t="s">
        <v>18</v>
      </c>
      <c r="H52" s="183" t="s">
        <v>1298</v>
      </c>
      <c r="I52" s="183">
        <v>120</v>
      </c>
      <c r="J52" s="183" t="s">
        <v>3659</v>
      </c>
      <c r="K52" s="65">
        <v>3.3333333333333335</v>
      </c>
      <c r="L52" s="65">
        <v>4.0833333333333339</v>
      </c>
      <c r="M52" s="65"/>
      <c r="N52" s="153">
        <v>7</v>
      </c>
      <c r="O52" s="67">
        <f t="shared" si="0"/>
        <v>43998</v>
      </c>
      <c r="P52" s="152" t="s">
        <v>3888</v>
      </c>
      <c r="Q52" s="153">
        <f t="shared" si="1"/>
        <v>3</v>
      </c>
      <c r="R52" s="152"/>
      <c r="S52" s="211" t="s">
        <v>3661</v>
      </c>
      <c r="T52" s="152"/>
      <c r="U52" s="152"/>
      <c r="V52" s="152"/>
      <c r="W52" s="152"/>
      <c r="X52" s="152"/>
      <c r="Y52" s="152"/>
      <c r="Z52" s="152"/>
      <c r="AA52" s="152"/>
    </row>
    <row r="53" spans="1:27" s="68" customFormat="1">
      <c r="A53" s="183" t="s">
        <v>1000</v>
      </c>
      <c r="B53" s="183" t="s">
        <v>2119</v>
      </c>
      <c r="C53" s="183" t="s">
        <v>1888</v>
      </c>
      <c r="D53" s="183" t="s">
        <v>2123</v>
      </c>
      <c r="E53" s="183" t="s">
        <v>2124</v>
      </c>
      <c r="F53" s="183" t="s">
        <v>1891</v>
      </c>
      <c r="G53" s="183" t="s">
        <v>18</v>
      </c>
      <c r="H53" s="183" t="s">
        <v>19</v>
      </c>
      <c r="I53" s="183">
        <v>80</v>
      </c>
      <c r="J53" s="183" t="s">
        <v>3665</v>
      </c>
      <c r="K53" s="65">
        <v>2.2222222222222223</v>
      </c>
      <c r="L53" s="65">
        <v>2.9722222222222223</v>
      </c>
      <c r="M53" s="65"/>
      <c r="N53" s="153">
        <v>8</v>
      </c>
      <c r="O53" s="67">
        <f t="shared" si="0"/>
        <v>43999</v>
      </c>
      <c r="P53" s="152" t="s">
        <v>3848</v>
      </c>
      <c r="Q53" s="153">
        <f t="shared" si="1"/>
        <v>2</v>
      </c>
      <c r="R53" s="152"/>
      <c r="S53" s="211" t="s">
        <v>3661</v>
      </c>
      <c r="T53" s="152"/>
      <c r="U53" s="152"/>
      <c r="V53" s="152"/>
      <c r="W53" s="152"/>
      <c r="X53" s="152"/>
      <c r="Y53" s="152"/>
      <c r="Z53" s="152"/>
      <c r="AA53" s="152"/>
    </row>
    <row r="54" spans="1:27" s="68" customFormat="1">
      <c r="A54" s="183" t="s">
        <v>447</v>
      </c>
      <c r="B54" s="183" t="s">
        <v>2148</v>
      </c>
      <c r="C54" s="183" t="s">
        <v>1888</v>
      </c>
      <c r="D54" s="183" t="s">
        <v>2174</v>
      </c>
      <c r="E54" s="183" t="s">
        <v>2175</v>
      </c>
      <c r="F54" s="183" t="s">
        <v>1891</v>
      </c>
      <c r="G54" s="183" t="s">
        <v>18</v>
      </c>
      <c r="H54" s="183" t="s">
        <v>1298</v>
      </c>
      <c r="I54" s="183">
        <v>34</v>
      </c>
      <c r="J54" s="183" t="s">
        <v>3659</v>
      </c>
      <c r="K54" s="65">
        <v>0.94444444444444442</v>
      </c>
      <c r="L54" s="65">
        <v>1.6944444444444444</v>
      </c>
      <c r="M54" s="65"/>
      <c r="N54" s="153">
        <v>8</v>
      </c>
      <c r="O54" s="67">
        <f t="shared" si="0"/>
        <v>43999</v>
      </c>
      <c r="P54" s="152" t="s">
        <v>3862</v>
      </c>
      <c r="Q54" s="153">
        <f t="shared" si="1"/>
        <v>1</v>
      </c>
      <c r="R54" s="152"/>
      <c r="S54" s="211" t="s">
        <v>3661</v>
      </c>
      <c r="T54" s="152"/>
      <c r="U54" s="152"/>
      <c r="V54" s="152"/>
      <c r="W54" s="152"/>
      <c r="X54" s="152"/>
      <c r="Y54" s="152"/>
      <c r="Z54" s="152"/>
      <c r="AA54" s="152"/>
    </row>
    <row r="55" spans="1:27" s="68" customFormat="1">
      <c r="A55" s="183" t="s">
        <v>2991</v>
      </c>
      <c r="B55" s="183" t="s">
        <v>343</v>
      </c>
      <c r="C55" s="183" t="s">
        <v>1888</v>
      </c>
      <c r="D55" s="183" t="s">
        <v>2992</v>
      </c>
      <c r="E55" s="183" t="s">
        <v>2993</v>
      </c>
      <c r="F55" s="183" t="s">
        <v>1891</v>
      </c>
      <c r="G55" s="183" t="s">
        <v>18</v>
      </c>
      <c r="H55" s="183" t="s">
        <v>1298</v>
      </c>
      <c r="I55" s="183">
        <v>115</v>
      </c>
      <c r="J55" s="183" t="s">
        <v>3659</v>
      </c>
      <c r="K55" s="65">
        <v>3.1944444444444446</v>
      </c>
      <c r="L55" s="65">
        <v>3.9444444444444446</v>
      </c>
      <c r="M55" s="65"/>
      <c r="N55" s="153">
        <v>8</v>
      </c>
      <c r="O55" s="67">
        <f t="shared" si="0"/>
        <v>43999</v>
      </c>
      <c r="P55" s="152" t="s">
        <v>3889</v>
      </c>
      <c r="Q55" s="153">
        <f t="shared" si="1"/>
        <v>3</v>
      </c>
      <c r="R55" s="152"/>
      <c r="S55" s="211" t="s">
        <v>3661</v>
      </c>
      <c r="T55" s="152"/>
      <c r="U55" s="152"/>
      <c r="V55" s="152"/>
      <c r="W55" s="152"/>
      <c r="X55" s="152"/>
      <c r="Y55" s="152"/>
      <c r="Z55" s="152"/>
      <c r="AA55" s="152"/>
    </row>
    <row r="56" spans="1:27" s="69" customFormat="1">
      <c r="A56" s="183" t="s">
        <v>3137</v>
      </c>
      <c r="B56" s="183" t="s">
        <v>343</v>
      </c>
      <c r="C56" s="183" t="s">
        <v>1888</v>
      </c>
      <c r="D56" s="183" t="s">
        <v>3139</v>
      </c>
      <c r="E56" s="183" t="s">
        <v>3140</v>
      </c>
      <c r="F56" s="183" t="s">
        <v>1572</v>
      </c>
      <c r="G56" s="183" t="s">
        <v>18</v>
      </c>
      <c r="H56" s="183" t="s">
        <v>1298</v>
      </c>
      <c r="I56" s="183">
        <v>78</v>
      </c>
      <c r="J56" s="183" t="s">
        <v>3659</v>
      </c>
      <c r="K56" s="65">
        <v>2.1666666666666665</v>
      </c>
      <c r="L56" s="65">
        <v>2.9166666666666665</v>
      </c>
      <c r="M56" s="65"/>
      <c r="N56" s="153">
        <v>9</v>
      </c>
      <c r="O56" s="67">
        <f t="shared" si="0"/>
        <v>44000</v>
      </c>
      <c r="P56" s="152" t="s">
        <v>3848</v>
      </c>
      <c r="Q56" s="153">
        <f t="shared" si="1"/>
        <v>2</v>
      </c>
      <c r="R56" s="183"/>
      <c r="S56" s="211" t="s">
        <v>3661</v>
      </c>
      <c r="T56" s="183"/>
      <c r="U56" s="183"/>
      <c r="V56" s="183"/>
      <c r="W56" s="183"/>
      <c r="X56" s="183"/>
      <c r="Y56" s="183"/>
      <c r="Z56" s="183"/>
      <c r="AA56" s="183"/>
    </row>
    <row r="57" spans="1:27" s="69" customFormat="1">
      <c r="A57" s="183" t="s">
        <v>3170</v>
      </c>
      <c r="B57" s="183" t="s">
        <v>1300</v>
      </c>
      <c r="C57" s="183" t="s">
        <v>1888</v>
      </c>
      <c r="D57" s="183" t="s">
        <v>3171</v>
      </c>
      <c r="E57" s="183" t="s">
        <v>3172</v>
      </c>
      <c r="F57" s="183" t="s">
        <v>1891</v>
      </c>
      <c r="G57" s="183" t="s">
        <v>18</v>
      </c>
      <c r="H57" s="183" t="s">
        <v>30</v>
      </c>
      <c r="I57" s="183">
        <v>72</v>
      </c>
      <c r="J57" s="183" t="s">
        <v>3665</v>
      </c>
      <c r="K57" s="65">
        <v>2</v>
      </c>
      <c r="L57" s="65">
        <v>2.75</v>
      </c>
      <c r="M57" s="65"/>
      <c r="N57" s="153">
        <v>9</v>
      </c>
      <c r="O57" s="67">
        <f t="shared" si="0"/>
        <v>44000</v>
      </c>
      <c r="P57" s="152" t="s">
        <v>3861</v>
      </c>
      <c r="Q57" s="153">
        <f t="shared" si="1"/>
        <v>2</v>
      </c>
      <c r="R57" s="183"/>
      <c r="S57" s="211" t="s">
        <v>3661</v>
      </c>
      <c r="T57" s="183"/>
      <c r="U57" s="183"/>
      <c r="V57" s="183"/>
      <c r="W57" s="183"/>
      <c r="X57" s="183"/>
      <c r="Y57" s="183"/>
      <c r="Z57" s="183"/>
      <c r="AA57" s="183"/>
    </row>
    <row r="58" spans="1:27" s="69" customFormat="1">
      <c r="A58" s="183" t="s">
        <v>2488</v>
      </c>
      <c r="B58" s="183" t="s">
        <v>2423</v>
      </c>
      <c r="C58" s="183" t="s">
        <v>1888</v>
      </c>
      <c r="D58" s="183" t="s">
        <v>2489</v>
      </c>
      <c r="E58" s="183" t="s">
        <v>2490</v>
      </c>
      <c r="F58" s="183" t="s">
        <v>2418</v>
      </c>
      <c r="G58" s="183" t="s">
        <v>18</v>
      </c>
      <c r="H58" s="183" t="s">
        <v>1298</v>
      </c>
      <c r="I58" s="183">
        <v>43</v>
      </c>
      <c r="J58" s="183" t="s">
        <v>3659</v>
      </c>
      <c r="K58" s="65">
        <v>1.1944444444444444</v>
      </c>
      <c r="L58" s="65">
        <v>1.9444444444444444</v>
      </c>
      <c r="M58" s="65"/>
      <c r="N58" s="153">
        <v>10</v>
      </c>
      <c r="O58" s="67">
        <f t="shared" si="0"/>
        <v>44001</v>
      </c>
      <c r="P58" s="152" t="s">
        <v>3885</v>
      </c>
      <c r="Q58" s="153">
        <f t="shared" si="1"/>
        <v>1</v>
      </c>
      <c r="R58" s="183"/>
      <c r="S58" s="211" t="s">
        <v>3661</v>
      </c>
      <c r="T58" s="183"/>
      <c r="U58" s="183"/>
      <c r="V58" s="183"/>
      <c r="W58" s="183"/>
      <c r="X58" s="183"/>
      <c r="Y58" s="183"/>
      <c r="Z58" s="183"/>
      <c r="AA58" s="183"/>
    </row>
    <row r="59" spans="1:27" s="68" customFormat="1">
      <c r="A59" s="183" t="s">
        <v>2872</v>
      </c>
      <c r="B59" s="183" t="s">
        <v>1312</v>
      </c>
      <c r="C59" s="183" t="s">
        <v>1888</v>
      </c>
      <c r="D59" s="183" t="s">
        <v>2873</v>
      </c>
      <c r="E59" s="183" t="s">
        <v>2874</v>
      </c>
      <c r="F59" s="183" t="s">
        <v>2875</v>
      </c>
      <c r="G59" s="183" t="s">
        <v>18</v>
      </c>
      <c r="H59" s="183" t="s">
        <v>1298</v>
      </c>
      <c r="I59" s="183">
        <v>28</v>
      </c>
      <c r="J59" s="183" t="s">
        <v>3659</v>
      </c>
      <c r="K59" s="65">
        <v>0.77777777777777779</v>
      </c>
      <c r="L59" s="65">
        <v>1.5277777777777777</v>
      </c>
      <c r="M59" s="65"/>
      <c r="N59" s="153">
        <v>10</v>
      </c>
      <c r="O59" s="67">
        <f t="shared" si="0"/>
        <v>44001</v>
      </c>
      <c r="P59" s="152" t="s">
        <v>3890</v>
      </c>
      <c r="Q59" s="153">
        <f t="shared" si="1"/>
        <v>1</v>
      </c>
      <c r="R59" s="152"/>
      <c r="S59" s="211" t="s">
        <v>3661</v>
      </c>
      <c r="T59" s="152"/>
      <c r="U59" s="152"/>
      <c r="V59" s="152"/>
      <c r="W59" s="152"/>
      <c r="X59" s="152"/>
      <c r="Y59" s="152"/>
      <c r="Z59" s="152"/>
      <c r="AA59" s="152"/>
    </row>
    <row r="60" spans="1:27" s="152" customFormat="1">
      <c r="A60" s="183" t="s">
        <v>3891</v>
      </c>
      <c r="B60" s="183"/>
      <c r="C60" s="183" t="s">
        <v>1617</v>
      </c>
      <c r="D60" s="214">
        <v>7658250543</v>
      </c>
      <c r="E60" s="183" t="s">
        <v>3892</v>
      </c>
      <c r="F60" s="183" t="s">
        <v>3893</v>
      </c>
      <c r="G60" s="183" t="s">
        <v>18</v>
      </c>
      <c r="H60" s="183"/>
      <c r="I60" s="183">
        <v>90</v>
      </c>
      <c r="J60" s="183"/>
      <c r="K60" s="65">
        <f>I60/B78</f>
        <v>2.5</v>
      </c>
      <c r="L60" s="65">
        <f>K60+((B75+B76)/60)</f>
        <v>3.25</v>
      </c>
      <c r="M60" s="65"/>
      <c r="N60" s="153">
        <v>11</v>
      </c>
      <c r="O60" s="67">
        <f t="shared" si="0"/>
        <v>44002</v>
      </c>
      <c r="P60" s="211" t="s">
        <v>3842</v>
      </c>
      <c r="Q60" s="153">
        <f t="shared" si="1"/>
        <v>2</v>
      </c>
      <c r="S60" s="211" t="s">
        <v>3661</v>
      </c>
    </row>
    <row r="61" spans="1:27" s="353" customFormat="1">
      <c r="A61" s="348" t="s">
        <v>202</v>
      </c>
      <c r="B61" s="348" t="s">
        <v>1288</v>
      </c>
      <c r="C61" s="348" t="s">
        <v>1617</v>
      </c>
      <c r="D61" s="348" t="s">
        <v>1618</v>
      </c>
      <c r="E61" s="348" t="s">
        <v>1619</v>
      </c>
      <c r="F61" s="348" t="s">
        <v>1620</v>
      </c>
      <c r="G61" s="348" t="s">
        <v>91</v>
      </c>
      <c r="H61" s="348"/>
      <c r="I61" s="348">
        <v>68</v>
      </c>
      <c r="J61" s="348" t="s">
        <v>3659</v>
      </c>
      <c r="K61" s="349">
        <v>6.25</v>
      </c>
      <c r="L61" s="349">
        <v>8.75</v>
      </c>
      <c r="M61" s="349" t="s">
        <v>6932</v>
      </c>
      <c r="N61" s="351">
        <v>1</v>
      </c>
      <c r="O61" s="359">
        <v>44005</v>
      </c>
    </row>
    <row r="62" spans="1:27" s="353" customFormat="1">
      <c r="A62" s="348" t="s">
        <v>655</v>
      </c>
      <c r="B62" s="348" t="s">
        <v>3659</v>
      </c>
      <c r="C62" s="348" t="s">
        <v>1888</v>
      </c>
      <c r="D62" s="348" t="s">
        <v>2416</v>
      </c>
      <c r="E62" s="348" t="s">
        <v>2417</v>
      </c>
      <c r="F62" s="348" t="s">
        <v>2418</v>
      </c>
      <c r="G62" s="348" t="s">
        <v>91</v>
      </c>
      <c r="H62" s="348" t="s">
        <v>3659</v>
      </c>
      <c r="I62" s="348">
        <v>38</v>
      </c>
      <c r="J62" s="348" t="s">
        <v>659</v>
      </c>
      <c r="K62" s="349">
        <v>3.125</v>
      </c>
      <c r="L62" s="349">
        <v>5.625</v>
      </c>
      <c r="M62" s="349" t="s">
        <v>6932</v>
      </c>
      <c r="N62" s="351">
        <v>2</v>
      </c>
      <c r="O62" s="359">
        <v>44006</v>
      </c>
    </row>
    <row r="63" spans="1:27" s="353" customFormat="1">
      <c r="A63" s="348" t="s">
        <v>504</v>
      </c>
      <c r="B63" s="348" t="s">
        <v>1288</v>
      </c>
      <c r="C63" s="348" t="s">
        <v>1356</v>
      </c>
      <c r="D63" s="348" t="s">
        <v>2254</v>
      </c>
      <c r="E63" s="348" t="s">
        <v>2255</v>
      </c>
      <c r="F63" s="348" t="s">
        <v>1359</v>
      </c>
      <c r="G63" s="348" t="s">
        <v>91</v>
      </c>
      <c r="H63" s="348"/>
      <c r="I63" s="348">
        <v>100</v>
      </c>
      <c r="J63" s="348" t="s">
        <v>3659</v>
      </c>
      <c r="K63" s="349">
        <v>6.25</v>
      </c>
      <c r="L63" s="349">
        <v>8.75</v>
      </c>
      <c r="M63" s="349" t="s">
        <v>6932</v>
      </c>
      <c r="N63" s="351">
        <v>6</v>
      </c>
      <c r="O63" s="359">
        <v>44010</v>
      </c>
    </row>
    <row r="64" spans="1:27" s="350" customFormat="1">
      <c r="A64" s="348" t="s">
        <v>279</v>
      </c>
      <c r="B64" s="348" t="s">
        <v>3659</v>
      </c>
      <c r="C64" s="348" t="s">
        <v>1281</v>
      </c>
      <c r="D64" s="348" t="s">
        <v>1810</v>
      </c>
      <c r="E64" s="348" t="s">
        <v>1811</v>
      </c>
      <c r="F64" s="348" t="s">
        <v>1812</v>
      </c>
      <c r="G64" s="348" t="s">
        <v>91</v>
      </c>
      <c r="H64" s="348" t="s">
        <v>3659</v>
      </c>
      <c r="I64" s="348">
        <v>87</v>
      </c>
      <c r="J64" s="348" t="s">
        <v>3659</v>
      </c>
      <c r="K64" s="349">
        <v>6.25</v>
      </c>
      <c r="L64" s="349">
        <v>8.75</v>
      </c>
      <c r="M64" s="349" t="s">
        <v>6932</v>
      </c>
      <c r="N64" s="362">
        <v>5</v>
      </c>
      <c r="O64" s="359">
        <v>44009</v>
      </c>
      <c r="P64" s="348"/>
      <c r="Q64" s="348"/>
      <c r="R64" s="348"/>
      <c r="S64" s="348"/>
      <c r="T64" s="348"/>
      <c r="U64" s="348"/>
      <c r="V64" s="348"/>
      <c r="W64" s="348"/>
      <c r="X64" s="348"/>
      <c r="Y64" s="348"/>
      <c r="Z64" s="348"/>
      <c r="AA64" s="348"/>
    </row>
    <row r="65" spans="1:27" s="353" customFormat="1">
      <c r="A65" s="348" t="s">
        <v>970</v>
      </c>
      <c r="B65" s="348" t="s">
        <v>3659</v>
      </c>
      <c r="C65" s="348" t="s">
        <v>2694</v>
      </c>
      <c r="D65" s="348" t="s">
        <v>2760</v>
      </c>
      <c r="E65" s="348" t="s">
        <v>2761</v>
      </c>
      <c r="F65" s="348" t="s">
        <v>2723</v>
      </c>
      <c r="G65" s="348" t="s">
        <v>91</v>
      </c>
      <c r="H65" s="348"/>
      <c r="I65" s="348">
        <v>90</v>
      </c>
      <c r="J65" s="348" t="s">
        <v>3665</v>
      </c>
      <c r="K65" s="349">
        <v>6.25</v>
      </c>
      <c r="L65" s="349">
        <v>8.75</v>
      </c>
      <c r="M65" s="349" t="s">
        <v>6932</v>
      </c>
      <c r="N65" s="351">
        <v>4</v>
      </c>
      <c r="O65" s="359">
        <v>44008</v>
      </c>
    </row>
    <row r="66" spans="1:27" s="353" customFormat="1">
      <c r="A66" s="348" t="s">
        <v>411</v>
      </c>
      <c r="B66" s="348" t="s">
        <v>2119</v>
      </c>
      <c r="C66" s="348" t="s">
        <v>1306</v>
      </c>
      <c r="D66" s="348" t="s">
        <v>2125</v>
      </c>
      <c r="E66" s="348" t="s">
        <v>2126</v>
      </c>
      <c r="F66" s="348" t="s">
        <v>1398</v>
      </c>
      <c r="G66" s="348" t="s">
        <v>91</v>
      </c>
      <c r="H66" s="348" t="s">
        <v>3659</v>
      </c>
      <c r="I66" s="348">
        <v>75</v>
      </c>
      <c r="J66" s="348" t="s">
        <v>3659</v>
      </c>
      <c r="K66" s="349">
        <v>6.25</v>
      </c>
      <c r="L66" s="349">
        <v>8.75</v>
      </c>
      <c r="M66" s="349" t="s">
        <v>6932</v>
      </c>
      <c r="N66" s="351">
        <v>3</v>
      </c>
      <c r="O66" s="359">
        <v>44007</v>
      </c>
    </row>
    <row r="67" spans="1:27" s="368" customFormat="1">
      <c r="A67" s="355" t="s">
        <v>182</v>
      </c>
      <c r="B67" s="355" t="s">
        <v>3659</v>
      </c>
      <c r="C67" s="355" t="s">
        <v>1275</v>
      </c>
      <c r="D67" s="355" t="s">
        <v>1570</v>
      </c>
      <c r="E67" s="355" t="s">
        <v>1571</v>
      </c>
      <c r="F67" s="355" t="s">
        <v>1572</v>
      </c>
      <c r="G67" s="355" t="s">
        <v>91</v>
      </c>
      <c r="H67" s="355" t="s">
        <v>30</v>
      </c>
      <c r="I67" s="355">
        <v>50</v>
      </c>
      <c r="J67" s="355" t="s">
        <v>3659</v>
      </c>
      <c r="K67" s="356">
        <f>E73/I71</f>
        <v>3.125</v>
      </c>
      <c r="L67" s="356">
        <f>K67+((F79+F77+F78)/60)</f>
        <v>5.625</v>
      </c>
      <c r="M67" s="366" t="s">
        <v>3608</v>
      </c>
      <c r="N67" s="357">
        <v>6</v>
      </c>
      <c r="O67" s="367">
        <v>44010</v>
      </c>
      <c r="P67" s="358"/>
      <c r="Q67" s="357"/>
      <c r="R67" s="355"/>
      <c r="S67" s="355"/>
      <c r="T67" s="355"/>
      <c r="U67" s="355"/>
      <c r="V67" s="355"/>
      <c r="W67" s="355"/>
      <c r="X67" s="355"/>
      <c r="Y67" s="355"/>
      <c r="Z67" s="355"/>
      <c r="AA67" s="355"/>
    </row>
    <row r="68" spans="1:27" customFormat="1">
      <c r="A68" s="180" t="s">
        <v>1202</v>
      </c>
      <c r="B68" s="180" t="s">
        <v>1624</v>
      </c>
      <c r="C68" s="180" t="s">
        <v>1275</v>
      </c>
      <c r="D68" s="180" t="s">
        <v>3304</v>
      </c>
      <c r="E68" s="180" t="s">
        <v>3305</v>
      </c>
      <c r="F68" s="180" t="s">
        <v>3306</v>
      </c>
      <c r="G68" s="180" t="s">
        <v>54</v>
      </c>
      <c r="H68" s="180"/>
      <c r="I68" s="180" t="s">
        <v>3659</v>
      </c>
      <c r="J68" s="180" t="s">
        <v>3665</v>
      </c>
      <c r="K68" s="29"/>
      <c r="N68" s="31"/>
    </row>
    <row r="69" spans="1:27" s="340" customFormat="1">
      <c r="A69" s="335" t="s">
        <v>218</v>
      </c>
      <c r="B69" s="335" t="s">
        <v>1646</v>
      </c>
      <c r="C69" s="335" t="s">
        <v>1356</v>
      </c>
      <c r="D69" s="335" t="s">
        <v>3844</v>
      </c>
      <c r="E69" s="335" t="s">
        <v>1648</v>
      </c>
      <c r="F69" s="335" t="s">
        <v>3845</v>
      </c>
      <c r="G69" s="335" t="s">
        <v>54</v>
      </c>
      <c r="H69" s="335" t="s">
        <v>3659</v>
      </c>
      <c r="I69" s="335">
        <v>112</v>
      </c>
      <c r="J69" s="335" t="s">
        <v>3846</v>
      </c>
      <c r="K69" s="336"/>
      <c r="L69" s="336"/>
      <c r="M69" s="337"/>
      <c r="N69" s="338"/>
      <c r="O69" s="339"/>
      <c r="Q69" s="338"/>
    </row>
    <row r="70" spans="1:27" s="340" customFormat="1">
      <c r="A70" s="335" t="s">
        <v>2129</v>
      </c>
      <c r="B70" s="335" t="s">
        <v>343</v>
      </c>
      <c r="C70" s="335" t="s">
        <v>1617</v>
      </c>
      <c r="D70" s="335" t="s">
        <v>2130</v>
      </c>
      <c r="E70" s="335" t="s">
        <v>2131</v>
      </c>
      <c r="F70" s="335" t="s">
        <v>1620</v>
      </c>
      <c r="G70" s="335" t="s">
        <v>54</v>
      </c>
      <c r="H70" s="335" t="s">
        <v>1298</v>
      </c>
      <c r="I70" s="335">
        <v>131</v>
      </c>
      <c r="J70" s="335" t="s">
        <v>6908</v>
      </c>
      <c r="K70" s="336">
        <v>3.6388888888888888</v>
      </c>
      <c r="L70" s="336">
        <v>4.3888888888888893</v>
      </c>
      <c r="M70" s="336"/>
      <c r="N70" s="343">
        <v>4</v>
      </c>
      <c r="O70" s="339">
        <f>$O$1+N70</f>
        <v>43995</v>
      </c>
      <c r="P70" s="340" t="s">
        <v>3884</v>
      </c>
      <c r="Q70" s="338">
        <f>ROUNDUP(I70/$R$2,0)</f>
        <v>3</v>
      </c>
      <c r="S70" s="340" t="s">
        <v>3661</v>
      </c>
    </row>
    <row r="71" spans="1:27" customFormat="1" ht="15.75" hidden="1" thickBot="1">
      <c r="A71" s="414" t="s">
        <v>3695</v>
      </c>
      <c r="B71" s="415"/>
      <c r="C71" s="134" t="str">
        <f ca="1">IFERROR(__xludf.DUMMYFUNCTION("""COMPUTED_VALUE"""),"")</f>
        <v/>
      </c>
      <c r="D71" s="414" t="s">
        <v>3696</v>
      </c>
      <c r="E71" s="416"/>
      <c r="F71" s="416"/>
      <c r="G71" s="415"/>
      <c r="I71" s="134">
        <v>60</v>
      </c>
      <c r="J71" s="134" t="s">
        <v>3697</v>
      </c>
      <c r="L71" s="159">
        <v>43992</v>
      </c>
      <c r="M71" s="159"/>
      <c r="N71" s="159">
        <v>43993</v>
      </c>
      <c r="O71" s="159"/>
      <c r="P71" s="159">
        <v>43994</v>
      </c>
      <c r="Q71" s="159"/>
      <c r="R71" s="159">
        <v>43995</v>
      </c>
      <c r="S71" s="159"/>
      <c r="T71" s="159">
        <v>43997</v>
      </c>
      <c r="U71" s="159"/>
      <c r="V71" s="159">
        <v>43998</v>
      </c>
      <c r="W71" s="159"/>
    </row>
    <row r="72" spans="1:27" customFormat="1" hidden="1">
      <c r="A72" s="43"/>
      <c r="B72" s="36" t="s">
        <v>3365</v>
      </c>
      <c r="C72" s="134" t="str">
        <f ca="1">IFERROR(__xludf.DUMMYFUNCTION("""COMPUTED_VALUE"""),"")</f>
        <v/>
      </c>
      <c r="D72" s="43"/>
      <c r="E72" s="44" t="s">
        <v>3366</v>
      </c>
      <c r="F72" s="50" t="s">
        <v>3367</v>
      </c>
      <c r="G72" s="36"/>
      <c r="L72" s="134">
        <f>SUM(I41,I22,I23,I2)</f>
        <v>385</v>
      </c>
      <c r="M72" s="134">
        <f>SUM(Q41,Q22,Q23,Q2)</f>
        <v>10</v>
      </c>
      <c r="N72" s="134">
        <f>SUM(I3,I4,I24,I42,I43)</f>
        <v>639</v>
      </c>
      <c r="O72" s="134">
        <f>SUM(Q3,Q4,Q24,Q42,Q43)</f>
        <v>14</v>
      </c>
      <c r="P72" s="134">
        <f>SUM(I69,I5,I25,I44)</f>
        <v>499</v>
      </c>
      <c r="Q72" s="134">
        <f>SUM(Q69,Q5,Q25,Q44)</f>
        <v>10</v>
      </c>
      <c r="R72" s="134">
        <f>SUM(I6,I26,I27,I7,I46,I70)</f>
        <v>815</v>
      </c>
      <c r="S72" s="134">
        <f>SUM(Q6,Q26,Q27,Q7,Q46,Q70)</f>
        <v>20</v>
      </c>
      <c r="T72" s="134">
        <f>SUM(I8,I28:I29,I48:I50)</f>
        <v>518</v>
      </c>
      <c r="U72" s="134">
        <f>SUM(Q8,Q28:Q29,Q48:Q50)</f>
        <v>13</v>
      </c>
      <c r="V72" s="134">
        <f>SUM(I9:I10,I30:I31,I51:I52)</f>
        <v>586</v>
      </c>
      <c r="W72" s="134">
        <f>SUM(Q9:Q10,Q30:Q31,Q51:Q52)</f>
        <v>15</v>
      </c>
    </row>
    <row r="73" spans="1:27" customFormat="1" hidden="1">
      <c r="A73" s="45" t="s">
        <v>3368</v>
      </c>
      <c r="B73" s="48">
        <v>5</v>
      </c>
      <c r="C73" s="134" t="str">
        <f ca="1">IFERROR(__xludf.DUMMYFUNCTION("""COMPUTED_VALUE"""),"")</f>
        <v/>
      </c>
      <c r="D73" s="45" t="s">
        <v>3369</v>
      </c>
      <c r="E73" s="27">
        <f>(50/$F$76)*60</f>
        <v>187.5</v>
      </c>
      <c r="F73" s="37">
        <v>15</v>
      </c>
      <c r="G73" s="38" t="s">
        <v>3370</v>
      </c>
      <c r="L73" s="134" t="str">
        <f ca="1">IFERROR(__xludf.DUMMYFUNCTION("""COMPUTED_VALUE"""),"")</f>
        <v/>
      </c>
      <c r="M73" s="134" t="str">
        <f ca="1">IFERROR(__xludf.DUMMYFUNCTION("""COMPUTED_VALUE"""),"")</f>
        <v/>
      </c>
      <c r="N73" s="134"/>
      <c r="O73" s="134"/>
    </row>
    <row r="74" spans="1:27" customFormat="1" hidden="1">
      <c r="A74" s="45" t="s">
        <v>3371</v>
      </c>
      <c r="B74" s="48">
        <v>3</v>
      </c>
      <c r="C74" s="134" t="str">
        <f ca="1">IFERROR(__xludf.DUMMYFUNCTION("""COMPUTED_VALUE"""),"")</f>
        <v/>
      </c>
      <c r="D74" s="45" t="s">
        <v>3372</v>
      </c>
      <c r="E74" s="27">
        <f>(100/$F$76)*60</f>
        <v>375</v>
      </c>
      <c r="F74" s="37">
        <v>5</v>
      </c>
      <c r="G74" s="38" t="s">
        <v>3373</v>
      </c>
      <c r="L74" s="135" t="str">
        <f ca="1">IFERROR(__xludf.DUMMYFUNCTION("""COMPUTED_VALUE"""),"")</f>
        <v/>
      </c>
      <c r="M74" s="135" t="str">
        <f ca="1">IFERROR(__xludf.DUMMYFUNCTION("""COMPUTED_VALUE"""),"")</f>
        <v/>
      </c>
      <c r="N74" s="135"/>
      <c r="O74" s="135"/>
    </row>
    <row r="75" spans="1:27" customFormat="1" hidden="1">
      <c r="A75" s="45" t="s">
        <v>3374</v>
      </c>
      <c r="B75" s="48">
        <v>15</v>
      </c>
      <c r="C75" s="134" t="str">
        <f ca="1">IFERROR(__xludf.DUMMYFUNCTION("""COMPUTED_VALUE"""),"")</f>
        <v/>
      </c>
      <c r="D75" s="45" t="s">
        <v>3375</v>
      </c>
      <c r="E75" s="27">
        <f>(150/$F$76)*60</f>
        <v>562.5</v>
      </c>
      <c r="F75" s="37">
        <v>5.5</v>
      </c>
      <c r="G75" s="38" t="s">
        <v>3376</v>
      </c>
      <c r="L75" s="135" t="str">
        <f ca="1">IFERROR(__xludf.DUMMYFUNCTION("""COMPUTED_VALUE"""),"")</f>
        <v/>
      </c>
      <c r="M75" s="135" t="str">
        <f ca="1">IFERROR(__xludf.DUMMYFUNCTION("""COMPUTED_VALUE"""),"")</f>
        <v/>
      </c>
      <c r="N75" s="135"/>
      <c r="O75" s="135"/>
    </row>
    <row r="76" spans="1:27" customFormat="1" hidden="1">
      <c r="A76" s="45" t="s">
        <v>3377</v>
      </c>
      <c r="B76" s="48">
        <v>30</v>
      </c>
      <c r="C76" s="134" t="str">
        <f ca="1">IFERROR(__xludf.DUMMYFUNCTION("""COMPUTED_VALUE"""),"")</f>
        <v/>
      </c>
      <c r="D76" s="45" t="s">
        <v>3378</v>
      </c>
      <c r="E76" s="27">
        <f>(200/$F$76)*60</f>
        <v>750</v>
      </c>
      <c r="F76" s="37">
        <f>ROUNDDOWN(F75*3,0)</f>
        <v>16</v>
      </c>
      <c r="G76" s="38" t="s">
        <v>3698</v>
      </c>
      <c r="L76" s="159">
        <v>43999</v>
      </c>
      <c r="M76" s="159"/>
      <c r="N76" s="159">
        <v>44000</v>
      </c>
      <c r="O76" s="159"/>
      <c r="P76" s="159">
        <v>44001</v>
      </c>
      <c r="Q76" s="159"/>
      <c r="R76" s="159">
        <v>44002</v>
      </c>
      <c r="S76" s="159"/>
      <c r="T76" s="159">
        <v>44004</v>
      </c>
      <c r="U76" s="159"/>
    </row>
    <row r="77" spans="1:27" customFormat="1" hidden="1">
      <c r="A77" s="45"/>
      <c r="B77" s="48"/>
      <c r="C77" s="134" t="str">
        <f ca="1">IFERROR(__xludf.DUMMYFUNCTION("""COMPUTED_VALUE"""),"")</f>
        <v/>
      </c>
      <c r="D77" s="45" t="s">
        <v>3381</v>
      </c>
      <c r="E77" s="27">
        <f>(250/$F$76)*60</f>
        <v>937.5</v>
      </c>
      <c r="F77" s="37">
        <v>45</v>
      </c>
      <c r="G77" s="38" t="s">
        <v>3382</v>
      </c>
      <c r="L77" s="128">
        <f>SUM(I53:I55,I32:I33,I11:I13)</f>
        <v>596</v>
      </c>
      <c r="M77" s="128">
        <f>SUM(Q53:Q55,Q32:Q33,Q11:Q13)</f>
        <v>16</v>
      </c>
      <c r="N77" s="128">
        <f>SUM(I56:I57,I34:I36,I14:I15)</f>
        <v>569</v>
      </c>
      <c r="O77" s="128">
        <f>SUM(Q56:Q57,Q34:Q36,Q14:Q15)</f>
        <v>14</v>
      </c>
      <c r="P77" s="128">
        <f>SUM(I58:I59,I37:I38,I16:I18)</f>
        <v>544</v>
      </c>
      <c r="Q77" s="128">
        <f>SUM(Q58:Q59,Q37:Q38,Q16:Q18)</f>
        <v>14</v>
      </c>
      <c r="R77" s="128">
        <f>SUM(I39,I19:I20,I60)</f>
        <v>454</v>
      </c>
      <c r="S77" s="128">
        <f>SUM(Q39,Q19:Q20,Q60)</f>
        <v>11</v>
      </c>
      <c r="T77" s="128">
        <f>SUM(I40)</f>
        <v>14</v>
      </c>
      <c r="U77" s="128">
        <f>SUM(Q40)</f>
        <v>1</v>
      </c>
    </row>
    <row r="78" spans="1:27" customFormat="1" hidden="1">
      <c r="A78" s="45" t="s">
        <v>3380</v>
      </c>
      <c r="B78" s="48">
        <f>(60/B73)*B74</f>
        <v>36</v>
      </c>
      <c r="C78" s="134" t="str">
        <f ca="1">IFERROR(__xludf.DUMMYFUNCTION("""COMPUTED_VALUE"""),"")</f>
        <v/>
      </c>
      <c r="D78" s="45" t="s">
        <v>3385</v>
      </c>
      <c r="E78" s="27">
        <f>(300/$F$76)*60</f>
        <v>1125</v>
      </c>
      <c r="F78" s="39">
        <v>60</v>
      </c>
      <c r="G78" s="40" t="s">
        <v>3386</v>
      </c>
    </row>
    <row r="79" spans="1:27" customFormat="1" ht="15.75" hidden="1" thickBot="1">
      <c r="A79" s="46" t="s">
        <v>3383</v>
      </c>
      <c r="B79" s="49" t="s">
        <v>3384</v>
      </c>
      <c r="C79" s="134" t="str">
        <f ca="1">IFERROR(__xludf.DUMMYFUNCTION("""COMPUTED_VALUE"""),"")</f>
        <v/>
      </c>
      <c r="D79" s="46" t="s">
        <v>3387</v>
      </c>
      <c r="E79" s="47">
        <f>(350/$F$76)*60</f>
        <v>1312.5</v>
      </c>
      <c r="F79" s="41">
        <v>45</v>
      </c>
      <c r="G79" s="42" t="s">
        <v>3388</v>
      </c>
      <c r="N79" s="159"/>
      <c r="O79" s="159"/>
    </row>
    <row r="80" spans="1:27" customFormat="1" hidden="1">
      <c r="A80" s="134" t="str">
        <f ca="1">IFERROR(__xludf.DUMMYFUNCTION("""COMPUTED_VALUE"""),"")</f>
        <v/>
      </c>
      <c r="B80" s="134" t="str">
        <f ca="1">IFERROR(__xludf.DUMMYFUNCTION("""COMPUTED_VALUE"""),"")</f>
        <v/>
      </c>
      <c r="C80" s="134" t="str">
        <f ca="1">IFERROR(__xludf.DUMMYFUNCTION("""COMPUTED_VALUE"""),"")</f>
        <v/>
      </c>
      <c r="D80" s="134" t="str">
        <f ca="1">IFERROR(__xludf.DUMMYFUNCTION("""COMPUTED_VALUE"""),"")</f>
        <v/>
      </c>
      <c r="E80" s="134" t="str">
        <f ca="1">IFERROR(__xludf.DUMMYFUNCTION("""COMPUTED_VALUE"""),"")</f>
        <v/>
      </c>
      <c r="F80" s="134" t="str">
        <f ca="1">IFERROR(__xludf.DUMMYFUNCTION("""COMPUTED_VALUE"""),"")</f>
        <v/>
      </c>
      <c r="N80" s="134"/>
      <c r="O80" s="134"/>
    </row>
    <row r="81" spans="1:15" customFormat="1" hidden="1">
      <c r="A81" s="134" t="str">
        <f ca="1">IFERROR(__xludf.DUMMYFUNCTION("""COMPUTED_VALUE"""),"")</f>
        <v/>
      </c>
      <c r="B81" s="134" t="str">
        <f ca="1">IFERROR(__xludf.DUMMYFUNCTION("""COMPUTED_VALUE"""),"")</f>
        <v/>
      </c>
      <c r="C81" s="134" t="str">
        <f ca="1">IFERROR(__xludf.DUMMYFUNCTION("""COMPUTED_VALUE"""),"")</f>
        <v/>
      </c>
      <c r="D81" s="134" t="str">
        <f ca="1">IFERROR(__xludf.DUMMYFUNCTION("""COMPUTED_VALUE"""),"")</f>
        <v/>
      </c>
      <c r="E81" s="134" t="str">
        <f ca="1">IFERROR(__xludf.DUMMYFUNCTION("""COMPUTED_VALUE"""),"")</f>
        <v/>
      </c>
      <c r="F81" s="134" t="str">
        <f ca="1">IFERROR(__xludf.DUMMYFUNCTION("""COMPUTED_VALUE"""),"")</f>
        <v/>
      </c>
      <c r="L81" s="134" t="str">
        <f ca="1">IFERROR(__xludf.DUMMYFUNCTION("""COMPUTED_VALUE"""),"")</f>
        <v/>
      </c>
      <c r="M81" s="134" t="str">
        <f ca="1">IFERROR(__xludf.DUMMYFUNCTION("""COMPUTED_VALUE"""),"")</f>
        <v/>
      </c>
      <c r="N81" s="134"/>
      <c r="O81" s="134"/>
    </row>
    <row r="82" spans="1:15" customFormat="1" hidden="1">
      <c r="A82" s="134" t="str">
        <f ca="1">IFERROR(__xludf.DUMMYFUNCTION("""COMPUTED_VALUE"""),"")</f>
        <v/>
      </c>
      <c r="B82" s="134" t="str">
        <f ca="1">IFERROR(__xludf.DUMMYFUNCTION("""COMPUTED_VALUE"""),"")</f>
        <v/>
      </c>
      <c r="C82" s="134" t="str">
        <f ca="1">IFERROR(__xludf.DUMMYFUNCTION("""COMPUTED_VALUE"""),"")</f>
        <v/>
      </c>
      <c r="D82" s="134" t="str">
        <f ca="1">IFERROR(__xludf.DUMMYFUNCTION("""COMPUTED_VALUE"""),"")</f>
        <v/>
      </c>
      <c r="E82" s="134" t="str">
        <f ca="1">IFERROR(__xludf.DUMMYFUNCTION("""COMPUTED_VALUE"""),"")</f>
        <v/>
      </c>
      <c r="F82" s="134" t="str">
        <f ca="1">IFERROR(__xludf.DUMMYFUNCTION("""COMPUTED_VALUE"""),"")</f>
        <v/>
      </c>
      <c r="G82" s="134" t="str">
        <f ca="1">IFERROR(__xludf.DUMMYFUNCTION("""COMPUTED_VALUE"""),"")</f>
        <v/>
      </c>
      <c r="H82" s="134" t="str">
        <f ca="1">IFERROR(__xludf.DUMMYFUNCTION("""COMPUTED_VALUE"""),"")</f>
        <v/>
      </c>
      <c r="I82" s="134" t="str">
        <f ca="1">IFERROR(__xludf.DUMMYFUNCTION("""COMPUTED_VALUE"""),"")</f>
        <v/>
      </c>
      <c r="J82" s="134" t="str">
        <f ca="1">IFERROR(__xludf.DUMMYFUNCTION("""COMPUTED_VALUE"""),"")</f>
        <v/>
      </c>
      <c r="L82" s="135" t="str">
        <f ca="1">IFERROR(__xludf.DUMMYFUNCTION("""COMPUTED_VALUE"""),"")</f>
        <v/>
      </c>
      <c r="M82" s="135" t="str">
        <f ca="1">IFERROR(__xludf.DUMMYFUNCTION("""COMPUTED_VALUE"""),"")</f>
        <v/>
      </c>
      <c r="N82" s="135"/>
      <c r="O82" s="135"/>
    </row>
    <row r="83" spans="1:15" customFormat="1" hidden="1">
      <c r="A83" s="134" t="str">
        <f ca="1">IFERROR(__xludf.DUMMYFUNCTION("""COMPUTED_VALUE"""),"")</f>
        <v/>
      </c>
      <c r="B83" s="134" t="str">
        <f ca="1">IFERROR(__xludf.DUMMYFUNCTION("""COMPUTED_VALUE"""),"")</f>
        <v/>
      </c>
      <c r="C83" s="134" t="str">
        <f ca="1">IFERROR(__xludf.DUMMYFUNCTION("""COMPUTED_VALUE"""),"")</f>
        <v/>
      </c>
      <c r="D83" s="134" t="str">
        <f ca="1">IFERROR(__xludf.DUMMYFUNCTION("""COMPUTED_VALUE"""),"")</f>
        <v/>
      </c>
      <c r="E83" s="134" t="str">
        <f ca="1">IFERROR(__xludf.DUMMYFUNCTION("""COMPUTED_VALUE"""),"")</f>
        <v/>
      </c>
      <c r="F83" s="134" t="str">
        <f ca="1">IFERROR(__xludf.DUMMYFUNCTION("""COMPUTED_VALUE"""),"")</f>
        <v/>
      </c>
      <c r="G83" s="134" t="str">
        <f ca="1">IFERROR(__xludf.DUMMYFUNCTION("""COMPUTED_VALUE"""),"")</f>
        <v/>
      </c>
      <c r="H83" s="134" t="str">
        <f ca="1">IFERROR(__xludf.DUMMYFUNCTION("""COMPUTED_VALUE"""),"")</f>
        <v/>
      </c>
      <c r="I83" s="134" t="str">
        <f ca="1">IFERROR(__xludf.DUMMYFUNCTION("""COMPUTED_VALUE"""),"")</f>
        <v/>
      </c>
      <c r="J83" s="134" t="str">
        <f ca="1">IFERROR(__xludf.DUMMYFUNCTION("""COMPUTED_VALUE"""),"")</f>
        <v/>
      </c>
      <c r="L83" s="135" t="str">
        <f ca="1">IFERROR(__xludf.DUMMYFUNCTION("""COMPUTED_VALUE"""),"")</f>
        <v/>
      </c>
      <c r="M83" s="135" t="str">
        <f ca="1">IFERROR(__xludf.DUMMYFUNCTION("""COMPUTED_VALUE"""),"")</f>
        <v/>
      </c>
      <c r="N83" s="135"/>
      <c r="O83" s="135"/>
    </row>
    <row r="84" spans="1:15" customFormat="1" hidden="1">
      <c r="A84" s="134" t="str">
        <f ca="1">IFERROR(__xludf.DUMMYFUNCTION("""COMPUTED_VALUE"""),"")</f>
        <v/>
      </c>
      <c r="B84" s="134" t="str">
        <f ca="1">IFERROR(__xludf.DUMMYFUNCTION("""COMPUTED_VALUE"""),"")</f>
        <v/>
      </c>
      <c r="C84" s="134" t="str">
        <f ca="1">IFERROR(__xludf.DUMMYFUNCTION("""COMPUTED_VALUE"""),"")</f>
        <v/>
      </c>
      <c r="D84" s="134" t="str">
        <f ca="1">IFERROR(__xludf.DUMMYFUNCTION("""COMPUTED_VALUE"""),"")</f>
        <v/>
      </c>
      <c r="E84" s="134" t="str">
        <f ca="1">IFERROR(__xludf.DUMMYFUNCTION("""COMPUTED_VALUE"""),"")</f>
        <v/>
      </c>
      <c r="F84" s="134" t="str">
        <f ca="1">IFERROR(__xludf.DUMMYFUNCTION("""COMPUTED_VALUE"""),"")</f>
        <v/>
      </c>
      <c r="G84" s="134" t="str">
        <f ca="1">IFERROR(__xludf.DUMMYFUNCTION("""COMPUTED_VALUE"""),"")</f>
        <v/>
      </c>
      <c r="H84" s="134" t="str">
        <f ca="1">IFERROR(__xludf.DUMMYFUNCTION("""COMPUTED_VALUE"""),"")</f>
        <v/>
      </c>
      <c r="I84" s="134" t="str">
        <f ca="1">IFERROR(__xludf.DUMMYFUNCTION("""COMPUTED_VALUE"""),"")</f>
        <v/>
      </c>
      <c r="J84" s="134" t="str">
        <f ca="1">IFERROR(__xludf.DUMMYFUNCTION("""COMPUTED_VALUE"""),"")</f>
        <v/>
      </c>
      <c r="N84" s="159"/>
      <c r="O84" s="159"/>
    </row>
    <row r="85" spans="1:15" customFormat="1" hidden="1">
      <c r="A85" s="134" t="str">
        <f ca="1">IFERROR(__xludf.DUMMYFUNCTION("""COMPUTED_VALUE"""),"")</f>
        <v/>
      </c>
      <c r="B85" s="134" t="str">
        <f ca="1">IFERROR(__xludf.DUMMYFUNCTION("""COMPUTED_VALUE"""),"")</f>
        <v/>
      </c>
      <c r="C85" s="134" t="str">
        <f ca="1">IFERROR(__xludf.DUMMYFUNCTION("""COMPUTED_VALUE"""),"")</f>
        <v/>
      </c>
      <c r="D85" s="134" t="str">
        <f ca="1">IFERROR(__xludf.DUMMYFUNCTION("""COMPUTED_VALUE"""),"")</f>
        <v/>
      </c>
      <c r="E85" s="134" t="str">
        <f ca="1">IFERROR(__xludf.DUMMYFUNCTION("""COMPUTED_VALUE"""),"")</f>
        <v/>
      </c>
      <c r="F85" s="134" t="str">
        <f ca="1">IFERROR(__xludf.DUMMYFUNCTION("""COMPUTED_VALUE"""),"")</f>
        <v/>
      </c>
      <c r="G85" s="134" t="str">
        <f ca="1">IFERROR(__xludf.DUMMYFUNCTION("""COMPUTED_VALUE"""),"")</f>
        <v/>
      </c>
      <c r="H85" s="134" t="str">
        <f ca="1">IFERROR(__xludf.DUMMYFUNCTION("""COMPUTED_VALUE"""),"")</f>
        <v/>
      </c>
      <c r="I85" s="134" t="str">
        <f ca="1">IFERROR(__xludf.DUMMYFUNCTION("""COMPUTED_VALUE"""),"")</f>
        <v/>
      </c>
      <c r="J85" s="134" t="str">
        <f ca="1">IFERROR(__xludf.DUMMYFUNCTION("""COMPUTED_VALUE"""),"")</f>
        <v/>
      </c>
      <c r="N85" s="128"/>
      <c r="O85" s="128"/>
    </row>
    <row r="86" spans="1:15" customFormat="1">
      <c r="A86" s="134" t="str">
        <f ca="1">IFERROR(__xludf.DUMMYFUNCTION("""COMPUTED_VALUE"""),"")</f>
        <v/>
      </c>
      <c r="B86" s="134" t="str">
        <f ca="1">IFERROR(__xludf.DUMMYFUNCTION("""COMPUTED_VALUE"""),"")</f>
        <v/>
      </c>
      <c r="C86" s="134" t="str">
        <f ca="1">IFERROR(__xludf.DUMMYFUNCTION("""COMPUTED_VALUE"""),"")</f>
        <v/>
      </c>
      <c r="D86" s="134" t="str">
        <f ca="1">IFERROR(__xludf.DUMMYFUNCTION("""COMPUTED_VALUE"""),"")</f>
        <v/>
      </c>
      <c r="E86" s="134" t="str">
        <f ca="1">IFERROR(__xludf.DUMMYFUNCTION("""COMPUTED_VALUE"""),"")</f>
        <v/>
      </c>
      <c r="F86" s="134" t="str">
        <f ca="1">IFERROR(__xludf.DUMMYFUNCTION("""COMPUTED_VALUE"""),"")</f>
        <v/>
      </c>
      <c r="G86" s="134" t="str">
        <f ca="1">IFERROR(__xludf.DUMMYFUNCTION("""COMPUTED_VALUE"""),"")</f>
        <v/>
      </c>
      <c r="H86" s="134" t="str">
        <f ca="1">IFERROR(__xludf.DUMMYFUNCTION("""COMPUTED_VALUE"""),"")</f>
        <v/>
      </c>
      <c r="I86" s="134" t="str">
        <f ca="1">IFERROR(__xludf.DUMMYFUNCTION("""COMPUTED_VALUE"""),"")</f>
        <v/>
      </c>
      <c r="J86" s="134" t="str">
        <f ca="1">IFERROR(__xludf.DUMMYFUNCTION("""COMPUTED_VALUE"""),"")</f>
        <v/>
      </c>
    </row>
    <row r="87" spans="1:15" customFormat="1">
      <c r="A87" s="134" t="str">
        <f ca="1">IFERROR(__xludf.DUMMYFUNCTION("""COMPUTED_VALUE"""),"")</f>
        <v/>
      </c>
      <c r="B87" s="134" t="str">
        <f ca="1">IFERROR(__xludf.DUMMYFUNCTION("""COMPUTED_VALUE"""),"")</f>
        <v/>
      </c>
      <c r="C87" s="134" t="str">
        <f ca="1">IFERROR(__xludf.DUMMYFUNCTION("""COMPUTED_VALUE"""),"")</f>
        <v/>
      </c>
      <c r="D87" s="134" t="str">
        <f ca="1">IFERROR(__xludf.DUMMYFUNCTION("""COMPUTED_VALUE"""),"")</f>
        <v/>
      </c>
      <c r="E87" s="134" t="str">
        <f ca="1">IFERROR(__xludf.DUMMYFUNCTION("""COMPUTED_VALUE"""),"")</f>
        <v/>
      </c>
      <c r="F87" s="134" t="str">
        <f ca="1">IFERROR(__xludf.DUMMYFUNCTION("""COMPUTED_VALUE"""),"")</f>
        <v/>
      </c>
      <c r="G87" s="134" t="str">
        <f ca="1">IFERROR(__xludf.DUMMYFUNCTION("""COMPUTED_VALUE"""),"")</f>
        <v/>
      </c>
      <c r="H87" s="134" t="str">
        <f ca="1">IFERROR(__xludf.DUMMYFUNCTION("""COMPUTED_VALUE"""),"")</f>
        <v/>
      </c>
      <c r="I87" s="134" t="str">
        <f ca="1">IFERROR(__xludf.DUMMYFUNCTION("""COMPUTED_VALUE"""),"")</f>
        <v/>
      </c>
      <c r="J87" s="134" t="str">
        <f ca="1">IFERROR(__xludf.DUMMYFUNCTION("""COMPUTED_VALUE"""),"")</f>
        <v/>
      </c>
      <c r="N87" s="159"/>
      <c r="O87" s="159"/>
    </row>
    <row r="88" spans="1:15" customFormat="1">
      <c r="A88" s="134" t="str">
        <f ca="1">IFERROR(__xludf.DUMMYFUNCTION("""COMPUTED_VALUE"""),"")</f>
        <v/>
      </c>
      <c r="B88" s="134" t="str">
        <f ca="1">IFERROR(__xludf.DUMMYFUNCTION("""COMPUTED_VALUE"""),"")</f>
        <v/>
      </c>
      <c r="C88" s="134" t="str">
        <f ca="1">IFERROR(__xludf.DUMMYFUNCTION("""COMPUTED_VALUE"""),"")</f>
        <v/>
      </c>
      <c r="D88" s="134" t="str">
        <f ca="1">IFERROR(__xludf.DUMMYFUNCTION("""COMPUTED_VALUE"""),"")</f>
        <v/>
      </c>
      <c r="E88" s="134" t="str">
        <f ca="1">IFERROR(__xludf.DUMMYFUNCTION("""COMPUTED_VALUE"""),"")</f>
        <v/>
      </c>
      <c r="F88" s="134" t="str">
        <f ca="1">IFERROR(__xludf.DUMMYFUNCTION("""COMPUTED_VALUE"""),"")</f>
        <v/>
      </c>
      <c r="G88" s="134" t="str">
        <f ca="1">IFERROR(__xludf.DUMMYFUNCTION("""COMPUTED_VALUE"""),"")</f>
        <v/>
      </c>
      <c r="H88" s="134" t="str">
        <f ca="1">IFERROR(__xludf.DUMMYFUNCTION("""COMPUTED_VALUE"""),"")</f>
        <v/>
      </c>
      <c r="I88" s="134" t="str">
        <f ca="1">IFERROR(__xludf.DUMMYFUNCTION("""COMPUTED_VALUE"""),"")</f>
        <v/>
      </c>
      <c r="J88" s="134" t="str">
        <f ca="1">IFERROR(__xludf.DUMMYFUNCTION("""COMPUTED_VALUE"""),"")</f>
        <v/>
      </c>
      <c r="N88" s="134"/>
      <c r="O88" s="134"/>
    </row>
    <row r="89" spans="1:15" customFormat="1">
      <c r="A89" s="134" t="str">
        <f ca="1">IFERROR(__xludf.DUMMYFUNCTION("""COMPUTED_VALUE"""),"")</f>
        <v/>
      </c>
      <c r="B89" s="134" t="str">
        <f ca="1">IFERROR(__xludf.DUMMYFUNCTION("""COMPUTED_VALUE"""),"")</f>
        <v/>
      </c>
      <c r="C89" s="134" t="str">
        <f ca="1">IFERROR(__xludf.DUMMYFUNCTION("""COMPUTED_VALUE"""),"")</f>
        <v/>
      </c>
      <c r="D89" s="134" t="str">
        <f ca="1">IFERROR(__xludf.DUMMYFUNCTION("""COMPUTED_VALUE"""),"")</f>
        <v/>
      </c>
      <c r="E89" s="134" t="str">
        <f ca="1">IFERROR(__xludf.DUMMYFUNCTION("""COMPUTED_VALUE"""),"")</f>
        <v/>
      </c>
      <c r="F89" s="134" t="str">
        <f ca="1">IFERROR(__xludf.DUMMYFUNCTION("""COMPUTED_VALUE"""),"")</f>
        <v/>
      </c>
      <c r="G89" s="134" t="str">
        <f ca="1">IFERROR(__xludf.DUMMYFUNCTION("""COMPUTED_VALUE"""),"")</f>
        <v/>
      </c>
      <c r="H89" s="134" t="str">
        <f ca="1">IFERROR(__xludf.DUMMYFUNCTION("""COMPUTED_VALUE"""),"")</f>
        <v/>
      </c>
      <c r="I89" s="134" t="str">
        <f ca="1">IFERROR(__xludf.DUMMYFUNCTION("""COMPUTED_VALUE"""),"")</f>
        <v/>
      </c>
      <c r="J89" s="134" t="str">
        <f ca="1">IFERROR(__xludf.DUMMYFUNCTION("""COMPUTED_VALUE"""),"")</f>
        <v/>
      </c>
    </row>
    <row r="90" spans="1:15" customFormat="1">
      <c r="A90" s="134" t="str">
        <f ca="1">IFERROR(__xludf.DUMMYFUNCTION("""COMPUTED_VALUE"""),"")</f>
        <v/>
      </c>
      <c r="B90" s="134" t="str">
        <f ca="1">IFERROR(__xludf.DUMMYFUNCTION("""COMPUTED_VALUE"""),"")</f>
        <v/>
      </c>
      <c r="C90" s="134" t="str">
        <f ca="1">IFERROR(__xludf.DUMMYFUNCTION("""COMPUTED_VALUE"""),"")</f>
        <v/>
      </c>
      <c r="D90" s="134" t="str">
        <f ca="1">IFERROR(__xludf.DUMMYFUNCTION("""COMPUTED_VALUE"""),"")</f>
        <v/>
      </c>
      <c r="E90" s="134" t="str">
        <f ca="1">IFERROR(__xludf.DUMMYFUNCTION("""COMPUTED_VALUE"""),"")</f>
        <v/>
      </c>
      <c r="F90" s="134" t="str">
        <f ca="1">IFERROR(__xludf.DUMMYFUNCTION("""COMPUTED_VALUE"""),"")</f>
        <v/>
      </c>
      <c r="G90" s="134" t="str">
        <f ca="1">IFERROR(__xludf.DUMMYFUNCTION("""COMPUTED_VALUE"""),"")</f>
        <v/>
      </c>
      <c r="H90" s="134" t="str">
        <f ca="1">IFERROR(__xludf.DUMMYFUNCTION("""COMPUTED_VALUE"""),"")</f>
        <v/>
      </c>
      <c r="I90" s="134" t="str">
        <f ca="1">IFERROR(__xludf.DUMMYFUNCTION("""COMPUTED_VALUE"""),"")</f>
        <v/>
      </c>
      <c r="J90" s="134" t="str">
        <f ca="1">IFERROR(__xludf.DUMMYFUNCTION("""COMPUTED_VALUE"""),"")</f>
        <v/>
      </c>
      <c r="L90" s="135"/>
      <c r="M90" s="135"/>
      <c r="N90" s="135"/>
      <c r="O90" s="135"/>
    </row>
    <row r="91" spans="1:15" customFormat="1">
      <c r="A91" s="134" t="str">
        <f ca="1">IFERROR(__xludf.DUMMYFUNCTION("""COMPUTED_VALUE"""),"")</f>
        <v/>
      </c>
      <c r="B91" s="134" t="str">
        <f ca="1">IFERROR(__xludf.DUMMYFUNCTION("""COMPUTED_VALUE"""),"")</f>
        <v/>
      </c>
      <c r="C91" s="134" t="str">
        <f ca="1">IFERROR(__xludf.DUMMYFUNCTION("""COMPUTED_VALUE"""),"")</f>
        <v/>
      </c>
      <c r="D91" s="134" t="str">
        <f ca="1">IFERROR(__xludf.DUMMYFUNCTION("""COMPUTED_VALUE"""),"")</f>
        <v/>
      </c>
      <c r="E91" s="134" t="str">
        <f ca="1">IFERROR(__xludf.DUMMYFUNCTION("""COMPUTED_VALUE"""),"")</f>
        <v/>
      </c>
      <c r="F91" s="134" t="str">
        <f ca="1">IFERROR(__xludf.DUMMYFUNCTION("""COMPUTED_VALUE"""),"")</f>
        <v/>
      </c>
      <c r="G91" s="134" t="str">
        <f ca="1">IFERROR(__xludf.DUMMYFUNCTION("""COMPUTED_VALUE"""),"")</f>
        <v/>
      </c>
      <c r="H91" s="134" t="str">
        <f ca="1">IFERROR(__xludf.DUMMYFUNCTION("""COMPUTED_VALUE"""),"")</f>
        <v/>
      </c>
      <c r="I91" s="134" t="str">
        <f ca="1">IFERROR(__xludf.DUMMYFUNCTION("""COMPUTED_VALUE"""),"")</f>
        <v/>
      </c>
      <c r="J91" s="134" t="str">
        <f ca="1">IFERROR(__xludf.DUMMYFUNCTION("""COMPUTED_VALUE"""),"")</f>
        <v/>
      </c>
      <c r="L91" s="135"/>
      <c r="M91" s="135"/>
      <c r="N91" s="135"/>
      <c r="O91" s="135"/>
    </row>
    <row r="92" spans="1:15" customFormat="1">
      <c r="A92" s="134" t="str">
        <f ca="1">IFERROR(__xludf.DUMMYFUNCTION("""COMPUTED_VALUE"""),"")</f>
        <v/>
      </c>
      <c r="B92" s="134" t="str">
        <f ca="1">IFERROR(__xludf.DUMMYFUNCTION("""COMPUTED_VALUE"""),"")</f>
        <v/>
      </c>
      <c r="C92" s="134" t="str">
        <f ca="1">IFERROR(__xludf.DUMMYFUNCTION("""COMPUTED_VALUE"""),"")</f>
        <v/>
      </c>
      <c r="D92" s="134" t="str">
        <f ca="1">IFERROR(__xludf.DUMMYFUNCTION("""COMPUTED_VALUE"""),"")</f>
        <v/>
      </c>
      <c r="E92" s="134" t="str">
        <f ca="1">IFERROR(__xludf.DUMMYFUNCTION("""COMPUTED_VALUE"""),"")</f>
        <v/>
      </c>
      <c r="F92" s="134" t="str">
        <f ca="1">IFERROR(__xludf.DUMMYFUNCTION("""COMPUTED_VALUE"""),"")</f>
        <v/>
      </c>
      <c r="G92" s="134" t="str">
        <f ca="1">IFERROR(__xludf.DUMMYFUNCTION("""COMPUTED_VALUE"""),"")</f>
        <v/>
      </c>
      <c r="H92" s="134" t="str">
        <f ca="1">IFERROR(__xludf.DUMMYFUNCTION("""COMPUTED_VALUE"""),"")</f>
        <v/>
      </c>
      <c r="I92" s="134" t="str">
        <f ca="1">IFERROR(__xludf.DUMMYFUNCTION("""COMPUTED_VALUE"""),"")</f>
        <v/>
      </c>
      <c r="J92" s="134" t="str">
        <f ca="1">IFERROR(__xludf.DUMMYFUNCTION("""COMPUTED_VALUE"""),"")</f>
        <v/>
      </c>
      <c r="N92" s="159"/>
      <c r="O92" s="159"/>
    </row>
    <row r="93" spans="1:15" customFormat="1">
      <c r="A93" s="134" t="str">
        <f ca="1">IFERROR(__xludf.DUMMYFUNCTION("""COMPUTED_VALUE"""),"")</f>
        <v/>
      </c>
      <c r="B93" s="134" t="str">
        <f ca="1">IFERROR(__xludf.DUMMYFUNCTION("""COMPUTED_VALUE"""),"")</f>
        <v/>
      </c>
      <c r="C93" s="134" t="str">
        <f ca="1">IFERROR(__xludf.DUMMYFUNCTION("""COMPUTED_VALUE"""),"")</f>
        <v/>
      </c>
      <c r="D93" s="134" t="str">
        <f ca="1">IFERROR(__xludf.DUMMYFUNCTION("""COMPUTED_VALUE"""),"")</f>
        <v/>
      </c>
      <c r="E93" s="134" t="str">
        <f ca="1">IFERROR(__xludf.DUMMYFUNCTION("""COMPUTED_VALUE"""),"")</f>
        <v/>
      </c>
      <c r="F93" s="134" t="str">
        <f ca="1">IFERROR(__xludf.DUMMYFUNCTION("""COMPUTED_VALUE"""),"")</f>
        <v/>
      </c>
      <c r="G93" s="134" t="str">
        <f ca="1">IFERROR(__xludf.DUMMYFUNCTION("""COMPUTED_VALUE"""),"")</f>
        <v/>
      </c>
      <c r="H93" s="134" t="str">
        <f ca="1">IFERROR(__xludf.DUMMYFUNCTION("""COMPUTED_VALUE"""),"")</f>
        <v/>
      </c>
      <c r="I93" s="134" t="str">
        <f ca="1">IFERROR(__xludf.DUMMYFUNCTION("""COMPUTED_VALUE"""),"")</f>
        <v/>
      </c>
      <c r="J93" s="134" t="str">
        <f ca="1">IFERROR(__xludf.DUMMYFUNCTION("""COMPUTED_VALUE"""),"")</f>
        <v/>
      </c>
      <c r="N93" s="128"/>
      <c r="O93" s="128"/>
    </row>
    <row r="94" spans="1:15" customFormat="1">
      <c r="A94" s="134" t="str">
        <f ca="1">IFERROR(__xludf.DUMMYFUNCTION("""COMPUTED_VALUE"""),"")</f>
        <v/>
      </c>
      <c r="B94" s="134" t="str">
        <f ca="1">IFERROR(__xludf.DUMMYFUNCTION("""COMPUTED_VALUE"""),"")</f>
        <v/>
      </c>
      <c r="C94" s="134" t="str">
        <f ca="1">IFERROR(__xludf.DUMMYFUNCTION("""COMPUTED_VALUE"""),"")</f>
        <v/>
      </c>
      <c r="D94" s="134" t="str">
        <f ca="1">IFERROR(__xludf.DUMMYFUNCTION("""COMPUTED_VALUE"""),"")</f>
        <v/>
      </c>
      <c r="E94" s="134" t="str">
        <f ca="1">IFERROR(__xludf.DUMMYFUNCTION("""COMPUTED_VALUE"""),"")</f>
        <v/>
      </c>
      <c r="F94" s="134" t="str">
        <f ca="1">IFERROR(__xludf.DUMMYFUNCTION("""COMPUTED_VALUE"""),"")</f>
        <v/>
      </c>
      <c r="G94" s="134" t="str">
        <f ca="1">IFERROR(__xludf.DUMMYFUNCTION("""COMPUTED_VALUE"""),"")</f>
        <v/>
      </c>
      <c r="H94" s="134" t="str">
        <f ca="1">IFERROR(__xludf.DUMMYFUNCTION("""COMPUTED_VALUE"""),"")</f>
        <v/>
      </c>
      <c r="I94" s="134" t="str">
        <f ca="1">IFERROR(__xludf.DUMMYFUNCTION("""COMPUTED_VALUE"""),"")</f>
        <v/>
      </c>
      <c r="J94" s="134" t="str">
        <f ca="1">IFERROR(__xludf.DUMMYFUNCTION("""COMPUTED_VALUE"""),"")</f>
        <v/>
      </c>
    </row>
    <row r="95" spans="1:15" customFormat="1">
      <c r="A95" s="134" t="str">
        <f ca="1">IFERROR(__xludf.DUMMYFUNCTION("""COMPUTED_VALUE"""),"")</f>
        <v/>
      </c>
      <c r="B95" s="134" t="str">
        <f ca="1">IFERROR(__xludf.DUMMYFUNCTION("""COMPUTED_VALUE"""),"")</f>
        <v/>
      </c>
      <c r="C95" s="134" t="str">
        <f ca="1">IFERROR(__xludf.DUMMYFUNCTION("""COMPUTED_VALUE"""),"")</f>
        <v/>
      </c>
      <c r="D95" s="134" t="str">
        <f ca="1">IFERROR(__xludf.DUMMYFUNCTION("""COMPUTED_VALUE"""),"")</f>
        <v/>
      </c>
      <c r="E95" s="134" t="str">
        <f ca="1">IFERROR(__xludf.DUMMYFUNCTION("""COMPUTED_VALUE"""),"")</f>
        <v/>
      </c>
      <c r="F95" s="134" t="str">
        <f ca="1">IFERROR(__xludf.DUMMYFUNCTION("""COMPUTED_VALUE"""),"")</f>
        <v/>
      </c>
      <c r="G95" s="134" t="str">
        <f ca="1">IFERROR(__xludf.DUMMYFUNCTION("""COMPUTED_VALUE"""),"")</f>
        <v/>
      </c>
      <c r="H95" s="134" t="str">
        <f ca="1">IFERROR(__xludf.DUMMYFUNCTION("""COMPUTED_VALUE"""),"")</f>
        <v/>
      </c>
      <c r="I95" s="134" t="str">
        <f ca="1">IFERROR(__xludf.DUMMYFUNCTION("""COMPUTED_VALUE"""),"")</f>
        <v/>
      </c>
      <c r="J95" s="134" t="str">
        <f ca="1">IFERROR(__xludf.DUMMYFUNCTION("""COMPUTED_VALUE"""),"")</f>
        <v/>
      </c>
      <c r="N95" s="159"/>
      <c r="O95" s="159"/>
    </row>
    <row r="96" spans="1:15" customFormat="1">
      <c r="A96" s="134" t="str">
        <f ca="1">IFERROR(__xludf.DUMMYFUNCTION("""COMPUTED_VALUE"""),"")</f>
        <v/>
      </c>
      <c r="B96" s="134" t="str">
        <f ca="1">IFERROR(__xludf.DUMMYFUNCTION("""COMPUTED_VALUE"""),"")</f>
        <v/>
      </c>
      <c r="C96" s="134" t="str">
        <f ca="1">IFERROR(__xludf.DUMMYFUNCTION("""COMPUTED_VALUE"""),"")</f>
        <v/>
      </c>
      <c r="D96" s="134" t="str">
        <f ca="1">IFERROR(__xludf.DUMMYFUNCTION("""COMPUTED_VALUE"""),"")</f>
        <v/>
      </c>
      <c r="E96" s="134" t="str">
        <f ca="1">IFERROR(__xludf.DUMMYFUNCTION("""COMPUTED_VALUE"""),"")</f>
        <v/>
      </c>
      <c r="F96" s="134" t="str">
        <f ca="1">IFERROR(__xludf.DUMMYFUNCTION("""COMPUTED_VALUE"""),"")</f>
        <v/>
      </c>
      <c r="G96" s="134" t="str">
        <f ca="1">IFERROR(__xludf.DUMMYFUNCTION("""COMPUTED_VALUE"""),"")</f>
        <v/>
      </c>
      <c r="H96" s="134" t="str">
        <f ca="1">IFERROR(__xludf.DUMMYFUNCTION("""COMPUTED_VALUE"""),"")</f>
        <v/>
      </c>
      <c r="I96" s="134" t="str">
        <f ca="1">IFERROR(__xludf.DUMMYFUNCTION("""COMPUTED_VALUE"""),"")</f>
        <v/>
      </c>
      <c r="J96" s="134" t="str">
        <f ca="1">IFERROR(__xludf.DUMMYFUNCTION("""COMPUTED_VALUE"""),"")</f>
        <v/>
      </c>
      <c r="N96" s="134"/>
      <c r="O96" s="134"/>
    </row>
    <row r="97" spans="1:15" customFormat="1">
      <c r="A97" s="134" t="str">
        <f ca="1">IFERROR(__xludf.DUMMYFUNCTION("""COMPUTED_VALUE"""),"")</f>
        <v/>
      </c>
      <c r="B97" s="134" t="str">
        <f ca="1">IFERROR(__xludf.DUMMYFUNCTION("""COMPUTED_VALUE"""),"")</f>
        <v/>
      </c>
      <c r="C97" s="134" t="str">
        <f ca="1">IFERROR(__xludf.DUMMYFUNCTION("""COMPUTED_VALUE"""),"")</f>
        <v/>
      </c>
      <c r="D97" s="134" t="str">
        <f ca="1">IFERROR(__xludf.DUMMYFUNCTION("""COMPUTED_VALUE"""),"")</f>
        <v/>
      </c>
      <c r="E97" s="134" t="str">
        <f ca="1">IFERROR(__xludf.DUMMYFUNCTION("""COMPUTED_VALUE"""),"")</f>
        <v/>
      </c>
      <c r="F97" s="134" t="str">
        <f ca="1">IFERROR(__xludf.DUMMYFUNCTION("""COMPUTED_VALUE"""),"")</f>
        <v/>
      </c>
      <c r="G97" s="134" t="str">
        <f ca="1">IFERROR(__xludf.DUMMYFUNCTION("""COMPUTED_VALUE"""),"")</f>
        <v/>
      </c>
      <c r="H97" s="134" t="str">
        <f ca="1">IFERROR(__xludf.DUMMYFUNCTION("""COMPUTED_VALUE"""),"")</f>
        <v/>
      </c>
      <c r="I97" s="134" t="str">
        <f ca="1">IFERROR(__xludf.DUMMYFUNCTION("""COMPUTED_VALUE"""),"")</f>
        <v/>
      </c>
      <c r="J97" s="134" t="str">
        <f ca="1">IFERROR(__xludf.DUMMYFUNCTION("""COMPUTED_VALUE"""),"")</f>
        <v/>
      </c>
    </row>
    <row r="98" spans="1:15" customFormat="1">
      <c r="A98" s="134" t="str">
        <f ca="1">IFERROR(__xludf.DUMMYFUNCTION("""COMPUTED_VALUE"""),"")</f>
        <v/>
      </c>
      <c r="B98" s="134" t="str">
        <f ca="1">IFERROR(__xludf.DUMMYFUNCTION("""COMPUTED_VALUE"""),"")</f>
        <v/>
      </c>
      <c r="C98" s="134" t="str">
        <f ca="1">IFERROR(__xludf.DUMMYFUNCTION("""COMPUTED_VALUE"""),"")</f>
        <v/>
      </c>
      <c r="D98" s="134" t="str">
        <f ca="1">IFERROR(__xludf.DUMMYFUNCTION("""COMPUTED_VALUE"""),"")</f>
        <v/>
      </c>
      <c r="E98" s="134" t="str">
        <f ca="1">IFERROR(__xludf.DUMMYFUNCTION("""COMPUTED_VALUE"""),"")</f>
        <v/>
      </c>
      <c r="F98" s="134" t="str">
        <f ca="1">IFERROR(__xludf.DUMMYFUNCTION("""COMPUTED_VALUE"""),"")</f>
        <v/>
      </c>
      <c r="G98" s="134" t="str">
        <f ca="1">IFERROR(__xludf.DUMMYFUNCTION("""COMPUTED_VALUE"""),"")</f>
        <v/>
      </c>
      <c r="H98" s="134" t="str">
        <f ca="1">IFERROR(__xludf.DUMMYFUNCTION("""COMPUTED_VALUE"""),"")</f>
        <v/>
      </c>
      <c r="I98" s="134" t="str">
        <f ca="1">IFERROR(__xludf.DUMMYFUNCTION("""COMPUTED_VALUE"""),"")</f>
        <v/>
      </c>
      <c r="J98" s="134" t="str">
        <f ca="1">IFERROR(__xludf.DUMMYFUNCTION("""COMPUTED_VALUE"""),"")</f>
        <v/>
      </c>
      <c r="L98" s="135"/>
      <c r="M98" s="135"/>
      <c r="N98" s="135"/>
      <c r="O98" s="135"/>
    </row>
    <row r="99" spans="1:15" customFormat="1">
      <c r="A99" s="134" t="str">
        <f ca="1">IFERROR(__xludf.DUMMYFUNCTION("""COMPUTED_VALUE"""),"")</f>
        <v/>
      </c>
      <c r="B99" s="134" t="str">
        <f ca="1">IFERROR(__xludf.DUMMYFUNCTION("""COMPUTED_VALUE"""),"")</f>
        <v/>
      </c>
      <c r="C99" s="134" t="str">
        <f ca="1">IFERROR(__xludf.DUMMYFUNCTION("""COMPUTED_VALUE"""),"")</f>
        <v/>
      </c>
      <c r="D99" s="134" t="str">
        <f ca="1">IFERROR(__xludf.DUMMYFUNCTION("""COMPUTED_VALUE"""),"")</f>
        <v/>
      </c>
      <c r="E99" s="134" t="str">
        <f ca="1">IFERROR(__xludf.DUMMYFUNCTION("""COMPUTED_VALUE"""),"")</f>
        <v/>
      </c>
      <c r="F99" s="134" t="str">
        <f ca="1">IFERROR(__xludf.DUMMYFUNCTION("""COMPUTED_VALUE"""),"")</f>
        <v/>
      </c>
      <c r="G99" s="134" t="str">
        <f ca="1">IFERROR(__xludf.DUMMYFUNCTION("""COMPUTED_VALUE"""),"")</f>
        <v/>
      </c>
      <c r="H99" s="134" t="str">
        <f ca="1">IFERROR(__xludf.DUMMYFUNCTION("""COMPUTED_VALUE"""),"")</f>
        <v/>
      </c>
      <c r="I99" s="134" t="str">
        <f ca="1">IFERROR(__xludf.DUMMYFUNCTION("""COMPUTED_VALUE"""),"")</f>
        <v/>
      </c>
      <c r="J99" s="134" t="str">
        <f ca="1">IFERROR(__xludf.DUMMYFUNCTION("""COMPUTED_VALUE"""),"")</f>
        <v/>
      </c>
      <c r="L99" s="135"/>
      <c r="M99" s="135"/>
      <c r="N99" s="135"/>
      <c r="O99" s="135"/>
    </row>
    <row r="100" spans="1:15" customFormat="1">
      <c r="A100" s="134" t="str">
        <f ca="1">IFERROR(__xludf.DUMMYFUNCTION("""COMPUTED_VALUE"""),"")</f>
        <v/>
      </c>
      <c r="B100" s="134" t="str">
        <f ca="1">IFERROR(__xludf.DUMMYFUNCTION("""COMPUTED_VALUE"""),"")</f>
        <v/>
      </c>
      <c r="C100" s="134" t="str">
        <f ca="1">IFERROR(__xludf.DUMMYFUNCTION("""COMPUTED_VALUE"""),"")</f>
        <v/>
      </c>
      <c r="D100" s="134" t="str">
        <f ca="1">IFERROR(__xludf.DUMMYFUNCTION("""COMPUTED_VALUE"""),"")</f>
        <v/>
      </c>
      <c r="E100" s="134" t="str">
        <f ca="1">IFERROR(__xludf.DUMMYFUNCTION("""COMPUTED_VALUE"""),"")</f>
        <v/>
      </c>
      <c r="F100" s="134" t="str">
        <f ca="1">IFERROR(__xludf.DUMMYFUNCTION("""COMPUTED_VALUE"""),"")</f>
        <v/>
      </c>
      <c r="G100" s="134" t="str">
        <f ca="1">IFERROR(__xludf.DUMMYFUNCTION("""COMPUTED_VALUE"""),"")</f>
        <v/>
      </c>
      <c r="H100" s="134" t="str">
        <f ca="1">IFERROR(__xludf.DUMMYFUNCTION("""COMPUTED_VALUE"""),"")</f>
        <v/>
      </c>
      <c r="I100" s="134" t="str">
        <f ca="1">IFERROR(__xludf.DUMMYFUNCTION("""COMPUTED_VALUE"""),"")</f>
        <v/>
      </c>
      <c r="J100" s="134" t="str">
        <f ca="1">IFERROR(__xludf.DUMMYFUNCTION("""COMPUTED_VALUE"""),"")</f>
        <v/>
      </c>
      <c r="N100" s="159"/>
      <c r="O100" s="159"/>
    </row>
    <row r="101" spans="1:15" customFormat="1">
      <c r="A101" s="134" t="str">
        <f ca="1">IFERROR(__xludf.DUMMYFUNCTION("""COMPUTED_VALUE"""),"")</f>
        <v/>
      </c>
      <c r="B101" s="134" t="str">
        <f ca="1">IFERROR(__xludf.DUMMYFUNCTION("""COMPUTED_VALUE"""),"")</f>
        <v/>
      </c>
      <c r="C101" s="134" t="str">
        <f ca="1">IFERROR(__xludf.DUMMYFUNCTION("""COMPUTED_VALUE"""),"")</f>
        <v/>
      </c>
      <c r="D101" s="134" t="str">
        <f ca="1">IFERROR(__xludf.DUMMYFUNCTION("""COMPUTED_VALUE"""),"")</f>
        <v/>
      </c>
      <c r="E101" s="134" t="str">
        <f ca="1">IFERROR(__xludf.DUMMYFUNCTION("""COMPUTED_VALUE"""),"")</f>
        <v/>
      </c>
      <c r="F101" s="134" t="str">
        <f ca="1">IFERROR(__xludf.DUMMYFUNCTION("""COMPUTED_VALUE"""),"")</f>
        <v/>
      </c>
      <c r="G101" s="134" t="str">
        <f ca="1">IFERROR(__xludf.DUMMYFUNCTION("""COMPUTED_VALUE"""),"")</f>
        <v/>
      </c>
      <c r="H101" s="134" t="str">
        <f ca="1">IFERROR(__xludf.DUMMYFUNCTION("""COMPUTED_VALUE"""),"")</f>
        <v/>
      </c>
      <c r="I101" s="134" t="str">
        <f ca="1">IFERROR(__xludf.DUMMYFUNCTION("""COMPUTED_VALUE"""),"")</f>
        <v/>
      </c>
      <c r="J101" s="134" t="str">
        <f ca="1">IFERROR(__xludf.DUMMYFUNCTION("""COMPUTED_VALUE"""),"")</f>
        <v/>
      </c>
      <c r="N101" s="128"/>
      <c r="O101" s="128"/>
    </row>
    <row r="102" spans="1:15" customFormat="1">
      <c r="A102" s="134" t="str">
        <f ca="1">IFERROR(__xludf.DUMMYFUNCTION("""COMPUTED_VALUE"""),"")</f>
        <v/>
      </c>
      <c r="B102" s="134" t="str">
        <f ca="1">IFERROR(__xludf.DUMMYFUNCTION("""COMPUTED_VALUE"""),"")</f>
        <v/>
      </c>
      <c r="C102" s="134" t="str">
        <f ca="1">IFERROR(__xludf.DUMMYFUNCTION("""COMPUTED_VALUE"""),"")</f>
        <v/>
      </c>
      <c r="D102" s="134" t="str">
        <f ca="1">IFERROR(__xludf.DUMMYFUNCTION("""COMPUTED_VALUE"""),"")</f>
        <v/>
      </c>
      <c r="E102" s="134" t="str">
        <f ca="1">IFERROR(__xludf.DUMMYFUNCTION("""COMPUTED_VALUE"""),"")</f>
        <v/>
      </c>
      <c r="F102" s="134" t="str">
        <f ca="1">IFERROR(__xludf.DUMMYFUNCTION("""COMPUTED_VALUE"""),"")</f>
        <v/>
      </c>
      <c r="G102" s="134" t="str">
        <f ca="1">IFERROR(__xludf.DUMMYFUNCTION("""COMPUTED_VALUE"""),"")</f>
        <v/>
      </c>
      <c r="H102" s="134" t="str">
        <f ca="1">IFERROR(__xludf.DUMMYFUNCTION("""COMPUTED_VALUE"""),"")</f>
        <v/>
      </c>
      <c r="I102" s="134" t="str">
        <f ca="1">IFERROR(__xludf.DUMMYFUNCTION("""COMPUTED_VALUE"""),"")</f>
        <v/>
      </c>
      <c r="J102" s="134" t="str">
        <f ca="1">IFERROR(__xludf.DUMMYFUNCTION("""COMPUTED_VALUE"""),"")</f>
        <v/>
      </c>
    </row>
    <row r="103" spans="1:15" customFormat="1">
      <c r="A103" s="134" t="str">
        <f ca="1">IFERROR(__xludf.DUMMYFUNCTION("""COMPUTED_VALUE"""),"")</f>
        <v/>
      </c>
      <c r="B103" s="134" t="str">
        <f ca="1">IFERROR(__xludf.DUMMYFUNCTION("""COMPUTED_VALUE"""),"")</f>
        <v/>
      </c>
      <c r="C103" s="134" t="str">
        <f ca="1">IFERROR(__xludf.DUMMYFUNCTION("""COMPUTED_VALUE"""),"")</f>
        <v/>
      </c>
      <c r="D103" s="134" t="str">
        <f ca="1">IFERROR(__xludf.DUMMYFUNCTION("""COMPUTED_VALUE"""),"")</f>
        <v/>
      </c>
      <c r="E103" s="134" t="str">
        <f ca="1">IFERROR(__xludf.DUMMYFUNCTION("""COMPUTED_VALUE"""),"")</f>
        <v/>
      </c>
      <c r="F103" s="134" t="str">
        <f ca="1">IFERROR(__xludf.DUMMYFUNCTION("""COMPUTED_VALUE"""),"")</f>
        <v/>
      </c>
      <c r="G103" s="134" t="str">
        <f ca="1">IFERROR(__xludf.DUMMYFUNCTION("""COMPUTED_VALUE"""),"")</f>
        <v/>
      </c>
      <c r="H103" s="134" t="str">
        <f ca="1">IFERROR(__xludf.DUMMYFUNCTION("""COMPUTED_VALUE"""),"")</f>
        <v/>
      </c>
      <c r="I103" s="134" t="str">
        <f ca="1">IFERROR(__xludf.DUMMYFUNCTION("""COMPUTED_VALUE"""),"")</f>
        <v/>
      </c>
      <c r="J103" s="134" t="str">
        <f ca="1">IFERROR(__xludf.DUMMYFUNCTION("""COMPUTED_VALUE"""),"")</f>
        <v/>
      </c>
      <c r="N103" s="159"/>
      <c r="O103" s="159"/>
    </row>
    <row r="104" spans="1:15" customFormat="1">
      <c r="A104" s="134" t="str">
        <f ca="1">IFERROR(__xludf.DUMMYFUNCTION("""COMPUTED_VALUE"""),"")</f>
        <v/>
      </c>
      <c r="B104" s="134" t="str">
        <f ca="1">IFERROR(__xludf.DUMMYFUNCTION("""COMPUTED_VALUE"""),"")</f>
        <v/>
      </c>
      <c r="C104" s="134" t="str">
        <f ca="1">IFERROR(__xludf.DUMMYFUNCTION("""COMPUTED_VALUE"""),"")</f>
        <v/>
      </c>
      <c r="D104" s="134" t="str">
        <f ca="1">IFERROR(__xludf.DUMMYFUNCTION("""COMPUTED_VALUE"""),"")</f>
        <v/>
      </c>
      <c r="E104" s="134" t="str">
        <f ca="1">IFERROR(__xludf.DUMMYFUNCTION("""COMPUTED_VALUE"""),"")</f>
        <v/>
      </c>
      <c r="F104" s="134" t="str">
        <f ca="1">IFERROR(__xludf.DUMMYFUNCTION("""COMPUTED_VALUE"""),"")</f>
        <v/>
      </c>
      <c r="G104" s="134" t="str">
        <f ca="1">IFERROR(__xludf.DUMMYFUNCTION("""COMPUTED_VALUE"""),"")</f>
        <v/>
      </c>
      <c r="H104" s="134" t="str">
        <f ca="1">IFERROR(__xludf.DUMMYFUNCTION("""COMPUTED_VALUE"""),"")</f>
        <v/>
      </c>
      <c r="I104" s="134" t="str">
        <f ca="1">IFERROR(__xludf.DUMMYFUNCTION("""COMPUTED_VALUE"""),"")</f>
        <v/>
      </c>
      <c r="J104" s="134" t="str">
        <f ca="1">IFERROR(__xludf.DUMMYFUNCTION("""COMPUTED_VALUE"""),"")</f>
        <v/>
      </c>
      <c r="N104" s="134"/>
      <c r="O104" s="134"/>
    </row>
    <row r="105" spans="1:15" customFormat="1">
      <c r="A105" s="134" t="str">
        <f ca="1">IFERROR(__xludf.DUMMYFUNCTION("""COMPUTED_VALUE"""),"")</f>
        <v/>
      </c>
      <c r="B105" s="134" t="str">
        <f ca="1">IFERROR(__xludf.DUMMYFUNCTION("""COMPUTED_VALUE"""),"")</f>
        <v/>
      </c>
      <c r="C105" s="134" t="str">
        <f ca="1">IFERROR(__xludf.DUMMYFUNCTION("""COMPUTED_VALUE"""),"")</f>
        <v/>
      </c>
      <c r="D105" s="134" t="str">
        <f ca="1">IFERROR(__xludf.DUMMYFUNCTION("""COMPUTED_VALUE"""),"")</f>
        <v/>
      </c>
      <c r="E105" s="134" t="str">
        <f ca="1">IFERROR(__xludf.DUMMYFUNCTION("""COMPUTED_VALUE"""),"")</f>
        <v/>
      </c>
      <c r="F105" s="134" t="str">
        <f ca="1">IFERROR(__xludf.DUMMYFUNCTION("""COMPUTED_VALUE"""),"")</f>
        <v/>
      </c>
      <c r="G105" s="134" t="str">
        <f ca="1">IFERROR(__xludf.DUMMYFUNCTION("""COMPUTED_VALUE"""),"")</f>
        <v/>
      </c>
      <c r="H105" s="134" t="str">
        <f ca="1">IFERROR(__xludf.DUMMYFUNCTION("""COMPUTED_VALUE"""),"")</f>
        <v/>
      </c>
      <c r="I105" s="134" t="str">
        <f ca="1">IFERROR(__xludf.DUMMYFUNCTION("""COMPUTED_VALUE"""),"")</f>
        <v/>
      </c>
      <c r="J105" s="134" t="str">
        <f ca="1">IFERROR(__xludf.DUMMYFUNCTION("""COMPUTED_VALUE"""),"")</f>
        <v/>
      </c>
    </row>
    <row r="106" spans="1:15" customFormat="1">
      <c r="A106" s="134" t="str">
        <f ca="1">IFERROR(__xludf.DUMMYFUNCTION("""COMPUTED_VALUE"""),"")</f>
        <v/>
      </c>
      <c r="B106" s="134" t="str">
        <f ca="1">IFERROR(__xludf.DUMMYFUNCTION("""COMPUTED_VALUE"""),"")</f>
        <v/>
      </c>
      <c r="C106" s="134" t="str">
        <f ca="1">IFERROR(__xludf.DUMMYFUNCTION("""COMPUTED_VALUE"""),"")</f>
        <v/>
      </c>
      <c r="D106" s="134" t="str">
        <f ca="1">IFERROR(__xludf.DUMMYFUNCTION("""COMPUTED_VALUE"""),"")</f>
        <v/>
      </c>
      <c r="E106" s="134" t="str">
        <f ca="1">IFERROR(__xludf.DUMMYFUNCTION("""COMPUTED_VALUE"""),"")</f>
        <v/>
      </c>
      <c r="F106" s="134" t="str">
        <f ca="1">IFERROR(__xludf.DUMMYFUNCTION("""COMPUTED_VALUE"""),"")</f>
        <v/>
      </c>
      <c r="G106" s="134" t="str">
        <f ca="1">IFERROR(__xludf.DUMMYFUNCTION("""COMPUTED_VALUE"""),"")</f>
        <v/>
      </c>
      <c r="H106" s="134" t="str">
        <f ca="1">IFERROR(__xludf.DUMMYFUNCTION("""COMPUTED_VALUE"""),"")</f>
        <v/>
      </c>
      <c r="I106" s="134" t="str">
        <f ca="1">IFERROR(__xludf.DUMMYFUNCTION("""COMPUTED_VALUE"""),"")</f>
        <v/>
      </c>
      <c r="J106" s="134" t="str">
        <f ca="1">IFERROR(__xludf.DUMMYFUNCTION("""COMPUTED_VALUE"""),"")</f>
        <v/>
      </c>
      <c r="L106" s="135"/>
      <c r="M106" s="135"/>
      <c r="N106" s="135"/>
      <c r="O106" s="135"/>
    </row>
    <row r="107" spans="1:15" customFormat="1">
      <c r="A107" s="134" t="str">
        <f ca="1">IFERROR(__xludf.DUMMYFUNCTION("""COMPUTED_VALUE"""),"")</f>
        <v/>
      </c>
      <c r="B107" s="134" t="str">
        <f ca="1">IFERROR(__xludf.DUMMYFUNCTION("""COMPUTED_VALUE"""),"")</f>
        <v/>
      </c>
      <c r="C107" s="134" t="str">
        <f ca="1">IFERROR(__xludf.DUMMYFUNCTION("""COMPUTED_VALUE"""),"")</f>
        <v/>
      </c>
      <c r="D107" s="134" t="str">
        <f ca="1">IFERROR(__xludf.DUMMYFUNCTION("""COMPUTED_VALUE"""),"")</f>
        <v/>
      </c>
      <c r="E107" s="134" t="str">
        <f ca="1">IFERROR(__xludf.DUMMYFUNCTION("""COMPUTED_VALUE"""),"")</f>
        <v/>
      </c>
      <c r="F107" s="134" t="str">
        <f ca="1">IFERROR(__xludf.DUMMYFUNCTION("""COMPUTED_VALUE"""),"")</f>
        <v/>
      </c>
      <c r="G107" s="134" t="str">
        <f ca="1">IFERROR(__xludf.DUMMYFUNCTION("""COMPUTED_VALUE"""),"")</f>
        <v/>
      </c>
      <c r="H107" s="134" t="str">
        <f ca="1">IFERROR(__xludf.DUMMYFUNCTION("""COMPUTED_VALUE"""),"")</f>
        <v/>
      </c>
      <c r="I107" s="134" t="str">
        <f ca="1">IFERROR(__xludf.DUMMYFUNCTION("""COMPUTED_VALUE"""),"")</f>
        <v/>
      </c>
      <c r="J107" s="134" t="str">
        <f ca="1">IFERROR(__xludf.DUMMYFUNCTION("""COMPUTED_VALUE"""),"")</f>
        <v/>
      </c>
      <c r="L107" s="135"/>
      <c r="M107" s="135"/>
      <c r="N107" s="135"/>
      <c r="O107" s="135"/>
    </row>
    <row r="108" spans="1:15" customFormat="1">
      <c r="A108" s="134" t="str">
        <f ca="1">IFERROR(__xludf.DUMMYFUNCTION("""COMPUTED_VALUE"""),"")</f>
        <v/>
      </c>
      <c r="B108" s="134" t="str">
        <f ca="1">IFERROR(__xludf.DUMMYFUNCTION("""COMPUTED_VALUE"""),"")</f>
        <v/>
      </c>
      <c r="C108" s="134" t="str">
        <f ca="1">IFERROR(__xludf.DUMMYFUNCTION("""COMPUTED_VALUE"""),"")</f>
        <v/>
      </c>
      <c r="D108" s="134" t="str">
        <f ca="1">IFERROR(__xludf.DUMMYFUNCTION("""COMPUTED_VALUE"""),"")</f>
        <v/>
      </c>
      <c r="E108" s="134" t="str">
        <f ca="1">IFERROR(__xludf.DUMMYFUNCTION("""COMPUTED_VALUE"""),"")</f>
        <v/>
      </c>
      <c r="F108" s="134" t="str">
        <f ca="1">IFERROR(__xludf.DUMMYFUNCTION("""COMPUTED_VALUE"""),"")</f>
        <v/>
      </c>
      <c r="G108" s="134" t="str">
        <f ca="1">IFERROR(__xludf.DUMMYFUNCTION("""COMPUTED_VALUE"""),"")</f>
        <v/>
      </c>
      <c r="H108" s="134" t="str">
        <f ca="1">IFERROR(__xludf.DUMMYFUNCTION("""COMPUTED_VALUE"""),"")</f>
        <v/>
      </c>
      <c r="I108" s="134" t="str">
        <f ca="1">IFERROR(__xludf.DUMMYFUNCTION("""COMPUTED_VALUE"""),"")</f>
        <v/>
      </c>
      <c r="J108" s="134" t="str">
        <f ca="1">IFERROR(__xludf.DUMMYFUNCTION("""COMPUTED_VALUE"""),"")</f>
        <v/>
      </c>
      <c r="N108" s="159"/>
      <c r="O108" s="159"/>
    </row>
    <row r="109" spans="1:15" customFormat="1">
      <c r="A109" s="134" t="str">
        <f ca="1">IFERROR(__xludf.DUMMYFUNCTION("""COMPUTED_VALUE"""),"")</f>
        <v/>
      </c>
      <c r="B109" s="134" t="str">
        <f ca="1">IFERROR(__xludf.DUMMYFUNCTION("""COMPUTED_VALUE"""),"")</f>
        <v/>
      </c>
      <c r="C109" s="134" t="str">
        <f ca="1">IFERROR(__xludf.DUMMYFUNCTION("""COMPUTED_VALUE"""),"")</f>
        <v/>
      </c>
      <c r="D109" s="134" t="str">
        <f ca="1">IFERROR(__xludf.DUMMYFUNCTION("""COMPUTED_VALUE"""),"")</f>
        <v/>
      </c>
      <c r="E109" s="134" t="str">
        <f ca="1">IFERROR(__xludf.DUMMYFUNCTION("""COMPUTED_VALUE"""),"")</f>
        <v/>
      </c>
      <c r="F109" s="134" t="str">
        <f ca="1">IFERROR(__xludf.DUMMYFUNCTION("""COMPUTED_VALUE"""),"")</f>
        <v/>
      </c>
      <c r="G109" s="134" t="str">
        <f ca="1">IFERROR(__xludf.DUMMYFUNCTION("""COMPUTED_VALUE"""),"")</f>
        <v/>
      </c>
      <c r="H109" s="134" t="str">
        <f ca="1">IFERROR(__xludf.DUMMYFUNCTION("""COMPUTED_VALUE"""),"")</f>
        <v/>
      </c>
      <c r="I109" s="134" t="str">
        <f ca="1">IFERROR(__xludf.DUMMYFUNCTION("""COMPUTED_VALUE"""),"")</f>
        <v/>
      </c>
      <c r="J109" s="134" t="str">
        <f ca="1">IFERROR(__xludf.DUMMYFUNCTION("""COMPUTED_VALUE"""),"")</f>
        <v/>
      </c>
      <c r="N109" s="128"/>
      <c r="O109" s="128"/>
    </row>
    <row r="110" spans="1:15" customFormat="1">
      <c r="A110" s="134" t="str">
        <f ca="1">IFERROR(__xludf.DUMMYFUNCTION("""COMPUTED_VALUE"""),"")</f>
        <v/>
      </c>
      <c r="B110" s="134" t="str">
        <f ca="1">IFERROR(__xludf.DUMMYFUNCTION("""COMPUTED_VALUE"""),"")</f>
        <v/>
      </c>
      <c r="C110" s="134" t="str">
        <f ca="1">IFERROR(__xludf.DUMMYFUNCTION("""COMPUTED_VALUE"""),"")</f>
        <v/>
      </c>
      <c r="D110" s="134" t="str">
        <f ca="1">IFERROR(__xludf.DUMMYFUNCTION("""COMPUTED_VALUE"""),"")</f>
        <v/>
      </c>
      <c r="E110" s="134" t="str">
        <f ca="1">IFERROR(__xludf.DUMMYFUNCTION("""COMPUTED_VALUE"""),"")</f>
        <v/>
      </c>
      <c r="F110" s="134" t="str">
        <f ca="1">IFERROR(__xludf.DUMMYFUNCTION("""COMPUTED_VALUE"""),"")</f>
        <v/>
      </c>
      <c r="G110" s="134" t="str">
        <f ca="1">IFERROR(__xludf.DUMMYFUNCTION("""COMPUTED_VALUE"""),"")</f>
        <v/>
      </c>
      <c r="H110" s="134" t="str">
        <f ca="1">IFERROR(__xludf.DUMMYFUNCTION("""COMPUTED_VALUE"""),"")</f>
        <v/>
      </c>
      <c r="I110" s="134" t="str">
        <f ca="1">IFERROR(__xludf.DUMMYFUNCTION("""COMPUTED_VALUE"""),"")</f>
        <v/>
      </c>
      <c r="J110" s="134" t="str">
        <f ca="1">IFERROR(__xludf.DUMMYFUNCTION("""COMPUTED_VALUE"""),"")</f>
        <v/>
      </c>
    </row>
    <row r="111" spans="1:15" customFormat="1">
      <c r="A111" s="134" t="str">
        <f ca="1">IFERROR(__xludf.DUMMYFUNCTION("""COMPUTED_VALUE"""),"")</f>
        <v/>
      </c>
      <c r="B111" s="134" t="str">
        <f ca="1">IFERROR(__xludf.DUMMYFUNCTION("""COMPUTED_VALUE"""),"")</f>
        <v/>
      </c>
      <c r="C111" s="134" t="str">
        <f ca="1">IFERROR(__xludf.DUMMYFUNCTION("""COMPUTED_VALUE"""),"")</f>
        <v/>
      </c>
      <c r="D111" s="134" t="str">
        <f ca="1">IFERROR(__xludf.DUMMYFUNCTION("""COMPUTED_VALUE"""),"")</f>
        <v/>
      </c>
      <c r="E111" s="134" t="str">
        <f ca="1">IFERROR(__xludf.DUMMYFUNCTION("""COMPUTED_VALUE"""),"")</f>
        <v/>
      </c>
      <c r="F111" s="134" t="str">
        <f ca="1">IFERROR(__xludf.DUMMYFUNCTION("""COMPUTED_VALUE"""),"")</f>
        <v/>
      </c>
      <c r="G111" s="134" t="str">
        <f ca="1">IFERROR(__xludf.DUMMYFUNCTION("""COMPUTED_VALUE"""),"")</f>
        <v/>
      </c>
      <c r="H111" s="134" t="str">
        <f ca="1">IFERROR(__xludf.DUMMYFUNCTION("""COMPUTED_VALUE"""),"")</f>
        <v/>
      </c>
      <c r="I111" s="134" t="str">
        <f ca="1">IFERROR(__xludf.DUMMYFUNCTION("""COMPUTED_VALUE"""),"")</f>
        <v/>
      </c>
      <c r="J111" s="134" t="str">
        <f ca="1">IFERROR(__xludf.DUMMYFUNCTION("""COMPUTED_VALUE"""),"")</f>
        <v/>
      </c>
      <c r="N111" s="159"/>
      <c r="O111" s="159"/>
    </row>
    <row r="112" spans="1:15" customFormat="1">
      <c r="A112" s="134" t="str">
        <f ca="1">IFERROR(__xludf.DUMMYFUNCTION("""COMPUTED_VALUE"""),"")</f>
        <v/>
      </c>
      <c r="B112" s="134" t="str">
        <f ca="1">IFERROR(__xludf.DUMMYFUNCTION("""COMPUTED_VALUE"""),"")</f>
        <v/>
      </c>
      <c r="C112" s="134" t="str">
        <f ca="1">IFERROR(__xludf.DUMMYFUNCTION("""COMPUTED_VALUE"""),"")</f>
        <v/>
      </c>
      <c r="D112" s="134" t="str">
        <f ca="1">IFERROR(__xludf.DUMMYFUNCTION("""COMPUTED_VALUE"""),"")</f>
        <v/>
      </c>
      <c r="E112" s="134" t="str">
        <f ca="1">IFERROR(__xludf.DUMMYFUNCTION("""COMPUTED_VALUE"""),"")</f>
        <v/>
      </c>
      <c r="F112" s="134" t="str">
        <f ca="1">IFERROR(__xludf.DUMMYFUNCTION("""COMPUTED_VALUE"""),"")</f>
        <v/>
      </c>
      <c r="G112" s="134" t="str">
        <f ca="1">IFERROR(__xludf.DUMMYFUNCTION("""COMPUTED_VALUE"""),"")</f>
        <v/>
      </c>
      <c r="H112" s="134" t="str">
        <f ca="1">IFERROR(__xludf.DUMMYFUNCTION("""COMPUTED_VALUE"""),"")</f>
        <v/>
      </c>
      <c r="I112" s="134" t="str">
        <f ca="1">IFERROR(__xludf.DUMMYFUNCTION("""COMPUTED_VALUE"""),"")</f>
        <v/>
      </c>
      <c r="J112" s="134" t="str">
        <f ca="1">IFERROR(__xludf.DUMMYFUNCTION("""COMPUTED_VALUE"""),"")</f>
        <v/>
      </c>
      <c r="N112" s="134"/>
      <c r="O112" s="134"/>
    </row>
    <row r="113" spans="1:14" customFormat="1">
      <c r="A113" s="134" t="str">
        <f ca="1">IFERROR(__xludf.DUMMYFUNCTION("""COMPUTED_VALUE"""),"")</f>
        <v/>
      </c>
      <c r="B113" s="134" t="str">
        <f ca="1">IFERROR(__xludf.DUMMYFUNCTION("""COMPUTED_VALUE"""),"")</f>
        <v/>
      </c>
      <c r="C113" s="134" t="str">
        <f ca="1">IFERROR(__xludf.DUMMYFUNCTION("""COMPUTED_VALUE"""),"")</f>
        <v/>
      </c>
      <c r="D113" s="134" t="str">
        <f ca="1">IFERROR(__xludf.DUMMYFUNCTION("""COMPUTED_VALUE"""),"")</f>
        <v/>
      </c>
      <c r="E113" s="134" t="str">
        <f ca="1">IFERROR(__xludf.DUMMYFUNCTION("""COMPUTED_VALUE"""),"")</f>
        <v/>
      </c>
      <c r="F113" s="134" t="str">
        <f ca="1">IFERROR(__xludf.DUMMYFUNCTION("""COMPUTED_VALUE"""),"")</f>
        <v/>
      </c>
      <c r="G113" s="134" t="str">
        <f ca="1">IFERROR(__xludf.DUMMYFUNCTION("""COMPUTED_VALUE"""),"")</f>
        <v/>
      </c>
      <c r="H113" s="134" t="str">
        <f ca="1">IFERROR(__xludf.DUMMYFUNCTION("""COMPUTED_VALUE"""),"")</f>
        <v/>
      </c>
      <c r="I113" s="134" t="str">
        <f ca="1">IFERROR(__xludf.DUMMYFUNCTION("""COMPUTED_VALUE"""),"")</f>
        <v/>
      </c>
      <c r="J113" s="134" t="str">
        <f ca="1">IFERROR(__xludf.DUMMYFUNCTION("""COMPUTED_VALUE"""),"")</f>
        <v/>
      </c>
      <c r="L113" s="31"/>
      <c r="N113" s="31"/>
    </row>
    <row r="114" spans="1:14" customFormat="1">
      <c r="A114" s="134" t="str">
        <f ca="1">IFERROR(__xludf.DUMMYFUNCTION("""COMPUTED_VALUE"""),"")</f>
        <v/>
      </c>
      <c r="B114" s="134" t="str">
        <f ca="1">IFERROR(__xludf.DUMMYFUNCTION("""COMPUTED_VALUE"""),"")</f>
        <v/>
      </c>
      <c r="C114" s="134" t="str">
        <f ca="1">IFERROR(__xludf.DUMMYFUNCTION("""COMPUTED_VALUE"""),"")</f>
        <v/>
      </c>
      <c r="D114" s="134" t="str">
        <f ca="1">IFERROR(__xludf.DUMMYFUNCTION("""COMPUTED_VALUE"""),"")</f>
        <v/>
      </c>
      <c r="E114" s="134" t="str">
        <f ca="1">IFERROR(__xludf.DUMMYFUNCTION("""COMPUTED_VALUE"""),"")</f>
        <v/>
      </c>
      <c r="F114" s="134" t="str">
        <f ca="1">IFERROR(__xludf.DUMMYFUNCTION("""COMPUTED_VALUE"""),"")</f>
        <v/>
      </c>
      <c r="G114" s="134" t="str">
        <f ca="1">IFERROR(__xludf.DUMMYFUNCTION("""COMPUTED_VALUE"""),"")</f>
        <v/>
      </c>
      <c r="H114" s="134" t="str">
        <f ca="1">IFERROR(__xludf.DUMMYFUNCTION("""COMPUTED_VALUE"""),"")</f>
        <v/>
      </c>
      <c r="I114" s="134" t="str">
        <f ca="1">IFERROR(__xludf.DUMMYFUNCTION("""COMPUTED_VALUE"""),"")</f>
        <v/>
      </c>
      <c r="J114" s="134" t="str">
        <f ca="1">IFERROR(__xludf.DUMMYFUNCTION("""COMPUTED_VALUE"""),"")</f>
        <v/>
      </c>
      <c r="N114" s="31"/>
    </row>
    <row r="115" spans="1:14" customFormat="1">
      <c r="A115" s="134" t="str">
        <f ca="1">IFERROR(__xludf.DUMMYFUNCTION("""COMPUTED_VALUE"""),"")</f>
        <v/>
      </c>
      <c r="B115" s="134" t="str">
        <f ca="1">IFERROR(__xludf.DUMMYFUNCTION("""COMPUTED_VALUE"""),"")</f>
        <v/>
      </c>
      <c r="C115" s="134" t="str">
        <f ca="1">IFERROR(__xludf.DUMMYFUNCTION("""COMPUTED_VALUE"""),"")</f>
        <v/>
      </c>
      <c r="D115" s="134" t="str">
        <f ca="1">IFERROR(__xludf.DUMMYFUNCTION("""COMPUTED_VALUE"""),"")</f>
        <v/>
      </c>
      <c r="E115" s="134" t="str">
        <f ca="1">IFERROR(__xludf.DUMMYFUNCTION("""COMPUTED_VALUE"""),"")</f>
        <v/>
      </c>
      <c r="F115" s="134" t="str">
        <f ca="1">IFERROR(__xludf.DUMMYFUNCTION("""COMPUTED_VALUE"""),"")</f>
        <v/>
      </c>
      <c r="G115" s="134" t="str">
        <f ca="1">IFERROR(__xludf.DUMMYFUNCTION("""COMPUTED_VALUE"""),"")</f>
        <v/>
      </c>
      <c r="H115" s="134" t="str">
        <f ca="1">IFERROR(__xludf.DUMMYFUNCTION("""COMPUTED_VALUE"""),"")</f>
        <v/>
      </c>
      <c r="I115" s="134" t="str">
        <f ca="1">IFERROR(__xludf.DUMMYFUNCTION("""COMPUTED_VALUE"""),"")</f>
        <v/>
      </c>
      <c r="J115" s="134" t="str">
        <f ca="1">IFERROR(__xludf.DUMMYFUNCTION("""COMPUTED_VALUE"""),"")</f>
        <v/>
      </c>
      <c r="N115" s="31"/>
    </row>
    <row r="116" spans="1:14" customFormat="1">
      <c r="A116" s="134" t="str">
        <f ca="1">IFERROR(__xludf.DUMMYFUNCTION("""COMPUTED_VALUE"""),"")</f>
        <v/>
      </c>
      <c r="B116" s="134" t="str">
        <f ca="1">IFERROR(__xludf.DUMMYFUNCTION("""COMPUTED_VALUE"""),"")</f>
        <v/>
      </c>
      <c r="C116" s="134" t="str">
        <f ca="1">IFERROR(__xludf.DUMMYFUNCTION("""COMPUTED_VALUE"""),"")</f>
        <v/>
      </c>
      <c r="D116" s="134" t="str">
        <f ca="1">IFERROR(__xludf.DUMMYFUNCTION("""COMPUTED_VALUE"""),"")</f>
        <v/>
      </c>
      <c r="E116" s="134" t="str">
        <f ca="1">IFERROR(__xludf.DUMMYFUNCTION("""COMPUTED_VALUE"""),"")</f>
        <v/>
      </c>
      <c r="F116" s="134" t="str">
        <f ca="1">IFERROR(__xludf.DUMMYFUNCTION("""COMPUTED_VALUE"""),"")</f>
        <v/>
      </c>
      <c r="G116" s="134" t="str">
        <f ca="1">IFERROR(__xludf.DUMMYFUNCTION("""COMPUTED_VALUE"""),"")</f>
        <v/>
      </c>
      <c r="H116" s="134" t="str">
        <f ca="1">IFERROR(__xludf.DUMMYFUNCTION("""COMPUTED_VALUE"""),"")</f>
        <v/>
      </c>
      <c r="I116" s="134" t="str">
        <f ca="1">IFERROR(__xludf.DUMMYFUNCTION("""COMPUTED_VALUE"""),"")</f>
        <v/>
      </c>
      <c r="J116" s="134" t="str">
        <f ca="1">IFERROR(__xludf.DUMMYFUNCTION("""COMPUTED_VALUE"""),"")</f>
        <v/>
      </c>
      <c r="N116" s="31"/>
    </row>
    <row r="117" spans="1:14" customFormat="1">
      <c r="A117" s="134" t="str">
        <f ca="1">IFERROR(__xludf.DUMMYFUNCTION("""COMPUTED_VALUE"""),"")</f>
        <v/>
      </c>
      <c r="B117" s="134" t="str">
        <f ca="1">IFERROR(__xludf.DUMMYFUNCTION("""COMPUTED_VALUE"""),"")</f>
        <v/>
      </c>
      <c r="C117" s="134" t="str">
        <f ca="1">IFERROR(__xludf.DUMMYFUNCTION("""COMPUTED_VALUE"""),"")</f>
        <v/>
      </c>
      <c r="D117" s="134" t="str">
        <f ca="1">IFERROR(__xludf.DUMMYFUNCTION("""COMPUTED_VALUE"""),"")</f>
        <v/>
      </c>
      <c r="E117" s="134" t="str">
        <f ca="1">IFERROR(__xludf.DUMMYFUNCTION("""COMPUTED_VALUE"""),"")</f>
        <v/>
      </c>
      <c r="F117" s="134" t="str">
        <f ca="1">IFERROR(__xludf.DUMMYFUNCTION("""COMPUTED_VALUE"""),"")</f>
        <v/>
      </c>
      <c r="G117" s="134" t="str">
        <f ca="1">IFERROR(__xludf.DUMMYFUNCTION("""COMPUTED_VALUE"""),"")</f>
        <v/>
      </c>
      <c r="H117" s="134" t="str">
        <f ca="1">IFERROR(__xludf.DUMMYFUNCTION("""COMPUTED_VALUE"""),"")</f>
        <v/>
      </c>
      <c r="I117" s="134" t="str">
        <f ca="1">IFERROR(__xludf.DUMMYFUNCTION("""COMPUTED_VALUE"""),"")</f>
        <v/>
      </c>
      <c r="J117" s="134" t="str">
        <f ca="1">IFERROR(__xludf.DUMMYFUNCTION("""COMPUTED_VALUE"""),"")</f>
        <v/>
      </c>
      <c r="N117" s="31"/>
    </row>
    <row r="118" spans="1:14" customFormat="1">
      <c r="A118" s="134" t="str">
        <f ca="1">IFERROR(__xludf.DUMMYFUNCTION("""COMPUTED_VALUE"""),"")</f>
        <v/>
      </c>
      <c r="B118" s="134" t="str">
        <f ca="1">IFERROR(__xludf.DUMMYFUNCTION("""COMPUTED_VALUE"""),"")</f>
        <v/>
      </c>
      <c r="C118" s="134" t="str">
        <f ca="1">IFERROR(__xludf.DUMMYFUNCTION("""COMPUTED_VALUE"""),"")</f>
        <v/>
      </c>
      <c r="D118" s="134" t="str">
        <f ca="1">IFERROR(__xludf.DUMMYFUNCTION("""COMPUTED_VALUE"""),"")</f>
        <v/>
      </c>
      <c r="E118" s="134" t="str">
        <f ca="1">IFERROR(__xludf.DUMMYFUNCTION("""COMPUTED_VALUE"""),"")</f>
        <v/>
      </c>
      <c r="F118" s="134" t="str">
        <f ca="1">IFERROR(__xludf.DUMMYFUNCTION("""COMPUTED_VALUE"""),"")</f>
        <v/>
      </c>
      <c r="G118" s="134" t="str">
        <f ca="1">IFERROR(__xludf.DUMMYFUNCTION("""COMPUTED_VALUE"""),"")</f>
        <v/>
      </c>
      <c r="H118" s="134" t="str">
        <f ca="1">IFERROR(__xludf.DUMMYFUNCTION("""COMPUTED_VALUE"""),"")</f>
        <v/>
      </c>
      <c r="I118" s="134" t="str">
        <f ca="1">IFERROR(__xludf.DUMMYFUNCTION("""COMPUTED_VALUE"""),"")</f>
        <v/>
      </c>
      <c r="J118" s="134" t="str">
        <f ca="1">IFERROR(__xludf.DUMMYFUNCTION("""COMPUTED_VALUE"""),"")</f>
        <v/>
      </c>
      <c r="N118" s="31"/>
    </row>
    <row r="119" spans="1:14" customFormat="1">
      <c r="A119" s="134" t="str">
        <f ca="1">IFERROR(__xludf.DUMMYFUNCTION("""COMPUTED_VALUE"""),"")</f>
        <v/>
      </c>
      <c r="B119" s="134" t="str">
        <f ca="1">IFERROR(__xludf.DUMMYFUNCTION("""COMPUTED_VALUE"""),"")</f>
        <v/>
      </c>
      <c r="C119" s="134" t="str">
        <f ca="1">IFERROR(__xludf.DUMMYFUNCTION("""COMPUTED_VALUE"""),"")</f>
        <v/>
      </c>
      <c r="D119" s="134" t="str">
        <f ca="1">IFERROR(__xludf.DUMMYFUNCTION("""COMPUTED_VALUE"""),"")</f>
        <v/>
      </c>
      <c r="E119" s="134" t="str">
        <f ca="1">IFERROR(__xludf.DUMMYFUNCTION("""COMPUTED_VALUE"""),"")</f>
        <v/>
      </c>
      <c r="F119" s="134" t="str">
        <f ca="1">IFERROR(__xludf.DUMMYFUNCTION("""COMPUTED_VALUE"""),"")</f>
        <v/>
      </c>
      <c r="G119" s="134" t="str">
        <f ca="1">IFERROR(__xludf.DUMMYFUNCTION("""COMPUTED_VALUE"""),"")</f>
        <v/>
      </c>
      <c r="H119" s="134" t="str">
        <f ca="1">IFERROR(__xludf.DUMMYFUNCTION("""COMPUTED_VALUE"""),"")</f>
        <v/>
      </c>
      <c r="I119" s="134" t="str">
        <f ca="1">IFERROR(__xludf.DUMMYFUNCTION("""COMPUTED_VALUE"""),"")</f>
        <v/>
      </c>
      <c r="J119" s="134" t="str">
        <f ca="1">IFERROR(__xludf.DUMMYFUNCTION("""COMPUTED_VALUE"""),"")</f>
        <v/>
      </c>
      <c r="N119" s="31"/>
    </row>
    <row r="120" spans="1:14" customFormat="1">
      <c r="A120" s="134" t="str">
        <f ca="1">IFERROR(__xludf.DUMMYFUNCTION("""COMPUTED_VALUE"""),"")</f>
        <v/>
      </c>
      <c r="B120" s="134" t="str">
        <f ca="1">IFERROR(__xludf.DUMMYFUNCTION("""COMPUTED_VALUE"""),"")</f>
        <v/>
      </c>
      <c r="C120" s="134" t="str">
        <f ca="1">IFERROR(__xludf.DUMMYFUNCTION("""COMPUTED_VALUE"""),"")</f>
        <v/>
      </c>
      <c r="D120" s="134" t="str">
        <f ca="1">IFERROR(__xludf.DUMMYFUNCTION("""COMPUTED_VALUE"""),"")</f>
        <v/>
      </c>
      <c r="E120" s="134" t="str">
        <f ca="1">IFERROR(__xludf.DUMMYFUNCTION("""COMPUTED_VALUE"""),"")</f>
        <v/>
      </c>
      <c r="F120" s="134" t="str">
        <f ca="1">IFERROR(__xludf.DUMMYFUNCTION("""COMPUTED_VALUE"""),"")</f>
        <v/>
      </c>
      <c r="G120" s="134" t="str">
        <f ca="1">IFERROR(__xludf.DUMMYFUNCTION("""COMPUTED_VALUE"""),"")</f>
        <v/>
      </c>
      <c r="H120" s="134" t="str">
        <f ca="1">IFERROR(__xludf.DUMMYFUNCTION("""COMPUTED_VALUE"""),"")</f>
        <v/>
      </c>
      <c r="I120" s="134" t="str">
        <f ca="1">IFERROR(__xludf.DUMMYFUNCTION("""COMPUTED_VALUE"""),"")</f>
        <v/>
      </c>
      <c r="J120" s="134" t="str">
        <f ca="1">IFERROR(__xludf.DUMMYFUNCTION("""COMPUTED_VALUE"""),"")</f>
        <v/>
      </c>
      <c r="N120" s="31"/>
    </row>
    <row r="121" spans="1:14" customFormat="1">
      <c r="A121" s="134" t="str">
        <f ca="1">IFERROR(__xludf.DUMMYFUNCTION("""COMPUTED_VALUE"""),"")</f>
        <v/>
      </c>
      <c r="B121" s="134" t="str">
        <f ca="1">IFERROR(__xludf.DUMMYFUNCTION("""COMPUTED_VALUE"""),"")</f>
        <v/>
      </c>
      <c r="C121" s="134" t="str">
        <f ca="1">IFERROR(__xludf.DUMMYFUNCTION("""COMPUTED_VALUE"""),"")</f>
        <v/>
      </c>
      <c r="D121" s="134" t="str">
        <f ca="1">IFERROR(__xludf.DUMMYFUNCTION("""COMPUTED_VALUE"""),"")</f>
        <v/>
      </c>
      <c r="E121" s="134" t="str">
        <f ca="1">IFERROR(__xludf.DUMMYFUNCTION("""COMPUTED_VALUE"""),"")</f>
        <v/>
      </c>
      <c r="F121" s="134" t="str">
        <f ca="1">IFERROR(__xludf.DUMMYFUNCTION("""COMPUTED_VALUE"""),"")</f>
        <v/>
      </c>
      <c r="G121" s="134" t="str">
        <f ca="1">IFERROR(__xludf.DUMMYFUNCTION("""COMPUTED_VALUE"""),"")</f>
        <v/>
      </c>
      <c r="H121" s="134" t="str">
        <f ca="1">IFERROR(__xludf.DUMMYFUNCTION("""COMPUTED_VALUE"""),"")</f>
        <v/>
      </c>
      <c r="I121" s="134" t="str">
        <f ca="1">IFERROR(__xludf.DUMMYFUNCTION("""COMPUTED_VALUE"""),"")</f>
        <v/>
      </c>
      <c r="J121" s="134" t="str">
        <f ca="1">IFERROR(__xludf.DUMMYFUNCTION("""COMPUTED_VALUE"""),"")</f>
        <v/>
      </c>
      <c r="N121" s="31"/>
    </row>
    <row r="122" spans="1:14" customFormat="1">
      <c r="A122" s="134" t="str">
        <f ca="1">IFERROR(__xludf.DUMMYFUNCTION("""COMPUTED_VALUE"""),"")</f>
        <v/>
      </c>
      <c r="B122" s="134" t="str">
        <f ca="1">IFERROR(__xludf.DUMMYFUNCTION("""COMPUTED_VALUE"""),"")</f>
        <v/>
      </c>
      <c r="C122" s="134" t="str">
        <f ca="1">IFERROR(__xludf.DUMMYFUNCTION("""COMPUTED_VALUE"""),"")</f>
        <v/>
      </c>
      <c r="D122" s="134" t="str">
        <f ca="1">IFERROR(__xludf.DUMMYFUNCTION("""COMPUTED_VALUE"""),"")</f>
        <v/>
      </c>
      <c r="E122" s="134" t="str">
        <f ca="1">IFERROR(__xludf.DUMMYFUNCTION("""COMPUTED_VALUE"""),"")</f>
        <v/>
      </c>
      <c r="F122" s="134" t="str">
        <f ca="1">IFERROR(__xludf.DUMMYFUNCTION("""COMPUTED_VALUE"""),"")</f>
        <v/>
      </c>
      <c r="G122" s="134" t="str">
        <f ca="1">IFERROR(__xludf.DUMMYFUNCTION("""COMPUTED_VALUE"""),"")</f>
        <v/>
      </c>
      <c r="H122" s="134" t="str">
        <f ca="1">IFERROR(__xludf.DUMMYFUNCTION("""COMPUTED_VALUE"""),"")</f>
        <v/>
      </c>
      <c r="I122" s="134" t="str">
        <f ca="1">IFERROR(__xludf.DUMMYFUNCTION("""COMPUTED_VALUE"""),"")</f>
        <v/>
      </c>
      <c r="J122" s="134" t="str">
        <f ca="1">IFERROR(__xludf.DUMMYFUNCTION("""COMPUTED_VALUE"""),"")</f>
        <v/>
      </c>
      <c r="N122" s="31"/>
    </row>
    <row r="123" spans="1:14" customFormat="1">
      <c r="A123" s="134" t="str">
        <f ca="1">IFERROR(__xludf.DUMMYFUNCTION("""COMPUTED_VALUE"""),"")</f>
        <v/>
      </c>
      <c r="B123" s="134" t="str">
        <f ca="1">IFERROR(__xludf.DUMMYFUNCTION("""COMPUTED_VALUE"""),"")</f>
        <v/>
      </c>
      <c r="C123" s="134" t="str">
        <f ca="1">IFERROR(__xludf.DUMMYFUNCTION("""COMPUTED_VALUE"""),"")</f>
        <v/>
      </c>
      <c r="D123" s="134" t="str">
        <f ca="1">IFERROR(__xludf.DUMMYFUNCTION("""COMPUTED_VALUE"""),"")</f>
        <v/>
      </c>
      <c r="E123" s="134" t="str">
        <f ca="1">IFERROR(__xludf.DUMMYFUNCTION("""COMPUTED_VALUE"""),"")</f>
        <v/>
      </c>
      <c r="F123" s="134" t="str">
        <f ca="1">IFERROR(__xludf.DUMMYFUNCTION("""COMPUTED_VALUE"""),"")</f>
        <v/>
      </c>
      <c r="G123" s="134" t="str">
        <f ca="1">IFERROR(__xludf.DUMMYFUNCTION("""COMPUTED_VALUE"""),"")</f>
        <v/>
      </c>
      <c r="H123" s="134" t="str">
        <f ca="1">IFERROR(__xludf.DUMMYFUNCTION("""COMPUTED_VALUE"""),"")</f>
        <v/>
      </c>
      <c r="I123" s="134" t="str">
        <f ca="1">IFERROR(__xludf.DUMMYFUNCTION("""COMPUTED_VALUE"""),"")</f>
        <v/>
      </c>
      <c r="J123" s="134" t="str">
        <f ca="1">IFERROR(__xludf.DUMMYFUNCTION("""COMPUTED_VALUE"""),"")</f>
        <v/>
      </c>
      <c r="N123" s="31"/>
    </row>
    <row r="124" spans="1:14" customFormat="1">
      <c r="A124" s="134" t="str">
        <f ca="1">IFERROR(__xludf.DUMMYFUNCTION("""COMPUTED_VALUE"""),"")</f>
        <v/>
      </c>
      <c r="B124" s="134" t="str">
        <f ca="1">IFERROR(__xludf.DUMMYFUNCTION("""COMPUTED_VALUE"""),"")</f>
        <v/>
      </c>
      <c r="C124" s="134" t="str">
        <f ca="1">IFERROR(__xludf.DUMMYFUNCTION("""COMPUTED_VALUE"""),"")</f>
        <v/>
      </c>
      <c r="D124" s="134" t="str">
        <f ca="1">IFERROR(__xludf.DUMMYFUNCTION("""COMPUTED_VALUE"""),"")</f>
        <v/>
      </c>
      <c r="E124" s="134" t="str">
        <f ca="1">IFERROR(__xludf.DUMMYFUNCTION("""COMPUTED_VALUE"""),"")</f>
        <v/>
      </c>
      <c r="F124" s="134" t="str">
        <f ca="1">IFERROR(__xludf.DUMMYFUNCTION("""COMPUTED_VALUE"""),"")</f>
        <v/>
      </c>
      <c r="G124" s="134" t="str">
        <f ca="1">IFERROR(__xludf.DUMMYFUNCTION("""COMPUTED_VALUE"""),"")</f>
        <v/>
      </c>
      <c r="H124" s="134" t="str">
        <f ca="1">IFERROR(__xludf.DUMMYFUNCTION("""COMPUTED_VALUE"""),"")</f>
        <v/>
      </c>
      <c r="I124" s="134" t="str">
        <f ca="1">IFERROR(__xludf.DUMMYFUNCTION("""COMPUTED_VALUE"""),"")</f>
        <v/>
      </c>
      <c r="J124" s="134" t="str">
        <f ca="1">IFERROR(__xludf.DUMMYFUNCTION("""COMPUTED_VALUE"""),"")</f>
        <v/>
      </c>
      <c r="N124" s="31"/>
    </row>
    <row r="125" spans="1:14" customFormat="1">
      <c r="A125" s="134" t="str">
        <f ca="1">IFERROR(__xludf.DUMMYFUNCTION("""COMPUTED_VALUE"""),"")</f>
        <v/>
      </c>
      <c r="B125" s="134" t="str">
        <f ca="1">IFERROR(__xludf.DUMMYFUNCTION("""COMPUTED_VALUE"""),"")</f>
        <v/>
      </c>
      <c r="C125" s="134" t="str">
        <f ca="1">IFERROR(__xludf.DUMMYFUNCTION("""COMPUTED_VALUE"""),"")</f>
        <v/>
      </c>
      <c r="D125" s="134" t="str">
        <f ca="1">IFERROR(__xludf.DUMMYFUNCTION("""COMPUTED_VALUE"""),"")</f>
        <v/>
      </c>
      <c r="E125" s="134" t="str">
        <f ca="1">IFERROR(__xludf.DUMMYFUNCTION("""COMPUTED_VALUE"""),"")</f>
        <v/>
      </c>
      <c r="F125" s="134" t="str">
        <f ca="1">IFERROR(__xludf.DUMMYFUNCTION("""COMPUTED_VALUE"""),"")</f>
        <v/>
      </c>
      <c r="G125" s="134" t="str">
        <f ca="1">IFERROR(__xludf.DUMMYFUNCTION("""COMPUTED_VALUE"""),"")</f>
        <v/>
      </c>
      <c r="H125" s="134" t="str">
        <f ca="1">IFERROR(__xludf.DUMMYFUNCTION("""COMPUTED_VALUE"""),"")</f>
        <v/>
      </c>
      <c r="I125" s="134" t="str">
        <f ca="1">IFERROR(__xludf.DUMMYFUNCTION("""COMPUTED_VALUE"""),"")</f>
        <v/>
      </c>
      <c r="J125" s="134" t="str">
        <f ca="1">IFERROR(__xludf.DUMMYFUNCTION("""COMPUTED_VALUE"""),"")</f>
        <v/>
      </c>
      <c r="N125" s="31"/>
    </row>
    <row r="126" spans="1:14" customFormat="1">
      <c r="A126" s="134" t="str">
        <f ca="1">IFERROR(__xludf.DUMMYFUNCTION("""COMPUTED_VALUE"""),"")</f>
        <v/>
      </c>
      <c r="B126" s="134" t="str">
        <f ca="1">IFERROR(__xludf.DUMMYFUNCTION("""COMPUTED_VALUE"""),"")</f>
        <v/>
      </c>
      <c r="C126" s="134" t="str">
        <f ca="1">IFERROR(__xludf.DUMMYFUNCTION("""COMPUTED_VALUE"""),"")</f>
        <v/>
      </c>
      <c r="D126" s="134" t="str">
        <f ca="1">IFERROR(__xludf.DUMMYFUNCTION("""COMPUTED_VALUE"""),"")</f>
        <v/>
      </c>
      <c r="E126" s="134" t="str">
        <f ca="1">IFERROR(__xludf.DUMMYFUNCTION("""COMPUTED_VALUE"""),"")</f>
        <v/>
      </c>
      <c r="F126" s="134" t="str">
        <f ca="1">IFERROR(__xludf.DUMMYFUNCTION("""COMPUTED_VALUE"""),"")</f>
        <v/>
      </c>
      <c r="G126" s="134" t="str">
        <f ca="1">IFERROR(__xludf.DUMMYFUNCTION("""COMPUTED_VALUE"""),"")</f>
        <v/>
      </c>
      <c r="H126" s="134" t="str">
        <f ca="1">IFERROR(__xludf.DUMMYFUNCTION("""COMPUTED_VALUE"""),"")</f>
        <v/>
      </c>
      <c r="I126" s="134" t="str">
        <f ca="1">IFERROR(__xludf.DUMMYFUNCTION("""COMPUTED_VALUE"""),"")</f>
        <v/>
      </c>
      <c r="J126" s="134" t="str">
        <f ca="1">IFERROR(__xludf.DUMMYFUNCTION("""COMPUTED_VALUE"""),"")</f>
        <v/>
      </c>
      <c r="N126" s="31"/>
    </row>
    <row r="127" spans="1:14" customFormat="1">
      <c r="A127" s="134" t="str">
        <f ca="1">IFERROR(__xludf.DUMMYFUNCTION("""COMPUTED_VALUE"""),"")</f>
        <v/>
      </c>
      <c r="B127" s="134" t="str">
        <f ca="1">IFERROR(__xludf.DUMMYFUNCTION("""COMPUTED_VALUE"""),"")</f>
        <v/>
      </c>
      <c r="C127" s="134" t="str">
        <f ca="1">IFERROR(__xludf.DUMMYFUNCTION("""COMPUTED_VALUE"""),"")</f>
        <v/>
      </c>
      <c r="D127" s="134" t="str">
        <f ca="1">IFERROR(__xludf.DUMMYFUNCTION("""COMPUTED_VALUE"""),"")</f>
        <v/>
      </c>
      <c r="E127" s="134" t="str">
        <f ca="1">IFERROR(__xludf.DUMMYFUNCTION("""COMPUTED_VALUE"""),"")</f>
        <v/>
      </c>
      <c r="F127" s="134" t="str">
        <f ca="1">IFERROR(__xludf.DUMMYFUNCTION("""COMPUTED_VALUE"""),"")</f>
        <v/>
      </c>
      <c r="G127" s="134" t="str">
        <f ca="1">IFERROR(__xludf.DUMMYFUNCTION("""COMPUTED_VALUE"""),"")</f>
        <v/>
      </c>
      <c r="H127" s="134" t="str">
        <f ca="1">IFERROR(__xludf.DUMMYFUNCTION("""COMPUTED_VALUE"""),"")</f>
        <v/>
      </c>
      <c r="I127" s="134" t="str">
        <f ca="1">IFERROR(__xludf.DUMMYFUNCTION("""COMPUTED_VALUE"""),"")</f>
        <v/>
      </c>
      <c r="J127" s="134" t="str">
        <f ca="1">IFERROR(__xludf.DUMMYFUNCTION("""COMPUTED_VALUE"""),"")</f>
        <v/>
      </c>
      <c r="N127" s="31"/>
    </row>
    <row r="128" spans="1:14" customFormat="1">
      <c r="A128" s="134" t="str">
        <f ca="1">IFERROR(__xludf.DUMMYFUNCTION("""COMPUTED_VALUE"""),"")</f>
        <v/>
      </c>
      <c r="B128" s="134" t="str">
        <f ca="1">IFERROR(__xludf.DUMMYFUNCTION("""COMPUTED_VALUE"""),"")</f>
        <v/>
      </c>
      <c r="C128" s="134" t="str">
        <f ca="1">IFERROR(__xludf.DUMMYFUNCTION("""COMPUTED_VALUE"""),"")</f>
        <v/>
      </c>
      <c r="D128" s="134" t="str">
        <f ca="1">IFERROR(__xludf.DUMMYFUNCTION("""COMPUTED_VALUE"""),"")</f>
        <v/>
      </c>
      <c r="E128" s="134" t="str">
        <f ca="1">IFERROR(__xludf.DUMMYFUNCTION("""COMPUTED_VALUE"""),"")</f>
        <v/>
      </c>
      <c r="F128" s="134" t="str">
        <f ca="1">IFERROR(__xludf.DUMMYFUNCTION("""COMPUTED_VALUE"""),"")</f>
        <v/>
      </c>
      <c r="G128" s="134" t="str">
        <f ca="1">IFERROR(__xludf.DUMMYFUNCTION("""COMPUTED_VALUE"""),"")</f>
        <v/>
      </c>
      <c r="H128" s="134" t="str">
        <f ca="1">IFERROR(__xludf.DUMMYFUNCTION("""COMPUTED_VALUE"""),"")</f>
        <v/>
      </c>
      <c r="I128" s="134" t="str">
        <f ca="1">IFERROR(__xludf.DUMMYFUNCTION("""COMPUTED_VALUE"""),"")</f>
        <v/>
      </c>
      <c r="J128" s="134" t="str">
        <f ca="1">IFERROR(__xludf.DUMMYFUNCTION("""COMPUTED_VALUE"""),"")</f>
        <v/>
      </c>
      <c r="N128" s="31"/>
    </row>
    <row r="129" spans="1:14" customFormat="1">
      <c r="A129" s="134" t="str">
        <f ca="1">IFERROR(__xludf.DUMMYFUNCTION("""COMPUTED_VALUE"""),"")</f>
        <v/>
      </c>
      <c r="B129" s="134" t="str">
        <f ca="1">IFERROR(__xludf.DUMMYFUNCTION("""COMPUTED_VALUE"""),"")</f>
        <v/>
      </c>
      <c r="C129" s="134" t="str">
        <f ca="1">IFERROR(__xludf.DUMMYFUNCTION("""COMPUTED_VALUE"""),"")</f>
        <v/>
      </c>
      <c r="D129" s="134" t="str">
        <f ca="1">IFERROR(__xludf.DUMMYFUNCTION("""COMPUTED_VALUE"""),"")</f>
        <v/>
      </c>
      <c r="E129" s="134" t="str">
        <f ca="1">IFERROR(__xludf.DUMMYFUNCTION("""COMPUTED_VALUE"""),"")</f>
        <v/>
      </c>
      <c r="F129" s="134" t="str">
        <f ca="1">IFERROR(__xludf.DUMMYFUNCTION("""COMPUTED_VALUE"""),"")</f>
        <v/>
      </c>
      <c r="G129" s="134" t="str">
        <f ca="1">IFERROR(__xludf.DUMMYFUNCTION("""COMPUTED_VALUE"""),"")</f>
        <v/>
      </c>
      <c r="H129" s="134" t="str">
        <f ca="1">IFERROR(__xludf.DUMMYFUNCTION("""COMPUTED_VALUE"""),"")</f>
        <v/>
      </c>
      <c r="I129" s="134" t="str">
        <f ca="1">IFERROR(__xludf.DUMMYFUNCTION("""COMPUTED_VALUE"""),"")</f>
        <v/>
      </c>
      <c r="J129" s="134" t="str">
        <f ca="1">IFERROR(__xludf.DUMMYFUNCTION("""COMPUTED_VALUE"""),"")</f>
        <v/>
      </c>
      <c r="N129" s="31"/>
    </row>
    <row r="130" spans="1:14" customFormat="1">
      <c r="A130" s="134" t="str">
        <f ca="1">IFERROR(__xludf.DUMMYFUNCTION("""COMPUTED_VALUE"""),"")</f>
        <v/>
      </c>
      <c r="B130" s="134" t="str">
        <f ca="1">IFERROR(__xludf.DUMMYFUNCTION("""COMPUTED_VALUE"""),"")</f>
        <v/>
      </c>
      <c r="C130" s="134" t="str">
        <f ca="1">IFERROR(__xludf.DUMMYFUNCTION("""COMPUTED_VALUE"""),"")</f>
        <v/>
      </c>
      <c r="D130" s="134" t="str">
        <f ca="1">IFERROR(__xludf.DUMMYFUNCTION("""COMPUTED_VALUE"""),"")</f>
        <v/>
      </c>
      <c r="E130" s="134" t="str">
        <f ca="1">IFERROR(__xludf.DUMMYFUNCTION("""COMPUTED_VALUE"""),"")</f>
        <v/>
      </c>
      <c r="F130" s="134" t="str">
        <f ca="1">IFERROR(__xludf.DUMMYFUNCTION("""COMPUTED_VALUE"""),"")</f>
        <v/>
      </c>
      <c r="G130" s="134" t="str">
        <f ca="1">IFERROR(__xludf.DUMMYFUNCTION("""COMPUTED_VALUE"""),"")</f>
        <v/>
      </c>
      <c r="H130" s="134" t="str">
        <f ca="1">IFERROR(__xludf.DUMMYFUNCTION("""COMPUTED_VALUE"""),"")</f>
        <v/>
      </c>
      <c r="I130" s="134" t="str">
        <f ca="1">IFERROR(__xludf.DUMMYFUNCTION("""COMPUTED_VALUE"""),"")</f>
        <v/>
      </c>
      <c r="J130" s="134" t="str">
        <f ca="1">IFERROR(__xludf.DUMMYFUNCTION("""COMPUTED_VALUE"""),"")</f>
        <v/>
      </c>
      <c r="N130" s="31"/>
    </row>
    <row r="131" spans="1:14" customFormat="1">
      <c r="A131" s="134" t="str">
        <f ca="1">IFERROR(__xludf.DUMMYFUNCTION("""COMPUTED_VALUE"""),"")</f>
        <v/>
      </c>
      <c r="B131" s="134" t="str">
        <f ca="1">IFERROR(__xludf.DUMMYFUNCTION("""COMPUTED_VALUE"""),"")</f>
        <v/>
      </c>
      <c r="C131" s="134" t="str">
        <f ca="1">IFERROR(__xludf.DUMMYFUNCTION("""COMPUTED_VALUE"""),"")</f>
        <v/>
      </c>
      <c r="D131" s="134" t="str">
        <f ca="1">IFERROR(__xludf.DUMMYFUNCTION("""COMPUTED_VALUE"""),"")</f>
        <v/>
      </c>
      <c r="E131" s="134" t="str">
        <f ca="1">IFERROR(__xludf.DUMMYFUNCTION("""COMPUTED_VALUE"""),"")</f>
        <v/>
      </c>
      <c r="F131" s="134" t="str">
        <f ca="1">IFERROR(__xludf.DUMMYFUNCTION("""COMPUTED_VALUE"""),"")</f>
        <v/>
      </c>
      <c r="G131" s="134" t="str">
        <f ca="1">IFERROR(__xludf.DUMMYFUNCTION("""COMPUTED_VALUE"""),"")</f>
        <v/>
      </c>
      <c r="H131" s="134" t="str">
        <f ca="1">IFERROR(__xludf.DUMMYFUNCTION("""COMPUTED_VALUE"""),"")</f>
        <v/>
      </c>
      <c r="I131" s="134" t="str">
        <f ca="1">IFERROR(__xludf.DUMMYFUNCTION("""COMPUTED_VALUE"""),"")</f>
        <v/>
      </c>
      <c r="J131" s="134" t="str">
        <f ca="1">IFERROR(__xludf.DUMMYFUNCTION("""COMPUTED_VALUE"""),"")</f>
        <v/>
      </c>
      <c r="N131" s="31"/>
    </row>
    <row r="132" spans="1:14" customFormat="1">
      <c r="A132" s="134" t="str">
        <f ca="1">IFERROR(__xludf.DUMMYFUNCTION("""COMPUTED_VALUE"""),"")</f>
        <v/>
      </c>
      <c r="B132" s="134" t="str">
        <f ca="1">IFERROR(__xludf.DUMMYFUNCTION("""COMPUTED_VALUE"""),"")</f>
        <v/>
      </c>
      <c r="C132" s="134" t="str">
        <f ca="1">IFERROR(__xludf.DUMMYFUNCTION("""COMPUTED_VALUE"""),"")</f>
        <v/>
      </c>
      <c r="D132" s="134" t="str">
        <f ca="1">IFERROR(__xludf.DUMMYFUNCTION("""COMPUTED_VALUE"""),"")</f>
        <v/>
      </c>
      <c r="E132" s="134" t="str">
        <f ca="1">IFERROR(__xludf.DUMMYFUNCTION("""COMPUTED_VALUE"""),"")</f>
        <v/>
      </c>
      <c r="F132" s="134" t="str">
        <f ca="1">IFERROR(__xludf.DUMMYFUNCTION("""COMPUTED_VALUE"""),"")</f>
        <v/>
      </c>
      <c r="G132" s="134" t="str">
        <f ca="1">IFERROR(__xludf.DUMMYFUNCTION("""COMPUTED_VALUE"""),"")</f>
        <v/>
      </c>
      <c r="H132" s="134" t="str">
        <f ca="1">IFERROR(__xludf.DUMMYFUNCTION("""COMPUTED_VALUE"""),"")</f>
        <v/>
      </c>
      <c r="I132" s="134" t="str">
        <f ca="1">IFERROR(__xludf.DUMMYFUNCTION("""COMPUTED_VALUE"""),"")</f>
        <v/>
      </c>
      <c r="J132" s="134" t="str">
        <f ca="1">IFERROR(__xludf.DUMMYFUNCTION("""COMPUTED_VALUE"""),"")</f>
        <v/>
      </c>
      <c r="N132" s="31"/>
    </row>
    <row r="133" spans="1:14" customFormat="1">
      <c r="A133" s="134" t="str">
        <f ca="1">IFERROR(__xludf.DUMMYFUNCTION("""COMPUTED_VALUE"""),"")</f>
        <v/>
      </c>
      <c r="B133" s="134" t="str">
        <f ca="1">IFERROR(__xludf.DUMMYFUNCTION("""COMPUTED_VALUE"""),"")</f>
        <v/>
      </c>
      <c r="C133" s="134" t="str">
        <f ca="1">IFERROR(__xludf.DUMMYFUNCTION("""COMPUTED_VALUE"""),"")</f>
        <v/>
      </c>
      <c r="D133" s="134" t="str">
        <f ca="1">IFERROR(__xludf.DUMMYFUNCTION("""COMPUTED_VALUE"""),"")</f>
        <v/>
      </c>
      <c r="E133" s="134" t="str">
        <f ca="1">IFERROR(__xludf.DUMMYFUNCTION("""COMPUTED_VALUE"""),"")</f>
        <v/>
      </c>
      <c r="F133" s="134" t="str">
        <f ca="1">IFERROR(__xludf.DUMMYFUNCTION("""COMPUTED_VALUE"""),"")</f>
        <v/>
      </c>
      <c r="G133" s="134" t="str">
        <f ca="1">IFERROR(__xludf.DUMMYFUNCTION("""COMPUTED_VALUE"""),"")</f>
        <v/>
      </c>
      <c r="H133" s="134" t="str">
        <f ca="1">IFERROR(__xludf.DUMMYFUNCTION("""COMPUTED_VALUE"""),"")</f>
        <v/>
      </c>
      <c r="I133" s="134" t="str">
        <f ca="1">IFERROR(__xludf.DUMMYFUNCTION("""COMPUTED_VALUE"""),"")</f>
        <v/>
      </c>
      <c r="J133" s="134" t="str">
        <f ca="1">IFERROR(__xludf.DUMMYFUNCTION("""COMPUTED_VALUE"""),"")</f>
        <v/>
      </c>
      <c r="N133" s="31"/>
    </row>
    <row r="134" spans="1:14" customFormat="1">
      <c r="A134" s="134" t="str">
        <f ca="1">IFERROR(__xludf.DUMMYFUNCTION("""COMPUTED_VALUE"""),"")</f>
        <v/>
      </c>
      <c r="B134" s="134" t="str">
        <f ca="1">IFERROR(__xludf.DUMMYFUNCTION("""COMPUTED_VALUE"""),"")</f>
        <v/>
      </c>
      <c r="C134" s="134" t="str">
        <f ca="1">IFERROR(__xludf.DUMMYFUNCTION("""COMPUTED_VALUE"""),"")</f>
        <v/>
      </c>
      <c r="D134" s="134" t="str">
        <f ca="1">IFERROR(__xludf.DUMMYFUNCTION("""COMPUTED_VALUE"""),"")</f>
        <v/>
      </c>
      <c r="E134" s="134" t="str">
        <f ca="1">IFERROR(__xludf.DUMMYFUNCTION("""COMPUTED_VALUE"""),"")</f>
        <v/>
      </c>
      <c r="F134" s="134" t="str">
        <f ca="1">IFERROR(__xludf.DUMMYFUNCTION("""COMPUTED_VALUE"""),"")</f>
        <v/>
      </c>
      <c r="G134" s="134" t="str">
        <f ca="1">IFERROR(__xludf.DUMMYFUNCTION("""COMPUTED_VALUE"""),"")</f>
        <v/>
      </c>
      <c r="H134" s="134" t="str">
        <f ca="1">IFERROR(__xludf.DUMMYFUNCTION("""COMPUTED_VALUE"""),"")</f>
        <v/>
      </c>
      <c r="I134" s="134" t="str">
        <f ca="1">IFERROR(__xludf.DUMMYFUNCTION("""COMPUTED_VALUE"""),"")</f>
        <v/>
      </c>
      <c r="J134" s="134" t="str">
        <f ca="1">IFERROR(__xludf.DUMMYFUNCTION("""COMPUTED_VALUE"""),"")</f>
        <v/>
      </c>
      <c r="N134" s="31"/>
    </row>
    <row r="135" spans="1:14" customFormat="1">
      <c r="A135" s="134" t="str">
        <f ca="1">IFERROR(__xludf.DUMMYFUNCTION("""COMPUTED_VALUE"""),"")</f>
        <v/>
      </c>
      <c r="B135" s="134" t="str">
        <f ca="1">IFERROR(__xludf.DUMMYFUNCTION("""COMPUTED_VALUE"""),"")</f>
        <v/>
      </c>
      <c r="C135" s="134" t="str">
        <f ca="1">IFERROR(__xludf.DUMMYFUNCTION("""COMPUTED_VALUE"""),"")</f>
        <v/>
      </c>
      <c r="D135" s="134" t="str">
        <f ca="1">IFERROR(__xludf.DUMMYFUNCTION("""COMPUTED_VALUE"""),"")</f>
        <v/>
      </c>
      <c r="E135" s="134" t="str">
        <f ca="1">IFERROR(__xludf.DUMMYFUNCTION("""COMPUTED_VALUE"""),"")</f>
        <v/>
      </c>
      <c r="F135" s="134" t="str">
        <f ca="1">IFERROR(__xludf.DUMMYFUNCTION("""COMPUTED_VALUE"""),"")</f>
        <v/>
      </c>
      <c r="G135" s="134" t="str">
        <f ca="1">IFERROR(__xludf.DUMMYFUNCTION("""COMPUTED_VALUE"""),"")</f>
        <v/>
      </c>
      <c r="H135" s="134" t="str">
        <f ca="1">IFERROR(__xludf.DUMMYFUNCTION("""COMPUTED_VALUE"""),"")</f>
        <v/>
      </c>
      <c r="I135" s="134" t="str">
        <f ca="1">IFERROR(__xludf.DUMMYFUNCTION("""COMPUTED_VALUE"""),"")</f>
        <v/>
      </c>
      <c r="J135" s="134" t="str">
        <f ca="1">IFERROR(__xludf.DUMMYFUNCTION("""COMPUTED_VALUE"""),"")</f>
        <v/>
      </c>
      <c r="N135" s="31"/>
    </row>
    <row r="136" spans="1:14" customFormat="1">
      <c r="A136" s="134" t="str">
        <f ca="1">IFERROR(__xludf.DUMMYFUNCTION("""COMPUTED_VALUE"""),"")</f>
        <v/>
      </c>
      <c r="B136" s="134" t="str">
        <f ca="1">IFERROR(__xludf.DUMMYFUNCTION("""COMPUTED_VALUE"""),"")</f>
        <v/>
      </c>
      <c r="C136" s="134" t="str">
        <f ca="1">IFERROR(__xludf.DUMMYFUNCTION("""COMPUTED_VALUE"""),"")</f>
        <v/>
      </c>
      <c r="D136" s="134" t="str">
        <f ca="1">IFERROR(__xludf.DUMMYFUNCTION("""COMPUTED_VALUE"""),"")</f>
        <v/>
      </c>
      <c r="E136" s="134" t="str">
        <f ca="1">IFERROR(__xludf.DUMMYFUNCTION("""COMPUTED_VALUE"""),"")</f>
        <v/>
      </c>
      <c r="F136" s="134" t="str">
        <f ca="1">IFERROR(__xludf.DUMMYFUNCTION("""COMPUTED_VALUE"""),"")</f>
        <v/>
      </c>
      <c r="G136" s="134" t="str">
        <f ca="1">IFERROR(__xludf.DUMMYFUNCTION("""COMPUTED_VALUE"""),"")</f>
        <v/>
      </c>
      <c r="H136" s="134" t="str">
        <f ca="1">IFERROR(__xludf.DUMMYFUNCTION("""COMPUTED_VALUE"""),"")</f>
        <v/>
      </c>
      <c r="I136" s="134" t="str">
        <f ca="1">IFERROR(__xludf.DUMMYFUNCTION("""COMPUTED_VALUE"""),"")</f>
        <v/>
      </c>
      <c r="J136" s="134" t="str">
        <f ca="1">IFERROR(__xludf.DUMMYFUNCTION("""COMPUTED_VALUE"""),"")</f>
        <v/>
      </c>
      <c r="N136" s="31"/>
    </row>
    <row r="137" spans="1:14" customFormat="1">
      <c r="A137" s="134" t="str">
        <f ca="1">IFERROR(__xludf.DUMMYFUNCTION("""COMPUTED_VALUE"""),"")</f>
        <v/>
      </c>
      <c r="B137" s="134" t="str">
        <f ca="1">IFERROR(__xludf.DUMMYFUNCTION("""COMPUTED_VALUE"""),"")</f>
        <v/>
      </c>
      <c r="C137" s="134" t="str">
        <f ca="1">IFERROR(__xludf.DUMMYFUNCTION("""COMPUTED_VALUE"""),"")</f>
        <v/>
      </c>
      <c r="D137" s="134" t="str">
        <f ca="1">IFERROR(__xludf.DUMMYFUNCTION("""COMPUTED_VALUE"""),"")</f>
        <v/>
      </c>
      <c r="E137" s="134" t="str">
        <f ca="1">IFERROR(__xludf.DUMMYFUNCTION("""COMPUTED_VALUE"""),"")</f>
        <v/>
      </c>
      <c r="F137" s="134" t="str">
        <f ca="1">IFERROR(__xludf.DUMMYFUNCTION("""COMPUTED_VALUE"""),"")</f>
        <v/>
      </c>
      <c r="G137" s="134" t="str">
        <f ca="1">IFERROR(__xludf.DUMMYFUNCTION("""COMPUTED_VALUE"""),"")</f>
        <v/>
      </c>
      <c r="H137" s="134" t="str">
        <f ca="1">IFERROR(__xludf.DUMMYFUNCTION("""COMPUTED_VALUE"""),"")</f>
        <v/>
      </c>
      <c r="I137" s="134" t="str">
        <f ca="1">IFERROR(__xludf.DUMMYFUNCTION("""COMPUTED_VALUE"""),"")</f>
        <v/>
      </c>
      <c r="J137" s="134" t="str">
        <f ca="1">IFERROR(__xludf.DUMMYFUNCTION("""COMPUTED_VALUE"""),"")</f>
        <v/>
      </c>
      <c r="N137" s="31"/>
    </row>
    <row r="138" spans="1:14" customFormat="1">
      <c r="A138" s="134" t="str">
        <f ca="1">IFERROR(__xludf.DUMMYFUNCTION("""COMPUTED_VALUE"""),"")</f>
        <v/>
      </c>
      <c r="B138" s="134" t="str">
        <f ca="1">IFERROR(__xludf.DUMMYFUNCTION("""COMPUTED_VALUE"""),"")</f>
        <v/>
      </c>
      <c r="C138" s="134" t="str">
        <f ca="1">IFERROR(__xludf.DUMMYFUNCTION("""COMPUTED_VALUE"""),"")</f>
        <v/>
      </c>
      <c r="D138" s="134" t="str">
        <f ca="1">IFERROR(__xludf.DUMMYFUNCTION("""COMPUTED_VALUE"""),"")</f>
        <v/>
      </c>
      <c r="E138" s="134" t="str">
        <f ca="1">IFERROR(__xludf.DUMMYFUNCTION("""COMPUTED_VALUE"""),"")</f>
        <v/>
      </c>
      <c r="F138" s="134" t="str">
        <f ca="1">IFERROR(__xludf.DUMMYFUNCTION("""COMPUTED_VALUE"""),"")</f>
        <v/>
      </c>
      <c r="G138" s="134" t="str">
        <f ca="1">IFERROR(__xludf.DUMMYFUNCTION("""COMPUTED_VALUE"""),"")</f>
        <v/>
      </c>
      <c r="H138" s="134" t="str">
        <f ca="1">IFERROR(__xludf.DUMMYFUNCTION("""COMPUTED_VALUE"""),"")</f>
        <v/>
      </c>
      <c r="I138" s="134" t="str">
        <f ca="1">IFERROR(__xludf.DUMMYFUNCTION("""COMPUTED_VALUE"""),"")</f>
        <v/>
      </c>
      <c r="J138" s="134" t="str">
        <f ca="1">IFERROR(__xludf.DUMMYFUNCTION("""COMPUTED_VALUE"""),"")</f>
        <v/>
      </c>
      <c r="N138" s="31"/>
    </row>
    <row r="139" spans="1:14" customFormat="1">
      <c r="A139" s="134" t="str">
        <f ca="1">IFERROR(__xludf.DUMMYFUNCTION("""COMPUTED_VALUE"""),"")</f>
        <v/>
      </c>
      <c r="B139" s="134" t="str">
        <f ca="1">IFERROR(__xludf.DUMMYFUNCTION("""COMPUTED_VALUE"""),"")</f>
        <v/>
      </c>
      <c r="C139" s="134" t="str">
        <f ca="1">IFERROR(__xludf.DUMMYFUNCTION("""COMPUTED_VALUE"""),"")</f>
        <v/>
      </c>
      <c r="D139" s="134" t="str">
        <f ca="1">IFERROR(__xludf.DUMMYFUNCTION("""COMPUTED_VALUE"""),"")</f>
        <v/>
      </c>
      <c r="E139" s="134" t="str">
        <f ca="1">IFERROR(__xludf.DUMMYFUNCTION("""COMPUTED_VALUE"""),"")</f>
        <v/>
      </c>
      <c r="F139" s="134" t="str">
        <f ca="1">IFERROR(__xludf.DUMMYFUNCTION("""COMPUTED_VALUE"""),"")</f>
        <v/>
      </c>
      <c r="G139" s="134" t="str">
        <f ca="1">IFERROR(__xludf.DUMMYFUNCTION("""COMPUTED_VALUE"""),"")</f>
        <v/>
      </c>
      <c r="H139" s="134" t="str">
        <f ca="1">IFERROR(__xludf.DUMMYFUNCTION("""COMPUTED_VALUE"""),"")</f>
        <v/>
      </c>
      <c r="I139" s="134" t="str">
        <f ca="1">IFERROR(__xludf.DUMMYFUNCTION("""COMPUTED_VALUE"""),"")</f>
        <v/>
      </c>
      <c r="J139" s="134" t="str">
        <f ca="1">IFERROR(__xludf.DUMMYFUNCTION("""COMPUTED_VALUE"""),"")</f>
        <v/>
      </c>
      <c r="N139" s="31"/>
    </row>
    <row r="140" spans="1:14" customFormat="1">
      <c r="A140" s="134" t="str">
        <f ca="1">IFERROR(__xludf.DUMMYFUNCTION("""COMPUTED_VALUE"""),"")</f>
        <v/>
      </c>
      <c r="B140" s="134" t="str">
        <f ca="1">IFERROR(__xludf.DUMMYFUNCTION("""COMPUTED_VALUE"""),"")</f>
        <v/>
      </c>
      <c r="C140" s="134" t="str">
        <f ca="1">IFERROR(__xludf.DUMMYFUNCTION("""COMPUTED_VALUE"""),"")</f>
        <v/>
      </c>
      <c r="D140" s="134" t="str">
        <f ca="1">IFERROR(__xludf.DUMMYFUNCTION("""COMPUTED_VALUE"""),"")</f>
        <v/>
      </c>
      <c r="E140" s="134" t="str">
        <f ca="1">IFERROR(__xludf.DUMMYFUNCTION("""COMPUTED_VALUE"""),"")</f>
        <v/>
      </c>
      <c r="F140" s="134" t="str">
        <f ca="1">IFERROR(__xludf.DUMMYFUNCTION("""COMPUTED_VALUE"""),"")</f>
        <v/>
      </c>
      <c r="G140" s="134" t="str">
        <f ca="1">IFERROR(__xludf.DUMMYFUNCTION("""COMPUTED_VALUE"""),"")</f>
        <v/>
      </c>
      <c r="H140" s="134" t="str">
        <f ca="1">IFERROR(__xludf.DUMMYFUNCTION("""COMPUTED_VALUE"""),"")</f>
        <v/>
      </c>
      <c r="I140" s="134" t="str">
        <f ca="1">IFERROR(__xludf.DUMMYFUNCTION("""COMPUTED_VALUE"""),"")</f>
        <v/>
      </c>
      <c r="J140" s="134" t="str">
        <f ca="1">IFERROR(__xludf.DUMMYFUNCTION("""COMPUTED_VALUE"""),"")</f>
        <v/>
      </c>
      <c r="N140" s="31"/>
    </row>
    <row r="141" spans="1:14" customFormat="1">
      <c r="A141" s="134" t="str">
        <f ca="1">IFERROR(__xludf.DUMMYFUNCTION("""COMPUTED_VALUE"""),"")</f>
        <v/>
      </c>
      <c r="B141" s="134" t="str">
        <f ca="1">IFERROR(__xludf.DUMMYFUNCTION("""COMPUTED_VALUE"""),"")</f>
        <v/>
      </c>
      <c r="C141" s="134" t="str">
        <f ca="1">IFERROR(__xludf.DUMMYFUNCTION("""COMPUTED_VALUE"""),"")</f>
        <v/>
      </c>
      <c r="D141" s="134" t="str">
        <f ca="1">IFERROR(__xludf.DUMMYFUNCTION("""COMPUTED_VALUE"""),"")</f>
        <v/>
      </c>
      <c r="E141" s="134" t="str">
        <f ca="1">IFERROR(__xludf.DUMMYFUNCTION("""COMPUTED_VALUE"""),"")</f>
        <v/>
      </c>
      <c r="F141" s="134" t="str">
        <f ca="1">IFERROR(__xludf.DUMMYFUNCTION("""COMPUTED_VALUE"""),"")</f>
        <v/>
      </c>
      <c r="G141" s="134" t="str">
        <f ca="1">IFERROR(__xludf.DUMMYFUNCTION("""COMPUTED_VALUE"""),"")</f>
        <v/>
      </c>
      <c r="H141" s="134" t="str">
        <f ca="1">IFERROR(__xludf.DUMMYFUNCTION("""COMPUTED_VALUE"""),"")</f>
        <v/>
      </c>
      <c r="I141" s="134" t="str">
        <f ca="1">IFERROR(__xludf.DUMMYFUNCTION("""COMPUTED_VALUE"""),"")</f>
        <v/>
      </c>
      <c r="J141" s="134" t="str">
        <f ca="1">IFERROR(__xludf.DUMMYFUNCTION("""COMPUTED_VALUE"""),"")</f>
        <v/>
      </c>
      <c r="N141" s="31"/>
    </row>
    <row r="142" spans="1:14" customFormat="1">
      <c r="A142" s="134" t="str">
        <f ca="1">IFERROR(__xludf.DUMMYFUNCTION("""COMPUTED_VALUE"""),"")</f>
        <v/>
      </c>
      <c r="B142" s="134" t="str">
        <f ca="1">IFERROR(__xludf.DUMMYFUNCTION("""COMPUTED_VALUE"""),"")</f>
        <v/>
      </c>
      <c r="C142" s="134" t="str">
        <f ca="1">IFERROR(__xludf.DUMMYFUNCTION("""COMPUTED_VALUE"""),"")</f>
        <v/>
      </c>
      <c r="D142" s="134" t="str">
        <f ca="1">IFERROR(__xludf.DUMMYFUNCTION("""COMPUTED_VALUE"""),"")</f>
        <v/>
      </c>
      <c r="E142" s="134" t="str">
        <f ca="1">IFERROR(__xludf.DUMMYFUNCTION("""COMPUTED_VALUE"""),"")</f>
        <v/>
      </c>
      <c r="F142" s="134" t="str">
        <f ca="1">IFERROR(__xludf.DUMMYFUNCTION("""COMPUTED_VALUE"""),"")</f>
        <v/>
      </c>
      <c r="G142" s="134" t="str">
        <f ca="1">IFERROR(__xludf.DUMMYFUNCTION("""COMPUTED_VALUE"""),"")</f>
        <v/>
      </c>
      <c r="H142" s="134" t="str">
        <f ca="1">IFERROR(__xludf.DUMMYFUNCTION("""COMPUTED_VALUE"""),"")</f>
        <v/>
      </c>
      <c r="I142" s="134" t="str">
        <f ca="1">IFERROR(__xludf.DUMMYFUNCTION("""COMPUTED_VALUE"""),"")</f>
        <v/>
      </c>
      <c r="J142" s="134" t="str">
        <f ca="1">IFERROR(__xludf.DUMMYFUNCTION("""COMPUTED_VALUE"""),"")</f>
        <v/>
      </c>
      <c r="N142" s="31"/>
    </row>
    <row r="143" spans="1:14" customFormat="1">
      <c r="A143" s="134" t="str">
        <f ca="1">IFERROR(__xludf.DUMMYFUNCTION("""COMPUTED_VALUE"""),"")</f>
        <v/>
      </c>
      <c r="B143" s="134" t="str">
        <f ca="1">IFERROR(__xludf.DUMMYFUNCTION("""COMPUTED_VALUE"""),"")</f>
        <v/>
      </c>
      <c r="C143" s="134" t="str">
        <f ca="1">IFERROR(__xludf.DUMMYFUNCTION("""COMPUTED_VALUE"""),"")</f>
        <v/>
      </c>
      <c r="D143" s="134" t="str">
        <f ca="1">IFERROR(__xludf.DUMMYFUNCTION("""COMPUTED_VALUE"""),"")</f>
        <v/>
      </c>
      <c r="E143" s="134" t="str">
        <f ca="1">IFERROR(__xludf.DUMMYFUNCTION("""COMPUTED_VALUE"""),"")</f>
        <v/>
      </c>
      <c r="F143" s="134" t="str">
        <f ca="1">IFERROR(__xludf.DUMMYFUNCTION("""COMPUTED_VALUE"""),"")</f>
        <v/>
      </c>
      <c r="G143" s="134" t="str">
        <f ca="1">IFERROR(__xludf.DUMMYFUNCTION("""COMPUTED_VALUE"""),"")</f>
        <v/>
      </c>
      <c r="H143" s="134" t="str">
        <f ca="1">IFERROR(__xludf.DUMMYFUNCTION("""COMPUTED_VALUE"""),"")</f>
        <v/>
      </c>
      <c r="I143" s="134" t="str">
        <f ca="1">IFERROR(__xludf.DUMMYFUNCTION("""COMPUTED_VALUE"""),"")</f>
        <v/>
      </c>
      <c r="J143" s="134" t="str">
        <f ca="1">IFERROR(__xludf.DUMMYFUNCTION("""COMPUTED_VALUE"""),"")</f>
        <v/>
      </c>
      <c r="N143" s="31"/>
    </row>
    <row r="144" spans="1:14" customFormat="1">
      <c r="A144" s="134" t="str">
        <f ca="1">IFERROR(__xludf.DUMMYFUNCTION("""COMPUTED_VALUE"""),"")</f>
        <v/>
      </c>
      <c r="B144" s="134" t="str">
        <f ca="1">IFERROR(__xludf.DUMMYFUNCTION("""COMPUTED_VALUE"""),"")</f>
        <v/>
      </c>
      <c r="C144" s="134" t="str">
        <f ca="1">IFERROR(__xludf.DUMMYFUNCTION("""COMPUTED_VALUE"""),"")</f>
        <v/>
      </c>
      <c r="D144" s="134" t="str">
        <f ca="1">IFERROR(__xludf.DUMMYFUNCTION("""COMPUTED_VALUE"""),"")</f>
        <v/>
      </c>
      <c r="E144" s="134" t="str">
        <f ca="1">IFERROR(__xludf.DUMMYFUNCTION("""COMPUTED_VALUE"""),"")</f>
        <v/>
      </c>
      <c r="F144" s="134" t="str">
        <f ca="1">IFERROR(__xludf.DUMMYFUNCTION("""COMPUTED_VALUE"""),"")</f>
        <v/>
      </c>
      <c r="G144" s="134" t="str">
        <f ca="1">IFERROR(__xludf.DUMMYFUNCTION("""COMPUTED_VALUE"""),"")</f>
        <v/>
      </c>
      <c r="H144" s="134" t="str">
        <f ca="1">IFERROR(__xludf.DUMMYFUNCTION("""COMPUTED_VALUE"""),"")</f>
        <v/>
      </c>
      <c r="I144" s="134" t="str">
        <f ca="1">IFERROR(__xludf.DUMMYFUNCTION("""COMPUTED_VALUE"""),"")</f>
        <v/>
      </c>
      <c r="J144" s="134" t="str">
        <f ca="1">IFERROR(__xludf.DUMMYFUNCTION("""COMPUTED_VALUE"""),"")</f>
        <v/>
      </c>
      <c r="N144" s="31"/>
    </row>
    <row r="145" spans="1:14" customFormat="1">
      <c r="A145" s="134" t="str">
        <f ca="1">IFERROR(__xludf.DUMMYFUNCTION("""COMPUTED_VALUE"""),"")</f>
        <v/>
      </c>
      <c r="B145" s="134" t="str">
        <f ca="1">IFERROR(__xludf.DUMMYFUNCTION("""COMPUTED_VALUE"""),"")</f>
        <v/>
      </c>
      <c r="C145" s="134" t="str">
        <f ca="1">IFERROR(__xludf.DUMMYFUNCTION("""COMPUTED_VALUE"""),"")</f>
        <v/>
      </c>
      <c r="D145" s="134" t="str">
        <f ca="1">IFERROR(__xludf.DUMMYFUNCTION("""COMPUTED_VALUE"""),"")</f>
        <v/>
      </c>
      <c r="E145" s="134" t="str">
        <f ca="1">IFERROR(__xludf.DUMMYFUNCTION("""COMPUTED_VALUE"""),"")</f>
        <v/>
      </c>
      <c r="F145" s="134" t="str">
        <f ca="1">IFERROR(__xludf.DUMMYFUNCTION("""COMPUTED_VALUE"""),"")</f>
        <v/>
      </c>
      <c r="G145" s="134" t="str">
        <f ca="1">IFERROR(__xludf.DUMMYFUNCTION("""COMPUTED_VALUE"""),"")</f>
        <v/>
      </c>
      <c r="H145" s="134" t="str">
        <f ca="1">IFERROR(__xludf.DUMMYFUNCTION("""COMPUTED_VALUE"""),"")</f>
        <v/>
      </c>
      <c r="I145" s="134" t="str">
        <f ca="1">IFERROR(__xludf.DUMMYFUNCTION("""COMPUTED_VALUE"""),"")</f>
        <v/>
      </c>
      <c r="J145" s="134" t="str">
        <f ca="1">IFERROR(__xludf.DUMMYFUNCTION("""COMPUTED_VALUE"""),"")</f>
        <v/>
      </c>
      <c r="N145" s="31"/>
    </row>
    <row r="146" spans="1:14" customFormat="1">
      <c r="A146" s="134" t="str">
        <f ca="1">IFERROR(__xludf.DUMMYFUNCTION("""COMPUTED_VALUE"""),"")</f>
        <v/>
      </c>
      <c r="B146" s="134" t="str">
        <f ca="1">IFERROR(__xludf.DUMMYFUNCTION("""COMPUTED_VALUE"""),"")</f>
        <v/>
      </c>
      <c r="C146" s="134" t="str">
        <f ca="1">IFERROR(__xludf.DUMMYFUNCTION("""COMPUTED_VALUE"""),"")</f>
        <v/>
      </c>
      <c r="D146" s="134" t="str">
        <f ca="1">IFERROR(__xludf.DUMMYFUNCTION("""COMPUTED_VALUE"""),"")</f>
        <v/>
      </c>
      <c r="E146" s="134" t="str">
        <f ca="1">IFERROR(__xludf.DUMMYFUNCTION("""COMPUTED_VALUE"""),"")</f>
        <v/>
      </c>
      <c r="F146" s="134" t="str">
        <f ca="1">IFERROR(__xludf.DUMMYFUNCTION("""COMPUTED_VALUE"""),"")</f>
        <v/>
      </c>
      <c r="G146" s="134" t="str">
        <f ca="1">IFERROR(__xludf.DUMMYFUNCTION("""COMPUTED_VALUE"""),"")</f>
        <v/>
      </c>
      <c r="H146" s="134" t="str">
        <f ca="1">IFERROR(__xludf.DUMMYFUNCTION("""COMPUTED_VALUE"""),"")</f>
        <v/>
      </c>
      <c r="I146" s="134" t="str">
        <f ca="1">IFERROR(__xludf.DUMMYFUNCTION("""COMPUTED_VALUE"""),"")</f>
        <v/>
      </c>
      <c r="J146" s="134" t="str">
        <f ca="1">IFERROR(__xludf.DUMMYFUNCTION("""COMPUTED_VALUE"""),"")</f>
        <v/>
      </c>
      <c r="N146" s="31"/>
    </row>
    <row r="147" spans="1:14" customFormat="1">
      <c r="A147" s="134" t="str">
        <f ca="1">IFERROR(__xludf.DUMMYFUNCTION("""COMPUTED_VALUE"""),"")</f>
        <v/>
      </c>
      <c r="B147" s="134" t="str">
        <f ca="1">IFERROR(__xludf.DUMMYFUNCTION("""COMPUTED_VALUE"""),"")</f>
        <v/>
      </c>
      <c r="C147" s="134" t="str">
        <f ca="1">IFERROR(__xludf.DUMMYFUNCTION("""COMPUTED_VALUE"""),"")</f>
        <v/>
      </c>
      <c r="D147" s="134" t="str">
        <f ca="1">IFERROR(__xludf.DUMMYFUNCTION("""COMPUTED_VALUE"""),"")</f>
        <v/>
      </c>
      <c r="E147" s="134" t="str">
        <f ca="1">IFERROR(__xludf.DUMMYFUNCTION("""COMPUTED_VALUE"""),"")</f>
        <v/>
      </c>
      <c r="F147" s="134" t="str">
        <f ca="1">IFERROR(__xludf.DUMMYFUNCTION("""COMPUTED_VALUE"""),"")</f>
        <v/>
      </c>
      <c r="G147" s="134" t="str">
        <f ca="1">IFERROR(__xludf.DUMMYFUNCTION("""COMPUTED_VALUE"""),"")</f>
        <v/>
      </c>
      <c r="H147" s="134" t="str">
        <f ca="1">IFERROR(__xludf.DUMMYFUNCTION("""COMPUTED_VALUE"""),"")</f>
        <v/>
      </c>
      <c r="I147" s="134" t="str">
        <f ca="1">IFERROR(__xludf.DUMMYFUNCTION("""COMPUTED_VALUE"""),"")</f>
        <v/>
      </c>
      <c r="J147" s="134" t="str">
        <f ca="1">IFERROR(__xludf.DUMMYFUNCTION("""COMPUTED_VALUE"""),"")</f>
        <v/>
      </c>
      <c r="N147" s="31"/>
    </row>
    <row r="148" spans="1:14" customFormat="1">
      <c r="A148" s="134" t="str">
        <f ca="1">IFERROR(__xludf.DUMMYFUNCTION("""COMPUTED_VALUE"""),"")</f>
        <v/>
      </c>
      <c r="B148" s="134" t="str">
        <f ca="1">IFERROR(__xludf.DUMMYFUNCTION("""COMPUTED_VALUE"""),"")</f>
        <v/>
      </c>
      <c r="C148" s="134" t="str">
        <f ca="1">IFERROR(__xludf.DUMMYFUNCTION("""COMPUTED_VALUE"""),"")</f>
        <v/>
      </c>
      <c r="D148" s="134" t="str">
        <f ca="1">IFERROR(__xludf.DUMMYFUNCTION("""COMPUTED_VALUE"""),"")</f>
        <v/>
      </c>
      <c r="E148" s="134" t="str">
        <f ca="1">IFERROR(__xludf.DUMMYFUNCTION("""COMPUTED_VALUE"""),"")</f>
        <v/>
      </c>
      <c r="F148" s="134" t="str">
        <f ca="1">IFERROR(__xludf.DUMMYFUNCTION("""COMPUTED_VALUE"""),"")</f>
        <v/>
      </c>
      <c r="G148" s="134" t="str">
        <f ca="1">IFERROR(__xludf.DUMMYFUNCTION("""COMPUTED_VALUE"""),"")</f>
        <v/>
      </c>
      <c r="H148" s="134" t="str">
        <f ca="1">IFERROR(__xludf.DUMMYFUNCTION("""COMPUTED_VALUE"""),"")</f>
        <v/>
      </c>
      <c r="I148" s="134" t="str">
        <f ca="1">IFERROR(__xludf.DUMMYFUNCTION("""COMPUTED_VALUE"""),"")</f>
        <v/>
      </c>
      <c r="J148" s="134" t="str">
        <f ca="1">IFERROR(__xludf.DUMMYFUNCTION("""COMPUTED_VALUE"""),"")</f>
        <v/>
      </c>
      <c r="N148" s="31"/>
    </row>
    <row r="149" spans="1:14" customFormat="1">
      <c r="A149" s="134" t="str">
        <f ca="1">IFERROR(__xludf.DUMMYFUNCTION("""COMPUTED_VALUE"""),"")</f>
        <v/>
      </c>
      <c r="B149" s="134" t="str">
        <f ca="1">IFERROR(__xludf.DUMMYFUNCTION("""COMPUTED_VALUE"""),"")</f>
        <v/>
      </c>
      <c r="C149" s="134" t="str">
        <f ca="1">IFERROR(__xludf.DUMMYFUNCTION("""COMPUTED_VALUE"""),"")</f>
        <v/>
      </c>
      <c r="D149" s="134" t="str">
        <f ca="1">IFERROR(__xludf.DUMMYFUNCTION("""COMPUTED_VALUE"""),"")</f>
        <v/>
      </c>
      <c r="E149" s="134" t="str">
        <f ca="1">IFERROR(__xludf.DUMMYFUNCTION("""COMPUTED_VALUE"""),"")</f>
        <v/>
      </c>
      <c r="F149" s="134" t="str">
        <f ca="1">IFERROR(__xludf.DUMMYFUNCTION("""COMPUTED_VALUE"""),"")</f>
        <v/>
      </c>
      <c r="G149" s="134" t="str">
        <f ca="1">IFERROR(__xludf.DUMMYFUNCTION("""COMPUTED_VALUE"""),"")</f>
        <v/>
      </c>
      <c r="H149" s="134" t="str">
        <f ca="1">IFERROR(__xludf.DUMMYFUNCTION("""COMPUTED_VALUE"""),"")</f>
        <v/>
      </c>
      <c r="I149" s="134" t="str">
        <f ca="1">IFERROR(__xludf.DUMMYFUNCTION("""COMPUTED_VALUE"""),"")</f>
        <v/>
      </c>
      <c r="J149" s="134" t="str">
        <f ca="1">IFERROR(__xludf.DUMMYFUNCTION("""COMPUTED_VALUE"""),"")</f>
        <v/>
      </c>
      <c r="N149" s="31"/>
    </row>
    <row r="150" spans="1:14" customFormat="1">
      <c r="A150" s="134" t="str">
        <f ca="1">IFERROR(__xludf.DUMMYFUNCTION("""COMPUTED_VALUE"""),"")</f>
        <v/>
      </c>
      <c r="B150" s="134" t="str">
        <f ca="1">IFERROR(__xludf.DUMMYFUNCTION("""COMPUTED_VALUE"""),"")</f>
        <v/>
      </c>
      <c r="C150" s="134" t="str">
        <f ca="1">IFERROR(__xludf.DUMMYFUNCTION("""COMPUTED_VALUE"""),"")</f>
        <v/>
      </c>
      <c r="D150" s="134" t="str">
        <f ca="1">IFERROR(__xludf.DUMMYFUNCTION("""COMPUTED_VALUE"""),"")</f>
        <v/>
      </c>
      <c r="E150" s="134" t="str">
        <f ca="1">IFERROR(__xludf.DUMMYFUNCTION("""COMPUTED_VALUE"""),"")</f>
        <v/>
      </c>
      <c r="F150" s="134" t="str">
        <f ca="1">IFERROR(__xludf.DUMMYFUNCTION("""COMPUTED_VALUE"""),"")</f>
        <v/>
      </c>
      <c r="G150" s="134" t="str">
        <f ca="1">IFERROR(__xludf.DUMMYFUNCTION("""COMPUTED_VALUE"""),"")</f>
        <v/>
      </c>
      <c r="H150" s="134" t="str">
        <f ca="1">IFERROR(__xludf.DUMMYFUNCTION("""COMPUTED_VALUE"""),"")</f>
        <v/>
      </c>
      <c r="I150" s="134" t="str">
        <f ca="1">IFERROR(__xludf.DUMMYFUNCTION("""COMPUTED_VALUE"""),"")</f>
        <v/>
      </c>
      <c r="J150" s="134" t="str">
        <f ca="1">IFERROR(__xludf.DUMMYFUNCTION("""COMPUTED_VALUE"""),"")</f>
        <v/>
      </c>
      <c r="N150" s="31"/>
    </row>
    <row r="151" spans="1:14" customFormat="1">
      <c r="A151" s="134" t="str">
        <f ca="1">IFERROR(__xludf.DUMMYFUNCTION("""COMPUTED_VALUE"""),"")</f>
        <v/>
      </c>
      <c r="B151" s="134" t="str">
        <f ca="1">IFERROR(__xludf.DUMMYFUNCTION("""COMPUTED_VALUE"""),"")</f>
        <v/>
      </c>
      <c r="C151" s="134" t="str">
        <f ca="1">IFERROR(__xludf.DUMMYFUNCTION("""COMPUTED_VALUE"""),"")</f>
        <v/>
      </c>
      <c r="D151" s="134" t="str">
        <f ca="1">IFERROR(__xludf.DUMMYFUNCTION("""COMPUTED_VALUE"""),"")</f>
        <v/>
      </c>
      <c r="E151" s="134" t="str">
        <f ca="1">IFERROR(__xludf.DUMMYFUNCTION("""COMPUTED_VALUE"""),"")</f>
        <v/>
      </c>
      <c r="F151" s="134" t="str">
        <f ca="1">IFERROR(__xludf.DUMMYFUNCTION("""COMPUTED_VALUE"""),"")</f>
        <v/>
      </c>
      <c r="G151" s="134" t="str">
        <f ca="1">IFERROR(__xludf.DUMMYFUNCTION("""COMPUTED_VALUE"""),"")</f>
        <v/>
      </c>
      <c r="H151" s="134" t="str">
        <f ca="1">IFERROR(__xludf.DUMMYFUNCTION("""COMPUTED_VALUE"""),"")</f>
        <v/>
      </c>
      <c r="I151" s="134" t="str">
        <f ca="1">IFERROR(__xludf.DUMMYFUNCTION("""COMPUTED_VALUE"""),"")</f>
        <v/>
      </c>
      <c r="J151" s="134" t="str">
        <f ca="1">IFERROR(__xludf.DUMMYFUNCTION("""COMPUTED_VALUE"""),"")</f>
        <v/>
      </c>
      <c r="N151" s="31"/>
    </row>
    <row r="152" spans="1:14" customFormat="1">
      <c r="A152" s="134" t="str">
        <f ca="1">IFERROR(__xludf.DUMMYFUNCTION("""COMPUTED_VALUE"""),"")</f>
        <v/>
      </c>
      <c r="B152" s="134" t="str">
        <f ca="1">IFERROR(__xludf.DUMMYFUNCTION("""COMPUTED_VALUE"""),"")</f>
        <v/>
      </c>
      <c r="C152" s="134" t="str">
        <f ca="1">IFERROR(__xludf.DUMMYFUNCTION("""COMPUTED_VALUE"""),"")</f>
        <v/>
      </c>
      <c r="D152" s="134" t="str">
        <f ca="1">IFERROR(__xludf.DUMMYFUNCTION("""COMPUTED_VALUE"""),"")</f>
        <v/>
      </c>
      <c r="E152" s="134" t="str">
        <f ca="1">IFERROR(__xludf.DUMMYFUNCTION("""COMPUTED_VALUE"""),"")</f>
        <v/>
      </c>
      <c r="F152" s="134" t="str">
        <f ca="1">IFERROR(__xludf.DUMMYFUNCTION("""COMPUTED_VALUE"""),"")</f>
        <v/>
      </c>
      <c r="G152" s="134" t="str">
        <f ca="1">IFERROR(__xludf.DUMMYFUNCTION("""COMPUTED_VALUE"""),"")</f>
        <v/>
      </c>
      <c r="H152" s="134" t="str">
        <f ca="1">IFERROR(__xludf.DUMMYFUNCTION("""COMPUTED_VALUE"""),"")</f>
        <v/>
      </c>
      <c r="I152" s="134" t="str">
        <f ca="1">IFERROR(__xludf.DUMMYFUNCTION("""COMPUTED_VALUE"""),"")</f>
        <v/>
      </c>
      <c r="J152" s="134" t="str">
        <f ca="1">IFERROR(__xludf.DUMMYFUNCTION("""COMPUTED_VALUE"""),"")</f>
        <v/>
      </c>
      <c r="N152" s="31"/>
    </row>
    <row r="153" spans="1:14" customFormat="1">
      <c r="A153" s="134" t="str">
        <f ca="1">IFERROR(__xludf.DUMMYFUNCTION("""COMPUTED_VALUE"""),"")</f>
        <v/>
      </c>
      <c r="B153" s="134" t="str">
        <f ca="1">IFERROR(__xludf.DUMMYFUNCTION("""COMPUTED_VALUE"""),"")</f>
        <v/>
      </c>
      <c r="C153" s="134" t="str">
        <f ca="1">IFERROR(__xludf.DUMMYFUNCTION("""COMPUTED_VALUE"""),"")</f>
        <v/>
      </c>
      <c r="D153" s="134" t="str">
        <f ca="1">IFERROR(__xludf.DUMMYFUNCTION("""COMPUTED_VALUE"""),"")</f>
        <v/>
      </c>
      <c r="E153" s="134" t="str">
        <f ca="1">IFERROR(__xludf.DUMMYFUNCTION("""COMPUTED_VALUE"""),"")</f>
        <v/>
      </c>
      <c r="F153" s="134" t="str">
        <f ca="1">IFERROR(__xludf.DUMMYFUNCTION("""COMPUTED_VALUE"""),"")</f>
        <v/>
      </c>
      <c r="G153" s="134" t="str">
        <f ca="1">IFERROR(__xludf.DUMMYFUNCTION("""COMPUTED_VALUE"""),"")</f>
        <v/>
      </c>
      <c r="H153" s="134" t="str">
        <f ca="1">IFERROR(__xludf.DUMMYFUNCTION("""COMPUTED_VALUE"""),"")</f>
        <v/>
      </c>
      <c r="I153" s="134" t="str">
        <f ca="1">IFERROR(__xludf.DUMMYFUNCTION("""COMPUTED_VALUE"""),"")</f>
        <v/>
      </c>
      <c r="J153" s="134" t="str">
        <f ca="1">IFERROR(__xludf.DUMMYFUNCTION("""COMPUTED_VALUE"""),"")</f>
        <v/>
      </c>
      <c r="N153" s="31"/>
    </row>
    <row r="154" spans="1:14" customFormat="1">
      <c r="A154" s="134" t="str">
        <f ca="1">IFERROR(__xludf.DUMMYFUNCTION("""COMPUTED_VALUE"""),"")</f>
        <v/>
      </c>
      <c r="B154" s="134" t="str">
        <f ca="1">IFERROR(__xludf.DUMMYFUNCTION("""COMPUTED_VALUE"""),"")</f>
        <v/>
      </c>
      <c r="C154" s="134" t="str">
        <f ca="1">IFERROR(__xludf.DUMMYFUNCTION("""COMPUTED_VALUE"""),"")</f>
        <v/>
      </c>
      <c r="D154" s="134" t="str">
        <f ca="1">IFERROR(__xludf.DUMMYFUNCTION("""COMPUTED_VALUE"""),"")</f>
        <v/>
      </c>
      <c r="E154" s="134" t="str">
        <f ca="1">IFERROR(__xludf.DUMMYFUNCTION("""COMPUTED_VALUE"""),"")</f>
        <v/>
      </c>
      <c r="F154" s="134" t="str">
        <f ca="1">IFERROR(__xludf.DUMMYFUNCTION("""COMPUTED_VALUE"""),"")</f>
        <v/>
      </c>
      <c r="G154" s="134" t="str">
        <f ca="1">IFERROR(__xludf.DUMMYFUNCTION("""COMPUTED_VALUE"""),"")</f>
        <v/>
      </c>
      <c r="H154" s="134" t="str">
        <f ca="1">IFERROR(__xludf.DUMMYFUNCTION("""COMPUTED_VALUE"""),"")</f>
        <v/>
      </c>
      <c r="I154" s="134" t="str">
        <f ca="1">IFERROR(__xludf.DUMMYFUNCTION("""COMPUTED_VALUE"""),"")</f>
        <v/>
      </c>
      <c r="J154" s="134" t="str">
        <f ca="1">IFERROR(__xludf.DUMMYFUNCTION("""COMPUTED_VALUE"""),"")</f>
        <v/>
      </c>
      <c r="N154" s="31"/>
    </row>
    <row r="155" spans="1:14" customFormat="1">
      <c r="A155" s="134" t="str">
        <f ca="1">IFERROR(__xludf.DUMMYFUNCTION("""COMPUTED_VALUE"""),"")</f>
        <v/>
      </c>
      <c r="B155" s="134" t="str">
        <f ca="1">IFERROR(__xludf.DUMMYFUNCTION("""COMPUTED_VALUE"""),"")</f>
        <v/>
      </c>
      <c r="C155" s="134" t="str">
        <f ca="1">IFERROR(__xludf.DUMMYFUNCTION("""COMPUTED_VALUE"""),"")</f>
        <v/>
      </c>
      <c r="D155" s="134" t="str">
        <f ca="1">IFERROR(__xludf.DUMMYFUNCTION("""COMPUTED_VALUE"""),"")</f>
        <v/>
      </c>
      <c r="E155" s="134" t="str">
        <f ca="1">IFERROR(__xludf.DUMMYFUNCTION("""COMPUTED_VALUE"""),"")</f>
        <v/>
      </c>
      <c r="F155" s="134" t="str">
        <f ca="1">IFERROR(__xludf.DUMMYFUNCTION("""COMPUTED_VALUE"""),"")</f>
        <v/>
      </c>
      <c r="G155" s="134" t="str">
        <f ca="1">IFERROR(__xludf.DUMMYFUNCTION("""COMPUTED_VALUE"""),"")</f>
        <v/>
      </c>
      <c r="H155" s="134" t="str">
        <f ca="1">IFERROR(__xludf.DUMMYFUNCTION("""COMPUTED_VALUE"""),"")</f>
        <v/>
      </c>
      <c r="I155" s="134" t="str">
        <f ca="1">IFERROR(__xludf.DUMMYFUNCTION("""COMPUTED_VALUE"""),"")</f>
        <v/>
      </c>
      <c r="J155" s="134" t="str">
        <f ca="1">IFERROR(__xludf.DUMMYFUNCTION("""COMPUTED_VALUE"""),"")</f>
        <v/>
      </c>
      <c r="N155" s="31"/>
    </row>
    <row r="156" spans="1:14" customFormat="1">
      <c r="A156" s="134" t="str">
        <f ca="1">IFERROR(__xludf.DUMMYFUNCTION("""COMPUTED_VALUE"""),"")</f>
        <v/>
      </c>
      <c r="B156" s="134" t="str">
        <f ca="1">IFERROR(__xludf.DUMMYFUNCTION("""COMPUTED_VALUE"""),"")</f>
        <v/>
      </c>
      <c r="C156" s="134" t="str">
        <f ca="1">IFERROR(__xludf.DUMMYFUNCTION("""COMPUTED_VALUE"""),"")</f>
        <v/>
      </c>
      <c r="D156" s="134" t="str">
        <f ca="1">IFERROR(__xludf.DUMMYFUNCTION("""COMPUTED_VALUE"""),"")</f>
        <v/>
      </c>
      <c r="E156" s="134" t="str">
        <f ca="1">IFERROR(__xludf.DUMMYFUNCTION("""COMPUTED_VALUE"""),"")</f>
        <v/>
      </c>
      <c r="F156" s="134" t="str">
        <f ca="1">IFERROR(__xludf.DUMMYFUNCTION("""COMPUTED_VALUE"""),"")</f>
        <v/>
      </c>
      <c r="G156" s="134" t="str">
        <f ca="1">IFERROR(__xludf.DUMMYFUNCTION("""COMPUTED_VALUE"""),"")</f>
        <v/>
      </c>
      <c r="H156" s="134" t="str">
        <f ca="1">IFERROR(__xludf.DUMMYFUNCTION("""COMPUTED_VALUE"""),"")</f>
        <v/>
      </c>
      <c r="I156" s="134" t="str">
        <f ca="1">IFERROR(__xludf.DUMMYFUNCTION("""COMPUTED_VALUE"""),"")</f>
        <v/>
      </c>
      <c r="J156" s="134" t="str">
        <f ca="1">IFERROR(__xludf.DUMMYFUNCTION("""COMPUTED_VALUE"""),"")</f>
        <v/>
      </c>
      <c r="N156" s="31"/>
    </row>
    <row r="157" spans="1:14" customFormat="1">
      <c r="A157" s="134" t="str">
        <f ca="1">IFERROR(__xludf.DUMMYFUNCTION("""COMPUTED_VALUE"""),"")</f>
        <v/>
      </c>
      <c r="B157" s="134" t="str">
        <f ca="1">IFERROR(__xludf.DUMMYFUNCTION("""COMPUTED_VALUE"""),"")</f>
        <v/>
      </c>
      <c r="C157" s="134" t="str">
        <f ca="1">IFERROR(__xludf.DUMMYFUNCTION("""COMPUTED_VALUE"""),"")</f>
        <v/>
      </c>
      <c r="D157" s="134" t="str">
        <f ca="1">IFERROR(__xludf.DUMMYFUNCTION("""COMPUTED_VALUE"""),"")</f>
        <v/>
      </c>
      <c r="E157" s="134" t="str">
        <f ca="1">IFERROR(__xludf.DUMMYFUNCTION("""COMPUTED_VALUE"""),"")</f>
        <v/>
      </c>
      <c r="F157" s="134" t="str">
        <f ca="1">IFERROR(__xludf.DUMMYFUNCTION("""COMPUTED_VALUE"""),"")</f>
        <v/>
      </c>
      <c r="G157" s="134" t="str">
        <f ca="1">IFERROR(__xludf.DUMMYFUNCTION("""COMPUTED_VALUE"""),"")</f>
        <v/>
      </c>
      <c r="H157" s="134" t="str">
        <f ca="1">IFERROR(__xludf.DUMMYFUNCTION("""COMPUTED_VALUE"""),"")</f>
        <v/>
      </c>
      <c r="I157" s="134" t="str">
        <f ca="1">IFERROR(__xludf.DUMMYFUNCTION("""COMPUTED_VALUE"""),"")</f>
        <v/>
      </c>
      <c r="J157" s="134" t="str">
        <f ca="1">IFERROR(__xludf.DUMMYFUNCTION("""COMPUTED_VALUE"""),"")</f>
        <v/>
      </c>
      <c r="N157" s="31"/>
    </row>
    <row r="158" spans="1:14" customFormat="1">
      <c r="A158" s="134" t="str">
        <f ca="1">IFERROR(__xludf.DUMMYFUNCTION("""COMPUTED_VALUE"""),"")</f>
        <v/>
      </c>
      <c r="B158" s="134" t="str">
        <f ca="1">IFERROR(__xludf.DUMMYFUNCTION("""COMPUTED_VALUE"""),"")</f>
        <v/>
      </c>
      <c r="C158" s="134" t="str">
        <f ca="1">IFERROR(__xludf.DUMMYFUNCTION("""COMPUTED_VALUE"""),"")</f>
        <v/>
      </c>
      <c r="D158" s="134" t="str">
        <f ca="1">IFERROR(__xludf.DUMMYFUNCTION("""COMPUTED_VALUE"""),"")</f>
        <v/>
      </c>
      <c r="E158" s="134" t="str">
        <f ca="1">IFERROR(__xludf.DUMMYFUNCTION("""COMPUTED_VALUE"""),"")</f>
        <v/>
      </c>
      <c r="F158" s="134" t="str">
        <f ca="1">IFERROR(__xludf.DUMMYFUNCTION("""COMPUTED_VALUE"""),"")</f>
        <v/>
      </c>
      <c r="G158" s="134" t="str">
        <f ca="1">IFERROR(__xludf.DUMMYFUNCTION("""COMPUTED_VALUE"""),"")</f>
        <v/>
      </c>
      <c r="H158" s="134" t="str">
        <f ca="1">IFERROR(__xludf.DUMMYFUNCTION("""COMPUTED_VALUE"""),"")</f>
        <v/>
      </c>
      <c r="I158" s="134" t="str">
        <f ca="1">IFERROR(__xludf.DUMMYFUNCTION("""COMPUTED_VALUE"""),"")</f>
        <v/>
      </c>
      <c r="J158" s="134" t="str">
        <f ca="1">IFERROR(__xludf.DUMMYFUNCTION("""COMPUTED_VALUE"""),"")</f>
        <v/>
      </c>
      <c r="N158" s="31"/>
    </row>
    <row r="159" spans="1:14" customFormat="1">
      <c r="A159" s="134" t="str">
        <f ca="1">IFERROR(__xludf.DUMMYFUNCTION("""COMPUTED_VALUE"""),"")</f>
        <v/>
      </c>
      <c r="B159" s="134" t="str">
        <f ca="1">IFERROR(__xludf.DUMMYFUNCTION("""COMPUTED_VALUE"""),"")</f>
        <v/>
      </c>
      <c r="C159" s="134" t="str">
        <f ca="1">IFERROR(__xludf.DUMMYFUNCTION("""COMPUTED_VALUE"""),"")</f>
        <v/>
      </c>
      <c r="D159" s="134" t="str">
        <f ca="1">IFERROR(__xludf.DUMMYFUNCTION("""COMPUTED_VALUE"""),"")</f>
        <v/>
      </c>
      <c r="E159" s="134" t="str">
        <f ca="1">IFERROR(__xludf.DUMMYFUNCTION("""COMPUTED_VALUE"""),"")</f>
        <v/>
      </c>
      <c r="F159" s="134" t="str">
        <f ca="1">IFERROR(__xludf.DUMMYFUNCTION("""COMPUTED_VALUE"""),"")</f>
        <v/>
      </c>
      <c r="G159" s="134" t="str">
        <f ca="1">IFERROR(__xludf.DUMMYFUNCTION("""COMPUTED_VALUE"""),"")</f>
        <v/>
      </c>
      <c r="H159" s="134" t="str">
        <f ca="1">IFERROR(__xludf.DUMMYFUNCTION("""COMPUTED_VALUE"""),"")</f>
        <v/>
      </c>
      <c r="I159" s="134" t="str">
        <f ca="1">IFERROR(__xludf.DUMMYFUNCTION("""COMPUTED_VALUE"""),"")</f>
        <v/>
      </c>
      <c r="J159" s="134" t="str">
        <f ca="1">IFERROR(__xludf.DUMMYFUNCTION("""COMPUTED_VALUE"""),"")</f>
        <v/>
      </c>
      <c r="N159" s="31"/>
    </row>
    <row r="160" spans="1:14" customFormat="1">
      <c r="A160" s="134" t="str">
        <f ca="1">IFERROR(__xludf.DUMMYFUNCTION("""COMPUTED_VALUE"""),"")</f>
        <v/>
      </c>
      <c r="B160" s="134" t="str">
        <f ca="1">IFERROR(__xludf.DUMMYFUNCTION("""COMPUTED_VALUE"""),"")</f>
        <v/>
      </c>
      <c r="C160" s="134" t="str">
        <f ca="1">IFERROR(__xludf.DUMMYFUNCTION("""COMPUTED_VALUE"""),"")</f>
        <v/>
      </c>
      <c r="D160" s="134" t="str">
        <f ca="1">IFERROR(__xludf.DUMMYFUNCTION("""COMPUTED_VALUE"""),"")</f>
        <v/>
      </c>
      <c r="E160" s="134" t="str">
        <f ca="1">IFERROR(__xludf.DUMMYFUNCTION("""COMPUTED_VALUE"""),"")</f>
        <v/>
      </c>
      <c r="F160" s="134" t="str">
        <f ca="1">IFERROR(__xludf.DUMMYFUNCTION("""COMPUTED_VALUE"""),"")</f>
        <v/>
      </c>
      <c r="G160" s="134" t="str">
        <f ca="1">IFERROR(__xludf.DUMMYFUNCTION("""COMPUTED_VALUE"""),"")</f>
        <v/>
      </c>
      <c r="H160" s="134" t="str">
        <f ca="1">IFERROR(__xludf.DUMMYFUNCTION("""COMPUTED_VALUE"""),"")</f>
        <v/>
      </c>
      <c r="I160" s="134" t="str">
        <f ca="1">IFERROR(__xludf.DUMMYFUNCTION("""COMPUTED_VALUE"""),"")</f>
        <v/>
      </c>
      <c r="J160" s="134" t="str">
        <f ca="1">IFERROR(__xludf.DUMMYFUNCTION("""COMPUTED_VALUE"""),"")</f>
        <v/>
      </c>
      <c r="N160" s="31"/>
    </row>
    <row r="161" spans="1:14" customFormat="1">
      <c r="A161" s="134" t="str">
        <f ca="1">IFERROR(__xludf.DUMMYFUNCTION("""COMPUTED_VALUE"""),"")</f>
        <v/>
      </c>
      <c r="B161" s="134" t="str">
        <f ca="1">IFERROR(__xludf.DUMMYFUNCTION("""COMPUTED_VALUE"""),"")</f>
        <v/>
      </c>
      <c r="C161" s="134" t="str">
        <f ca="1">IFERROR(__xludf.DUMMYFUNCTION("""COMPUTED_VALUE"""),"")</f>
        <v/>
      </c>
      <c r="D161" s="134" t="str">
        <f ca="1">IFERROR(__xludf.DUMMYFUNCTION("""COMPUTED_VALUE"""),"")</f>
        <v/>
      </c>
      <c r="E161" s="134" t="str">
        <f ca="1">IFERROR(__xludf.DUMMYFUNCTION("""COMPUTED_VALUE"""),"")</f>
        <v/>
      </c>
      <c r="F161" s="134" t="str">
        <f ca="1">IFERROR(__xludf.DUMMYFUNCTION("""COMPUTED_VALUE"""),"")</f>
        <v/>
      </c>
      <c r="G161" s="134" t="str">
        <f ca="1">IFERROR(__xludf.DUMMYFUNCTION("""COMPUTED_VALUE"""),"")</f>
        <v/>
      </c>
      <c r="H161" s="134" t="str">
        <f ca="1">IFERROR(__xludf.DUMMYFUNCTION("""COMPUTED_VALUE"""),"")</f>
        <v/>
      </c>
      <c r="I161" s="134" t="str">
        <f ca="1">IFERROR(__xludf.DUMMYFUNCTION("""COMPUTED_VALUE"""),"")</f>
        <v/>
      </c>
      <c r="J161" s="134" t="str">
        <f ca="1">IFERROR(__xludf.DUMMYFUNCTION("""COMPUTED_VALUE"""),"")</f>
        <v/>
      </c>
      <c r="N161" s="31"/>
    </row>
    <row r="162" spans="1:14" customFormat="1">
      <c r="A162" s="134" t="str">
        <f ca="1">IFERROR(__xludf.DUMMYFUNCTION("""COMPUTED_VALUE"""),"")</f>
        <v/>
      </c>
      <c r="B162" s="134" t="str">
        <f ca="1">IFERROR(__xludf.DUMMYFUNCTION("""COMPUTED_VALUE"""),"")</f>
        <v/>
      </c>
      <c r="C162" s="134" t="str">
        <f ca="1">IFERROR(__xludf.DUMMYFUNCTION("""COMPUTED_VALUE"""),"")</f>
        <v/>
      </c>
      <c r="D162" s="134" t="str">
        <f ca="1">IFERROR(__xludf.DUMMYFUNCTION("""COMPUTED_VALUE"""),"")</f>
        <v/>
      </c>
      <c r="E162" s="134" t="str">
        <f ca="1">IFERROR(__xludf.DUMMYFUNCTION("""COMPUTED_VALUE"""),"")</f>
        <v/>
      </c>
      <c r="F162" s="134" t="str">
        <f ca="1">IFERROR(__xludf.DUMMYFUNCTION("""COMPUTED_VALUE"""),"")</f>
        <v/>
      </c>
      <c r="G162" s="134" t="str">
        <f ca="1">IFERROR(__xludf.DUMMYFUNCTION("""COMPUTED_VALUE"""),"")</f>
        <v/>
      </c>
      <c r="H162" s="134" t="str">
        <f ca="1">IFERROR(__xludf.DUMMYFUNCTION("""COMPUTED_VALUE"""),"")</f>
        <v/>
      </c>
      <c r="I162" s="134" t="str">
        <f ca="1">IFERROR(__xludf.DUMMYFUNCTION("""COMPUTED_VALUE"""),"")</f>
        <v/>
      </c>
      <c r="J162" s="134" t="str">
        <f ca="1">IFERROR(__xludf.DUMMYFUNCTION("""COMPUTED_VALUE"""),"")</f>
        <v/>
      </c>
      <c r="N162" s="31"/>
    </row>
    <row r="163" spans="1:14" customFormat="1">
      <c r="A163" s="134" t="str">
        <f ca="1">IFERROR(__xludf.DUMMYFUNCTION("""COMPUTED_VALUE"""),"")</f>
        <v/>
      </c>
      <c r="B163" s="134" t="str">
        <f ca="1">IFERROR(__xludf.DUMMYFUNCTION("""COMPUTED_VALUE"""),"")</f>
        <v/>
      </c>
      <c r="C163" s="134" t="str">
        <f ca="1">IFERROR(__xludf.DUMMYFUNCTION("""COMPUTED_VALUE"""),"")</f>
        <v/>
      </c>
      <c r="D163" s="134" t="str">
        <f ca="1">IFERROR(__xludf.DUMMYFUNCTION("""COMPUTED_VALUE"""),"")</f>
        <v/>
      </c>
      <c r="E163" s="134" t="str">
        <f ca="1">IFERROR(__xludf.DUMMYFUNCTION("""COMPUTED_VALUE"""),"")</f>
        <v/>
      </c>
      <c r="F163" s="134" t="str">
        <f ca="1">IFERROR(__xludf.DUMMYFUNCTION("""COMPUTED_VALUE"""),"")</f>
        <v/>
      </c>
      <c r="G163" s="134" t="str">
        <f ca="1">IFERROR(__xludf.DUMMYFUNCTION("""COMPUTED_VALUE"""),"")</f>
        <v/>
      </c>
      <c r="H163" s="134" t="str">
        <f ca="1">IFERROR(__xludf.DUMMYFUNCTION("""COMPUTED_VALUE"""),"")</f>
        <v/>
      </c>
      <c r="I163" s="134" t="str">
        <f ca="1">IFERROR(__xludf.DUMMYFUNCTION("""COMPUTED_VALUE"""),"")</f>
        <v/>
      </c>
      <c r="J163" s="134" t="str">
        <f ca="1">IFERROR(__xludf.DUMMYFUNCTION("""COMPUTED_VALUE"""),"")</f>
        <v/>
      </c>
      <c r="N163" s="31"/>
    </row>
    <row r="164" spans="1:14" customFormat="1">
      <c r="A164" s="134" t="str">
        <f ca="1">IFERROR(__xludf.DUMMYFUNCTION("""COMPUTED_VALUE"""),"")</f>
        <v/>
      </c>
      <c r="B164" s="134" t="str">
        <f ca="1">IFERROR(__xludf.DUMMYFUNCTION("""COMPUTED_VALUE"""),"")</f>
        <v/>
      </c>
      <c r="C164" s="134" t="str">
        <f ca="1">IFERROR(__xludf.DUMMYFUNCTION("""COMPUTED_VALUE"""),"")</f>
        <v/>
      </c>
      <c r="D164" s="134" t="str">
        <f ca="1">IFERROR(__xludf.DUMMYFUNCTION("""COMPUTED_VALUE"""),"")</f>
        <v/>
      </c>
      <c r="E164" s="134" t="str">
        <f ca="1">IFERROR(__xludf.DUMMYFUNCTION("""COMPUTED_VALUE"""),"")</f>
        <v/>
      </c>
      <c r="F164" s="134" t="str">
        <f ca="1">IFERROR(__xludf.DUMMYFUNCTION("""COMPUTED_VALUE"""),"")</f>
        <v/>
      </c>
      <c r="G164" s="134" t="str">
        <f ca="1">IFERROR(__xludf.DUMMYFUNCTION("""COMPUTED_VALUE"""),"")</f>
        <v/>
      </c>
      <c r="H164" s="134" t="str">
        <f ca="1">IFERROR(__xludf.DUMMYFUNCTION("""COMPUTED_VALUE"""),"")</f>
        <v/>
      </c>
      <c r="I164" s="134" t="str">
        <f ca="1">IFERROR(__xludf.DUMMYFUNCTION("""COMPUTED_VALUE"""),"")</f>
        <v/>
      </c>
      <c r="J164" s="134" t="str">
        <f ca="1">IFERROR(__xludf.DUMMYFUNCTION("""COMPUTED_VALUE"""),"")</f>
        <v/>
      </c>
      <c r="N164" s="31"/>
    </row>
    <row r="165" spans="1:14" customFormat="1">
      <c r="A165" s="134" t="str">
        <f ca="1">IFERROR(__xludf.DUMMYFUNCTION("""COMPUTED_VALUE"""),"")</f>
        <v/>
      </c>
      <c r="B165" s="134" t="str">
        <f ca="1">IFERROR(__xludf.DUMMYFUNCTION("""COMPUTED_VALUE"""),"")</f>
        <v/>
      </c>
      <c r="C165" s="134" t="str">
        <f ca="1">IFERROR(__xludf.DUMMYFUNCTION("""COMPUTED_VALUE"""),"")</f>
        <v/>
      </c>
      <c r="D165" s="134" t="str">
        <f ca="1">IFERROR(__xludf.DUMMYFUNCTION("""COMPUTED_VALUE"""),"")</f>
        <v/>
      </c>
      <c r="E165" s="134" t="str">
        <f ca="1">IFERROR(__xludf.DUMMYFUNCTION("""COMPUTED_VALUE"""),"")</f>
        <v/>
      </c>
      <c r="F165" s="134" t="str">
        <f ca="1">IFERROR(__xludf.DUMMYFUNCTION("""COMPUTED_VALUE"""),"")</f>
        <v/>
      </c>
      <c r="G165" s="134" t="str">
        <f ca="1">IFERROR(__xludf.DUMMYFUNCTION("""COMPUTED_VALUE"""),"")</f>
        <v/>
      </c>
      <c r="H165" s="134" t="str">
        <f ca="1">IFERROR(__xludf.DUMMYFUNCTION("""COMPUTED_VALUE"""),"")</f>
        <v/>
      </c>
      <c r="I165" s="134" t="str">
        <f ca="1">IFERROR(__xludf.DUMMYFUNCTION("""COMPUTED_VALUE"""),"")</f>
        <v/>
      </c>
      <c r="J165" s="134" t="str">
        <f ca="1">IFERROR(__xludf.DUMMYFUNCTION("""COMPUTED_VALUE"""),"")</f>
        <v/>
      </c>
      <c r="N165" s="31"/>
    </row>
    <row r="166" spans="1:14" customFormat="1">
      <c r="A166" s="134" t="str">
        <f ca="1">IFERROR(__xludf.DUMMYFUNCTION("""COMPUTED_VALUE"""),"")</f>
        <v/>
      </c>
      <c r="B166" s="134" t="str">
        <f ca="1">IFERROR(__xludf.DUMMYFUNCTION("""COMPUTED_VALUE"""),"")</f>
        <v/>
      </c>
      <c r="C166" s="134" t="str">
        <f ca="1">IFERROR(__xludf.DUMMYFUNCTION("""COMPUTED_VALUE"""),"")</f>
        <v/>
      </c>
      <c r="D166" s="134" t="str">
        <f ca="1">IFERROR(__xludf.DUMMYFUNCTION("""COMPUTED_VALUE"""),"")</f>
        <v/>
      </c>
      <c r="E166" s="134" t="str">
        <f ca="1">IFERROR(__xludf.DUMMYFUNCTION("""COMPUTED_VALUE"""),"")</f>
        <v/>
      </c>
      <c r="F166" s="134" t="str">
        <f ca="1">IFERROR(__xludf.DUMMYFUNCTION("""COMPUTED_VALUE"""),"")</f>
        <v/>
      </c>
      <c r="G166" s="134" t="str">
        <f ca="1">IFERROR(__xludf.DUMMYFUNCTION("""COMPUTED_VALUE"""),"")</f>
        <v/>
      </c>
      <c r="H166" s="134" t="str">
        <f ca="1">IFERROR(__xludf.DUMMYFUNCTION("""COMPUTED_VALUE"""),"")</f>
        <v/>
      </c>
      <c r="I166" s="134" t="str">
        <f ca="1">IFERROR(__xludf.DUMMYFUNCTION("""COMPUTED_VALUE"""),"")</f>
        <v/>
      </c>
      <c r="J166" s="134" t="str">
        <f ca="1">IFERROR(__xludf.DUMMYFUNCTION("""COMPUTED_VALUE"""),"")</f>
        <v/>
      </c>
      <c r="N166" s="31"/>
    </row>
    <row r="167" spans="1:14" customFormat="1">
      <c r="A167" s="134" t="str">
        <f ca="1">IFERROR(__xludf.DUMMYFUNCTION("""COMPUTED_VALUE"""),"")</f>
        <v/>
      </c>
      <c r="B167" s="134" t="str">
        <f ca="1">IFERROR(__xludf.DUMMYFUNCTION("""COMPUTED_VALUE"""),"")</f>
        <v/>
      </c>
      <c r="C167" s="134" t="str">
        <f ca="1">IFERROR(__xludf.DUMMYFUNCTION("""COMPUTED_VALUE"""),"")</f>
        <v/>
      </c>
      <c r="D167" s="134" t="str">
        <f ca="1">IFERROR(__xludf.DUMMYFUNCTION("""COMPUTED_VALUE"""),"")</f>
        <v/>
      </c>
      <c r="E167" s="134" t="str">
        <f ca="1">IFERROR(__xludf.DUMMYFUNCTION("""COMPUTED_VALUE"""),"")</f>
        <v/>
      </c>
      <c r="F167" s="134" t="str">
        <f ca="1">IFERROR(__xludf.DUMMYFUNCTION("""COMPUTED_VALUE"""),"")</f>
        <v/>
      </c>
      <c r="G167" s="134" t="str">
        <f ca="1">IFERROR(__xludf.DUMMYFUNCTION("""COMPUTED_VALUE"""),"")</f>
        <v/>
      </c>
      <c r="H167" s="134" t="str">
        <f ca="1">IFERROR(__xludf.DUMMYFUNCTION("""COMPUTED_VALUE"""),"")</f>
        <v/>
      </c>
      <c r="I167" s="134" t="str">
        <f ca="1">IFERROR(__xludf.DUMMYFUNCTION("""COMPUTED_VALUE"""),"")</f>
        <v/>
      </c>
      <c r="J167" s="134" t="str">
        <f ca="1">IFERROR(__xludf.DUMMYFUNCTION("""COMPUTED_VALUE"""),"")</f>
        <v/>
      </c>
      <c r="N167" s="31"/>
    </row>
    <row r="168" spans="1:14" customFormat="1">
      <c r="A168" s="134" t="str">
        <f ca="1">IFERROR(__xludf.DUMMYFUNCTION("""COMPUTED_VALUE"""),"")</f>
        <v/>
      </c>
      <c r="B168" s="134" t="str">
        <f ca="1">IFERROR(__xludf.DUMMYFUNCTION("""COMPUTED_VALUE"""),"")</f>
        <v/>
      </c>
      <c r="C168" s="134" t="str">
        <f ca="1">IFERROR(__xludf.DUMMYFUNCTION("""COMPUTED_VALUE"""),"")</f>
        <v/>
      </c>
      <c r="D168" s="134" t="str">
        <f ca="1">IFERROR(__xludf.DUMMYFUNCTION("""COMPUTED_VALUE"""),"")</f>
        <v/>
      </c>
      <c r="E168" s="134" t="str">
        <f ca="1">IFERROR(__xludf.DUMMYFUNCTION("""COMPUTED_VALUE"""),"")</f>
        <v/>
      </c>
      <c r="F168" s="134" t="str">
        <f ca="1">IFERROR(__xludf.DUMMYFUNCTION("""COMPUTED_VALUE"""),"")</f>
        <v/>
      </c>
      <c r="G168" s="134" t="str">
        <f ca="1">IFERROR(__xludf.DUMMYFUNCTION("""COMPUTED_VALUE"""),"")</f>
        <v/>
      </c>
      <c r="H168" s="134" t="str">
        <f ca="1">IFERROR(__xludf.DUMMYFUNCTION("""COMPUTED_VALUE"""),"")</f>
        <v/>
      </c>
      <c r="I168" s="134" t="str">
        <f ca="1">IFERROR(__xludf.DUMMYFUNCTION("""COMPUTED_VALUE"""),"")</f>
        <v/>
      </c>
      <c r="J168" s="134" t="str">
        <f ca="1">IFERROR(__xludf.DUMMYFUNCTION("""COMPUTED_VALUE"""),"")</f>
        <v/>
      </c>
      <c r="N168" s="31"/>
    </row>
    <row r="169" spans="1:14" customFormat="1">
      <c r="A169" s="134" t="str">
        <f ca="1">IFERROR(__xludf.DUMMYFUNCTION("""COMPUTED_VALUE"""),"")</f>
        <v/>
      </c>
      <c r="B169" s="134" t="str">
        <f ca="1">IFERROR(__xludf.DUMMYFUNCTION("""COMPUTED_VALUE"""),"")</f>
        <v/>
      </c>
      <c r="C169" s="134" t="str">
        <f ca="1">IFERROR(__xludf.DUMMYFUNCTION("""COMPUTED_VALUE"""),"")</f>
        <v/>
      </c>
      <c r="D169" s="134" t="str">
        <f ca="1">IFERROR(__xludf.DUMMYFUNCTION("""COMPUTED_VALUE"""),"")</f>
        <v/>
      </c>
      <c r="E169" s="134" t="str">
        <f ca="1">IFERROR(__xludf.DUMMYFUNCTION("""COMPUTED_VALUE"""),"")</f>
        <v/>
      </c>
      <c r="F169" s="134" t="str">
        <f ca="1">IFERROR(__xludf.DUMMYFUNCTION("""COMPUTED_VALUE"""),"")</f>
        <v/>
      </c>
      <c r="G169" s="134" t="str">
        <f ca="1">IFERROR(__xludf.DUMMYFUNCTION("""COMPUTED_VALUE"""),"")</f>
        <v/>
      </c>
      <c r="H169" s="134" t="str">
        <f ca="1">IFERROR(__xludf.DUMMYFUNCTION("""COMPUTED_VALUE"""),"")</f>
        <v/>
      </c>
      <c r="I169" s="134" t="str">
        <f ca="1">IFERROR(__xludf.DUMMYFUNCTION("""COMPUTED_VALUE"""),"")</f>
        <v/>
      </c>
      <c r="J169" s="134" t="str">
        <f ca="1">IFERROR(__xludf.DUMMYFUNCTION("""COMPUTED_VALUE"""),"")</f>
        <v/>
      </c>
      <c r="N169" s="31"/>
    </row>
    <row r="170" spans="1:14" customFormat="1">
      <c r="A170" s="134" t="str">
        <f ca="1">IFERROR(__xludf.DUMMYFUNCTION("""COMPUTED_VALUE"""),"")</f>
        <v/>
      </c>
      <c r="B170" s="134" t="str">
        <f ca="1">IFERROR(__xludf.DUMMYFUNCTION("""COMPUTED_VALUE"""),"")</f>
        <v/>
      </c>
      <c r="C170" s="134" t="str">
        <f ca="1">IFERROR(__xludf.DUMMYFUNCTION("""COMPUTED_VALUE"""),"")</f>
        <v/>
      </c>
      <c r="D170" s="134" t="str">
        <f ca="1">IFERROR(__xludf.DUMMYFUNCTION("""COMPUTED_VALUE"""),"")</f>
        <v/>
      </c>
      <c r="E170" s="134" t="str">
        <f ca="1">IFERROR(__xludf.DUMMYFUNCTION("""COMPUTED_VALUE"""),"")</f>
        <v/>
      </c>
      <c r="F170" s="134" t="str">
        <f ca="1">IFERROR(__xludf.DUMMYFUNCTION("""COMPUTED_VALUE"""),"")</f>
        <v/>
      </c>
      <c r="G170" s="134" t="str">
        <f ca="1">IFERROR(__xludf.DUMMYFUNCTION("""COMPUTED_VALUE"""),"")</f>
        <v/>
      </c>
      <c r="H170" s="134" t="str">
        <f ca="1">IFERROR(__xludf.DUMMYFUNCTION("""COMPUTED_VALUE"""),"")</f>
        <v/>
      </c>
      <c r="I170" s="134" t="str">
        <f ca="1">IFERROR(__xludf.DUMMYFUNCTION("""COMPUTED_VALUE"""),"")</f>
        <v/>
      </c>
      <c r="J170" s="134" t="str">
        <f ca="1">IFERROR(__xludf.DUMMYFUNCTION("""COMPUTED_VALUE"""),"")</f>
        <v/>
      </c>
      <c r="N170" s="31"/>
    </row>
    <row r="171" spans="1:14" customFormat="1">
      <c r="A171" s="134" t="str">
        <f ca="1">IFERROR(__xludf.DUMMYFUNCTION("""COMPUTED_VALUE"""),"")</f>
        <v/>
      </c>
      <c r="B171" s="134" t="str">
        <f ca="1">IFERROR(__xludf.DUMMYFUNCTION("""COMPUTED_VALUE"""),"")</f>
        <v/>
      </c>
      <c r="C171" s="134" t="str">
        <f ca="1">IFERROR(__xludf.DUMMYFUNCTION("""COMPUTED_VALUE"""),"")</f>
        <v/>
      </c>
      <c r="D171" s="134" t="str">
        <f ca="1">IFERROR(__xludf.DUMMYFUNCTION("""COMPUTED_VALUE"""),"")</f>
        <v/>
      </c>
      <c r="E171" s="134" t="str">
        <f ca="1">IFERROR(__xludf.DUMMYFUNCTION("""COMPUTED_VALUE"""),"")</f>
        <v/>
      </c>
      <c r="F171" s="134" t="str">
        <f ca="1">IFERROR(__xludf.DUMMYFUNCTION("""COMPUTED_VALUE"""),"")</f>
        <v/>
      </c>
      <c r="G171" s="134" t="str">
        <f ca="1">IFERROR(__xludf.DUMMYFUNCTION("""COMPUTED_VALUE"""),"")</f>
        <v/>
      </c>
      <c r="H171" s="134" t="str">
        <f ca="1">IFERROR(__xludf.DUMMYFUNCTION("""COMPUTED_VALUE"""),"")</f>
        <v/>
      </c>
      <c r="I171" s="134" t="str">
        <f ca="1">IFERROR(__xludf.DUMMYFUNCTION("""COMPUTED_VALUE"""),"")</f>
        <v/>
      </c>
      <c r="J171" s="134" t="str">
        <f ca="1">IFERROR(__xludf.DUMMYFUNCTION("""COMPUTED_VALUE"""),"")</f>
        <v/>
      </c>
      <c r="N171" s="31"/>
    </row>
    <row r="172" spans="1:14" customFormat="1">
      <c r="A172" s="134" t="str">
        <f ca="1">IFERROR(__xludf.DUMMYFUNCTION("""COMPUTED_VALUE"""),"")</f>
        <v/>
      </c>
      <c r="B172" s="134" t="str">
        <f ca="1">IFERROR(__xludf.DUMMYFUNCTION("""COMPUTED_VALUE"""),"")</f>
        <v/>
      </c>
      <c r="C172" s="134" t="str">
        <f ca="1">IFERROR(__xludf.DUMMYFUNCTION("""COMPUTED_VALUE"""),"")</f>
        <v/>
      </c>
      <c r="D172" s="134" t="str">
        <f ca="1">IFERROR(__xludf.DUMMYFUNCTION("""COMPUTED_VALUE"""),"")</f>
        <v/>
      </c>
      <c r="E172" s="134" t="str">
        <f ca="1">IFERROR(__xludf.DUMMYFUNCTION("""COMPUTED_VALUE"""),"")</f>
        <v/>
      </c>
      <c r="F172" s="134" t="str">
        <f ca="1">IFERROR(__xludf.DUMMYFUNCTION("""COMPUTED_VALUE"""),"")</f>
        <v/>
      </c>
      <c r="G172" s="134" t="str">
        <f ca="1">IFERROR(__xludf.DUMMYFUNCTION("""COMPUTED_VALUE"""),"")</f>
        <v/>
      </c>
      <c r="H172" s="134" t="str">
        <f ca="1">IFERROR(__xludf.DUMMYFUNCTION("""COMPUTED_VALUE"""),"")</f>
        <v/>
      </c>
      <c r="I172" s="134" t="str">
        <f ca="1">IFERROR(__xludf.DUMMYFUNCTION("""COMPUTED_VALUE"""),"")</f>
        <v/>
      </c>
      <c r="J172" s="134" t="str">
        <f ca="1">IFERROR(__xludf.DUMMYFUNCTION("""COMPUTED_VALUE"""),"")</f>
        <v/>
      </c>
      <c r="N172" s="31"/>
    </row>
    <row r="173" spans="1:14" customFormat="1">
      <c r="A173" s="134" t="str">
        <f ca="1">IFERROR(__xludf.DUMMYFUNCTION("""COMPUTED_VALUE"""),"")</f>
        <v/>
      </c>
      <c r="B173" s="134" t="str">
        <f ca="1">IFERROR(__xludf.DUMMYFUNCTION("""COMPUTED_VALUE"""),"")</f>
        <v/>
      </c>
      <c r="C173" s="134" t="str">
        <f ca="1">IFERROR(__xludf.DUMMYFUNCTION("""COMPUTED_VALUE"""),"")</f>
        <v/>
      </c>
      <c r="D173" s="134" t="str">
        <f ca="1">IFERROR(__xludf.DUMMYFUNCTION("""COMPUTED_VALUE"""),"")</f>
        <v/>
      </c>
      <c r="E173" s="134" t="str">
        <f ca="1">IFERROR(__xludf.DUMMYFUNCTION("""COMPUTED_VALUE"""),"")</f>
        <v/>
      </c>
      <c r="F173" s="134" t="str">
        <f ca="1">IFERROR(__xludf.DUMMYFUNCTION("""COMPUTED_VALUE"""),"")</f>
        <v/>
      </c>
      <c r="G173" s="134" t="str">
        <f ca="1">IFERROR(__xludf.DUMMYFUNCTION("""COMPUTED_VALUE"""),"")</f>
        <v/>
      </c>
      <c r="H173" s="134" t="str">
        <f ca="1">IFERROR(__xludf.DUMMYFUNCTION("""COMPUTED_VALUE"""),"")</f>
        <v/>
      </c>
      <c r="I173" s="134" t="str">
        <f ca="1">IFERROR(__xludf.DUMMYFUNCTION("""COMPUTED_VALUE"""),"")</f>
        <v/>
      </c>
      <c r="J173" s="134" t="str">
        <f ca="1">IFERROR(__xludf.DUMMYFUNCTION("""COMPUTED_VALUE"""),"")</f>
        <v/>
      </c>
      <c r="N173" s="31"/>
    </row>
    <row r="174" spans="1:14" customFormat="1">
      <c r="A174" s="134" t="str">
        <f ca="1">IFERROR(__xludf.DUMMYFUNCTION("""COMPUTED_VALUE"""),"")</f>
        <v/>
      </c>
      <c r="B174" s="134" t="str">
        <f ca="1">IFERROR(__xludf.DUMMYFUNCTION("""COMPUTED_VALUE"""),"")</f>
        <v/>
      </c>
      <c r="C174" s="134" t="str">
        <f ca="1">IFERROR(__xludf.DUMMYFUNCTION("""COMPUTED_VALUE"""),"")</f>
        <v/>
      </c>
      <c r="D174" s="134" t="str">
        <f ca="1">IFERROR(__xludf.DUMMYFUNCTION("""COMPUTED_VALUE"""),"")</f>
        <v/>
      </c>
      <c r="E174" s="134" t="str">
        <f ca="1">IFERROR(__xludf.DUMMYFUNCTION("""COMPUTED_VALUE"""),"")</f>
        <v/>
      </c>
      <c r="F174" s="134" t="str">
        <f ca="1">IFERROR(__xludf.DUMMYFUNCTION("""COMPUTED_VALUE"""),"")</f>
        <v/>
      </c>
      <c r="G174" s="134" t="str">
        <f ca="1">IFERROR(__xludf.DUMMYFUNCTION("""COMPUTED_VALUE"""),"")</f>
        <v/>
      </c>
      <c r="H174" s="134" t="str">
        <f ca="1">IFERROR(__xludf.DUMMYFUNCTION("""COMPUTED_VALUE"""),"")</f>
        <v/>
      </c>
      <c r="I174" s="134" t="str">
        <f ca="1">IFERROR(__xludf.DUMMYFUNCTION("""COMPUTED_VALUE"""),"")</f>
        <v/>
      </c>
      <c r="J174" s="134" t="str">
        <f ca="1">IFERROR(__xludf.DUMMYFUNCTION("""COMPUTED_VALUE"""),"")</f>
        <v/>
      </c>
      <c r="N174" s="31"/>
    </row>
    <row r="175" spans="1:14" customFormat="1">
      <c r="A175" s="134" t="str">
        <f ca="1">IFERROR(__xludf.DUMMYFUNCTION("""COMPUTED_VALUE"""),"")</f>
        <v/>
      </c>
      <c r="B175" s="134" t="str">
        <f ca="1">IFERROR(__xludf.DUMMYFUNCTION("""COMPUTED_VALUE"""),"")</f>
        <v/>
      </c>
      <c r="C175" s="134" t="str">
        <f ca="1">IFERROR(__xludf.DUMMYFUNCTION("""COMPUTED_VALUE"""),"")</f>
        <v/>
      </c>
      <c r="D175" s="134" t="str">
        <f ca="1">IFERROR(__xludf.DUMMYFUNCTION("""COMPUTED_VALUE"""),"")</f>
        <v/>
      </c>
      <c r="E175" s="134" t="str">
        <f ca="1">IFERROR(__xludf.DUMMYFUNCTION("""COMPUTED_VALUE"""),"")</f>
        <v/>
      </c>
      <c r="F175" s="134" t="str">
        <f ca="1">IFERROR(__xludf.DUMMYFUNCTION("""COMPUTED_VALUE"""),"")</f>
        <v/>
      </c>
      <c r="G175" s="134" t="str">
        <f ca="1">IFERROR(__xludf.DUMMYFUNCTION("""COMPUTED_VALUE"""),"")</f>
        <v/>
      </c>
      <c r="H175" s="134" t="str">
        <f ca="1">IFERROR(__xludf.DUMMYFUNCTION("""COMPUTED_VALUE"""),"")</f>
        <v/>
      </c>
      <c r="I175" s="134" t="str">
        <f ca="1">IFERROR(__xludf.DUMMYFUNCTION("""COMPUTED_VALUE"""),"")</f>
        <v/>
      </c>
      <c r="J175" s="134" t="str">
        <f ca="1">IFERROR(__xludf.DUMMYFUNCTION("""COMPUTED_VALUE"""),"")</f>
        <v/>
      </c>
      <c r="N175" s="31"/>
    </row>
    <row r="176" spans="1:14" customFormat="1">
      <c r="A176" s="134" t="str">
        <f ca="1">IFERROR(__xludf.DUMMYFUNCTION("""COMPUTED_VALUE"""),"")</f>
        <v/>
      </c>
      <c r="B176" s="134" t="str">
        <f ca="1">IFERROR(__xludf.DUMMYFUNCTION("""COMPUTED_VALUE"""),"")</f>
        <v/>
      </c>
      <c r="C176" s="134" t="str">
        <f ca="1">IFERROR(__xludf.DUMMYFUNCTION("""COMPUTED_VALUE"""),"")</f>
        <v/>
      </c>
      <c r="D176" s="134" t="str">
        <f ca="1">IFERROR(__xludf.DUMMYFUNCTION("""COMPUTED_VALUE"""),"")</f>
        <v/>
      </c>
      <c r="E176" s="134" t="str">
        <f ca="1">IFERROR(__xludf.DUMMYFUNCTION("""COMPUTED_VALUE"""),"")</f>
        <v/>
      </c>
      <c r="F176" s="134" t="str">
        <f ca="1">IFERROR(__xludf.DUMMYFUNCTION("""COMPUTED_VALUE"""),"")</f>
        <v/>
      </c>
      <c r="G176" s="134" t="str">
        <f ca="1">IFERROR(__xludf.DUMMYFUNCTION("""COMPUTED_VALUE"""),"")</f>
        <v/>
      </c>
      <c r="H176" s="134" t="str">
        <f ca="1">IFERROR(__xludf.DUMMYFUNCTION("""COMPUTED_VALUE"""),"")</f>
        <v/>
      </c>
      <c r="I176" s="134" t="str">
        <f ca="1">IFERROR(__xludf.DUMMYFUNCTION("""COMPUTED_VALUE"""),"")</f>
        <v/>
      </c>
      <c r="J176" s="134" t="str">
        <f ca="1">IFERROR(__xludf.DUMMYFUNCTION("""COMPUTED_VALUE"""),"")</f>
        <v/>
      </c>
      <c r="N176" s="31"/>
    </row>
    <row r="177" spans="1:14" customFormat="1">
      <c r="A177" s="134" t="str">
        <f ca="1">IFERROR(__xludf.DUMMYFUNCTION("""COMPUTED_VALUE"""),"")</f>
        <v/>
      </c>
      <c r="B177" s="134" t="str">
        <f ca="1">IFERROR(__xludf.DUMMYFUNCTION("""COMPUTED_VALUE"""),"")</f>
        <v/>
      </c>
      <c r="C177" s="134" t="str">
        <f ca="1">IFERROR(__xludf.DUMMYFUNCTION("""COMPUTED_VALUE"""),"")</f>
        <v/>
      </c>
      <c r="D177" s="134" t="str">
        <f ca="1">IFERROR(__xludf.DUMMYFUNCTION("""COMPUTED_VALUE"""),"")</f>
        <v/>
      </c>
      <c r="E177" s="134" t="str">
        <f ca="1">IFERROR(__xludf.DUMMYFUNCTION("""COMPUTED_VALUE"""),"")</f>
        <v/>
      </c>
      <c r="F177" s="134" t="str">
        <f ca="1">IFERROR(__xludf.DUMMYFUNCTION("""COMPUTED_VALUE"""),"")</f>
        <v/>
      </c>
      <c r="G177" s="134" t="str">
        <f ca="1">IFERROR(__xludf.DUMMYFUNCTION("""COMPUTED_VALUE"""),"")</f>
        <v/>
      </c>
      <c r="H177" s="134" t="str">
        <f ca="1">IFERROR(__xludf.DUMMYFUNCTION("""COMPUTED_VALUE"""),"")</f>
        <v/>
      </c>
      <c r="I177" s="134" t="str">
        <f ca="1">IFERROR(__xludf.DUMMYFUNCTION("""COMPUTED_VALUE"""),"")</f>
        <v/>
      </c>
      <c r="J177" s="134" t="str">
        <f ca="1">IFERROR(__xludf.DUMMYFUNCTION("""COMPUTED_VALUE"""),"")</f>
        <v/>
      </c>
      <c r="N177" s="31"/>
    </row>
    <row r="178" spans="1:14" customFormat="1">
      <c r="A178" s="134" t="str">
        <f ca="1">IFERROR(__xludf.DUMMYFUNCTION("""COMPUTED_VALUE"""),"")</f>
        <v/>
      </c>
      <c r="B178" s="134" t="str">
        <f ca="1">IFERROR(__xludf.DUMMYFUNCTION("""COMPUTED_VALUE"""),"")</f>
        <v/>
      </c>
      <c r="C178" s="134" t="str">
        <f ca="1">IFERROR(__xludf.DUMMYFUNCTION("""COMPUTED_VALUE"""),"")</f>
        <v/>
      </c>
      <c r="D178" s="134" t="str">
        <f ca="1">IFERROR(__xludf.DUMMYFUNCTION("""COMPUTED_VALUE"""),"")</f>
        <v/>
      </c>
      <c r="E178" s="134" t="str">
        <f ca="1">IFERROR(__xludf.DUMMYFUNCTION("""COMPUTED_VALUE"""),"")</f>
        <v/>
      </c>
      <c r="F178" s="134" t="str">
        <f ca="1">IFERROR(__xludf.DUMMYFUNCTION("""COMPUTED_VALUE"""),"")</f>
        <v/>
      </c>
      <c r="G178" s="134" t="str">
        <f ca="1">IFERROR(__xludf.DUMMYFUNCTION("""COMPUTED_VALUE"""),"")</f>
        <v/>
      </c>
      <c r="H178" s="134" t="str">
        <f ca="1">IFERROR(__xludf.DUMMYFUNCTION("""COMPUTED_VALUE"""),"")</f>
        <v/>
      </c>
      <c r="I178" s="134" t="str">
        <f ca="1">IFERROR(__xludf.DUMMYFUNCTION("""COMPUTED_VALUE"""),"")</f>
        <v/>
      </c>
      <c r="J178" s="134" t="str">
        <f ca="1">IFERROR(__xludf.DUMMYFUNCTION("""COMPUTED_VALUE"""),"")</f>
        <v/>
      </c>
      <c r="N178" s="31"/>
    </row>
    <row r="179" spans="1:14" customFormat="1">
      <c r="A179" s="134" t="str">
        <f ca="1">IFERROR(__xludf.DUMMYFUNCTION("""COMPUTED_VALUE"""),"")</f>
        <v/>
      </c>
      <c r="B179" s="134" t="str">
        <f ca="1">IFERROR(__xludf.DUMMYFUNCTION("""COMPUTED_VALUE"""),"")</f>
        <v/>
      </c>
      <c r="C179" s="134" t="str">
        <f ca="1">IFERROR(__xludf.DUMMYFUNCTION("""COMPUTED_VALUE"""),"")</f>
        <v/>
      </c>
      <c r="D179" s="134" t="str">
        <f ca="1">IFERROR(__xludf.DUMMYFUNCTION("""COMPUTED_VALUE"""),"")</f>
        <v/>
      </c>
      <c r="E179" s="134" t="str">
        <f ca="1">IFERROR(__xludf.DUMMYFUNCTION("""COMPUTED_VALUE"""),"")</f>
        <v/>
      </c>
      <c r="F179" s="134" t="str">
        <f ca="1">IFERROR(__xludf.DUMMYFUNCTION("""COMPUTED_VALUE"""),"")</f>
        <v/>
      </c>
      <c r="G179" s="134" t="str">
        <f ca="1">IFERROR(__xludf.DUMMYFUNCTION("""COMPUTED_VALUE"""),"")</f>
        <v/>
      </c>
      <c r="H179" s="134" t="str">
        <f ca="1">IFERROR(__xludf.DUMMYFUNCTION("""COMPUTED_VALUE"""),"")</f>
        <v/>
      </c>
      <c r="I179" s="134" t="str">
        <f ca="1">IFERROR(__xludf.DUMMYFUNCTION("""COMPUTED_VALUE"""),"")</f>
        <v/>
      </c>
      <c r="J179" s="134" t="str">
        <f ca="1">IFERROR(__xludf.DUMMYFUNCTION("""COMPUTED_VALUE"""),"")</f>
        <v/>
      </c>
      <c r="N179" s="31"/>
    </row>
    <row r="180" spans="1:14" customFormat="1">
      <c r="A180" s="134" t="str">
        <f ca="1">IFERROR(__xludf.DUMMYFUNCTION("""COMPUTED_VALUE"""),"")</f>
        <v/>
      </c>
      <c r="B180" s="134" t="str">
        <f ca="1">IFERROR(__xludf.DUMMYFUNCTION("""COMPUTED_VALUE"""),"")</f>
        <v/>
      </c>
      <c r="C180" s="134" t="str">
        <f ca="1">IFERROR(__xludf.DUMMYFUNCTION("""COMPUTED_VALUE"""),"")</f>
        <v/>
      </c>
      <c r="D180" s="134" t="str">
        <f ca="1">IFERROR(__xludf.DUMMYFUNCTION("""COMPUTED_VALUE"""),"")</f>
        <v/>
      </c>
      <c r="E180" s="134" t="str">
        <f ca="1">IFERROR(__xludf.DUMMYFUNCTION("""COMPUTED_VALUE"""),"")</f>
        <v/>
      </c>
      <c r="F180" s="134" t="str">
        <f ca="1">IFERROR(__xludf.DUMMYFUNCTION("""COMPUTED_VALUE"""),"")</f>
        <v/>
      </c>
      <c r="G180" s="134" t="str">
        <f ca="1">IFERROR(__xludf.DUMMYFUNCTION("""COMPUTED_VALUE"""),"")</f>
        <v/>
      </c>
      <c r="H180" s="134" t="str">
        <f ca="1">IFERROR(__xludf.DUMMYFUNCTION("""COMPUTED_VALUE"""),"")</f>
        <v/>
      </c>
      <c r="I180" s="134" t="str">
        <f ca="1">IFERROR(__xludf.DUMMYFUNCTION("""COMPUTED_VALUE"""),"")</f>
        <v/>
      </c>
      <c r="J180" s="134" t="str">
        <f ca="1">IFERROR(__xludf.DUMMYFUNCTION("""COMPUTED_VALUE"""),"")</f>
        <v/>
      </c>
      <c r="N180" s="31"/>
    </row>
    <row r="181" spans="1:14" customFormat="1">
      <c r="A181" s="134" t="str">
        <f ca="1">IFERROR(__xludf.DUMMYFUNCTION("""COMPUTED_VALUE"""),"")</f>
        <v/>
      </c>
      <c r="B181" s="134" t="str">
        <f ca="1">IFERROR(__xludf.DUMMYFUNCTION("""COMPUTED_VALUE"""),"")</f>
        <v/>
      </c>
      <c r="C181" s="134" t="str">
        <f ca="1">IFERROR(__xludf.DUMMYFUNCTION("""COMPUTED_VALUE"""),"")</f>
        <v/>
      </c>
      <c r="D181" s="134" t="str">
        <f ca="1">IFERROR(__xludf.DUMMYFUNCTION("""COMPUTED_VALUE"""),"")</f>
        <v/>
      </c>
      <c r="E181" s="134" t="str">
        <f ca="1">IFERROR(__xludf.DUMMYFUNCTION("""COMPUTED_VALUE"""),"")</f>
        <v/>
      </c>
      <c r="F181" s="134" t="str">
        <f ca="1">IFERROR(__xludf.DUMMYFUNCTION("""COMPUTED_VALUE"""),"")</f>
        <v/>
      </c>
      <c r="G181" s="134" t="str">
        <f ca="1">IFERROR(__xludf.DUMMYFUNCTION("""COMPUTED_VALUE"""),"")</f>
        <v/>
      </c>
      <c r="H181" s="134" t="str">
        <f ca="1">IFERROR(__xludf.DUMMYFUNCTION("""COMPUTED_VALUE"""),"")</f>
        <v/>
      </c>
      <c r="I181" s="134" t="str">
        <f ca="1">IFERROR(__xludf.DUMMYFUNCTION("""COMPUTED_VALUE"""),"")</f>
        <v/>
      </c>
      <c r="J181" s="134" t="str">
        <f ca="1">IFERROR(__xludf.DUMMYFUNCTION("""COMPUTED_VALUE"""),"")</f>
        <v/>
      </c>
      <c r="N181" s="31"/>
    </row>
    <row r="182" spans="1:14" customFormat="1">
      <c r="A182" s="134" t="str">
        <f ca="1">IFERROR(__xludf.DUMMYFUNCTION("""COMPUTED_VALUE"""),"")</f>
        <v/>
      </c>
      <c r="B182" s="134" t="str">
        <f ca="1">IFERROR(__xludf.DUMMYFUNCTION("""COMPUTED_VALUE"""),"")</f>
        <v/>
      </c>
      <c r="C182" s="134" t="str">
        <f ca="1">IFERROR(__xludf.DUMMYFUNCTION("""COMPUTED_VALUE"""),"")</f>
        <v/>
      </c>
      <c r="D182" s="134" t="str">
        <f ca="1">IFERROR(__xludf.DUMMYFUNCTION("""COMPUTED_VALUE"""),"")</f>
        <v/>
      </c>
      <c r="E182" s="134" t="str">
        <f ca="1">IFERROR(__xludf.DUMMYFUNCTION("""COMPUTED_VALUE"""),"")</f>
        <v/>
      </c>
      <c r="F182" s="134" t="str">
        <f ca="1">IFERROR(__xludf.DUMMYFUNCTION("""COMPUTED_VALUE"""),"")</f>
        <v/>
      </c>
      <c r="G182" s="134" t="str">
        <f ca="1">IFERROR(__xludf.DUMMYFUNCTION("""COMPUTED_VALUE"""),"")</f>
        <v/>
      </c>
      <c r="H182" s="134" t="str">
        <f ca="1">IFERROR(__xludf.DUMMYFUNCTION("""COMPUTED_VALUE"""),"")</f>
        <v/>
      </c>
      <c r="I182" s="134" t="str">
        <f ca="1">IFERROR(__xludf.DUMMYFUNCTION("""COMPUTED_VALUE"""),"")</f>
        <v/>
      </c>
      <c r="J182" s="134" t="str">
        <f ca="1">IFERROR(__xludf.DUMMYFUNCTION("""COMPUTED_VALUE"""),"")</f>
        <v/>
      </c>
      <c r="N182" s="31"/>
    </row>
    <row r="183" spans="1:14" customFormat="1">
      <c r="A183" s="134" t="str">
        <f ca="1">IFERROR(__xludf.DUMMYFUNCTION("""COMPUTED_VALUE"""),"")</f>
        <v/>
      </c>
      <c r="B183" s="134" t="str">
        <f ca="1">IFERROR(__xludf.DUMMYFUNCTION("""COMPUTED_VALUE"""),"")</f>
        <v/>
      </c>
      <c r="C183" s="134" t="str">
        <f ca="1">IFERROR(__xludf.DUMMYFUNCTION("""COMPUTED_VALUE"""),"")</f>
        <v/>
      </c>
      <c r="D183" s="134" t="str">
        <f ca="1">IFERROR(__xludf.DUMMYFUNCTION("""COMPUTED_VALUE"""),"")</f>
        <v/>
      </c>
      <c r="E183" s="134" t="str">
        <f ca="1">IFERROR(__xludf.DUMMYFUNCTION("""COMPUTED_VALUE"""),"")</f>
        <v/>
      </c>
      <c r="F183" s="134" t="str">
        <f ca="1">IFERROR(__xludf.DUMMYFUNCTION("""COMPUTED_VALUE"""),"")</f>
        <v/>
      </c>
      <c r="G183" s="134" t="str">
        <f ca="1">IFERROR(__xludf.DUMMYFUNCTION("""COMPUTED_VALUE"""),"")</f>
        <v/>
      </c>
      <c r="H183" s="134" t="str">
        <f ca="1">IFERROR(__xludf.DUMMYFUNCTION("""COMPUTED_VALUE"""),"")</f>
        <v/>
      </c>
      <c r="I183" s="134" t="str">
        <f ca="1">IFERROR(__xludf.DUMMYFUNCTION("""COMPUTED_VALUE"""),"")</f>
        <v/>
      </c>
      <c r="J183" s="134" t="str">
        <f ca="1">IFERROR(__xludf.DUMMYFUNCTION("""COMPUTED_VALUE"""),"")</f>
        <v/>
      </c>
      <c r="N183" s="31"/>
    </row>
    <row r="184" spans="1:14" customFormat="1">
      <c r="A184" s="134" t="str">
        <f ca="1">IFERROR(__xludf.DUMMYFUNCTION("""COMPUTED_VALUE"""),"")</f>
        <v/>
      </c>
      <c r="B184" s="134" t="str">
        <f ca="1">IFERROR(__xludf.DUMMYFUNCTION("""COMPUTED_VALUE"""),"")</f>
        <v/>
      </c>
      <c r="C184" s="134" t="str">
        <f ca="1">IFERROR(__xludf.DUMMYFUNCTION("""COMPUTED_VALUE"""),"")</f>
        <v/>
      </c>
      <c r="D184" s="134" t="str">
        <f ca="1">IFERROR(__xludf.DUMMYFUNCTION("""COMPUTED_VALUE"""),"")</f>
        <v/>
      </c>
      <c r="E184" s="134" t="str">
        <f ca="1">IFERROR(__xludf.DUMMYFUNCTION("""COMPUTED_VALUE"""),"")</f>
        <v/>
      </c>
      <c r="F184" s="134" t="str">
        <f ca="1">IFERROR(__xludf.DUMMYFUNCTION("""COMPUTED_VALUE"""),"")</f>
        <v/>
      </c>
      <c r="G184" s="134" t="str">
        <f ca="1">IFERROR(__xludf.DUMMYFUNCTION("""COMPUTED_VALUE"""),"")</f>
        <v/>
      </c>
      <c r="H184" s="134" t="str">
        <f ca="1">IFERROR(__xludf.DUMMYFUNCTION("""COMPUTED_VALUE"""),"")</f>
        <v/>
      </c>
      <c r="I184" s="134" t="str">
        <f ca="1">IFERROR(__xludf.DUMMYFUNCTION("""COMPUTED_VALUE"""),"")</f>
        <v/>
      </c>
      <c r="J184" s="134" t="str">
        <f ca="1">IFERROR(__xludf.DUMMYFUNCTION("""COMPUTED_VALUE"""),"")</f>
        <v/>
      </c>
      <c r="N184" s="31"/>
    </row>
    <row r="185" spans="1:14" customFormat="1">
      <c r="A185" s="134" t="str">
        <f ca="1">IFERROR(__xludf.DUMMYFUNCTION("""COMPUTED_VALUE"""),"")</f>
        <v/>
      </c>
      <c r="B185" s="134" t="str">
        <f ca="1">IFERROR(__xludf.DUMMYFUNCTION("""COMPUTED_VALUE"""),"")</f>
        <v/>
      </c>
      <c r="C185" s="134" t="str">
        <f ca="1">IFERROR(__xludf.DUMMYFUNCTION("""COMPUTED_VALUE"""),"")</f>
        <v/>
      </c>
      <c r="D185" s="134" t="str">
        <f ca="1">IFERROR(__xludf.DUMMYFUNCTION("""COMPUTED_VALUE"""),"")</f>
        <v/>
      </c>
      <c r="E185" s="134" t="str">
        <f ca="1">IFERROR(__xludf.DUMMYFUNCTION("""COMPUTED_VALUE"""),"")</f>
        <v/>
      </c>
      <c r="F185" s="134" t="str">
        <f ca="1">IFERROR(__xludf.DUMMYFUNCTION("""COMPUTED_VALUE"""),"")</f>
        <v/>
      </c>
      <c r="G185" s="134" t="str">
        <f ca="1">IFERROR(__xludf.DUMMYFUNCTION("""COMPUTED_VALUE"""),"")</f>
        <v/>
      </c>
      <c r="H185" s="134" t="str">
        <f ca="1">IFERROR(__xludf.DUMMYFUNCTION("""COMPUTED_VALUE"""),"")</f>
        <v/>
      </c>
      <c r="I185" s="134" t="str">
        <f ca="1">IFERROR(__xludf.DUMMYFUNCTION("""COMPUTED_VALUE"""),"")</f>
        <v/>
      </c>
      <c r="J185" s="134" t="str">
        <f ca="1">IFERROR(__xludf.DUMMYFUNCTION("""COMPUTED_VALUE"""),"")</f>
        <v/>
      </c>
      <c r="N185" s="31"/>
    </row>
    <row r="186" spans="1:14" customFormat="1">
      <c r="A186" s="134" t="str">
        <f ca="1">IFERROR(__xludf.DUMMYFUNCTION("""COMPUTED_VALUE"""),"")</f>
        <v/>
      </c>
      <c r="B186" s="134" t="str">
        <f ca="1">IFERROR(__xludf.DUMMYFUNCTION("""COMPUTED_VALUE"""),"")</f>
        <v/>
      </c>
      <c r="C186" s="134" t="str">
        <f ca="1">IFERROR(__xludf.DUMMYFUNCTION("""COMPUTED_VALUE"""),"")</f>
        <v/>
      </c>
      <c r="D186" s="134" t="str">
        <f ca="1">IFERROR(__xludf.DUMMYFUNCTION("""COMPUTED_VALUE"""),"")</f>
        <v/>
      </c>
      <c r="E186" s="134" t="str">
        <f ca="1">IFERROR(__xludf.DUMMYFUNCTION("""COMPUTED_VALUE"""),"")</f>
        <v/>
      </c>
      <c r="F186" s="134" t="str">
        <f ca="1">IFERROR(__xludf.DUMMYFUNCTION("""COMPUTED_VALUE"""),"")</f>
        <v/>
      </c>
      <c r="G186" s="134" t="str">
        <f ca="1">IFERROR(__xludf.DUMMYFUNCTION("""COMPUTED_VALUE"""),"")</f>
        <v/>
      </c>
      <c r="H186" s="134" t="str">
        <f ca="1">IFERROR(__xludf.DUMMYFUNCTION("""COMPUTED_VALUE"""),"")</f>
        <v/>
      </c>
      <c r="I186" s="134" t="str">
        <f ca="1">IFERROR(__xludf.DUMMYFUNCTION("""COMPUTED_VALUE"""),"")</f>
        <v/>
      </c>
      <c r="J186" s="134" t="str">
        <f ca="1">IFERROR(__xludf.DUMMYFUNCTION("""COMPUTED_VALUE"""),"")</f>
        <v/>
      </c>
      <c r="N186" s="31"/>
    </row>
    <row r="187" spans="1:14" customFormat="1">
      <c r="A187" s="134" t="str">
        <f ca="1">IFERROR(__xludf.DUMMYFUNCTION("""COMPUTED_VALUE"""),"")</f>
        <v/>
      </c>
      <c r="B187" s="134" t="str">
        <f ca="1">IFERROR(__xludf.DUMMYFUNCTION("""COMPUTED_VALUE"""),"")</f>
        <v/>
      </c>
      <c r="C187" s="134" t="str">
        <f ca="1">IFERROR(__xludf.DUMMYFUNCTION("""COMPUTED_VALUE"""),"")</f>
        <v/>
      </c>
      <c r="D187" s="134" t="str">
        <f ca="1">IFERROR(__xludf.DUMMYFUNCTION("""COMPUTED_VALUE"""),"")</f>
        <v/>
      </c>
      <c r="E187" s="134" t="str">
        <f ca="1">IFERROR(__xludf.DUMMYFUNCTION("""COMPUTED_VALUE"""),"")</f>
        <v/>
      </c>
      <c r="F187" s="134" t="str">
        <f ca="1">IFERROR(__xludf.DUMMYFUNCTION("""COMPUTED_VALUE"""),"")</f>
        <v/>
      </c>
      <c r="G187" s="134" t="str">
        <f ca="1">IFERROR(__xludf.DUMMYFUNCTION("""COMPUTED_VALUE"""),"")</f>
        <v/>
      </c>
      <c r="H187" s="134" t="str">
        <f ca="1">IFERROR(__xludf.DUMMYFUNCTION("""COMPUTED_VALUE"""),"")</f>
        <v/>
      </c>
      <c r="I187" s="134" t="str">
        <f ca="1">IFERROR(__xludf.DUMMYFUNCTION("""COMPUTED_VALUE"""),"")</f>
        <v/>
      </c>
      <c r="J187" s="134" t="str">
        <f ca="1">IFERROR(__xludf.DUMMYFUNCTION("""COMPUTED_VALUE"""),"")</f>
        <v/>
      </c>
      <c r="N187" s="31"/>
    </row>
    <row r="188" spans="1:14" customFormat="1">
      <c r="A188" s="134" t="str">
        <f ca="1">IFERROR(__xludf.DUMMYFUNCTION("""COMPUTED_VALUE"""),"")</f>
        <v/>
      </c>
      <c r="B188" s="134" t="str">
        <f ca="1">IFERROR(__xludf.DUMMYFUNCTION("""COMPUTED_VALUE"""),"")</f>
        <v/>
      </c>
      <c r="C188" s="134" t="str">
        <f ca="1">IFERROR(__xludf.DUMMYFUNCTION("""COMPUTED_VALUE"""),"")</f>
        <v/>
      </c>
      <c r="D188" s="134" t="str">
        <f ca="1">IFERROR(__xludf.DUMMYFUNCTION("""COMPUTED_VALUE"""),"")</f>
        <v/>
      </c>
      <c r="E188" s="134" t="str">
        <f ca="1">IFERROR(__xludf.DUMMYFUNCTION("""COMPUTED_VALUE"""),"")</f>
        <v/>
      </c>
      <c r="F188" s="134" t="str">
        <f ca="1">IFERROR(__xludf.DUMMYFUNCTION("""COMPUTED_VALUE"""),"")</f>
        <v/>
      </c>
      <c r="G188" s="134" t="str">
        <f ca="1">IFERROR(__xludf.DUMMYFUNCTION("""COMPUTED_VALUE"""),"")</f>
        <v/>
      </c>
      <c r="H188" s="134" t="str">
        <f ca="1">IFERROR(__xludf.DUMMYFUNCTION("""COMPUTED_VALUE"""),"")</f>
        <v/>
      </c>
      <c r="I188" s="134" t="str">
        <f ca="1">IFERROR(__xludf.DUMMYFUNCTION("""COMPUTED_VALUE"""),"")</f>
        <v/>
      </c>
      <c r="J188" s="134" t="str">
        <f ca="1">IFERROR(__xludf.DUMMYFUNCTION("""COMPUTED_VALUE"""),"")</f>
        <v/>
      </c>
      <c r="N188" s="31"/>
    </row>
    <row r="189" spans="1:14" customFormat="1">
      <c r="A189" s="134" t="str">
        <f ca="1">IFERROR(__xludf.DUMMYFUNCTION("""COMPUTED_VALUE"""),"")</f>
        <v/>
      </c>
      <c r="B189" s="134" t="str">
        <f ca="1">IFERROR(__xludf.DUMMYFUNCTION("""COMPUTED_VALUE"""),"")</f>
        <v/>
      </c>
      <c r="C189" s="134" t="str">
        <f ca="1">IFERROR(__xludf.DUMMYFUNCTION("""COMPUTED_VALUE"""),"")</f>
        <v/>
      </c>
      <c r="D189" s="134" t="str">
        <f ca="1">IFERROR(__xludf.DUMMYFUNCTION("""COMPUTED_VALUE"""),"")</f>
        <v/>
      </c>
      <c r="E189" s="134" t="str">
        <f ca="1">IFERROR(__xludf.DUMMYFUNCTION("""COMPUTED_VALUE"""),"")</f>
        <v/>
      </c>
      <c r="F189" s="134" t="str">
        <f ca="1">IFERROR(__xludf.DUMMYFUNCTION("""COMPUTED_VALUE"""),"")</f>
        <v/>
      </c>
      <c r="G189" s="134" t="str">
        <f ca="1">IFERROR(__xludf.DUMMYFUNCTION("""COMPUTED_VALUE"""),"")</f>
        <v/>
      </c>
      <c r="H189" s="134" t="str">
        <f ca="1">IFERROR(__xludf.DUMMYFUNCTION("""COMPUTED_VALUE"""),"")</f>
        <v/>
      </c>
      <c r="I189" s="134" t="str">
        <f ca="1">IFERROR(__xludf.DUMMYFUNCTION("""COMPUTED_VALUE"""),"")</f>
        <v/>
      </c>
      <c r="J189" s="134" t="str">
        <f ca="1">IFERROR(__xludf.DUMMYFUNCTION("""COMPUTED_VALUE"""),"")</f>
        <v/>
      </c>
      <c r="N189" s="31"/>
    </row>
    <row r="190" spans="1:14" customFormat="1">
      <c r="A190" s="134" t="str">
        <f ca="1">IFERROR(__xludf.DUMMYFUNCTION("""COMPUTED_VALUE"""),"")</f>
        <v/>
      </c>
      <c r="B190" s="134" t="str">
        <f ca="1">IFERROR(__xludf.DUMMYFUNCTION("""COMPUTED_VALUE"""),"")</f>
        <v/>
      </c>
      <c r="C190" s="134" t="str">
        <f ca="1">IFERROR(__xludf.DUMMYFUNCTION("""COMPUTED_VALUE"""),"")</f>
        <v/>
      </c>
      <c r="D190" s="134" t="str">
        <f ca="1">IFERROR(__xludf.DUMMYFUNCTION("""COMPUTED_VALUE"""),"")</f>
        <v/>
      </c>
      <c r="E190" s="134" t="str">
        <f ca="1">IFERROR(__xludf.DUMMYFUNCTION("""COMPUTED_VALUE"""),"")</f>
        <v/>
      </c>
      <c r="F190" s="134" t="str">
        <f ca="1">IFERROR(__xludf.DUMMYFUNCTION("""COMPUTED_VALUE"""),"")</f>
        <v/>
      </c>
      <c r="G190" s="134" t="str">
        <f ca="1">IFERROR(__xludf.DUMMYFUNCTION("""COMPUTED_VALUE"""),"")</f>
        <v/>
      </c>
      <c r="H190" s="134" t="str">
        <f ca="1">IFERROR(__xludf.DUMMYFUNCTION("""COMPUTED_VALUE"""),"")</f>
        <v/>
      </c>
      <c r="I190" s="134" t="str">
        <f ca="1">IFERROR(__xludf.DUMMYFUNCTION("""COMPUTED_VALUE"""),"")</f>
        <v/>
      </c>
      <c r="J190" s="134" t="str">
        <f ca="1">IFERROR(__xludf.DUMMYFUNCTION("""COMPUTED_VALUE"""),"")</f>
        <v/>
      </c>
      <c r="N190" s="31"/>
    </row>
    <row r="191" spans="1:14" customFormat="1">
      <c r="A191" s="134" t="str">
        <f ca="1">IFERROR(__xludf.DUMMYFUNCTION("""COMPUTED_VALUE"""),"")</f>
        <v/>
      </c>
      <c r="B191" s="134" t="str">
        <f ca="1">IFERROR(__xludf.DUMMYFUNCTION("""COMPUTED_VALUE"""),"")</f>
        <v/>
      </c>
      <c r="C191" s="134" t="str">
        <f ca="1">IFERROR(__xludf.DUMMYFUNCTION("""COMPUTED_VALUE"""),"")</f>
        <v/>
      </c>
      <c r="D191" s="134" t="str">
        <f ca="1">IFERROR(__xludf.DUMMYFUNCTION("""COMPUTED_VALUE"""),"")</f>
        <v/>
      </c>
      <c r="E191" s="134" t="str">
        <f ca="1">IFERROR(__xludf.DUMMYFUNCTION("""COMPUTED_VALUE"""),"")</f>
        <v/>
      </c>
      <c r="F191" s="134" t="str">
        <f ca="1">IFERROR(__xludf.DUMMYFUNCTION("""COMPUTED_VALUE"""),"")</f>
        <v/>
      </c>
      <c r="G191" s="134" t="str">
        <f ca="1">IFERROR(__xludf.DUMMYFUNCTION("""COMPUTED_VALUE"""),"")</f>
        <v/>
      </c>
      <c r="H191" s="134" t="str">
        <f ca="1">IFERROR(__xludf.DUMMYFUNCTION("""COMPUTED_VALUE"""),"")</f>
        <v/>
      </c>
      <c r="I191" s="134" t="str">
        <f ca="1">IFERROR(__xludf.DUMMYFUNCTION("""COMPUTED_VALUE"""),"")</f>
        <v/>
      </c>
      <c r="J191" s="134" t="str">
        <f ca="1">IFERROR(__xludf.DUMMYFUNCTION("""COMPUTED_VALUE"""),"")</f>
        <v/>
      </c>
      <c r="N191" s="31"/>
    </row>
    <row r="192" spans="1:14" customFormat="1">
      <c r="A192" s="134" t="str">
        <f ca="1">IFERROR(__xludf.DUMMYFUNCTION("""COMPUTED_VALUE"""),"")</f>
        <v/>
      </c>
      <c r="B192" s="134" t="str">
        <f ca="1">IFERROR(__xludf.DUMMYFUNCTION("""COMPUTED_VALUE"""),"")</f>
        <v/>
      </c>
      <c r="C192" s="134" t="str">
        <f ca="1">IFERROR(__xludf.DUMMYFUNCTION("""COMPUTED_VALUE"""),"")</f>
        <v/>
      </c>
      <c r="D192" s="134" t="str">
        <f ca="1">IFERROR(__xludf.DUMMYFUNCTION("""COMPUTED_VALUE"""),"")</f>
        <v/>
      </c>
      <c r="E192" s="134" t="str">
        <f ca="1">IFERROR(__xludf.DUMMYFUNCTION("""COMPUTED_VALUE"""),"")</f>
        <v/>
      </c>
      <c r="F192" s="134" t="str">
        <f ca="1">IFERROR(__xludf.DUMMYFUNCTION("""COMPUTED_VALUE"""),"")</f>
        <v/>
      </c>
      <c r="G192" s="134" t="str">
        <f ca="1">IFERROR(__xludf.DUMMYFUNCTION("""COMPUTED_VALUE"""),"")</f>
        <v/>
      </c>
      <c r="H192" s="134" t="str">
        <f ca="1">IFERROR(__xludf.DUMMYFUNCTION("""COMPUTED_VALUE"""),"")</f>
        <v/>
      </c>
      <c r="I192" s="134" t="str">
        <f ca="1">IFERROR(__xludf.DUMMYFUNCTION("""COMPUTED_VALUE"""),"")</f>
        <v/>
      </c>
      <c r="J192" s="134" t="str">
        <f ca="1">IFERROR(__xludf.DUMMYFUNCTION("""COMPUTED_VALUE"""),"")</f>
        <v/>
      </c>
      <c r="N192" s="31"/>
    </row>
    <row r="193" spans="1:14" customFormat="1">
      <c r="A193" s="134" t="str">
        <f ca="1">IFERROR(__xludf.DUMMYFUNCTION("""COMPUTED_VALUE"""),"")</f>
        <v/>
      </c>
      <c r="B193" s="134" t="str">
        <f ca="1">IFERROR(__xludf.DUMMYFUNCTION("""COMPUTED_VALUE"""),"")</f>
        <v/>
      </c>
      <c r="C193" s="134" t="str">
        <f ca="1">IFERROR(__xludf.DUMMYFUNCTION("""COMPUTED_VALUE"""),"")</f>
        <v/>
      </c>
      <c r="D193" s="134" t="str">
        <f ca="1">IFERROR(__xludf.DUMMYFUNCTION("""COMPUTED_VALUE"""),"")</f>
        <v/>
      </c>
      <c r="E193" s="134" t="str">
        <f ca="1">IFERROR(__xludf.DUMMYFUNCTION("""COMPUTED_VALUE"""),"")</f>
        <v/>
      </c>
      <c r="F193" s="134" t="str">
        <f ca="1">IFERROR(__xludf.DUMMYFUNCTION("""COMPUTED_VALUE"""),"")</f>
        <v/>
      </c>
      <c r="G193" s="134" t="str">
        <f ca="1">IFERROR(__xludf.DUMMYFUNCTION("""COMPUTED_VALUE"""),"")</f>
        <v/>
      </c>
      <c r="H193" s="134" t="str">
        <f ca="1">IFERROR(__xludf.DUMMYFUNCTION("""COMPUTED_VALUE"""),"")</f>
        <v/>
      </c>
      <c r="I193" s="134" t="str">
        <f ca="1">IFERROR(__xludf.DUMMYFUNCTION("""COMPUTED_VALUE"""),"")</f>
        <v/>
      </c>
      <c r="J193" s="134" t="str">
        <f ca="1">IFERROR(__xludf.DUMMYFUNCTION("""COMPUTED_VALUE"""),"")</f>
        <v/>
      </c>
      <c r="N193" s="31"/>
    </row>
    <row r="194" spans="1:14" customFormat="1">
      <c r="A194" s="134" t="str">
        <f ca="1">IFERROR(__xludf.DUMMYFUNCTION("""COMPUTED_VALUE"""),"")</f>
        <v/>
      </c>
      <c r="B194" s="134" t="str">
        <f ca="1">IFERROR(__xludf.DUMMYFUNCTION("""COMPUTED_VALUE"""),"")</f>
        <v/>
      </c>
      <c r="C194" s="134" t="str">
        <f ca="1">IFERROR(__xludf.DUMMYFUNCTION("""COMPUTED_VALUE"""),"")</f>
        <v/>
      </c>
      <c r="D194" s="134" t="str">
        <f ca="1">IFERROR(__xludf.DUMMYFUNCTION("""COMPUTED_VALUE"""),"")</f>
        <v/>
      </c>
      <c r="E194" s="134" t="str">
        <f ca="1">IFERROR(__xludf.DUMMYFUNCTION("""COMPUTED_VALUE"""),"")</f>
        <v/>
      </c>
      <c r="F194" s="134" t="str">
        <f ca="1">IFERROR(__xludf.DUMMYFUNCTION("""COMPUTED_VALUE"""),"")</f>
        <v/>
      </c>
      <c r="G194" s="134" t="str">
        <f ca="1">IFERROR(__xludf.DUMMYFUNCTION("""COMPUTED_VALUE"""),"")</f>
        <v/>
      </c>
      <c r="H194" s="134" t="str">
        <f ca="1">IFERROR(__xludf.DUMMYFUNCTION("""COMPUTED_VALUE"""),"")</f>
        <v/>
      </c>
      <c r="I194" s="134" t="str">
        <f ca="1">IFERROR(__xludf.DUMMYFUNCTION("""COMPUTED_VALUE"""),"")</f>
        <v/>
      </c>
      <c r="J194" s="134" t="str">
        <f ca="1">IFERROR(__xludf.DUMMYFUNCTION("""COMPUTED_VALUE"""),"")</f>
        <v/>
      </c>
      <c r="N194" s="31"/>
    </row>
    <row r="195" spans="1:14" customFormat="1">
      <c r="A195" s="134" t="str">
        <f ca="1">IFERROR(__xludf.DUMMYFUNCTION("""COMPUTED_VALUE"""),"")</f>
        <v/>
      </c>
      <c r="B195" s="134" t="str">
        <f ca="1">IFERROR(__xludf.DUMMYFUNCTION("""COMPUTED_VALUE"""),"")</f>
        <v/>
      </c>
      <c r="C195" s="134" t="str">
        <f ca="1">IFERROR(__xludf.DUMMYFUNCTION("""COMPUTED_VALUE"""),"")</f>
        <v/>
      </c>
      <c r="D195" s="134" t="str">
        <f ca="1">IFERROR(__xludf.DUMMYFUNCTION("""COMPUTED_VALUE"""),"")</f>
        <v/>
      </c>
      <c r="E195" s="134" t="str">
        <f ca="1">IFERROR(__xludf.DUMMYFUNCTION("""COMPUTED_VALUE"""),"")</f>
        <v/>
      </c>
      <c r="F195" s="134" t="str">
        <f ca="1">IFERROR(__xludf.DUMMYFUNCTION("""COMPUTED_VALUE"""),"")</f>
        <v/>
      </c>
      <c r="G195" s="134" t="str">
        <f ca="1">IFERROR(__xludf.DUMMYFUNCTION("""COMPUTED_VALUE"""),"")</f>
        <v/>
      </c>
      <c r="H195" s="134" t="str">
        <f ca="1">IFERROR(__xludf.DUMMYFUNCTION("""COMPUTED_VALUE"""),"")</f>
        <v/>
      </c>
      <c r="I195" s="134" t="str">
        <f ca="1">IFERROR(__xludf.DUMMYFUNCTION("""COMPUTED_VALUE"""),"")</f>
        <v/>
      </c>
      <c r="J195" s="134" t="str">
        <f ca="1">IFERROR(__xludf.DUMMYFUNCTION("""COMPUTED_VALUE"""),"")</f>
        <v/>
      </c>
      <c r="N195" s="31"/>
    </row>
    <row r="196" spans="1:14" customFormat="1">
      <c r="A196" s="134" t="str">
        <f ca="1">IFERROR(__xludf.DUMMYFUNCTION("""COMPUTED_VALUE"""),"")</f>
        <v/>
      </c>
      <c r="B196" s="134" t="str">
        <f ca="1">IFERROR(__xludf.DUMMYFUNCTION("""COMPUTED_VALUE"""),"")</f>
        <v/>
      </c>
      <c r="C196" s="134" t="str">
        <f ca="1">IFERROR(__xludf.DUMMYFUNCTION("""COMPUTED_VALUE"""),"")</f>
        <v/>
      </c>
      <c r="D196" s="134" t="str">
        <f ca="1">IFERROR(__xludf.DUMMYFUNCTION("""COMPUTED_VALUE"""),"")</f>
        <v/>
      </c>
      <c r="E196" s="134" t="str">
        <f ca="1">IFERROR(__xludf.DUMMYFUNCTION("""COMPUTED_VALUE"""),"")</f>
        <v/>
      </c>
      <c r="F196" s="134" t="str">
        <f ca="1">IFERROR(__xludf.DUMMYFUNCTION("""COMPUTED_VALUE"""),"")</f>
        <v/>
      </c>
      <c r="G196" s="134" t="str">
        <f ca="1">IFERROR(__xludf.DUMMYFUNCTION("""COMPUTED_VALUE"""),"")</f>
        <v/>
      </c>
      <c r="H196" s="134" t="str">
        <f ca="1">IFERROR(__xludf.DUMMYFUNCTION("""COMPUTED_VALUE"""),"")</f>
        <v/>
      </c>
      <c r="I196" s="134" t="str">
        <f ca="1">IFERROR(__xludf.DUMMYFUNCTION("""COMPUTED_VALUE"""),"")</f>
        <v/>
      </c>
      <c r="J196" s="134" t="str">
        <f ca="1">IFERROR(__xludf.DUMMYFUNCTION("""COMPUTED_VALUE"""),"")</f>
        <v/>
      </c>
      <c r="N196" s="31"/>
    </row>
    <row r="197" spans="1:14" customFormat="1">
      <c r="A197" s="134" t="str">
        <f ca="1">IFERROR(__xludf.DUMMYFUNCTION("""COMPUTED_VALUE"""),"")</f>
        <v/>
      </c>
      <c r="B197" s="134" t="str">
        <f ca="1">IFERROR(__xludf.DUMMYFUNCTION("""COMPUTED_VALUE"""),"")</f>
        <v/>
      </c>
      <c r="C197" s="134" t="str">
        <f ca="1">IFERROR(__xludf.DUMMYFUNCTION("""COMPUTED_VALUE"""),"")</f>
        <v/>
      </c>
      <c r="D197" s="134" t="str">
        <f ca="1">IFERROR(__xludf.DUMMYFUNCTION("""COMPUTED_VALUE"""),"")</f>
        <v/>
      </c>
      <c r="E197" s="134" t="str">
        <f ca="1">IFERROR(__xludf.DUMMYFUNCTION("""COMPUTED_VALUE"""),"")</f>
        <v/>
      </c>
      <c r="F197" s="134" t="str">
        <f ca="1">IFERROR(__xludf.DUMMYFUNCTION("""COMPUTED_VALUE"""),"")</f>
        <v/>
      </c>
      <c r="G197" s="134" t="str">
        <f ca="1">IFERROR(__xludf.DUMMYFUNCTION("""COMPUTED_VALUE"""),"")</f>
        <v/>
      </c>
      <c r="H197" s="134" t="str">
        <f ca="1">IFERROR(__xludf.DUMMYFUNCTION("""COMPUTED_VALUE"""),"")</f>
        <v/>
      </c>
      <c r="I197" s="134" t="str">
        <f ca="1">IFERROR(__xludf.DUMMYFUNCTION("""COMPUTED_VALUE"""),"")</f>
        <v/>
      </c>
      <c r="J197" s="134" t="str">
        <f ca="1">IFERROR(__xludf.DUMMYFUNCTION("""COMPUTED_VALUE"""),"")</f>
        <v/>
      </c>
      <c r="N197" s="31"/>
    </row>
    <row r="198" spans="1:14" customFormat="1">
      <c r="A198" s="134" t="str">
        <f ca="1">IFERROR(__xludf.DUMMYFUNCTION("""COMPUTED_VALUE"""),"")</f>
        <v/>
      </c>
      <c r="B198" s="134" t="str">
        <f ca="1">IFERROR(__xludf.DUMMYFUNCTION("""COMPUTED_VALUE"""),"")</f>
        <v/>
      </c>
      <c r="C198" s="134" t="str">
        <f ca="1">IFERROR(__xludf.DUMMYFUNCTION("""COMPUTED_VALUE"""),"")</f>
        <v/>
      </c>
      <c r="D198" s="134" t="str">
        <f ca="1">IFERROR(__xludf.DUMMYFUNCTION("""COMPUTED_VALUE"""),"")</f>
        <v/>
      </c>
      <c r="E198" s="134" t="str">
        <f ca="1">IFERROR(__xludf.DUMMYFUNCTION("""COMPUTED_VALUE"""),"")</f>
        <v/>
      </c>
      <c r="F198" s="134" t="str">
        <f ca="1">IFERROR(__xludf.DUMMYFUNCTION("""COMPUTED_VALUE"""),"")</f>
        <v/>
      </c>
      <c r="G198" s="134" t="str">
        <f ca="1">IFERROR(__xludf.DUMMYFUNCTION("""COMPUTED_VALUE"""),"")</f>
        <v/>
      </c>
      <c r="H198" s="134" t="str">
        <f ca="1">IFERROR(__xludf.DUMMYFUNCTION("""COMPUTED_VALUE"""),"")</f>
        <v/>
      </c>
      <c r="I198" s="134" t="str">
        <f ca="1">IFERROR(__xludf.DUMMYFUNCTION("""COMPUTED_VALUE"""),"")</f>
        <v/>
      </c>
      <c r="J198" s="134" t="str">
        <f ca="1">IFERROR(__xludf.DUMMYFUNCTION("""COMPUTED_VALUE"""),"")</f>
        <v/>
      </c>
      <c r="N198" s="31"/>
    </row>
    <row r="199" spans="1:14" customFormat="1">
      <c r="A199" s="134" t="str">
        <f ca="1">IFERROR(__xludf.DUMMYFUNCTION("""COMPUTED_VALUE"""),"")</f>
        <v/>
      </c>
      <c r="B199" s="134" t="str">
        <f ca="1">IFERROR(__xludf.DUMMYFUNCTION("""COMPUTED_VALUE"""),"")</f>
        <v/>
      </c>
      <c r="C199" s="134" t="str">
        <f ca="1">IFERROR(__xludf.DUMMYFUNCTION("""COMPUTED_VALUE"""),"")</f>
        <v/>
      </c>
      <c r="D199" s="134" t="str">
        <f ca="1">IFERROR(__xludf.DUMMYFUNCTION("""COMPUTED_VALUE"""),"")</f>
        <v/>
      </c>
      <c r="E199" s="134" t="str">
        <f ca="1">IFERROR(__xludf.DUMMYFUNCTION("""COMPUTED_VALUE"""),"")</f>
        <v/>
      </c>
      <c r="F199" s="134" t="str">
        <f ca="1">IFERROR(__xludf.DUMMYFUNCTION("""COMPUTED_VALUE"""),"")</f>
        <v/>
      </c>
      <c r="G199" s="134" t="str">
        <f ca="1">IFERROR(__xludf.DUMMYFUNCTION("""COMPUTED_VALUE"""),"")</f>
        <v/>
      </c>
      <c r="H199" s="134" t="str">
        <f ca="1">IFERROR(__xludf.DUMMYFUNCTION("""COMPUTED_VALUE"""),"")</f>
        <v/>
      </c>
      <c r="I199" s="134" t="str">
        <f ca="1">IFERROR(__xludf.DUMMYFUNCTION("""COMPUTED_VALUE"""),"")</f>
        <v/>
      </c>
      <c r="J199" s="134" t="str">
        <f ca="1">IFERROR(__xludf.DUMMYFUNCTION("""COMPUTED_VALUE"""),"")</f>
        <v/>
      </c>
      <c r="N199" s="31"/>
    </row>
    <row r="200" spans="1:14" customFormat="1">
      <c r="A200" s="134" t="str">
        <f ca="1">IFERROR(__xludf.DUMMYFUNCTION("""COMPUTED_VALUE"""),"")</f>
        <v/>
      </c>
      <c r="B200" s="134" t="str">
        <f ca="1">IFERROR(__xludf.DUMMYFUNCTION("""COMPUTED_VALUE"""),"")</f>
        <v/>
      </c>
      <c r="C200" s="134" t="str">
        <f ca="1">IFERROR(__xludf.DUMMYFUNCTION("""COMPUTED_VALUE"""),"")</f>
        <v/>
      </c>
      <c r="D200" s="134" t="str">
        <f ca="1">IFERROR(__xludf.DUMMYFUNCTION("""COMPUTED_VALUE"""),"")</f>
        <v/>
      </c>
      <c r="E200" s="134" t="str">
        <f ca="1">IFERROR(__xludf.DUMMYFUNCTION("""COMPUTED_VALUE"""),"")</f>
        <v/>
      </c>
      <c r="F200" s="134" t="str">
        <f ca="1">IFERROR(__xludf.DUMMYFUNCTION("""COMPUTED_VALUE"""),"")</f>
        <v/>
      </c>
      <c r="G200" s="134" t="str">
        <f ca="1">IFERROR(__xludf.DUMMYFUNCTION("""COMPUTED_VALUE"""),"")</f>
        <v/>
      </c>
      <c r="H200" s="134" t="str">
        <f ca="1">IFERROR(__xludf.DUMMYFUNCTION("""COMPUTED_VALUE"""),"")</f>
        <v/>
      </c>
      <c r="I200" s="134" t="str">
        <f ca="1">IFERROR(__xludf.DUMMYFUNCTION("""COMPUTED_VALUE"""),"")</f>
        <v/>
      </c>
      <c r="J200" s="134" t="str">
        <f ca="1">IFERROR(__xludf.DUMMYFUNCTION("""COMPUTED_VALUE"""),"")</f>
        <v/>
      </c>
      <c r="N200" s="31"/>
    </row>
    <row r="201" spans="1:14" customFormat="1">
      <c r="A201" s="134" t="str">
        <f ca="1">IFERROR(__xludf.DUMMYFUNCTION("""COMPUTED_VALUE"""),"")</f>
        <v/>
      </c>
      <c r="B201" s="134" t="str">
        <f ca="1">IFERROR(__xludf.DUMMYFUNCTION("""COMPUTED_VALUE"""),"")</f>
        <v/>
      </c>
      <c r="C201" s="134" t="str">
        <f ca="1">IFERROR(__xludf.DUMMYFUNCTION("""COMPUTED_VALUE"""),"")</f>
        <v/>
      </c>
      <c r="D201" s="134" t="str">
        <f ca="1">IFERROR(__xludf.DUMMYFUNCTION("""COMPUTED_VALUE"""),"")</f>
        <v/>
      </c>
      <c r="E201" s="134" t="str">
        <f ca="1">IFERROR(__xludf.DUMMYFUNCTION("""COMPUTED_VALUE"""),"")</f>
        <v/>
      </c>
      <c r="F201" s="134" t="str">
        <f ca="1">IFERROR(__xludf.DUMMYFUNCTION("""COMPUTED_VALUE"""),"")</f>
        <v/>
      </c>
      <c r="G201" s="134" t="str">
        <f ca="1">IFERROR(__xludf.DUMMYFUNCTION("""COMPUTED_VALUE"""),"")</f>
        <v/>
      </c>
      <c r="H201" s="134" t="str">
        <f ca="1">IFERROR(__xludf.DUMMYFUNCTION("""COMPUTED_VALUE"""),"")</f>
        <v/>
      </c>
      <c r="I201" s="134" t="str">
        <f ca="1">IFERROR(__xludf.DUMMYFUNCTION("""COMPUTED_VALUE"""),"")</f>
        <v/>
      </c>
      <c r="J201" s="134" t="str">
        <f ca="1">IFERROR(__xludf.DUMMYFUNCTION("""COMPUTED_VALUE"""),"")</f>
        <v/>
      </c>
      <c r="N201" s="31"/>
    </row>
    <row r="202" spans="1:14" customFormat="1">
      <c r="A202" s="134" t="str">
        <f ca="1">IFERROR(__xludf.DUMMYFUNCTION("""COMPUTED_VALUE"""),"")</f>
        <v/>
      </c>
      <c r="B202" s="134" t="str">
        <f ca="1">IFERROR(__xludf.DUMMYFUNCTION("""COMPUTED_VALUE"""),"")</f>
        <v/>
      </c>
      <c r="C202" s="134" t="str">
        <f ca="1">IFERROR(__xludf.DUMMYFUNCTION("""COMPUTED_VALUE"""),"")</f>
        <v/>
      </c>
      <c r="D202" s="134" t="str">
        <f ca="1">IFERROR(__xludf.DUMMYFUNCTION("""COMPUTED_VALUE"""),"")</f>
        <v/>
      </c>
      <c r="E202" s="134" t="str">
        <f ca="1">IFERROR(__xludf.DUMMYFUNCTION("""COMPUTED_VALUE"""),"")</f>
        <v/>
      </c>
      <c r="F202" s="134" t="str">
        <f ca="1">IFERROR(__xludf.DUMMYFUNCTION("""COMPUTED_VALUE"""),"")</f>
        <v/>
      </c>
      <c r="G202" s="134" t="str">
        <f ca="1">IFERROR(__xludf.DUMMYFUNCTION("""COMPUTED_VALUE"""),"")</f>
        <v/>
      </c>
      <c r="H202" s="134" t="str">
        <f ca="1">IFERROR(__xludf.DUMMYFUNCTION("""COMPUTED_VALUE"""),"")</f>
        <v/>
      </c>
      <c r="I202" s="134" t="str">
        <f ca="1">IFERROR(__xludf.DUMMYFUNCTION("""COMPUTED_VALUE"""),"")</f>
        <v/>
      </c>
      <c r="J202" s="134" t="str">
        <f ca="1">IFERROR(__xludf.DUMMYFUNCTION("""COMPUTED_VALUE"""),"")</f>
        <v/>
      </c>
      <c r="N202" s="31"/>
    </row>
    <row r="203" spans="1:14" customFormat="1">
      <c r="A203" s="134" t="str">
        <f ca="1">IFERROR(__xludf.DUMMYFUNCTION("""COMPUTED_VALUE"""),"")</f>
        <v/>
      </c>
      <c r="B203" s="134" t="str">
        <f ca="1">IFERROR(__xludf.DUMMYFUNCTION("""COMPUTED_VALUE"""),"")</f>
        <v/>
      </c>
      <c r="C203" s="134" t="str">
        <f ca="1">IFERROR(__xludf.DUMMYFUNCTION("""COMPUTED_VALUE"""),"")</f>
        <v/>
      </c>
      <c r="D203" s="134" t="str">
        <f ca="1">IFERROR(__xludf.DUMMYFUNCTION("""COMPUTED_VALUE"""),"")</f>
        <v/>
      </c>
      <c r="E203" s="134" t="str">
        <f ca="1">IFERROR(__xludf.DUMMYFUNCTION("""COMPUTED_VALUE"""),"")</f>
        <v/>
      </c>
      <c r="F203" s="134" t="str">
        <f ca="1">IFERROR(__xludf.DUMMYFUNCTION("""COMPUTED_VALUE"""),"")</f>
        <v/>
      </c>
      <c r="G203" s="134" t="str">
        <f ca="1">IFERROR(__xludf.DUMMYFUNCTION("""COMPUTED_VALUE"""),"")</f>
        <v/>
      </c>
      <c r="H203" s="134" t="str">
        <f ca="1">IFERROR(__xludf.DUMMYFUNCTION("""COMPUTED_VALUE"""),"")</f>
        <v/>
      </c>
      <c r="I203" s="134" t="str">
        <f ca="1">IFERROR(__xludf.DUMMYFUNCTION("""COMPUTED_VALUE"""),"")</f>
        <v/>
      </c>
      <c r="J203" s="134" t="str">
        <f ca="1">IFERROR(__xludf.DUMMYFUNCTION("""COMPUTED_VALUE"""),"")</f>
        <v/>
      </c>
      <c r="N203" s="31"/>
    </row>
    <row r="204" spans="1:14" customFormat="1">
      <c r="A204" s="134" t="str">
        <f ca="1">IFERROR(__xludf.DUMMYFUNCTION("""COMPUTED_VALUE"""),"")</f>
        <v/>
      </c>
      <c r="B204" s="134" t="str">
        <f ca="1">IFERROR(__xludf.DUMMYFUNCTION("""COMPUTED_VALUE"""),"")</f>
        <v/>
      </c>
      <c r="C204" s="134" t="str">
        <f ca="1">IFERROR(__xludf.DUMMYFUNCTION("""COMPUTED_VALUE"""),"")</f>
        <v/>
      </c>
      <c r="D204" s="134" t="str">
        <f ca="1">IFERROR(__xludf.DUMMYFUNCTION("""COMPUTED_VALUE"""),"")</f>
        <v/>
      </c>
      <c r="E204" s="134" t="str">
        <f ca="1">IFERROR(__xludf.DUMMYFUNCTION("""COMPUTED_VALUE"""),"")</f>
        <v/>
      </c>
      <c r="F204" s="134" t="str">
        <f ca="1">IFERROR(__xludf.DUMMYFUNCTION("""COMPUTED_VALUE"""),"")</f>
        <v/>
      </c>
      <c r="G204" s="134" t="str">
        <f ca="1">IFERROR(__xludf.DUMMYFUNCTION("""COMPUTED_VALUE"""),"")</f>
        <v/>
      </c>
      <c r="H204" s="134" t="str">
        <f ca="1">IFERROR(__xludf.DUMMYFUNCTION("""COMPUTED_VALUE"""),"")</f>
        <v/>
      </c>
      <c r="I204" s="134" t="str">
        <f ca="1">IFERROR(__xludf.DUMMYFUNCTION("""COMPUTED_VALUE"""),"")</f>
        <v/>
      </c>
      <c r="J204" s="134" t="str">
        <f ca="1">IFERROR(__xludf.DUMMYFUNCTION("""COMPUTED_VALUE"""),"")</f>
        <v/>
      </c>
      <c r="N204" s="31"/>
    </row>
    <row r="205" spans="1:14" customFormat="1">
      <c r="A205" s="134" t="str">
        <f ca="1">IFERROR(__xludf.DUMMYFUNCTION("""COMPUTED_VALUE"""),"")</f>
        <v/>
      </c>
      <c r="B205" s="134" t="str">
        <f ca="1">IFERROR(__xludf.DUMMYFUNCTION("""COMPUTED_VALUE"""),"")</f>
        <v/>
      </c>
      <c r="C205" s="134" t="str">
        <f ca="1">IFERROR(__xludf.DUMMYFUNCTION("""COMPUTED_VALUE"""),"")</f>
        <v/>
      </c>
      <c r="D205" s="134" t="str">
        <f ca="1">IFERROR(__xludf.DUMMYFUNCTION("""COMPUTED_VALUE"""),"")</f>
        <v/>
      </c>
      <c r="E205" s="134" t="str">
        <f ca="1">IFERROR(__xludf.DUMMYFUNCTION("""COMPUTED_VALUE"""),"")</f>
        <v/>
      </c>
      <c r="F205" s="134" t="str">
        <f ca="1">IFERROR(__xludf.DUMMYFUNCTION("""COMPUTED_VALUE"""),"")</f>
        <v/>
      </c>
      <c r="G205" s="134" t="str">
        <f ca="1">IFERROR(__xludf.DUMMYFUNCTION("""COMPUTED_VALUE"""),"")</f>
        <v/>
      </c>
      <c r="H205" s="134" t="str">
        <f ca="1">IFERROR(__xludf.DUMMYFUNCTION("""COMPUTED_VALUE"""),"")</f>
        <v/>
      </c>
      <c r="I205" s="134" t="str">
        <f ca="1">IFERROR(__xludf.DUMMYFUNCTION("""COMPUTED_VALUE"""),"")</f>
        <v/>
      </c>
      <c r="J205" s="134" t="str">
        <f ca="1">IFERROR(__xludf.DUMMYFUNCTION("""COMPUTED_VALUE"""),"")</f>
        <v/>
      </c>
      <c r="N205" s="31"/>
    </row>
    <row r="206" spans="1:14" customFormat="1">
      <c r="A206" s="134" t="str">
        <f ca="1">IFERROR(__xludf.DUMMYFUNCTION("""COMPUTED_VALUE"""),"")</f>
        <v/>
      </c>
      <c r="B206" s="134" t="str">
        <f ca="1">IFERROR(__xludf.DUMMYFUNCTION("""COMPUTED_VALUE"""),"")</f>
        <v/>
      </c>
      <c r="C206" s="134" t="str">
        <f ca="1">IFERROR(__xludf.DUMMYFUNCTION("""COMPUTED_VALUE"""),"")</f>
        <v/>
      </c>
      <c r="D206" s="134" t="str">
        <f ca="1">IFERROR(__xludf.DUMMYFUNCTION("""COMPUTED_VALUE"""),"")</f>
        <v/>
      </c>
      <c r="E206" s="134" t="str">
        <f ca="1">IFERROR(__xludf.DUMMYFUNCTION("""COMPUTED_VALUE"""),"")</f>
        <v/>
      </c>
      <c r="F206" s="134" t="str">
        <f ca="1">IFERROR(__xludf.DUMMYFUNCTION("""COMPUTED_VALUE"""),"")</f>
        <v/>
      </c>
      <c r="G206" s="134" t="str">
        <f ca="1">IFERROR(__xludf.DUMMYFUNCTION("""COMPUTED_VALUE"""),"")</f>
        <v/>
      </c>
      <c r="H206" s="134" t="str">
        <f ca="1">IFERROR(__xludf.DUMMYFUNCTION("""COMPUTED_VALUE"""),"")</f>
        <v/>
      </c>
      <c r="I206" s="134" t="str">
        <f ca="1">IFERROR(__xludf.DUMMYFUNCTION("""COMPUTED_VALUE"""),"")</f>
        <v/>
      </c>
      <c r="J206" s="134" t="str">
        <f ca="1">IFERROR(__xludf.DUMMYFUNCTION("""COMPUTED_VALUE"""),"")</f>
        <v/>
      </c>
      <c r="N206" s="31"/>
    </row>
    <row r="207" spans="1:14" customFormat="1">
      <c r="A207" s="134" t="str">
        <f ca="1">IFERROR(__xludf.DUMMYFUNCTION("""COMPUTED_VALUE"""),"")</f>
        <v/>
      </c>
      <c r="B207" s="134" t="str">
        <f ca="1">IFERROR(__xludf.DUMMYFUNCTION("""COMPUTED_VALUE"""),"")</f>
        <v/>
      </c>
      <c r="C207" s="134" t="str">
        <f ca="1">IFERROR(__xludf.DUMMYFUNCTION("""COMPUTED_VALUE"""),"")</f>
        <v/>
      </c>
      <c r="D207" s="134" t="str">
        <f ca="1">IFERROR(__xludf.DUMMYFUNCTION("""COMPUTED_VALUE"""),"")</f>
        <v/>
      </c>
      <c r="E207" s="134" t="str">
        <f ca="1">IFERROR(__xludf.DUMMYFUNCTION("""COMPUTED_VALUE"""),"")</f>
        <v/>
      </c>
      <c r="F207" s="134" t="str">
        <f ca="1">IFERROR(__xludf.DUMMYFUNCTION("""COMPUTED_VALUE"""),"")</f>
        <v/>
      </c>
      <c r="G207" s="134" t="str">
        <f ca="1">IFERROR(__xludf.DUMMYFUNCTION("""COMPUTED_VALUE"""),"")</f>
        <v/>
      </c>
      <c r="H207" s="134" t="str">
        <f ca="1">IFERROR(__xludf.DUMMYFUNCTION("""COMPUTED_VALUE"""),"")</f>
        <v/>
      </c>
      <c r="I207" s="134" t="str">
        <f ca="1">IFERROR(__xludf.DUMMYFUNCTION("""COMPUTED_VALUE"""),"")</f>
        <v/>
      </c>
      <c r="J207" s="134" t="str">
        <f ca="1">IFERROR(__xludf.DUMMYFUNCTION("""COMPUTED_VALUE"""),"")</f>
        <v/>
      </c>
      <c r="N207" s="31"/>
    </row>
    <row r="208" spans="1:14" customFormat="1">
      <c r="A208" s="134" t="str">
        <f ca="1">IFERROR(__xludf.DUMMYFUNCTION("""COMPUTED_VALUE"""),"")</f>
        <v/>
      </c>
      <c r="B208" s="134" t="str">
        <f ca="1">IFERROR(__xludf.DUMMYFUNCTION("""COMPUTED_VALUE"""),"")</f>
        <v/>
      </c>
      <c r="C208" s="134" t="str">
        <f ca="1">IFERROR(__xludf.DUMMYFUNCTION("""COMPUTED_VALUE"""),"")</f>
        <v/>
      </c>
      <c r="D208" s="134" t="str">
        <f ca="1">IFERROR(__xludf.DUMMYFUNCTION("""COMPUTED_VALUE"""),"")</f>
        <v/>
      </c>
      <c r="E208" s="134" t="str">
        <f ca="1">IFERROR(__xludf.DUMMYFUNCTION("""COMPUTED_VALUE"""),"")</f>
        <v/>
      </c>
      <c r="F208" s="134" t="str">
        <f ca="1">IFERROR(__xludf.DUMMYFUNCTION("""COMPUTED_VALUE"""),"")</f>
        <v/>
      </c>
      <c r="G208" s="134" t="str">
        <f ca="1">IFERROR(__xludf.DUMMYFUNCTION("""COMPUTED_VALUE"""),"")</f>
        <v/>
      </c>
      <c r="H208" s="134" t="str">
        <f ca="1">IFERROR(__xludf.DUMMYFUNCTION("""COMPUTED_VALUE"""),"")</f>
        <v/>
      </c>
      <c r="I208" s="134" t="str">
        <f ca="1">IFERROR(__xludf.DUMMYFUNCTION("""COMPUTED_VALUE"""),"")</f>
        <v/>
      </c>
      <c r="J208" s="134" t="str">
        <f ca="1">IFERROR(__xludf.DUMMYFUNCTION("""COMPUTED_VALUE"""),"")</f>
        <v/>
      </c>
      <c r="N208" s="31"/>
    </row>
    <row r="209" spans="1:14" customFormat="1">
      <c r="A209" s="134" t="str">
        <f ca="1">IFERROR(__xludf.DUMMYFUNCTION("""COMPUTED_VALUE"""),"")</f>
        <v/>
      </c>
      <c r="B209" s="134" t="str">
        <f ca="1">IFERROR(__xludf.DUMMYFUNCTION("""COMPUTED_VALUE"""),"")</f>
        <v/>
      </c>
      <c r="C209" s="134" t="str">
        <f ca="1">IFERROR(__xludf.DUMMYFUNCTION("""COMPUTED_VALUE"""),"")</f>
        <v/>
      </c>
      <c r="D209" s="134" t="str">
        <f ca="1">IFERROR(__xludf.DUMMYFUNCTION("""COMPUTED_VALUE"""),"")</f>
        <v/>
      </c>
      <c r="E209" s="134" t="str">
        <f ca="1">IFERROR(__xludf.DUMMYFUNCTION("""COMPUTED_VALUE"""),"")</f>
        <v/>
      </c>
      <c r="F209" s="134" t="str">
        <f ca="1">IFERROR(__xludf.DUMMYFUNCTION("""COMPUTED_VALUE"""),"")</f>
        <v/>
      </c>
      <c r="G209" s="134" t="str">
        <f ca="1">IFERROR(__xludf.DUMMYFUNCTION("""COMPUTED_VALUE"""),"")</f>
        <v/>
      </c>
      <c r="H209" s="134" t="str">
        <f ca="1">IFERROR(__xludf.DUMMYFUNCTION("""COMPUTED_VALUE"""),"")</f>
        <v/>
      </c>
      <c r="I209" s="134" t="str">
        <f ca="1">IFERROR(__xludf.DUMMYFUNCTION("""COMPUTED_VALUE"""),"")</f>
        <v/>
      </c>
      <c r="J209" s="134" t="str">
        <f ca="1">IFERROR(__xludf.DUMMYFUNCTION("""COMPUTED_VALUE"""),"")</f>
        <v/>
      </c>
      <c r="N209" s="31"/>
    </row>
    <row r="210" spans="1:14" customFormat="1">
      <c r="A210" s="134" t="str">
        <f ca="1">IFERROR(__xludf.DUMMYFUNCTION("""COMPUTED_VALUE"""),"")</f>
        <v/>
      </c>
      <c r="B210" s="134" t="str">
        <f ca="1">IFERROR(__xludf.DUMMYFUNCTION("""COMPUTED_VALUE"""),"")</f>
        <v/>
      </c>
      <c r="C210" s="134" t="str">
        <f ca="1">IFERROR(__xludf.DUMMYFUNCTION("""COMPUTED_VALUE"""),"")</f>
        <v/>
      </c>
      <c r="D210" s="134" t="str">
        <f ca="1">IFERROR(__xludf.DUMMYFUNCTION("""COMPUTED_VALUE"""),"")</f>
        <v/>
      </c>
      <c r="E210" s="134" t="str">
        <f ca="1">IFERROR(__xludf.DUMMYFUNCTION("""COMPUTED_VALUE"""),"")</f>
        <v/>
      </c>
      <c r="F210" s="134" t="str">
        <f ca="1">IFERROR(__xludf.DUMMYFUNCTION("""COMPUTED_VALUE"""),"")</f>
        <v/>
      </c>
      <c r="G210" s="134" t="str">
        <f ca="1">IFERROR(__xludf.DUMMYFUNCTION("""COMPUTED_VALUE"""),"")</f>
        <v/>
      </c>
      <c r="H210" s="134" t="str">
        <f ca="1">IFERROR(__xludf.DUMMYFUNCTION("""COMPUTED_VALUE"""),"")</f>
        <v/>
      </c>
      <c r="I210" s="134" t="str">
        <f ca="1">IFERROR(__xludf.DUMMYFUNCTION("""COMPUTED_VALUE"""),"")</f>
        <v/>
      </c>
      <c r="J210" s="134" t="str">
        <f ca="1">IFERROR(__xludf.DUMMYFUNCTION("""COMPUTED_VALUE"""),"")</f>
        <v/>
      </c>
      <c r="N210" s="31"/>
    </row>
    <row r="211" spans="1:14" customFormat="1">
      <c r="A211" s="134" t="str">
        <f ca="1">IFERROR(__xludf.DUMMYFUNCTION("""COMPUTED_VALUE"""),"")</f>
        <v/>
      </c>
      <c r="B211" s="134" t="str">
        <f ca="1">IFERROR(__xludf.DUMMYFUNCTION("""COMPUTED_VALUE"""),"")</f>
        <v/>
      </c>
      <c r="C211" s="134" t="str">
        <f ca="1">IFERROR(__xludf.DUMMYFUNCTION("""COMPUTED_VALUE"""),"")</f>
        <v/>
      </c>
      <c r="D211" s="134" t="str">
        <f ca="1">IFERROR(__xludf.DUMMYFUNCTION("""COMPUTED_VALUE"""),"")</f>
        <v/>
      </c>
      <c r="E211" s="134" t="str">
        <f ca="1">IFERROR(__xludf.DUMMYFUNCTION("""COMPUTED_VALUE"""),"")</f>
        <v/>
      </c>
      <c r="F211" s="134" t="str">
        <f ca="1">IFERROR(__xludf.DUMMYFUNCTION("""COMPUTED_VALUE"""),"")</f>
        <v/>
      </c>
      <c r="G211" s="134" t="str">
        <f ca="1">IFERROR(__xludf.DUMMYFUNCTION("""COMPUTED_VALUE"""),"")</f>
        <v/>
      </c>
      <c r="H211" s="134" t="str">
        <f ca="1">IFERROR(__xludf.DUMMYFUNCTION("""COMPUTED_VALUE"""),"")</f>
        <v/>
      </c>
      <c r="I211" s="134" t="str">
        <f ca="1">IFERROR(__xludf.DUMMYFUNCTION("""COMPUTED_VALUE"""),"")</f>
        <v/>
      </c>
      <c r="J211" s="134" t="str">
        <f ca="1">IFERROR(__xludf.DUMMYFUNCTION("""COMPUTED_VALUE"""),"")</f>
        <v/>
      </c>
      <c r="N211" s="31"/>
    </row>
    <row r="212" spans="1:14" customFormat="1">
      <c r="A212" s="134" t="str">
        <f ca="1">IFERROR(__xludf.DUMMYFUNCTION("""COMPUTED_VALUE"""),"")</f>
        <v/>
      </c>
      <c r="B212" s="134" t="str">
        <f ca="1">IFERROR(__xludf.DUMMYFUNCTION("""COMPUTED_VALUE"""),"")</f>
        <v/>
      </c>
      <c r="C212" s="134" t="str">
        <f ca="1">IFERROR(__xludf.DUMMYFUNCTION("""COMPUTED_VALUE"""),"")</f>
        <v/>
      </c>
      <c r="D212" s="134" t="str">
        <f ca="1">IFERROR(__xludf.DUMMYFUNCTION("""COMPUTED_VALUE"""),"")</f>
        <v/>
      </c>
      <c r="E212" s="134" t="str">
        <f ca="1">IFERROR(__xludf.DUMMYFUNCTION("""COMPUTED_VALUE"""),"")</f>
        <v/>
      </c>
      <c r="F212" s="134" t="str">
        <f ca="1">IFERROR(__xludf.DUMMYFUNCTION("""COMPUTED_VALUE"""),"")</f>
        <v/>
      </c>
      <c r="G212" s="134" t="str">
        <f ca="1">IFERROR(__xludf.DUMMYFUNCTION("""COMPUTED_VALUE"""),"")</f>
        <v/>
      </c>
      <c r="H212" s="134" t="str">
        <f ca="1">IFERROR(__xludf.DUMMYFUNCTION("""COMPUTED_VALUE"""),"")</f>
        <v/>
      </c>
      <c r="I212" s="134" t="str">
        <f ca="1">IFERROR(__xludf.DUMMYFUNCTION("""COMPUTED_VALUE"""),"")</f>
        <v/>
      </c>
      <c r="J212" s="134" t="str">
        <f ca="1">IFERROR(__xludf.DUMMYFUNCTION("""COMPUTED_VALUE"""),"")</f>
        <v/>
      </c>
      <c r="N212" s="31"/>
    </row>
    <row r="213" spans="1:14" customFormat="1">
      <c r="A213" s="134" t="str">
        <f ca="1">IFERROR(__xludf.DUMMYFUNCTION("""COMPUTED_VALUE"""),"")</f>
        <v/>
      </c>
      <c r="B213" s="134" t="str">
        <f ca="1">IFERROR(__xludf.DUMMYFUNCTION("""COMPUTED_VALUE"""),"")</f>
        <v/>
      </c>
      <c r="C213" s="134" t="str">
        <f ca="1">IFERROR(__xludf.DUMMYFUNCTION("""COMPUTED_VALUE"""),"")</f>
        <v/>
      </c>
      <c r="D213" s="134" t="str">
        <f ca="1">IFERROR(__xludf.DUMMYFUNCTION("""COMPUTED_VALUE"""),"")</f>
        <v/>
      </c>
      <c r="E213" s="134" t="str">
        <f ca="1">IFERROR(__xludf.DUMMYFUNCTION("""COMPUTED_VALUE"""),"")</f>
        <v/>
      </c>
      <c r="F213" s="134" t="str">
        <f ca="1">IFERROR(__xludf.DUMMYFUNCTION("""COMPUTED_VALUE"""),"")</f>
        <v/>
      </c>
      <c r="G213" s="134" t="str">
        <f ca="1">IFERROR(__xludf.DUMMYFUNCTION("""COMPUTED_VALUE"""),"")</f>
        <v/>
      </c>
      <c r="H213" s="134" t="str">
        <f ca="1">IFERROR(__xludf.DUMMYFUNCTION("""COMPUTED_VALUE"""),"")</f>
        <v/>
      </c>
      <c r="I213" s="134" t="str">
        <f ca="1">IFERROR(__xludf.DUMMYFUNCTION("""COMPUTED_VALUE"""),"")</f>
        <v/>
      </c>
      <c r="J213" s="134" t="str">
        <f ca="1">IFERROR(__xludf.DUMMYFUNCTION("""COMPUTED_VALUE"""),"")</f>
        <v/>
      </c>
      <c r="N213" s="31"/>
    </row>
    <row r="214" spans="1:14" customFormat="1">
      <c r="A214" s="134" t="str">
        <f ca="1">IFERROR(__xludf.DUMMYFUNCTION("""COMPUTED_VALUE"""),"")</f>
        <v/>
      </c>
      <c r="B214" s="134" t="str">
        <f ca="1">IFERROR(__xludf.DUMMYFUNCTION("""COMPUTED_VALUE"""),"")</f>
        <v/>
      </c>
      <c r="C214" s="134" t="str">
        <f ca="1">IFERROR(__xludf.DUMMYFUNCTION("""COMPUTED_VALUE"""),"")</f>
        <v/>
      </c>
      <c r="D214" s="134" t="str">
        <f ca="1">IFERROR(__xludf.DUMMYFUNCTION("""COMPUTED_VALUE"""),"")</f>
        <v/>
      </c>
      <c r="E214" s="134" t="str">
        <f ca="1">IFERROR(__xludf.DUMMYFUNCTION("""COMPUTED_VALUE"""),"")</f>
        <v/>
      </c>
      <c r="F214" s="134" t="str">
        <f ca="1">IFERROR(__xludf.DUMMYFUNCTION("""COMPUTED_VALUE"""),"")</f>
        <v/>
      </c>
      <c r="G214" s="134" t="str">
        <f ca="1">IFERROR(__xludf.DUMMYFUNCTION("""COMPUTED_VALUE"""),"")</f>
        <v/>
      </c>
      <c r="H214" s="134" t="str">
        <f ca="1">IFERROR(__xludf.DUMMYFUNCTION("""COMPUTED_VALUE"""),"")</f>
        <v/>
      </c>
      <c r="I214" s="134" t="str">
        <f ca="1">IFERROR(__xludf.DUMMYFUNCTION("""COMPUTED_VALUE"""),"")</f>
        <v/>
      </c>
      <c r="J214" s="134" t="str">
        <f ca="1">IFERROR(__xludf.DUMMYFUNCTION("""COMPUTED_VALUE"""),"")</f>
        <v/>
      </c>
      <c r="N214" s="31"/>
    </row>
    <row r="215" spans="1:14" customFormat="1">
      <c r="A215" s="134" t="str">
        <f ca="1">IFERROR(__xludf.DUMMYFUNCTION("""COMPUTED_VALUE"""),"")</f>
        <v/>
      </c>
      <c r="B215" s="134" t="str">
        <f ca="1">IFERROR(__xludf.DUMMYFUNCTION("""COMPUTED_VALUE"""),"")</f>
        <v/>
      </c>
      <c r="C215" s="134" t="str">
        <f ca="1">IFERROR(__xludf.DUMMYFUNCTION("""COMPUTED_VALUE"""),"")</f>
        <v/>
      </c>
      <c r="D215" s="134" t="str">
        <f ca="1">IFERROR(__xludf.DUMMYFUNCTION("""COMPUTED_VALUE"""),"")</f>
        <v/>
      </c>
      <c r="E215" s="134" t="str">
        <f ca="1">IFERROR(__xludf.DUMMYFUNCTION("""COMPUTED_VALUE"""),"")</f>
        <v/>
      </c>
      <c r="F215" s="134" t="str">
        <f ca="1">IFERROR(__xludf.DUMMYFUNCTION("""COMPUTED_VALUE"""),"")</f>
        <v/>
      </c>
      <c r="G215" s="134" t="str">
        <f ca="1">IFERROR(__xludf.DUMMYFUNCTION("""COMPUTED_VALUE"""),"")</f>
        <v/>
      </c>
      <c r="H215" s="134" t="str">
        <f ca="1">IFERROR(__xludf.DUMMYFUNCTION("""COMPUTED_VALUE"""),"")</f>
        <v/>
      </c>
      <c r="I215" s="134" t="str">
        <f ca="1">IFERROR(__xludf.DUMMYFUNCTION("""COMPUTED_VALUE"""),"")</f>
        <v/>
      </c>
      <c r="J215" s="134" t="str">
        <f ca="1">IFERROR(__xludf.DUMMYFUNCTION("""COMPUTED_VALUE"""),"")</f>
        <v/>
      </c>
      <c r="N215" s="31"/>
    </row>
    <row r="216" spans="1:14" customFormat="1">
      <c r="A216" s="134" t="str">
        <f ca="1">IFERROR(__xludf.DUMMYFUNCTION("""COMPUTED_VALUE"""),"")</f>
        <v/>
      </c>
      <c r="B216" s="134" t="str">
        <f ca="1">IFERROR(__xludf.DUMMYFUNCTION("""COMPUTED_VALUE"""),"")</f>
        <v/>
      </c>
      <c r="C216" s="134" t="str">
        <f ca="1">IFERROR(__xludf.DUMMYFUNCTION("""COMPUTED_VALUE"""),"")</f>
        <v/>
      </c>
      <c r="D216" s="134" t="str">
        <f ca="1">IFERROR(__xludf.DUMMYFUNCTION("""COMPUTED_VALUE"""),"")</f>
        <v/>
      </c>
      <c r="E216" s="134" t="str">
        <f ca="1">IFERROR(__xludf.DUMMYFUNCTION("""COMPUTED_VALUE"""),"")</f>
        <v/>
      </c>
      <c r="F216" s="134" t="str">
        <f ca="1">IFERROR(__xludf.DUMMYFUNCTION("""COMPUTED_VALUE"""),"")</f>
        <v/>
      </c>
      <c r="G216" s="134" t="str">
        <f ca="1">IFERROR(__xludf.DUMMYFUNCTION("""COMPUTED_VALUE"""),"")</f>
        <v/>
      </c>
      <c r="H216" s="134" t="str">
        <f ca="1">IFERROR(__xludf.DUMMYFUNCTION("""COMPUTED_VALUE"""),"")</f>
        <v/>
      </c>
      <c r="I216" s="134" t="str">
        <f ca="1">IFERROR(__xludf.DUMMYFUNCTION("""COMPUTED_VALUE"""),"")</f>
        <v/>
      </c>
      <c r="J216" s="134" t="str">
        <f ca="1">IFERROR(__xludf.DUMMYFUNCTION("""COMPUTED_VALUE"""),"")</f>
        <v/>
      </c>
      <c r="N216" s="31"/>
    </row>
    <row r="217" spans="1:14" customFormat="1">
      <c r="A217" s="134" t="str">
        <f ca="1">IFERROR(__xludf.DUMMYFUNCTION("""COMPUTED_VALUE"""),"")</f>
        <v/>
      </c>
      <c r="B217" s="134" t="str">
        <f ca="1">IFERROR(__xludf.DUMMYFUNCTION("""COMPUTED_VALUE"""),"")</f>
        <v/>
      </c>
      <c r="C217" s="134" t="str">
        <f ca="1">IFERROR(__xludf.DUMMYFUNCTION("""COMPUTED_VALUE"""),"")</f>
        <v/>
      </c>
      <c r="D217" s="134" t="str">
        <f ca="1">IFERROR(__xludf.DUMMYFUNCTION("""COMPUTED_VALUE"""),"")</f>
        <v/>
      </c>
      <c r="E217" s="134" t="str">
        <f ca="1">IFERROR(__xludf.DUMMYFUNCTION("""COMPUTED_VALUE"""),"")</f>
        <v/>
      </c>
      <c r="F217" s="134" t="str">
        <f ca="1">IFERROR(__xludf.DUMMYFUNCTION("""COMPUTED_VALUE"""),"")</f>
        <v/>
      </c>
      <c r="G217" s="134" t="str">
        <f ca="1">IFERROR(__xludf.DUMMYFUNCTION("""COMPUTED_VALUE"""),"")</f>
        <v/>
      </c>
      <c r="H217" s="134" t="str">
        <f ca="1">IFERROR(__xludf.DUMMYFUNCTION("""COMPUTED_VALUE"""),"")</f>
        <v/>
      </c>
      <c r="I217" s="134" t="str">
        <f ca="1">IFERROR(__xludf.DUMMYFUNCTION("""COMPUTED_VALUE"""),"")</f>
        <v/>
      </c>
      <c r="J217" s="134" t="str">
        <f ca="1">IFERROR(__xludf.DUMMYFUNCTION("""COMPUTED_VALUE"""),"")</f>
        <v/>
      </c>
      <c r="N217" s="31"/>
    </row>
    <row r="218" spans="1:14" customFormat="1">
      <c r="A218" s="134" t="str">
        <f ca="1">IFERROR(__xludf.DUMMYFUNCTION("""COMPUTED_VALUE"""),"")</f>
        <v/>
      </c>
      <c r="B218" s="134" t="str">
        <f ca="1">IFERROR(__xludf.DUMMYFUNCTION("""COMPUTED_VALUE"""),"")</f>
        <v/>
      </c>
      <c r="C218" s="134" t="str">
        <f ca="1">IFERROR(__xludf.DUMMYFUNCTION("""COMPUTED_VALUE"""),"")</f>
        <v/>
      </c>
      <c r="D218" s="134" t="str">
        <f ca="1">IFERROR(__xludf.DUMMYFUNCTION("""COMPUTED_VALUE"""),"")</f>
        <v/>
      </c>
      <c r="E218" s="134" t="str">
        <f ca="1">IFERROR(__xludf.DUMMYFUNCTION("""COMPUTED_VALUE"""),"")</f>
        <v/>
      </c>
      <c r="F218" s="134" t="str">
        <f ca="1">IFERROR(__xludf.DUMMYFUNCTION("""COMPUTED_VALUE"""),"")</f>
        <v/>
      </c>
      <c r="G218" s="134" t="str">
        <f ca="1">IFERROR(__xludf.DUMMYFUNCTION("""COMPUTED_VALUE"""),"")</f>
        <v/>
      </c>
      <c r="H218" s="134" t="str">
        <f ca="1">IFERROR(__xludf.DUMMYFUNCTION("""COMPUTED_VALUE"""),"")</f>
        <v/>
      </c>
      <c r="I218" s="134" t="str">
        <f ca="1">IFERROR(__xludf.DUMMYFUNCTION("""COMPUTED_VALUE"""),"")</f>
        <v/>
      </c>
      <c r="J218" s="134" t="str">
        <f ca="1">IFERROR(__xludf.DUMMYFUNCTION("""COMPUTED_VALUE"""),"")</f>
        <v/>
      </c>
      <c r="N218" s="31"/>
    </row>
    <row r="219" spans="1:14" customFormat="1">
      <c r="A219" s="134" t="str">
        <f ca="1">IFERROR(__xludf.DUMMYFUNCTION("""COMPUTED_VALUE"""),"")</f>
        <v/>
      </c>
      <c r="B219" s="134" t="str">
        <f ca="1">IFERROR(__xludf.DUMMYFUNCTION("""COMPUTED_VALUE"""),"")</f>
        <v/>
      </c>
      <c r="C219" s="134" t="str">
        <f ca="1">IFERROR(__xludf.DUMMYFUNCTION("""COMPUTED_VALUE"""),"")</f>
        <v/>
      </c>
      <c r="D219" s="134" t="str">
        <f ca="1">IFERROR(__xludf.DUMMYFUNCTION("""COMPUTED_VALUE"""),"")</f>
        <v/>
      </c>
      <c r="E219" s="134" t="str">
        <f ca="1">IFERROR(__xludf.DUMMYFUNCTION("""COMPUTED_VALUE"""),"")</f>
        <v/>
      </c>
      <c r="F219" s="134" t="str">
        <f ca="1">IFERROR(__xludf.DUMMYFUNCTION("""COMPUTED_VALUE"""),"")</f>
        <v/>
      </c>
      <c r="G219" s="134" t="str">
        <f ca="1">IFERROR(__xludf.DUMMYFUNCTION("""COMPUTED_VALUE"""),"")</f>
        <v/>
      </c>
      <c r="H219" s="134" t="str">
        <f ca="1">IFERROR(__xludf.DUMMYFUNCTION("""COMPUTED_VALUE"""),"")</f>
        <v/>
      </c>
      <c r="I219" s="134" t="str">
        <f ca="1">IFERROR(__xludf.DUMMYFUNCTION("""COMPUTED_VALUE"""),"")</f>
        <v/>
      </c>
      <c r="J219" s="134" t="str">
        <f ca="1">IFERROR(__xludf.DUMMYFUNCTION("""COMPUTED_VALUE"""),"")</f>
        <v/>
      </c>
      <c r="N219" s="31"/>
    </row>
    <row r="220" spans="1:14" customFormat="1">
      <c r="A220" s="134" t="str">
        <f ca="1">IFERROR(__xludf.DUMMYFUNCTION("""COMPUTED_VALUE"""),"")</f>
        <v/>
      </c>
      <c r="B220" s="134" t="str">
        <f ca="1">IFERROR(__xludf.DUMMYFUNCTION("""COMPUTED_VALUE"""),"")</f>
        <v/>
      </c>
      <c r="C220" s="134" t="str">
        <f ca="1">IFERROR(__xludf.DUMMYFUNCTION("""COMPUTED_VALUE"""),"")</f>
        <v/>
      </c>
      <c r="D220" s="134" t="str">
        <f ca="1">IFERROR(__xludf.DUMMYFUNCTION("""COMPUTED_VALUE"""),"")</f>
        <v/>
      </c>
      <c r="E220" s="134" t="str">
        <f ca="1">IFERROR(__xludf.DUMMYFUNCTION("""COMPUTED_VALUE"""),"")</f>
        <v/>
      </c>
      <c r="F220" s="134" t="str">
        <f ca="1">IFERROR(__xludf.DUMMYFUNCTION("""COMPUTED_VALUE"""),"")</f>
        <v/>
      </c>
      <c r="G220" s="134" t="str">
        <f ca="1">IFERROR(__xludf.DUMMYFUNCTION("""COMPUTED_VALUE"""),"")</f>
        <v/>
      </c>
      <c r="H220" s="134" t="str">
        <f ca="1">IFERROR(__xludf.DUMMYFUNCTION("""COMPUTED_VALUE"""),"")</f>
        <v/>
      </c>
      <c r="I220" s="134" t="str">
        <f ca="1">IFERROR(__xludf.DUMMYFUNCTION("""COMPUTED_VALUE"""),"")</f>
        <v/>
      </c>
      <c r="J220" s="134" t="str">
        <f ca="1">IFERROR(__xludf.DUMMYFUNCTION("""COMPUTED_VALUE"""),"")</f>
        <v/>
      </c>
      <c r="N220" s="31"/>
    </row>
    <row r="221" spans="1:14" customFormat="1">
      <c r="A221" s="134" t="str">
        <f ca="1">IFERROR(__xludf.DUMMYFUNCTION("""COMPUTED_VALUE"""),"")</f>
        <v/>
      </c>
      <c r="B221" s="134" t="str">
        <f ca="1">IFERROR(__xludf.DUMMYFUNCTION("""COMPUTED_VALUE"""),"")</f>
        <v/>
      </c>
      <c r="C221" s="134" t="str">
        <f ca="1">IFERROR(__xludf.DUMMYFUNCTION("""COMPUTED_VALUE"""),"")</f>
        <v/>
      </c>
      <c r="D221" s="134" t="str">
        <f ca="1">IFERROR(__xludf.DUMMYFUNCTION("""COMPUTED_VALUE"""),"")</f>
        <v/>
      </c>
      <c r="E221" s="134" t="str">
        <f ca="1">IFERROR(__xludf.DUMMYFUNCTION("""COMPUTED_VALUE"""),"")</f>
        <v/>
      </c>
      <c r="F221" s="134" t="str">
        <f ca="1">IFERROR(__xludf.DUMMYFUNCTION("""COMPUTED_VALUE"""),"")</f>
        <v/>
      </c>
      <c r="G221" s="134" t="str">
        <f ca="1">IFERROR(__xludf.DUMMYFUNCTION("""COMPUTED_VALUE"""),"")</f>
        <v/>
      </c>
      <c r="H221" s="134" t="str">
        <f ca="1">IFERROR(__xludf.DUMMYFUNCTION("""COMPUTED_VALUE"""),"")</f>
        <v/>
      </c>
      <c r="I221" s="134" t="str">
        <f ca="1">IFERROR(__xludf.DUMMYFUNCTION("""COMPUTED_VALUE"""),"")</f>
        <v/>
      </c>
      <c r="J221" s="134" t="str">
        <f ca="1">IFERROR(__xludf.DUMMYFUNCTION("""COMPUTED_VALUE"""),"")</f>
        <v/>
      </c>
      <c r="N221" s="31"/>
    </row>
    <row r="222" spans="1:14" customFormat="1">
      <c r="A222" s="134" t="str">
        <f ca="1">IFERROR(__xludf.DUMMYFUNCTION("""COMPUTED_VALUE"""),"")</f>
        <v/>
      </c>
      <c r="B222" s="134" t="str">
        <f ca="1">IFERROR(__xludf.DUMMYFUNCTION("""COMPUTED_VALUE"""),"")</f>
        <v/>
      </c>
      <c r="C222" s="134" t="str">
        <f ca="1">IFERROR(__xludf.DUMMYFUNCTION("""COMPUTED_VALUE"""),"")</f>
        <v/>
      </c>
      <c r="D222" s="134" t="str">
        <f ca="1">IFERROR(__xludf.DUMMYFUNCTION("""COMPUTED_VALUE"""),"")</f>
        <v/>
      </c>
      <c r="E222" s="134" t="str">
        <f ca="1">IFERROR(__xludf.DUMMYFUNCTION("""COMPUTED_VALUE"""),"")</f>
        <v/>
      </c>
      <c r="F222" s="134" t="str">
        <f ca="1">IFERROR(__xludf.DUMMYFUNCTION("""COMPUTED_VALUE"""),"")</f>
        <v/>
      </c>
      <c r="G222" s="134" t="str">
        <f ca="1">IFERROR(__xludf.DUMMYFUNCTION("""COMPUTED_VALUE"""),"")</f>
        <v/>
      </c>
      <c r="H222" s="134" t="str">
        <f ca="1">IFERROR(__xludf.DUMMYFUNCTION("""COMPUTED_VALUE"""),"")</f>
        <v/>
      </c>
      <c r="I222" s="134" t="str">
        <f ca="1">IFERROR(__xludf.DUMMYFUNCTION("""COMPUTED_VALUE"""),"")</f>
        <v/>
      </c>
      <c r="J222" s="134" t="str">
        <f ca="1">IFERROR(__xludf.DUMMYFUNCTION("""COMPUTED_VALUE"""),"")</f>
        <v/>
      </c>
      <c r="N222" s="31"/>
    </row>
    <row r="223" spans="1:14" customFormat="1">
      <c r="A223" s="134" t="str">
        <f ca="1">IFERROR(__xludf.DUMMYFUNCTION("""COMPUTED_VALUE"""),"")</f>
        <v/>
      </c>
      <c r="B223" s="134" t="str">
        <f ca="1">IFERROR(__xludf.DUMMYFUNCTION("""COMPUTED_VALUE"""),"")</f>
        <v/>
      </c>
      <c r="C223" s="134" t="str">
        <f ca="1">IFERROR(__xludf.DUMMYFUNCTION("""COMPUTED_VALUE"""),"")</f>
        <v/>
      </c>
      <c r="D223" s="134" t="str">
        <f ca="1">IFERROR(__xludf.DUMMYFUNCTION("""COMPUTED_VALUE"""),"")</f>
        <v/>
      </c>
      <c r="E223" s="134" t="str">
        <f ca="1">IFERROR(__xludf.DUMMYFUNCTION("""COMPUTED_VALUE"""),"")</f>
        <v/>
      </c>
      <c r="F223" s="134" t="str">
        <f ca="1">IFERROR(__xludf.DUMMYFUNCTION("""COMPUTED_VALUE"""),"")</f>
        <v/>
      </c>
      <c r="G223" s="134" t="str">
        <f ca="1">IFERROR(__xludf.DUMMYFUNCTION("""COMPUTED_VALUE"""),"")</f>
        <v/>
      </c>
      <c r="H223" s="134" t="str">
        <f ca="1">IFERROR(__xludf.DUMMYFUNCTION("""COMPUTED_VALUE"""),"")</f>
        <v/>
      </c>
      <c r="I223" s="134" t="str">
        <f ca="1">IFERROR(__xludf.DUMMYFUNCTION("""COMPUTED_VALUE"""),"")</f>
        <v/>
      </c>
      <c r="J223" s="134" t="str">
        <f ca="1">IFERROR(__xludf.DUMMYFUNCTION("""COMPUTED_VALUE"""),"")</f>
        <v/>
      </c>
      <c r="N223" s="31"/>
    </row>
    <row r="224" spans="1:14" customFormat="1">
      <c r="A224" s="134" t="str">
        <f ca="1">IFERROR(__xludf.DUMMYFUNCTION("""COMPUTED_VALUE"""),"")</f>
        <v/>
      </c>
      <c r="B224" s="134" t="str">
        <f ca="1">IFERROR(__xludf.DUMMYFUNCTION("""COMPUTED_VALUE"""),"")</f>
        <v/>
      </c>
      <c r="C224" s="134" t="str">
        <f ca="1">IFERROR(__xludf.DUMMYFUNCTION("""COMPUTED_VALUE"""),"")</f>
        <v/>
      </c>
      <c r="D224" s="134" t="str">
        <f ca="1">IFERROR(__xludf.DUMMYFUNCTION("""COMPUTED_VALUE"""),"")</f>
        <v/>
      </c>
      <c r="E224" s="134" t="str">
        <f ca="1">IFERROR(__xludf.DUMMYFUNCTION("""COMPUTED_VALUE"""),"")</f>
        <v/>
      </c>
      <c r="F224" s="134" t="str">
        <f ca="1">IFERROR(__xludf.DUMMYFUNCTION("""COMPUTED_VALUE"""),"")</f>
        <v/>
      </c>
      <c r="G224" s="134" t="str">
        <f ca="1">IFERROR(__xludf.DUMMYFUNCTION("""COMPUTED_VALUE"""),"")</f>
        <v/>
      </c>
      <c r="H224" s="134" t="str">
        <f ca="1">IFERROR(__xludf.DUMMYFUNCTION("""COMPUTED_VALUE"""),"")</f>
        <v/>
      </c>
      <c r="I224" s="134" t="str">
        <f ca="1">IFERROR(__xludf.DUMMYFUNCTION("""COMPUTED_VALUE"""),"")</f>
        <v/>
      </c>
      <c r="J224" s="134" t="str">
        <f ca="1">IFERROR(__xludf.DUMMYFUNCTION("""COMPUTED_VALUE"""),"")</f>
        <v/>
      </c>
      <c r="N224" s="31"/>
    </row>
    <row r="225" spans="1:14" customFormat="1">
      <c r="A225" s="134" t="str">
        <f ca="1">IFERROR(__xludf.DUMMYFUNCTION("""COMPUTED_VALUE"""),"")</f>
        <v/>
      </c>
      <c r="B225" s="134" t="str">
        <f ca="1">IFERROR(__xludf.DUMMYFUNCTION("""COMPUTED_VALUE"""),"")</f>
        <v/>
      </c>
      <c r="C225" s="134" t="str">
        <f ca="1">IFERROR(__xludf.DUMMYFUNCTION("""COMPUTED_VALUE"""),"")</f>
        <v/>
      </c>
      <c r="D225" s="134" t="str">
        <f ca="1">IFERROR(__xludf.DUMMYFUNCTION("""COMPUTED_VALUE"""),"")</f>
        <v/>
      </c>
      <c r="E225" s="134" t="str">
        <f ca="1">IFERROR(__xludf.DUMMYFUNCTION("""COMPUTED_VALUE"""),"")</f>
        <v/>
      </c>
      <c r="F225" s="134" t="str">
        <f ca="1">IFERROR(__xludf.DUMMYFUNCTION("""COMPUTED_VALUE"""),"")</f>
        <v/>
      </c>
      <c r="G225" s="134" t="str">
        <f ca="1">IFERROR(__xludf.DUMMYFUNCTION("""COMPUTED_VALUE"""),"")</f>
        <v/>
      </c>
      <c r="H225" s="134" t="str">
        <f ca="1">IFERROR(__xludf.DUMMYFUNCTION("""COMPUTED_VALUE"""),"")</f>
        <v/>
      </c>
      <c r="I225" s="134" t="str">
        <f ca="1">IFERROR(__xludf.DUMMYFUNCTION("""COMPUTED_VALUE"""),"")</f>
        <v/>
      </c>
      <c r="J225" s="134" t="str">
        <f ca="1">IFERROR(__xludf.DUMMYFUNCTION("""COMPUTED_VALUE"""),"")</f>
        <v/>
      </c>
      <c r="N225" s="31"/>
    </row>
    <row r="226" spans="1:14" customFormat="1">
      <c r="A226" s="134" t="str">
        <f ca="1">IFERROR(__xludf.DUMMYFUNCTION("""COMPUTED_VALUE"""),"")</f>
        <v/>
      </c>
      <c r="B226" s="134" t="str">
        <f ca="1">IFERROR(__xludf.DUMMYFUNCTION("""COMPUTED_VALUE"""),"")</f>
        <v/>
      </c>
      <c r="C226" s="134" t="str">
        <f ca="1">IFERROR(__xludf.DUMMYFUNCTION("""COMPUTED_VALUE"""),"")</f>
        <v/>
      </c>
      <c r="D226" s="134" t="str">
        <f ca="1">IFERROR(__xludf.DUMMYFUNCTION("""COMPUTED_VALUE"""),"")</f>
        <v/>
      </c>
      <c r="E226" s="134" t="str">
        <f ca="1">IFERROR(__xludf.DUMMYFUNCTION("""COMPUTED_VALUE"""),"")</f>
        <v/>
      </c>
      <c r="F226" s="134" t="str">
        <f ca="1">IFERROR(__xludf.DUMMYFUNCTION("""COMPUTED_VALUE"""),"")</f>
        <v/>
      </c>
      <c r="G226" s="134" t="str">
        <f ca="1">IFERROR(__xludf.DUMMYFUNCTION("""COMPUTED_VALUE"""),"")</f>
        <v/>
      </c>
      <c r="H226" s="134" t="str">
        <f ca="1">IFERROR(__xludf.DUMMYFUNCTION("""COMPUTED_VALUE"""),"")</f>
        <v/>
      </c>
      <c r="I226" s="134" t="str">
        <f ca="1">IFERROR(__xludf.DUMMYFUNCTION("""COMPUTED_VALUE"""),"")</f>
        <v/>
      </c>
      <c r="J226" s="134" t="str">
        <f ca="1">IFERROR(__xludf.DUMMYFUNCTION("""COMPUTED_VALUE"""),"")</f>
        <v/>
      </c>
      <c r="N226" s="31"/>
    </row>
    <row r="227" spans="1:14" customFormat="1">
      <c r="A227" s="134" t="str">
        <f ca="1">IFERROR(__xludf.DUMMYFUNCTION("""COMPUTED_VALUE"""),"")</f>
        <v/>
      </c>
      <c r="B227" s="134" t="str">
        <f ca="1">IFERROR(__xludf.DUMMYFUNCTION("""COMPUTED_VALUE"""),"")</f>
        <v/>
      </c>
      <c r="C227" s="134" t="str">
        <f ca="1">IFERROR(__xludf.DUMMYFUNCTION("""COMPUTED_VALUE"""),"")</f>
        <v/>
      </c>
      <c r="D227" s="134" t="str">
        <f ca="1">IFERROR(__xludf.DUMMYFUNCTION("""COMPUTED_VALUE"""),"")</f>
        <v/>
      </c>
      <c r="E227" s="134" t="str">
        <f ca="1">IFERROR(__xludf.DUMMYFUNCTION("""COMPUTED_VALUE"""),"")</f>
        <v/>
      </c>
      <c r="F227" s="134" t="str">
        <f ca="1">IFERROR(__xludf.DUMMYFUNCTION("""COMPUTED_VALUE"""),"")</f>
        <v/>
      </c>
      <c r="G227" s="134" t="str">
        <f ca="1">IFERROR(__xludf.DUMMYFUNCTION("""COMPUTED_VALUE"""),"")</f>
        <v/>
      </c>
      <c r="H227" s="134" t="str">
        <f ca="1">IFERROR(__xludf.DUMMYFUNCTION("""COMPUTED_VALUE"""),"")</f>
        <v/>
      </c>
      <c r="I227" s="134" t="str">
        <f ca="1">IFERROR(__xludf.DUMMYFUNCTION("""COMPUTED_VALUE"""),"")</f>
        <v/>
      </c>
      <c r="J227" s="134" t="str">
        <f ca="1">IFERROR(__xludf.DUMMYFUNCTION("""COMPUTED_VALUE"""),"")</f>
        <v/>
      </c>
      <c r="N227" s="31"/>
    </row>
    <row r="228" spans="1:14" customFormat="1">
      <c r="A228" s="134" t="str">
        <f ca="1">IFERROR(__xludf.DUMMYFUNCTION("""COMPUTED_VALUE"""),"")</f>
        <v/>
      </c>
      <c r="B228" s="134" t="str">
        <f ca="1">IFERROR(__xludf.DUMMYFUNCTION("""COMPUTED_VALUE"""),"")</f>
        <v/>
      </c>
      <c r="C228" s="134" t="str">
        <f ca="1">IFERROR(__xludf.DUMMYFUNCTION("""COMPUTED_VALUE"""),"")</f>
        <v/>
      </c>
      <c r="D228" s="134" t="str">
        <f ca="1">IFERROR(__xludf.DUMMYFUNCTION("""COMPUTED_VALUE"""),"")</f>
        <v/>
      </c>
      <c r="E228" s="134" t="str">
        <f ca="1">IFERROR(__xludf.DUMMYFUNCTION("""COMPUTED_VALUE"""),"")</f>
        <v/>
      </c>
      <c r="F228" s="134" t="str">
        <f ca="1">IFERROR(__xludf.DUMMYFUNCTION("""COMPUTED_VALUE"""),"")</f>
        <v/>
      </c>
      <c r="G228" s="134" t="str">
        <f ca="1">IFERROR(__xludf.DUMMYFUNCTION("""COMPUTED_VALUE"""),"")</f>
        <v/>
      </c>
      <c r="H228" s="134" t="str">
        <f ca="1">IFERROR(__xludf.DUMMYFUNCTION("""COMPUTED_VALUE"""),"")</f>
        <v/>
      </c>
      <c r="I228" s="134" t="str">
        <f ca="1">IFERROR(__xludf.DUMMYFUNCTION("""COMPUTED_VALUE"""),"")</f>
        <v/>
      </c>
      <c r="J228" s="134" t="str">
        <f ca="1">IFERROR(__xludf.DUMMYFUNCTION("""COMPUTED_VALUE"""),"")</f>
        <v/>
      </c>
      <c r="N228" s="31"/>
    </row>
    <row r="229" spans="1:14" customFormat="1">
      <c r="A229" s="134" t="str">
        <f ca="1">IFERROR(__xludf.DUMMYFUNCTION("""COMPUTED_VALUE"""),"")</f>
        <v/>
      </c>
      <c r="B229" s="134" t="str">
        <f ca="1">IFERROR(__xludf.DUMMYFUNCTION("""COMPUTED_VALUE"""),"")</f>
        <v/>
      </c>
      <c r="C229" s="134" t="str">
        <f ca="1">IFERROR(__xludf.DUMMYFUNCTION("""COMPUTED_VALUE"""),"")</f>
        <v/>
      </c>
      <c r="D229" s="134" t="str">
        <f ca="1">IFERROR(__xludf.DUMMYFUNCTION("""COMPUTED_VALUE"""),"")</f>
        <v/>
      </c>
      <c r="E229" s="134" t="str">
        <f ca="1">IFERROR(__xludf.DUMMYFUNCTION("""COMPUTED_VALUE"""),"")</f>
        <v/>
      </c>
      <c r="F229" s="134" t="str">
        <f ca="1">IFERROR(__xludf.DUMMYFUNCTION("""COMPUTED_VALUE"""),"")</f>
        <v/>
      </c>
      <c r="G229" s="134" t="str">
        <f ca="1">IFERROR(__xludf.DUMMYFUNCTION("""COMPUTED_VALUE"""),"")</f>
        <v/>
      </c>
      <c r="H229" s="134" t="str">
        <f ca="1">IFERROR(__xludf.DUMMYFUNCTION("""COMPUTED_VALUE"""),"")</f>
        <v/>
      </c>
      <c r="I229" s="134" t="str">
        <f ca="1">IFERROR(__xludf.DUMMYFUNCTION("""COMPUTED_VALUE"""),"")</f>
        <v/>
      </c>
      <c r="J229" s="134" t="str">
        <f ca="1">IFERROR(__xludf.DUMMYFUNCTION("""COMPUTED_VALUE"""),"")</f>
        <v/>
      </c>
      <c r="N229" s="31"/>
    </row>
    <row r="230" spans="1:14" customFormat="1">
      <c r="A230" s="134" t="str">
        <f ca="1">IFERROR(__xludf.DUMMYFUNCTION("""COMPUTED_VALUE"""),"")</f>
        <v/>
      </c>
      <c r="B230" s="134" t="str">
        <f ca="1">IFERROR(__xludf.DUMMYFUNCTION("""COMPUTED_VALUE"""),"")</f>
        <v/>
      </c>
      <c r="C230" s="134" t="str">
        <f ca="1">IFERROR(__xludf.DUMMYFUNCTION("""COMPUTED_VALUE"""),"")</f>
        <v/>
      </c>
      <c r="D230" s="134" t="str">
        <f ca="1">IFERROR(__xludf.DUMMYFUNCTION("""COMPUTED_VALUE"""),"")</f>
        <v/>
      </c>
      <c r="E230" s="134" t="str">
        <f ca="1">IFERROR(__xludf.DUMMYFUNCTION("""COMPUTED_VALUE"""),"")</f>
        <v/>
      </c>
      <c r="F230" s="134" t="str">
        <f ca="1">IFERROR(__xludf.DUMMYFUNCTION("""COMPUTED_VALUE"""),"")</f>
        <v/>
      </c>
      <c r="G230" s="134" t="str">
        <f ca="1">IFERROR(__xludf.DUMMYFUNCTION("""COMPUTED_VALUE"""),"")</f>
        <v/>
      </c>
      <c r="H230" s="134" t="str">
        <f ca="1">IFERROR(__xludf.DUMMYFUNCTION("""COMPUTED_VALUE"""),"")</f>
        <v/>
      </c>
      <c r="I230" s="134" t="str">
        <f ca="1">IFERROR(__xludf.DUMMYFUNCTION("""COMPUTED_VALUE"""),"")</f>
        <v/>
      </c>
      <c r="J230" s="134" t="str">
        <f ca="1">IFERROR(__xludf.DUMMYFUNCTION("""COMPUTED_VALUE"""),"")</f>
        <v/>
      </c>
      <c r="N230" s="31"/>
    </row>
    <row r="231" spans="1:14" customFormat="1">
      <c r="A231" s="134" t="str">
        <f ca="1">IFERROR(__xludf.DUMMYFUNCTION("""COMPUTED_VALUE"""),"")</f>
        <v/>
      </c>
      <c r="B231" s="134" t="str">
        <f ca="1">IFERROR(__xludf.DUMMYFUNCTION("""COMPUTED_VALUE"""),"")</f>
        <v/>
      </c>
      <c r="C231" s="134" t="str">
        <f ca="1">IFERROR(__xludf.DUMMYFUNCTION("""COMPUTED_VALUE"""),"")</f>
        <v/>
      </c>
      <c r="D231" s="134" t="str">
        <f ca="1">IFERROR(__xludf.DUMMYFUNCTION("""COMPUTED_VALUE"""),"")</f>
        <v/>
      </c>
      <c r="E231" s="134" t="str">
        <f ca="1">IFERROR(__xludf.DUMMYFUNCTION("""COMPUTED_VALUE"""),"")</f>
        <v/>
      </c>
      <c r="F231" s="134" t="str">
        <f ca="1">IFERROR(__xludf.DUMMYFUNCTION("""COMPUTED_VALUE"""),"")</f>
        <v/>
      </c>
      <c r="G231" s="134" t="str">
        <f ca="1">IFERROR(__xludf.DUMMYFUNCTION("""COMPUTED_VALUE"""),"")</f>
        <v/>
      </c>
      <c r="H231" s="134" t="str">
        <f ca="1">IFERROR(__xludf.DUMMYFUNCTION("""COMPUTED_VALUE"""),"")</f>
        <v/>
      </c>
      <c r="I231" s="134" t="str">
        <f ca="1">IFERROR(__xludf.DUMMYFUNCTION("""COMPUTED_VALUE"""),"")</f>
        <v/>
      </c>
      <c r="J231" s="134" t="str">
        <f ca="1">IFERROR(__xludf.DUMMYFUNCTION("""COMPUTED_VALUE"""),"")</f>
        <v/>
      </c>
      <c r="N231" s="31"/>
    </row>
    <row r="232" spans="1:14" customFormat="1">
      <c r="A232" s="134" t="str">
        <f ca="1">IFERROR(__xludf.DUMMYFUNCTION("""COMPUTED_VALUE"""),"")</f>
        <v/>
      </c>
      <c r="B232" s="134" t="str">
        <f ca="1">IFERROR(__xludf.DUMMYFUNCTION("""COMPUTED_VALUE"""),"")</f>
        <v/>
      </c>
      <c r="C232" s="134" t="str">
        <f ca="1">IFERROR(__xludf.DUMMYFUNCTION("""COMPUTED_VALUE"""),"")</f>
        <v/>
      </c>
      <c r="D232" s="134" t="str">
        <f ca="1">IFERROR(__xludf.DUMMYFUNCTION("""COMPUTED_VALUE"""),"")</f>
        <v/>
      </c>
      <c r="E232" s="134" t="str">
        <f ca="1">IFERROR(__xludf.DUMMYFUNCTION("""COMPUTED_VALUE"""),"")</f>
        <v/>
      </c>
      <c r="F232" s="134" t="str">
        <f ca="1">IFERROR(__xludf.DUMMYFUNCTION("""COMPUTED_VALUE"""),"")</f>
        <v/>
      </c>
      <c r="G232" s="134" t="str">
        <f ca="1">IFERROR(__xludf.DUMMYFUNCTION("""COMPUTED_VALUE"""),"")</f>
        <v/>
      </c>
      <c r="H232" s="134" t="str">
        <f ca="1">IFERROR(__xludf.DUMMYFUNCTION("""COMPUTED_VALUE"""),"")</f>
        <v/>
      </c>
      <c r="I232" s="134" t="str">
        <f ca="1">IFERROR(__xludf.DUMMYFUNCTION("""COMPUTED_VALUE"""),"")</f>
        <v/>
      </c>
      <c r="J232" s="134" t="str">
        <f ca="1">IFERROR(__xludf.DUMMYFUNCTION("""COMPUTED_VALUE"""),"")</f>
        <v/>
      </c>
      <c r="N232" s="31"/>
    </row>
    <row r="233" spans="1:14" customFormat="1">
      <c r="A233" s="134" t="str">
        <f ca="1">IFERROR(__xludf.DUMMYFUNCTION("""COMPUTED_VALUE"""),"")</f>
        <v/>
      </c>
      <c r="B233" s="134" t="str">
        <f ca="1">IFERROR(__xludf.DUMMYFUNCTION("""COMPUTED_VALUE"""),"")</f>
        <v/>
      </c>
      <c r="C233" s="134" t="str">
        <f ca="1">IFERROR(__xludf.DUMMYFUNCTION("""COMPUTED_VALUE"""),"")</f>
        <v/>
      </c>
      <c r="D233" s="134" t="str">
        <f ca="1">IFERROR(__xludf.DUMMYFUNCTION("""COMPUTED_VALUE"""),"")</f>
        <v/>
      </c>
      <c r="E233" s="134" t="str">
        <f ca="1">IFERROR(__xludf.DUMMYFUNCTION("""COMPUTED_VALUE"""),"")</f>
        <v/>
      </c>
      <c r="F233" s="134" t="str">
        <f ca="1">IFERROR(__xludf.DUMMYFUNCTION("""COMPUTED_VALUE"""),"")</f>
        <v/>
      </c>
      <c r="G233" s="134" t="str">
        <f ca="1">IFERROR(__xludf.DUMMYFUNCTION("""COMPUTED_VALUE"""),"")</f>
        <v/>
      </c>
      <c r="H233" s="134" t="str">
        <f ca="1">IFERROR(__xludf.DUMMYFUNCTION("""COMPUTED_VALUE"""),"")</f>
        <v/>
      </c>
      <c r="I233" s="134" t="str">
        <f ca="1">IFERROR(__xludf.DUMMYFUNCTION("""COMPUTED_VALUE"""),"")</f>
        <v/>
      </c>
      <c r="J233" s="134" t="str">
        <f ca="1">IFERROR(__xludf.DUMMYFUNCTION("""COMPUTED_VALUE"""),"")</f>
        <v/>
      </c>
      <c r="N233" s="31"/>
    </row>
    <row r="234" spans="1:14" customFormat="1">
      <c r="A234" s="134" t="str">
        <f ca="1">IFERROR(__xludf.DUMMYFUNCTION("""COMPUTED_VALUE"""),"")</f>
        <v/>
      </c>
      <c r="B234" s="134" t="str">
        <f ca="1">IFERROR(__xludf.DUMMYFUNCTION("""COMPUTED_VALUE"""),"")</f>
        <v/>
      </c>
      <c r="C234" s="134" t="str">
        <f ca="1">IFERROR(__xludf.DUMMYFUNCTION("""COMPUTED_VALUE"""),"")</f>
        <v/>
      </c>
      <c r="D234" s="134" t="str">
        <f ca="1">IFERROR(__xludf.DUMMYFUNCTION("""COMPUTED_VALUE"""),"")</f>
        <v/>
      </c>
      <c r="E234" s="134" t="str">
        <f ca="1">IFERROR(__xludf.DUMMYFUNCTION("""COMPUTED_VALUE"""),"")</f>
        <v/>
      </c>
      <c r="F234" s="134" t="str">
        <f ca="1">IFERROR(__xludf.DUMMYFUNCTION("""COMPUTED_VALUE"""),"")</f>
        <v/>
      </c>
      <c r="G234" s="134" t="str">
        <f ca="1">IFERROR(__xludf.DUMMYFUNCTION("""COMPUTED_VALUE"""),"")</f>
        <v/>
      </c>
      <c r="H234" s="134" t="str">
        <f ca="1">IFERROR(__xludf.DUMMYFUNCTION("""COMPUTED_VALUE"""),"")</f>
        <v/>
      </c>
      <c r="I234" s="134" t="str">
        <f ca="1">IFERROR(__xludf.DUMMYFUNCTION("""COMPUTED_VALUE"""),"")</f>
        <v/>
      </c>
      <c r="J234" s="134" t="str">
        <f ca="1">IFERROR(__xludf.DUMMYFUNCTION("""COMPUTED_VALUE"""),"")</f>
        <v/>
      </c>
      <c r="N234" s="31"/>
    </row>
    <row r="235" spans="1:14" customFormat="1">
      <c r="A235" s="134" t="str">
        <f ca="1">IFERROR(__xludf.DUMMYFUNCTION("""COMPUTED_VALUE"""),"")</f>
        <v/>
      </c>
      <c r="B235" s="134" t="str">
        <f ca="1">IFERROR(__xludf.DUMMYFUNCTION("""COMPUTED_VALUE"""),"")</f>
        <v/>
      </c>
      <c r="C235" s="134" t="str">
        <f ca="1">IFERROR(__xludf.DUMMYFUNCTION("""COMPUTED_VALUE"""),"")</f>
        <v/>
      </c>
      <c r="D235" s="134" t="str">
        <f ca="1">IFERROR(__xludf.DUMMYFUNCTION("""COMPUTED_VALUE"""),"")</f>
        <v/>
      </c>
      <c r="E235" s="134" t="str">
        <f ca="1">IFERROR(__xludf.DUMMYFUNCTION("""COMPUTED_VALUE"""),"")</f>
        <v/>
      </c>
      <c r="F235" s="134" t="str">
        <f ca="1">IFERROR(__xludf.DUMMYFUNCTION("""COMPUTED_VALUE"""),"")</f>
        <v/>
      </c>
      <c r="G235" s="134" t="str">
        <f ca="1">IFERROR(__xludf.DUMMYFUNCTION("""COMPUTED_VALUE"""),"")</f>
        <v/>
      </c>
      <c r="H235" s="134" t="str">
        <f ca="1">IFERROR(__xludf.DUMMYFUNCTION("""COMPUTED_VALUE"""),"")</f>
        <v/>
      </c>
      <c r="I235" s="134" t="str">
        <f ca="1">IFERROR(__xludf.DUMMYFUNCTION("""COMPUTED_VALUE"""),"")</f>
        <v/>
      </c>
      <c r="J235" s="134" t="str">
        <f ca="1">IFERROR(__xludf.DUMMYFUNCTION("""COMPUTED_VALUE"""),"")</f>
        <v/>
      </c>
      <c r="N235" s="31"/>
    </row>
    <row r="236" spans="1:14" customFormat="1">
      <c r="A236" s="134" t="str">
        <f ca="1">IFERROR(__xludf.DUMMYFUNCTION("""COMPUTED_VALUE"""),"")</f>
        <v/>
      </c>
      <c r="B236" s="134" t="str">
        <f ca="1">IFERROR(__xludf.DUMMYFUNCTION("""COMPUTED_VALUE"""),"")</f>
        <v/>
      </c>
      <c r="C236" s="134" t="str">
        <f ca="1">IFERROR(__xludf.DUMMYFUNCTION("""COMPUTED_VALUE"""),"")</f>
        <v/>
      </c>
      <c r="D236" s="134" t="str">
        <f ca="1">IFERROR(__xludf.DUMMYFUNCTION("""COMPUTED_VALUE"""),"")</f>
        <v/>
      </c>
      <c r="E236" s="134" t="str">
        <f ca="1">IFERROR(__xludf.DUMMYFUNCTION("""COMPUTED_VALUE"""),"")</f>
        <v/>
      </c>
      <c r="F236" s="134" t="str">
        <f ca="1">IFERROR(__xludf.DUMMYFUNCTION("""COMPUTED_VALUE"""),"")</f>
        <v/>
      </c>
      <c r="G236" s="134" t="str">
        <f ca="1">IFERROR(__xludf.DUMMYFUNCTION("""COMPUTED_VALUE"""),"")</f>
        <v/>
      </c>
      <c r="H236" s="134" t="str">
        <f ca="1">IFERROR(__xludf.DUMMYFUNCTION("""COMPUTED_VALUE"""),"")</f>
        <v/>
      </c>
      <c r="I236" s="134" t="str">
        <f ca="1">IFERROR(__xludf.DUMMYFUNCTION("""COMPUTED_VALUE"""),"")</f>
        <v/>
      </c>
      <c r="J236" s="134" t="str">
        <f ca="1">IFERROR(__xludf.DUMMYFUNCTION("""COMPUTED_VALUE"""),"")</f>
        <v/>
      </c>
      <c r="N236" s="31"/>
    </row>
    <row r="237" spans="1:14" customFormat="1">
      <c r="A237" s="134" t="str">
        <f ca="1">IFERROR(__xludf.DUMMYFUNCTION("""COMPUTED_VALUE"""),"")</f>
        <v/>
      </c>
      <c r="B237" s="134" t="str">
        <f ca="1">IFERROR(__xludf.DUMMYFUNCTION("""COMPUTED_VALUE"""),"")</f>
        <v/>
      </c>
      <c r="C237" s="134" t="str">
        <f ca="1">IFERROR(__xludf.DUMMYFUNCTION("""COMPUTED_VALUE"""),"")</f>
        <v/>
      </c>
      <c r="D237" s="134" t="str">
        <f ca="1">IFERROR(__xludf.DUMMYFUNCTION("""COMPUTED_VALUE"""),"")</f>
        <v/>
      </c>
      <c r="E237" s="134" t="str">
        <f ca="1">IFERROR(__xludf.DUMMYFUNCTION("""COMPUTED_VALUE"""),"")</f>
        <v/>
      </c>
      <c r="F237" s="134" t="str">
        <f ca="1">IFERROR(__xludf.DUMMYFUNCTION("""COMPUTED_VALUE"""),"")</f>
        <v/>
      </c>
      <c r="G237" s="134" t="str">
        <f ca="1">IFERROR(__xludf.DUMMYFUNCTION("""COMPUTED_VALUE"""),"")</f>
        <v/>
      </c>
      <c r="H237" s="134" t="str">
        <f ca="1">IFERROR(__xludf.DUMMYFUNCTION("""COMPUTED_VALUE"""),"")</f>
        <v/>
      </c>
      <c r="I237" s="134" t="str">
        <f ca="1">IFERROR(__xludf.DUMMYFUNCTION("""COMPUTED_VALUE"""),"")</f>
        <v/>
      </c>
      <c r="J237" s="134" t="str">
        <f ca="1">IFERROR(__xludf.DUMMYFUNCTION("""COMPUTED_VALUE"""),"")</f>
        <v/>
      </c>
      <c r="N237" s="31"/>
    </row>
    <row r="238" spans="1:14" customFormat="1">
      <c r="A238" s="134" t="str">
        <f ca="1">IFERROR(__xludf.DUMMYFUNCTION("""COMPUTED_VALUE"""),"")</f>
        <v/>
      </c>
      <c r="B238" s="134" t="str">
        <f ca="1">IFERROR(__xludf.DUMMYFUNCTION("""COMPUTED_VALUE"""),"")</f>
        <v/>
      </c>
      <c r="C238" s="134" t="str">
        <f ca="1">IFERROR(__xludf.DUMMYFUNCTION("""COMPUTED_VALUE"""),"")</f>
        <v/>
      </c>
      <c r="D238" s="134" t="str">
        <f ca="1">IFERROR(__xludf.DUMMYFUNCTION("""COMPUTED_VALUE"""),"")</f>
        <v/>
      </c>
      <c r="E238" s="134" t="str">
        <f ca="1">IFERROR(__xludf.DUMMYFUNCTION("""COMPUTED_VALUE"""),"")</f>
        <v/>
      </c>
      <c r="F238" s="134" t="str">
        <f ca="1">IFERROR(__xludf.DUMMYFUNCTION("""COMPUTED_VALUE"""),"")</f>
        <v/>
      </c>
      <c r="G238" s="134" t="str">
        <f ca="1">IFERROR(__xludf.DUMMYFUNCTION("""COMPUTED_VALUE"""),"")</f>
        <v/>
      </c>
      <c r="H238" s="134" t="str">
        <f ca="1">IFERROR(__xludf.DUMMYFUNCTION("""COMPUTED_VALUE"""),"")</f>
        <v/>
      </c>
      <c r="I238" s="134" t="str">
        <f ca="1">IFERROR(__xludf.DUMMYFUNCTION("""COMPUTED_VALUE"""),"")</f>
        <v/>
      </c>
      <c r="J238" s="134" t="str">
        <f ca="1">IFERROR(__xludf.DUMMYFUNCTION("""COMPUTED_VALUE"""),"")</f>
        <v/>
      </c>
      <c r="N238" s="31"/>
    </row>
    <row r="239" spans="1:14" customFormat="1">
      <c r="A239" s="134" t="str">
        <f ca="1">IFERROR(__xludf.DUMMYFUNCTION("""COMPUTED_VALUE"""),"")</f>
        <v/>
      </c>
      <c r="B239" s="134" t="str">
        <f ca="1">IFERROR(__xludf.DUMMYFUNCTION("""COMPUTED_VALUE"""),"")</f>
        <v/>
      </c>
      <c r="C239" s="134" t="str">
        <f ca="1">IFERROR(__xludf.DUMMYFUNCTION("""COMPUTED_VALUE"""),"")</f>
        <v/>
      </c>
      <c r="D239" s="134" t="str">
        <f ca="1">IFERROR(__xludf.DUMMYFUNCTION("""COMPUTED_VALUE"""),"")</f>
        <v/>
      </c>
      <c r="E239" s="134" t="str">
        <f ca="1">IFERROR(__xludf.DUMMYFUNCTION("""COMPUTED_VALUE"""),"")</f>
        <v/>
      </c>
      <c r="F239" s="134" t="str">
        <f ca="1">IFERROR(__xludf.DUMMYFUNCTION("""COMPUTED_VALUE"""),"")</f>
        <v/>
      </c>
      <c r="G239" s="134" t="str">
        <f ca="1">IFERROR(__xludf.DUMMYFUNCTION("""COMPUTED_VALUE"""),"")</f>
        <v/>
      </c>
      <c r="H239" s="134" t="str">
        <f ca="1">IFERROR(__xludf.DUMMYFUNCTION("""COMPUTED_VALUE"""),"")</f>
        <v/>
      </c>
      <c r="I239" s="134" t="str">
        <f ca="1">IFERROR(__xludf.DUMMYFUNCTION("""COMPUTED_VALUE"""),"")</f>
        <v/>
      </c>
      <c r="J239" s="134" t="str">
        <f ca="1">IFERROR(__xludf.DUMMYFUNCTION("""COMPUTED_VALUE"""),"")</f>
        <v/>
      </c>
      <c r="N239" s="31"/>
    </row>
    <row r="240" spans="1:14" customFormat="1">
      <c r="A240" s="134" t="str">
        <f ca="1">IFERROR(__xludf.DUMMYFUNCTION("""COMPUTED_VALUE"""),"")</f>
        <v/>
      </c>
      <c r="B240" s="134" t="str">
        <f ca="1">IFERROR(__xludf.DUMMYFUNCTION("""COMPUTED_VALUE"""),"")</f>
        <v/>
      </c>
      <c r="C240" s="134" t="str">
        <f ca="1">IFERROR(__xludf.DUMMYFUNCTION("""COMPUTED_VALUE"""),"")</f>
        <v/>
      </c>
      <c r="D240" s="134" t="str">
        <f ca="1">IFERROR(__xludf.DUMMYFUNCTION("""COMPUTED_VALUE"""),"")</f>
        <v/>
      </c>
      <c r="E240" s="134" t="str">
        <f ca="1">IFERROR(__xludf.DUMMYFUNCTION("""COMPUTED_VALUE"""),"")</f>
        <v/>
      </c>
      <c r="F240" s="134" t="str">
        <f ca="1">IFERROR(__xludf.DUMMYFUNCTION("""COMPUTED_VALUE"""),"")</f>
        <v/>
      </c>
      <c r="G240" s="134" t="str">
        <f ca="1">IFERROR(__xludf.DUMMYFUNCTION("""COMPUTED_VALUE"""),"")</f>
        <v/>
      </c>
      <c r="H240" s="134" t="str">
        <f ca="1">IFERROR(__xludf.DUMMYFUNCTION("""COMPUTED_VALUE"""),"")</f>
        <v/>
      </c>
      <c r="I240" s="134" t="str">
        <f ca="1">IFERROR(__xludf.DUMMYFUNCTION("""COMPUTED_VALUE"""),"")</f>
        <v/>
      </c>
      <c r="J240" s="134" t="str">
        <f ca="1">IFERROR(__xludf.DUMMYFUNCTION("""COMPUTED_VALUE"""),"")</f>
        <v/>
      </c>
      <c r="N240" s="31"/>
    </row>
    <row r="241" spans="1:14" customFormat="1">
      <c r="A241" s="134" t="str">
        <f ca="1">IFERROR(__xludf.DUMMYFUNCTION("""COMPUTED_VALUE"""),"")</f>
        <v/>
      </c>
      <c r="B241" s="134" t="str">
        <f ca="1">IFERROR(__xludf.DUMMYFUNCTION("""COMPUTED_VALUE"""),"")</f>
        <v/>
      </c>
      <c r="C241" s="134" t="str">
        <f ca="1">IFERROR(__xludf.DUMMYFUNCTION("""COMPUTED_VALUE"""),"")</f>
        <v/>
      </c>
      <c r="D241" s="134" t="str">
        <f ca="1">IFERROR(__xludf.DUMMYFUNCTION("""COMPUTED_VALUE"""),"")</f>
        <v/>
      </c>
      <c r="E241" s="134" t="str">
        <f ca="1">IFERROR(__xludf.DUMMYFUNCTION("""COMPUTED_VALUE"""),"")</f>
        <v/>
      </c>
      <c r="F241" s="134" t="str">
        <f ca="1">IFERROR(__xludf.DUMMYFUNCTION("""COMPUTED_VALUE"""),"")</f>
        <v/>
      </c>
      <c r="G241" s="134" t="str">
        <f ca="1">IFERROR(__xludf.DUMMYFUNCTION("""COMPUTED_VALUE"""),"")</f>
        <v/>
      </c>
      <c r="H241" s="134" t="str">
        <f ca="1">IFERROR(__xludf.DUMMYFUNCTION("""COMPUTED_VALUE"""),"")</f>
        <v/>
      </c>
      <c r="I241" s="134" t="str">
        <f ca="1">IFERROR(__xludf.DUMMYFUNCTION("""COMPUTED_VALUE"""),"")</f>
        <v/>
      </c>
      <c r="J241" s="134" t="str">
        <f ca="1">IFERROR(__xludf.DUMMYFUNCTION("""COMPUTED_VALUE"""),"")</f>
        <v/>
      </c>
      <c r="N241" s="31"/>
    </row>
    <row r="242" spans="1:14" customFormat="1">
      <c r="A242" s="134" t="str">
        <f ca="1">IFERROR(__xludf.DUMMYFUNCTION("""COMPUTED_VALUE"""),"")</f>
        <v/>
      </c>
      <c r="B242" s="134" t="str">
        <f ca="1">IFERROR(__xludf.DUMMYFUNCTION("""COMPUTED_VALUE"""),"")</f>
        <v/>
      </c>
      <c r="C242" s="134" t="str">
        <f ca="1">IFERROR(__xludf.DUMMYFUNCTION("""COMPUTED_VALUE"""),"")</f>
        <v/>
      </c>
      <c r="D242" s="134" t="str">
        <f ca="1">IFERROR(__xludf.DUMMYFUNCTION("""COMPUTED_VALUE"""),"")</f>
        <v/>
      </c>
      <c r="E242" s="134" t="str">
        <f ca="1">IFERROR(__xludf.DUMMYFUNCTION("""COMPUTED_VALUE"""),"")</f>
        <v/>
      </c>
      <c r="F242" s="134" t="str">
        <f ca="1">IFERROR(__xludf.DUMMYFUNCTION("""COMPUTED_VALUE"""),"")</f>
        <v/>
      </c>
      <c r="G242" s="134" t="str">
        <f ca="1">IFERROR(__xludf.DUMMYFUNCTION("""COMPUTED_VALUE"""),"")</f>
        <v/>
      </c>
      <c r="H242" s="134" t="str">
        <f ca="1">IFERROR(__xludf.DUMMYFUNCTION("""COMPUTED_VALUE"""),"")</f>
        <v/>
      </c>
      <c r="I242" s="134" t="str">
        <f ca="1">IFERROR(__xludf.DUMMYFUNCTION("""COMPUTED_VALUE"""),"")</f>
        <v/>
      </c>
      <c r="J242" s="134" t="str">
        <f ca="1">IFERROR(__xludf.DUMMYFUNCTION("""COMPUTED_VALUE"""),"")</f>
        <v/>
      </c>
      <c r="N242" s="31"/>
    </row>
    <row r="243" spans="1:14" customFormat="1">
      <c r="A243" s="134" t="str">
        <f ca="1">IFERROR(__xludf.DUMMYFUNCTION("""COMPUTED_VALUE"""),"")</f>
        <v/>
      </c>
      <c r="B243" s="134" t="str">
        <f ca="1">IFERROR(__xludf.DUMMYFUNCTION("""COMPUTED_VALUE"""),"")</f>
        <v/>
      </c>
      <c r="C243" s="134" t="str">
        <f ca="1">IFERROR(__xludf.DUMMYFUNCTION("""COMPUTED_VALUE"""),"")</f>
        <v/>
      </c>
      <c r="D243" s="134" t="str">
        <f ca="1">IFERROR(__xludf.DUMMYFUNCTION("""COMPUTED_VALUE"""),"")</f>
        <v/>
      </c>
      <c r="E243" s="134" t="str">
        <f ca="1">IFERROR(__xludf.DUMMYFUNCTION("""COMPUTED_VALUE"""),"")</f>
        <v/>
      </c>
      <c r="F243" s="134" t="str">
        <f ca="1">IFERROR(__xludf.DUMMYFUNCTION("""COMPUTED_VALUE"""),"")</f>
        <v/>
      </c>
      <c r="G243" s="134" t="str">
        <f ca="1">IFERROR(__xludf.DUMMYFUNCTION("""COMPUTED_VALUE"""),"")</f>
        <v/>
      </c>
      <c r="H243" s="134" t="str">
        <f ca="1">IFERROR(__xludf.DUMMYFUNCTION("""COMPUTED_VALUE"""),"")</f>
        <v/>
      </c>
      <c r="I243" s="134" t="str">
        <f ca="1">IFERROR(__xludf.DUMMYFUNCTION("""COMPUTED_VALUE"""),"")</f>
        <v/>
      </c>
      <c r="J243" s="134" t="str">
        <f ca="1">IFERROR(__xludf.DUMMYFUNCTION("""COMPUTED_VALUE"""),"")</f>
        <v/>
      </c>
      <c r="N243" s="31"/>
    </row>
    <row r="244" spans="1:14" customFormat="1">
      <c r="A244" s="134" t="str">
        <f ca="1">IFERROR(__xludf.DUMMYFUNCTION("""COMPUTED_VALUE"""),"")</f>
        <v/>
      </c>
      <c r="B244" s="134" t="str">
        <f ca="1">IFERROR(__xludf.DUMMYFUNCTION("""COMPUTED_VALUE"""),"")</f>
        <v/>
      </c>
      <c r="C244" s="134" t="str">
        <f ca="1">IFERROR(__xludf.DUMMYFUNCTION("""COMPUTED_VALUE"""),"")</f>
        <v/>
      </c>
      <c r="D244" s="134" t="str">
        <f ca="1">IFERROR(__xludf.DUMMYFUNCTION("""COMPUTED_VALUE"""),"")</f>
        <v/>
      </c>
      <c r="E244" s="134" t="str">
        <f ca="1">IFERROR(__xludf.DUMMYFUNCTION("""COMPUTED_VALUE"""),"")</f>
        <v/>
      </c>
      <c r="F244" s="134" t="str">
        <f ca="1">IFERROR(__xludf.DUMMYFUNCTION("""COMPUTED_VALUE"""),"")</f>
        <v/>
      </c>
      <c r="G244" s="134" t="str">
        <f ca="1">IFERROR(__xludf.DUMMYFUNCTION("""COMPUTED_VALUE"""),"")</f>
        <v/>
      </c>
      <c r="H244" s="134" t="str">
        <f ca="1">IFERROR(__xludf.DUMMYFUNCTION("""COMPUTED_VALUE"""),"")</f>
        <v/>
      </c>
      <c r="I244" s="134" t="str">
        <f ca="1">IFERROR(__xludf.DUMMYFUNCTION("""COMPUTED_VALUE"""),"")</f>
        <v/>
      </c>
      <c r="J244" s="134" t="str">
        <f ca="1">IFERROR(__xludf.DUMMYFUNCTION("""COMPUTED_VALUE"""),"")</f>
        <v/>
      </c>
      <c r="N244" s="31"/>
    </row>
    <row r="245" spans="1:14" customFormat="1">
      <c r="A245" s="134" t="str">
        <f ca="1">IFERROR(__xludf.DUMMYFUNCTION("""COMPUTED_VALUE"""),"")</f>
        <v/>
      </c>
      <c r="B245" s="134" t="str">
        <f ca="1">IFERROR(__xludf.DUMMYFUNCTION("""COMPUTED_VALUE"""),"")</f>
        <v/>
      </c>
      <c r="C245" s="134" t="str">
        <f ca="1">IFERROR(__xludf.DUMMYFUNCTION("""COMPUTED_VALUE"""),"")</f>
        <v/>
      </c>
      <c r="D245" s="134" t="str">
        <f ca="1">IFERROR(__xludf.DUMMYFUNCTION("""COMPUTED_VALUE"""),"")</f>
        <v/>
      </c>
      <c r="E245" s="134" t="str">
        <f ca="1">IFERROR(__xludf.DUMMYFUNCTION("""COMPUTED_VALUE"""),"")</f>
        <v/>
      </c>
      <c r="F245" s="134" t="str">
        <f ca="1">IFERROR(__xludf.DUMMYFUNCTION("""COMPUTED_VALUE"""),"")</f>
        <v/>
      </c>
      <c r="G245" s="134" t="str">
        <f ca="1">IFERROR(__xludf.DUMMYFUNCTION("""COMPUTED_VALUE"""),"")</f>
        <v/>
      </c>
      <c r="H245" s="134" t="str">
        <f ca="1">IFERROR(__xludf.DUMMYFUNCTION("""COMPUTED_VALUE"""),"")</f>
        <v/>
      </c>
      <c r="I245" s="134" t="str">
        <f ca="1">IFERROR(__xludf.DUMMYFUNCTION("""COMPUTED_VALUE"""),"")</f>
        <v/>
      </c>
      <c r="J245" s="134" t="str">
        <f ca="1">IFERROR(__xludf.DUMMYFUNCTION("""COMPUTED_VALUE"""),"")</f>
        <v/>
      </c>
      <c r="N245" s="31"/>
    </row>
    <row r="246" spans="1:14" customFormat="1">
      <c r="A246" s="134" t="str">
        <f ca="1">IFERROR(__xludf.DUMMYFUNCTION("""COMPUTED_VALUE"""),"")</f>
        <v/>
      </c>
      <c r="B246" s="134" t="str">
        <f ca="1">IFERROR(__xludf.DUMMYFUNCTION("""COMPUTED_VALUE"""),"")</f>
        <v/>
      </c>
      <c r="C246" s="134" t="str">
        <f ca="1">IFERROR(__xludf.DUMMYFUNCTION("""COMPUTED_VALUE"""),"")</f>
        <v/>
      </c>
      <c r="D246" s="134" t="str">
        <f ca="1">IFERROR(__xludf.DUMMYFUNCTION("""COMPUTED_VALUE"""),"")</f>
        <v/>
      </c>
      <c r="E246" s="134" t="str">
        <f ca="1">IFERROR(__xludf.DUMMYFUNCTION("""COMPUTED_VALUE"""),"")</f>
        <v/>
      </c>
      <c r="F246" s="134" t="str">
        <f ca="1">IFERROR(__xludf.DUMMYFUNCTION("""COMPUTED_VALUE"""),"")</f>
        <v/>
      </c>
      <c r="G246" s="134" t="str">
        <f ca="1">IFERROR(__xludf.DUMMYFUNCTION("""COMPUTED_VALUE"""),"")</f>
        <v/>
      </c>
      <c r="H246" s="134" t="str">
        <f ca="1">IFERROR(__xludf.DUMMYFUNCTION("""COMPUTED_VALUE"""),"")</f>
        <v/>
      </c>
      <c r="I246" s="134" t="str">
        <f ca="1">IFERROR(__xludf.DUMMYFUNCTION("""COMPUTED_VALUE"""),"")</f>
        <v/>
      </c>
      <c r="J246" s="134" t="str">
        <f ca="1">IFERROR(__xludf.DUMMYFUNCTION("""COMPUTED_VALUE"""),"")</f>
        <v/>
      </c>
      <c r="N246" s="31"/>
    </row>
    <row r="247" spans="1:14" customFormat="1">
      <c r="A247" s="134" t="str">
        <f ca="1">IFERROR(__xludf.DUMMYFUNCTION("""COMPUTED_VALUE"""),"")</f>
        <v/>
      </c>
      <c r="B247" s="134" t="str">
        <f ca="1">IFERROR(__xludf.DUMMYFUNCTION("""COMPUTED_VALUE"""),"")</f>
        <v/>
      </c>
      <c r="C247" s="134" t="str">
        <f ca="1">IFERROR(__xludf.DUMMYFUNCTION("""COMPUTED_VALUE"""),"")</f>
        <v/>
      </c>
      <c r="D247" s="134" t="str">
        <f ca="1">IFERROR(__xludf.DUMMYFUNCTION("""COMPUTED_VALUE"""),"")</f>
        <v/>
      </c>
      <c r="E247" s="134" t="str">
        <f ca="1">IFERROR(__xludf.DUMMYFUNCTION("""COMPUTED_VALUE"""),"")</f>
        <v/>
      </c>
      <c r="F247" s="134" t="str">
        <f ca="1">IFERROR(__xludf.DUMMYFUNCTION("""COMPUTED_VALUE"""),"")</f>
        <v/>
      </c>
      <c r="G247" s="134" t="str">
        <f ca="1">IFERROR(__xludf.DUMMYFUNCTION("""COMPUTED_VALUE"""),"")</f>
        <v/>
      </c>
      <c r="H247" s="134" t="str">
        <f ca="1">IFERROR(__xludf.DUMMYFUNCTION("""COMPUTED_VALUE"""),"")</f>
        <v/>
      </c>
      <c r="I247" s="134" t="str">
        <f ca="1">IFERROR(__xludf.DUMMYFUNCTION("""COMPUTED_VALUE"""),"")</f>
        <v/>
      </c>
      <c r="J247" s="134" t="str">
        <f ca="1">IFERROR(__xludf.DUMMYFUNCTION("""COMPUTED_VALUE"""),"")</f>
        <v/>
      </c>
      <c r="N247" s="31"/>
    </row>
    <row r="248" spans="1:14" customFormat="1">
      <c r="A248" s="134" t="str">
        <f ca="1">IFERROR(__xludf.DUMMYFUNCTION("""COMPUTED_VALUE"""),"")</f>
        <v/>
      </c>
      <c r="B248" s="134" t="str">
        <f ca="1">IFERROR(__xludf.DUMMYFUNCTION("""COMPUTED_VALUE"""),"")</f>
        <v/>
      </c>
      <c r="C248" s="134" t="str">
        <f ca="1">IFERROR(__xludf.DUMMYFUNCTION("""COMPUTED_VALUE"""),"")</f>
        <v/>
      </c>
      <c r="D248" s="134" t="str">
        <f ca="1">IFERROR(__xludf.DUMMYFUNCTION("""COMPUTED_VALUE"""),"")</f>
        <v/>
      </c>
      <c r="E248" s="134" t="str">
        <f ca="1">IFERROR(__xludf.DUMMYFUNCTION("""COMPUTED_VALUE"""),"")</f>
        <v/>
      </c>
      <c r="F248" s="134" t="str">
        <f ca="1">IFERROR(__xludf.DUMMYFUNCTION("""COMPUTED_VALUE"""),"")</f>
        <v/>
      </c>
      <c r="G248" s="134" t="str">
        <f ca="1">IFERROR(__xludf.DUMMYFUNCTION("""COMPUTED_VALUE"""),"")</f>
        <v/>
      </c>
      <c r="H248" s="134" t="str">
        <f ca="1">IFERROR(__xludf.DUMMYFUNCTION("""COMPUTED_VALUE"""),"")</f>
        <v/>
      </c>
      <c r="I248" s="134" t="str">
        <f ca="1">IFERROR(__xludf.DUMMYFUNCTION("""COMPUTED_VALUE"""),"")</f>
        <v/>
      </c>
      <c r="J248" s="134" t="str">
        <f ca="1">IFERROR(__xludf.DUMMYFUNCTION("""COMPUTED_VALUE"""),"")</f>
        <v/>
      </c>
      <c r="N248" s="31"/>
    </row>
    <row r="249" spans="1:14" customFormat="1">
      <c r="A249" s="134" t="str">
        <f ca="1">IFERROR(__xludf.DUMMYFUNCTION("""COMPUTED_VALUE"""),"")</f>
        <v/>
      </c>
      <c r="B249" s="134" t="str">
        <f ca="1">IFERROR(__xludf.DUMMYFUNCTION("""COMPUTED_VALUE"""),"")</f>
        <v/>
      </c>
      <c r="C249" s="134" t="str">
        <f ca="1">IFERROR(__xludf.DUMMYFUNCTION("""COMPUTED_VALUE"""),"")</f>
        <v/>
      </c>
      <c r="D249" s="134" t="str">
        <f ca="1">IFERROR(__xludf.DUMMYFUNCTION("""COMPUTED_VALUE"""),"")</f>
        <v/>
      </c>
      <c r="E249" s="134" t="str">
        <f ca="1">IFERROR(__xludf.DUMMYFUNCTION("""COMPUTED_VALUE"""),"")</f>
        <v/>
      </c>
      <c r="F249" s="134" t="str">
        <f ca="1">IFERROR(__xludf.DUMMYFUNCTION("""COMPUTED_VALUE"""),"")</f>
        <v/>
      </c>
      <c r="G249" s="134" t="str">
        <f ca="1">IFERROR(__xludf.DUMMYFUNCTION("""COMPUTED_VALUE"""),"")</f>
        <v/>
      </c>
      <c r="H249" s="134" t="str">
        <f ca="1">IFERROR(__xludf.DUMMYFUNCTION("""COMPUTED_VALUE"""),"")</f>
        <v/>
      </c>
      <c r="I249" s="134" t="str">
        <f ca="1">IFERROR(__xludf.DUMMYFUNCTION("""COMPUTED_VALUE"""),"")</f>
        <v/>
      </c>
      <c r="J249" s="134" t="str">
        <f ca="1">IFERROR(__xludf.DUMMYFUNCTION("""COMPUTED_VALUE"""),"")</f>
        <v/>
      </c>
      <c r="N249" s="31"/>
    </row>
    <row r="250" spans="1:14" customFormat="1">
      <c r="A250" s="134" t="str">
        <f ca="1">IFERROR(__xludf.DUMMYFUNCTION("""COMPUTED_VALUE"""),"")</f>
        <v/>
      </c>
      <c r="B250" s="134" t="str">
        <f ca="1">IFERROR(__xludf.DUMMYFUNCTION("""COMPUTED_VALUE"""),"")</f>
        <v/>
      </c>
      <c r="C250" s="134" t="str">
        <f ca="1">IFERROR(__xludf.DUMMYFUNCTION("""COMPUTED_VALUE"""),"")</f>
        <v/>
      </c>
      <c r="D250" s="134" t="str">
        <f ca="1">IFERROR(__xludf.DUMMYFUNCTION("""COMPUTED_VALUE"""),"")</f>
        <v/>
      </c>
      <c r="E250" s="134" t="str">
        <f ca="1">IFERROR(__xludf.DUMMYFUNCTION("""COMPUTED_VALUE"""),"")</f>
        <v/>
      </c>
      <c r="F250" s="134" t="str">
        <f ca="1">IFERROR(__xludf.DUMMYFUNCTION("""COMPUTED_VALUE"""),"")</f>
        <v/>
      </c>
      <c r="G250" s="134" t="str">
        <f ca="1">IFERROR(__xludf.DUMMYFUNCTION("""COMPUTED_VALUE"""),"")</f>
        <v/>
      </c>
      <c r="H250" s="134" t="str">
        <f ca="1">IFERROR(__xludf.DUMMYFUNCTION("""COMPUTED_VALUE"""),"")</f>
        <v/>
      </c>
      <c r="I250" s="134" t="str">
        <f ca="1">IFERROR(__xludf.DUMMYFUNCTION("""COMPUTED_VALUE"""),"")</f>
        <v/>
      </c>
      <c r="J250" s="134" t="str">
        <f ca="1">IFERROR(__xludf.DUMMYFUNCTION("""COMPUTED_VALUE"""),"")</f>
        <v/>
      </c>
      <c r="N250" s="31"/>
    </row>
    <row r="251" spans="1:14" customFormat="1">
      <c r="A251" s="134" t="str">
        <f ca="1">IFERROR(__xludf.DUMMYFUNCTION("""COMPUTED_VALUE"""),"")</f>
        <v/>
      </c>
      <c r="B251" s="134" t="str">
        <f ca="1">IFERROR(__xludf.DUMMYFUNCTION("""COMPUTED_VALUE"""),"")</f>
        <v/>
      </c>
      <c r="C251" s="134" t="str">
        <f ca="1">IFERROR(__xludf.DUMMYFUNCTION("""COMPUTED_VALUE"""),"")</f>
        <v/>
      </c>
      <c r="D251" s="134" t="str">
        <f ca="1">IFERROR(__xludf.DUMMYFUNCTION("""COMPUTED_VALUE"""),"")</f>
        <v/>
      </c>
      <c r="E251" s="134" t="str">
        <f ca="1">IFERROR(__xludf.DUMMYFUNCTION("""COMPUTED_VALUE"""),"")</f>
        <v/>
      </c>
      <c r="F251" s="134" t="str">
        <f ca="1">IFERROR(__xludf.DUMMYFUNCTION("""COMPUTED_VALUE"""),"")</f>
        <v/>
      </c>
      <c r="G251" s="134" t="str">
        <f ca="1">IFERROR(__xludf.DUMMYFUNCTION("""COMPUTED_VALUE"""),"")</f>
        <v/>
      </c>
      <c r="H251" s="134" t="str">
        <f ca="1">IFERROR(__xludf.DUMMYFUNCTION("""COMPUTED_VALUE"""),"")</f>
        <v/>
      </c>
      <c r="I251" s="134" t="str">
        <f ca="1">IFERROR(__xludf.DUMMYFUNCTION("""COMPUTED_VALUE"""),"")</f>
        <v/>
      </c>
      <c r="J251" s="134" t="str">
        <f ca="1">IFERROR(__xludf.DUMMYFUNCTION("""COMPUTED_VALUE"""),"")</f>
        <v/>
      </c>
      <c r="N251" s="31"/>
    </row>
    <row r="252" spans="1:14" customFormat="1">
      <c r="A252" s="134" t="str">
        <f ca="1">IFERROR(__xludf.DUMMYFUNCTION("""COMPUTED_VALUE"""),"")</f>
        <v/>
      </c>
      <c r="B252" s="134" t="str">
        <f ca="1">IFERROR(__xludf.DUMMYFUNCTION("""COMPUTED_VALUE"""),"")</f>
        <v/>
      </c>
      <c r="C252" s="134" t="str">
        <f ca="1">IFERROR(__xludf.DUMMYFUNCTION("""COMPUTED_VALUE"""),"")</f>
        <v/>
      </c>
      <c r="D252" s="134" t="str">
        <f ca="1">IFERROR(__xludf.DUMMYFUNCTION("""COMPUTED_VALUE"""),"")</f>
        <v/>
      </c>
      <c r="E252" s="134" t="str">
        <f ca="1">IFERROR(__xludf.DUMMYFUNCTION("""COMPUTED_VALUE"""),"")</f>
        <v/>
      </c>
      <c r="F252" s="134" t="str">
        <f ca="1">IFERROR(__xludf.DUMMYFUNCTION("""COMPUTED_VALUE"""),"")</f>
        <v/>
      </c>
      <c r="G252" s="134" t="str">
        <f ca="1">IFERROR(__xludf.DUMMYFUNCTION("""COMPUTED_VALUE"""),"")</f>
        <v/>
      </c>
      <c r="H252" s="134" t="str">
        <f ca="1">IFERROR(__xludf.DUMMYFUNCTION("""COMPUTED_VALUE"""),"")</f>
        <v/>
      </c>
      <c r="I252" s="134" t="str">
        <f ca="1">IFERROR(__xludf.DUMMYFUNCTION("""COMPUTED_VALUE"""),"")</f>
        <v/>
      </c>
      <c r="J252" s="134" t="str">
        <f ca="1">IFERROR(__xludf.DUMMYFUNCTION("""COMPUTED_VALUE"""),"")</f>
        <v/>
      </c>
      <c r="N252" s="31"/>
    </row>
    <row r="253" spans="1:14" customFormat="1">
      <c r="A253" s="134" t="str">
        <f ca="1">IFERROR(__xludf.DUMMYFUNCTION("""COMPUTED_VALUE"""),"")</f>
        <v/>
      </c>
      <c r="B253" s="134" t="str">
        <f ca="1">IFERROR(__xludf.DUMMYFUNCTION("""COMPUTED_VALUE"""),"")</f>
        <v/>
      </c>
      <c r="C253" s="134" t="str">
        <f ca="1">IFERROR(__xludf.DUMMYFUNCTION("""COMPUTED_VALUE"""),"")</f>
        <v/>
      </c>
      <c r="D253" s="134" t="str">
        <f ca="1">IFERROR(__xludf.DUMMYFUNCTION("""COMPUTED_VALUE"""),"")</f>
        <v/>
      </c>
      <c r="E253" s="134" t="str">
        <f ca="1">IFERROR(__xludf.DUMMYFUNCTION("""COMPUTED_VALUE"""),"")</f>
        <v/>
      </c>
      <c r="F253" s="134" t="str">
        <f ca="1">IFERROR(__xludf.DUMMYFUNCTION("""COMPUTED_VALUE"""),"")</f>
        <v/>
      </c>
      <c r="G253" s="134" t="str">
        <f ca="1">IFERROR(__xludf.DUMMYFUNCTION("""COMPUTED_VALUE"""),"")</f>
        <v/>
      </c>
      <c r="H253" s="134" t="str">
        <f ca="1">IFERROR(__xludf.DUMMYFUNCTION("""COMPUTED_VALUE"""),"")</f>
        <v/>
      </c>
      <c r="I253" s="134" t="str">
        <f ca="1">IFERROR(__xludf.DUMMYFUNCTION("""COMPUTED_VALUE"""),"")</f>
        <v/>
      </c>
      <c r="J253" s="134" t="str">
        <f ca="1">IFERROR(__xludf.DUMMYFUNCTION("""COMPUTED_VALUE"""),"")</f>
        <v/>
      </c>
      <c r="N253" s="31"/>
    </row>
    <row r="254" spans="1:14" customFormat="1">
      <c r="A254" s="134" t="str">
        <f ca="1">IFERROR(__xludf.DUMMYFUNCTION("""COMPUTED_VALUE"""),"")</f>
        <v/>
      </c>
      <c r="B254" s="134" t="str">
        <f ca="1">IFERROR(__xludf.DUMMYFUNCTION("""COMPUTED_VALUE"""),"")</f>
        <v/>
      </c>
      <c r="C254" s="134" t="str">
        <f ca="1">IFERROR(__xludf.DUMMYFUNCTION("""COMPUTED_VALUE"""),"")</f>
        <v/>
      </c>
      <c r="D254" s="134" t="str">
        <f ca="1">IFERROR(__xludf.DUMMYFUNCTION("""COMPUTED_VALUE"""),"")</f>
        <v/>
      </c>
      <c r="E254" s="134" t="str">
        <f ca="1">IFERROR(__xludf.DUMMYFUNCTION("""COMPUTED_VALUE"""),"")</f>
        <v/>
      </c>
      <c r="F254" s="134" t="str">
        <f ca="1">IFERROR(__xludf.DUMMYFUNCTION("""COMPUTED_VALUE"""),"")</f>
        <v/>
      </c>
      <c r="G254" s="134" t="str">
        <f ca="1">IFERROR(__xludf.DUMMYFUNCTION("""COMPUTED_VALUE"""),"")</f>
        <v/>
      </c>
      <c r="H254" s="134" t="str">
        <f ca="1">IFERROR(__xludf.DUMMYFUNCTION("""COMPUTED_VALUE"""),"")</f>
        <v/>
      </c>
      <c r="I254" s="134" t="str">
        <f ca="1">IFERROR(__xludf.DUMMYFUNCTION("""COMPUTED_VALUE"""),"")</f>
        <v/>
      </c>
      <c r="J254" s="134" t="str">
        <f ca="1">IFERROR(__xludf.DUMMYFUNCTION("""COMPUTED_VALUE"""),"")</f>
        <v/>
      </c>
      <c r="N254" s="31"/>
    </row>
    <row r="255" spans="1:14" customFormat="1">
      <c r="A255" s="134" t="str">
        <f ca="1">IFERROR(__xludf.DUMMYFUNCTION("""COMPUTED_VALUE"""),"")</f>
        <v/>
      </c>
      <c r="B255" s="134" t="str">
        <f ca="1">IFERROR(__xludf.DUMMYFUNCTION("""COMPUTED_VALUE"""),"")</f>
        <v/>
      </c>
      <c r="C255" s="134" t="str">
        <f ca="1">IFERROR(__xludf.DUMMYFUNCTION("""COMPUTED_VALUE"""),"")</f>
        <v/>
      </c>
      <c r="D255" s="134" t="str">
        <f ca="1">IFERROR(__xludf.DUMMYFUNCTION("""COMPUTED_VALUE"""),"")</f>
        <v/>
      </c>
      <c r="E255" s="134" t="str">
        <f ca="1">IFERROR(__xludf.DUMMYFUNCTION("""COMPUTED_VALUE"""),"")</f>
        <v/>
      </c>
      <c r="F255" s="134" t="str">
        <f ca="1">IFERROR(__xludf.DUMMYFUNCTION("""COMPUTED_VALUE"""),"")</f>
        <v/>
      </c>
      <c r="G255" s="134" t="str">
        <f ca="1">IFERROR(__xludf.DUMMYFUNCTION("""COMPUTED_VALUE"""),"")</f>
        <v/>
      </c>
      <c r="H255" s="134" t="str">
        <f ca="1">IFERROR(__xludf.DUMMYFUNCTION("""COMPUTED_VALUE"""),"")</f>
        <v/>
      </c>
      <c r="I255" s="134" t="str">
        <f ca="1">IFERROR(__xludf.DUMMYFUNCTION("""COMPUTED_VALUE"""),"")</f>
        <v/>
      </c>
      <c r="J255" s="134" t="str">
        <f ca="1">IFERROR(__xludf.DUMMYFUNCTION("""COMPUTED_VALUE"""),"")</f>
        <v/>
      </c>
      <c r="N255" s="31"/>
    </row>
    <row r="256" spans="1:14" customFormat="1">
      <c r="A256" s="134" t="str">
        <f ca="1">IFERROR(__xludf.DUMMYFUNCTION("""COMPUTED_VALUE"""),"")</f>
        <v/>
      </c>
      <c r="B256" s="134" t="str">
        <f ca="1">IFERROR(__xludf.DUMMYFUNCTION("""COMPUTED_VALUE"""),"")</f>
        <v/>
      </c>
      <c r="C256" s="134" t="str">
        <f ca="1">IFERROR(__xludf.DUMMYFUNCTION("""COMPUTED_VALUE"""),"")</f>
        <v/>
      </c>
      <c r="D256" s="134" t="str">
        <f ca="1">IFERROR(__xludf.DUMMYFUNCTION("""COMPUTED_VALUE"""),"")</f>
        <v/>
      </c>
      <c r="E256" s="134" t="str">
        <f ca="1">IFERROR(__xludf.DUMMYFUNCTION("""COMPUTED_VALUE"""),"")</f>
        <v/>
      </c>
      <c r="F256" s="134" t="str">
        <f ca="1">IFERROR(__xludf.DUMMYFUNCTION("""COMPUTED_VALUE"""),"")</f>
        <v/>
      </c>
      <c r="G256" s="134" t="str">
        <f ca="1">IFERROR(__xludf.DUMMYFUNCTION("""COMPUTED_VALUE"""),"")</f>
        <v/>
      </c>
      <c r="H256" s="134" t="str">
        <f ca="1">IFERROR(__xludf.DUMMYFUNCTION("""COMPUTED_VALUE"""),"")</f>
        <v/>
      </c>
      <c r="I256" s="134" t="str">
        <f ca="1">IFERROR(__xludf.DUMMYFUNCTION("""COMPUTED_VALUE"""),"")</f>
        <v/>
      </c>
      <c r="J256" s="134" t="str">
        <f ca="1">IFERROR(__xludf.DUMMYFUNCTION("""COMPUTED_VALUE"""),"")</f>
        <v/>
      </c>
      <c r="N256" s="31"/>
    </row>
    <row r="257" spans="1:14" customFormat="1">
      <c r="A257" s="134" t="str">
        <f ca="1">IFERROR(__xludf.DUMMYFUNCTION("""COMPUTED_VALUE"""),"")</f>
        <v/>
      </c>
      <c r="B257" s="134" t="str">
        <f ca="1">IFERROR(__xludf.DUMMYFUNCTION("""COMPUTED_VALUE"""),"")</f>
        <v/>
      </c>
      <c r="C257" s="134" t="str">
        <f ca="1">IFERROR(__xludf.DUMMYFUNCTION("""COMPUTED_VALUE"""),"")</f>
        <v/>
      </c>
      <c r="D257" s="134" t="str">
        <f ca="1">IFERROR(__xludf.DUMMYFUNCTION("""COMPUTED_VALUE"""),"")</f>
        <v/>
      </c>
      <c r="E257" s="134" t="str">
        <f ca="1">IFERROR(__xludf.DUMMYFUNCTION("""COMPUTED_VALUE"""),"")</f>
        <v/>
      </c>
      <c r="F257" s="134" t="str">
        <f ca="1">IFERROR(__xludf.DUMMYFUNCTION("""COMPUTED_VALUE"""),"")</f>
        <v/>
      </c>
      <c r="G257" s="134" t="str">
        <f ca="1">IFERROR(__xludf.DUMMYFUNCTION("""COMPUTED_VALUE"""),"")</f>
        <v/>
      </c>
      <c r="H257" s="134" t="str">
        <f ca="1">IFERROR(__xludf.DUMMYFUNCTION("""COMPUTED_VALUE"""),"")</f>
        <v/>
      </c>
      <c r="I257" s="134" t="str">
        <f ca="1">IFERROR(__xludf.DUMMYFUNCTION("""COMPUTED_VALUE"""),"")</f>
        <v/>
      </c>
      <c r="J257" s="134" t="str">
        <f ca="1">IFERROR(__xludf.DUMMYFUNCTION("""COMPUTED_VALUE"""),"")</f>
        <v/>
      </c>
      <c r="N257" s="31"/>
    </row>
    <row r="258" spans="1:14" customFormat="1">
      <c r="A258" s="134" t="str">
        <f ca="1">IFERROR(__xludf.DUMMYFUNCTION("""COMPUTED_VALUE"""),"")</f>
        <v/>
      </c>
      <c r="B258" s="134" t="str">
        <f ca="1">IFERROR(__xludf.DUMMYFUNCTION("""COMPUTED_VALUE"""),"")</f>
        <v/>
      </c>
      <c r="C258" s="134" t="str">
        <f ca="1">IFERROR(__xludf.DUMMYFUNCTION("""COMPUTED_VALUE"""),"")</f>
        <v/>
      </c>
      <c r="D258" s="134" t="str">
        <f ca="1">IFERROR(__xludf.DUMMYFUNCTION("""COMPUTED_VALUE"""),"")</f>
        <v/>
      </c>
      <c r="E258" s="134" t="str">
        <f ca="1">IFERROR(__xludf.DUMMYFUNCTION("""COMPUTED_VALUE"""),"")</f>
        <v/>
      </c>
      <c r="F258" s="134" t="str">
        <f ca="1">IFERROR(__xludf.DUMMYFUNCTION("""COMPUTED_VALUE"""),"")</f>
        <v/>
      </c>
      <c r="G258" s="134" t="str">
        <f ca="1">IFERROR(__xludf.DUMMYFUNCTION("""COMPUTED_VALUE"""),"")</f>
        <v/>
      </c>
      <c r="H258" s="134" t="str">
        <f ca="1">IFERROR(__xludf.DUMMYFUNCTION("""COMPUTED_VALUE"""),"")</f>
        <v/>
      </c>
      <c r="I258" s="134" t="str">
        <f ca="1">IFERROR(__xludf.DUMMYFUNCTION("""COMPUTED_VALUE"""),"")</f>
        <v/>
      </c>
      <c r="J258" s="134" t="str">
        <f ca="1">IFERROR(__xludf.DUMMYFUNCTION("""COMPUTED_VALUE"""),"")</f>
        <v/>
      </c>
      <c r="N258" s="31"/>
    </row>
    <row r="259" spans="1:14" customFormat="1">
      <c r="A259" s="134" t="str">
        <f ca="1">IFERROR(__xludf.DUMMYFUNCTION("""COMPUTED_VALUE"""),"")</f>
        <v/>
      </c>
      <c r="B259" s="134" t="str">
        <f ca="1">IFERROR(__xludf.DUMMYFUNCTION("""COMPUTED_VALUE"""),"")</f>
        <v/>
      </c>
      <c r="C259" s="134" t="str">
        <f ca="1">IFERROR(__xludf.DUMMYFUNCTION("""COMPUTED_VALUE"""),"")</f>
        <v/>
      </c>
      <c r="D259" s="134" t="str">
        <f ca="1">IFERROR(__xludf.DUMMYFUNCTION("""COMPUTED_VALUE"""),"")</f>
        <v/>
      </c>
      <c r="E259" s="134" t="str">
        <f ca="1">IFERROR(__xludf.DUMMYFUNCTION("""COMPUTED_VALUE"""),"")</f>
        <v/>
      </c>
      <c r="F259" s="134" t="str">
        <f ca="1">IFERROR(__xludf.DUMMYFUNCTION("""COMPUTED_VALUE"""),"")</f>
        <v/>
      </c>
      <c r="G259" s="134" t="str">
        <f ca="1">IFERROR(__xludf.DUMMYFUNCTION("""COMPUTED_VALUE"""),"")</f>
        <v/>
      </c>
      <c r="H259" s="134" t="str">
        <f ca="1">IFERROR(__xludf.DUMMYFUNCTION("""COMPUTED_VALUE"""),"")</f>
        <v/>
      </c>
      <c r="I259" s="134" t="str">
        <f ca="1">IFERROR(__xludf.DUMMYFUNCTION("""COMPUTED_VALUE"""),"")</f>
        <v/>
      </c>
      <c r="J259" s="134" t="str">
        <f ca="1">IFERROR(__xludf.DUMMYFUNCTION("""COMPUTED_VALUE"""),"")</f>
        <v/>
      </c>
      <c r="N259" s="31"/>
    </row>
    <row r="260" spans="1:14" customFormat="1">
      <c r="A260" s="134" t="str">
        <f ca="1">IFERROR(__xludf.DUMMYFUNCTION("""COMPUTED_VALUE"""),"")</f>
        <v/>
      </c>
      <c r="B260" s="134" t="str">
        <f ca="1">IFERROR(__xludf.DUMMYFUNCTION("""COMPUTED_VALUE"""),"")</f>
        <v/>
      </c>
      <c r="C260" s="134" t="str">
        <f ca="1">IFERROR(__xludf.DUMMYFUNCTION("""COMPUTED_VALUE"""),"")</f>
        <v/>
      </c>
      <c r="D260" s="134" t="str">
        <f ca="1">IFERROR(__xludf.DUMMYFUNCTION("""COMPUTED_VALUE"""),"")</f>
        <v/>
      </c>
      <c r="E260" s="134" t="str">
        <f ca="1">IFERROR(__xludf.DUMMYFUNCTION("""COMPUTED_VALUE"""),"")</f>
        <v/>
      </c>
      <c r="F260" s="134" t="str">
        <f ca="1">IFERROR(__xludf.DUMMYFUNCTION("""COMPUTED_VALUE"""),"")</f>
        <v/>
      </c>
      <c r="G260" s="134" t="str">
        <f ca="1">IFERROR(__xludf.DUMMYFUNCTION("""COMPUTED_VALUE"""),"")</f>
        <v/>
      </c>
      <c r="H260" s="134" t="str">
        <f ca="1">IFERROR(__xludf.DUMMYFUNCTION("""COMPUTED_VALUE"""),"")</f>
        <v/>
      </c>
      <c r="I260" s="134" t="str">
        <f ca="1">IFERROR(__xludf.DUMMYFUNCTION("""COMPUTED_VALUE"""),"")</f>
        <v/>
      </c>
      <c r="J260" s="134" t="str">
        <f ca="1">IFERROR(__xludf.DUMMYFUNCTION("""COMPUTED_VALUE"""),"")</f>
        <v/>
      </c>
      <c r="N260" s="31"/>
    </row>
    <row r="261" spans="1:14" customFormat="1">
      <c r="A261" s="134" t="str">
        <f ca="1">IFERROR(__xludf.DUMMYFUNCTION("""COMPUTED_VALUE"""),"")</f>
        <v/>
      </c>
      <c r="B261" s="134" t="str">
        <f ca="1">IFERROR(__xludf.DUMMYFUNCTION("""COMPUTED_VALUE"""),"")</f>
        <v/>
      </c>
      <c r="C261" s="134" t="str">
        <f ca="1">IFERROR(__xludf.DUMMYFUNCTION("""COMPUTED_VALUE"""),"")</f>
        <v/>
      </c>
      <c r="D261" s="134" t="str">
        <f ca="1">IFERROR(__xludf.DUMMYFUNCTION("""COMPUTED_VALUE"""),"")</f>
        <v/>
      </c>
      <c r="E261" s="134" t="str">
        <f ca="1">IFERROR(__xludf.DUMMYFUNCTION("""COMPUTED_VALUE"""),"")</f>
        <v/>
      </c>
      <c r="F261" s="134" t="str">
        <f ca="1">IFERROR(__xludf.DUMMYFUNCTION("""COMPUTED_VALUE"""),"")</f>
        <v/>
      </c>
      <c r="G261" s="134" t="str">
        <f ca="1">IFERROR(__xludf.DUMMYFUNCTION("""COMPUTED_VALUE"""),"")</f>
        <v/>
      </c>
      <c r="H261" s="134" t="str">
        <f ca="1">IFERROR(__xludf.DUMMYFUNCTION("""COMPUTED_VALUE"""),"")</f>
        <v/>
      </c>
      <c r="I261" s="134" t="str">
        <f ca="1">IFERROR(__xludf.DUMMYFUNCTION("""COMPUTED_VALUE"""),"")</f>
        <v/>
      </c>
      <c r="J261" s="134" t="str">
        <f ca="1">IFERROR(__xludf.DUMMYFUNCTION("""COMPUTED_VALUE"""),"")</f>
        <v/>
      </c>
      <c r="N261" s="31"/>
    </row>
    <row r="262" spans="1:14" customFormat="1">
      <c r="A262" s="134" t="str">
        <f ca="1">IFERROR(__xludf.DUMMYFUNCTION("""COMPUTED_VALUE"""),"")</f>
        <v/>
      </c>
      <c r="B262" s="134" t="str">
        <f ca="1">IFERROR(__xludf.DUMMYFUNCTION("""COMPUTED_VALUE"""),"")</f>
        <v/>
      </c>
      <c r="C262" s="134" t="str">
        <f ca="1">IFERROR(__xludf.DUMMYFUNCTION("""COMPUTED_VALUE"""),"")</f>
        <v/>
      </c>
      <c r="D262" s="134" t="str">
        <f ca="1">IFERROR(__xludf.DUMMYFUNCTION("""COMPUTED_VALUE"""),"")</f>
        <v/>
      </c>
      <c r="E262" s="134" t="str">
        <f ca="1">IFERROR(__xludf.DUMMYFUNCTION("""COMPUTED_VALUE"""),"")</f>
        <v/>
      </c>
      <c r="F262" s="134" t="str">
        <f ca="1">IFERROR(__xludf.DUMMYFUNCTION("""COMPUTED_VALUE"""),"")</f>
        <v/>
      </c>
      <c r="G262" s="134" t="str">
        <f ca="1">IFERROR(__xludf.DUMMYFUNCTION("""COMPUTED_VALUE"""),"")</f>
        <v/>
      </c>
      <c r="H262" s="134" t="str">
        <f ca="1">IFERROR(__xludf.DUMMYFUNCTION("""COMPUTED_VALUE"""),"")</f>
        <v/>
      </c>
      <c r="I262" s="134" t="str">
        <f ca="1">IFERROR(__xludf.DUMMYFUNCTION("""COMPUTED_VALUE"""),"")</f>
        <v/>
      </c>
      <c r="J262" s="134" t="str">
        <f ca="1">IFERROR(__xludf.DUMMYFUNCTION("""COMPUTED_VALUE"""),"")</f>
        <v/>
      </c>
      <c r="N262" s="31"/>
    </row>
    <row r="263" spans="1:14" customFormat="1">
      <c r="A263" s="134" t="str">
        <f ca="1">IFERROR(__xludf.DUMMYFUNCTION("""COMPUTED_VALUE"""),"")</f>
        <v/>
      </c>
      <c r="B263" s="134" t="str">
        <f ca="1">IFERROR(__xludf.DUMMYFUNCTION("""COMPUTED_VALUE"""),"")</f>
        <v/>
      </c>
      <c r="C263" s="134" t="str">
        <f ca="1">IFERROR(__xludf.DUMMYFUNCTION("""COMPUTED_VALUE"""),"")</f>
        <v/>
      </c>
      <c r="D263" s="134" t="str">
        <f ca="1">IFERROR(__xludf.DUMMYFUNCTION("""COMPUTED_VALUE"""),"")</f>
        <v/>
      </c>
      <c r="E263" s="134" t="str">
        <f ca="1">IFERROR(__xludf.DUMMYFUNCTION("""COMPUTED_VALUE"""),"")</f>
        <v/>
      </c>
      <c r="F263" s="134" t="str">
        <f ca="1">IFERROR(__xludf.DUMMYFUNCTION("""COMPUTED_VALUE"""),"")</f>
        <v/>
      </c>
      <c r="G263" s="134" t="str">
        <f ca="1">IFERROR(__xludf.DUMMYFUNCTION("""COMPUTED_VALUE"""),"")</f>
        <v/>
      </c>
      <c r="H263" s="134" t="str">
        <f ca="1">IFERROR(__xludf.DUMMYFUNCTION("""COMPUTED_VALUE"""),"")</f>
        <v/>
      </c>
      <c r="I263" s="134" t="str">
        <f ca="1">IFERROR(__xludf.DUMMYFUNCTION("""COMPUTED_VALUE"""),"")</f>
        <v/>
      </c>
      <c r="J263" s="134" t="str">
        <f ca="1">IFERROR(__xludf.DUMMYFUNCTION("""COMPUTED_VALUE"""),"")</f>
        <v/>
      </c>
      <c r="N263" s="31"/>
    </row>
    <row r="264" spans="1:14" customFormat="1">
      <c r="A264" s="134" t="str">
        <f ca="1">IFERROR(__xludf.DUMMYFUNCTION("""COMPUTED_VALUE"""),"")</f>
        <v/>
      </c>
      <c r="B264" s="134" t="str">
        <f ca="1">IFERROR(__xludf.DUMMYFUNCTION("""COMPUTED_VALUE"""),"")</f>
        <v/>
      </c>
      <c r="C264" s="134" t="str">
        <f ca="1">IFERROR(__xludf.DUMMYFUNCTION("""COMPUTED_VALUE"""),"")</f>
        <v/>
      </c>
      <c r="D264" s="134" t="str">
        <f ca="1">IFERROR(__xludf.DUMMYFUNCTION("""COMPUTED_VALUE"""),"")</f>
        <v/>
      </c>
      <c r="E264" s="134" t="str">
        <f ca="1">IFERROR(__xludf.DUMMYFUNCTION("""COMPUTED_VALUE"""),"")</f>
        <v/>
      </c>
      <c r="F264" s="134" t="str">
        <f ca="1">IFERROR(__xludf.DUMMYFUNCTION("""COMPUTED_VALUE"""),"")</f>
        <v/>
      </c>
      <c r="G264" s="134" t="str">
        <f ca="1">IFERROR(__xludf.DUMMYFUNCTION("""COMPUTED_VALUE"""),"")</f>
        <v/>
      </c>
      <c r="H264" s="134" t="str">
        <f ca="1">IFERROR(__xludf.DUMMYFUNCTION("""COMPUTED_VALUE"""),"")</f>
        <v/>
      </c>
      <c r="I264" s="134" t="str">
        <f ca="1">IFERROR(__xludf.DUMMYFUNCTION("""COMPUTED_VALUE"""),"")</f>
        <v/>
      </c>
      <c r="J264" s="134" t="str">
        <f ca="1">IFERROR(__xludf.DUMMYFUNCTION("""COMPUTED_VALUE"""),"")</f>
        <v/>
      </c>
      <c r="N264" s="31"/>
    </row>
    <row r="265" spans="1:14" customFormat="1">
      <c r="A265" s="134" t="str">
        <f ca="1">IFERROR(__xludf.DUMMYFUNCTION("""COMPUTED_VALUE"""),"")</f>
        <v/>
      </c>
      <c r="B265" s="134" t="str">
        <f ca="1">IFERROR(__xludf.DUMMYFUNCTION("""COMPUTED_VALUE"""),"")</f>
        <v/>
      </c>
      <c r="C265" s="134" t="str">
        <f ca="1">IFERROR(__xludf.DUMMYFUNCTION("""COMPUTED_VALUE"""),"")</f>
        <v/>
      </c>
      <c r="D265" s="134" t="str">
        <f ca="1">IFERROR(__xludf.DUMMYFUNCTION("""COMPUTED_VALUE"""),"")</f>
        <v/>
      </c>
      <c r="E265" s="134" t="str">
        <f ca="1">IFERROR(__xludf.DUMMYFUNCTION("""COMPUTED_VALUE"""),"")</f>
        <v/>
      </c>
      <c r="F265" s="134" t="str">
        <f ca="1">IFERROR(__xludf.DUMMYFUNCTION("""COMPUTED_VALUE"""),"")</f>
        <v/>
      </c>
      <c r="G265" s="134" t="str">
        <f ca="1">IFERROR(__xludf.DUMMYFUNCTION("""COMPUTED_VALUE"""),"")</f>
        <v/>
      </c>
      <c r="H265" s="134" t="str">
        <f ca="1">IFERROR(__xludf.DUMMYFUNCTION("""COMPUTED_VALUE"""),"")</f>
        <v/>
      </c>
      <c r="I265" s="134" t="str">
        <f ca="1">IFERROR(__xludf.DUMMYFUNCTION("""COMPUTED_VALUE"""),"")</f>
        <v/>
      </c>
      <c r="J265" s="134" t="str">
        <f ca="1">IFERROR(__xludf.DUMMYFUNCTION("""COMPUTED_VALUE"""),"")</f>
        <v/>
      </c>
      <c r="N265" s="31"/>
    </row>
    <row r="266" spans="1:14" customFormat="1">
      <c r="A266" s="134" t="str">
        <f ca="1">IFERROR(__xludf.DUMMYFUNCTION("""COMPUTED_VALUE"""),"")</f>
        <v/>
      </c>
      <c r="B266" s="134" t="str">
        <f ca="1">IFERROR(__xludf.DUMMYFUNCTION("""COMPUTED_VALUE"""),"")</f>
        <v/>
      </c>
      <c r="C266" s="134" t="str">
        <f ca="1">IFERROR(__xludf.DUMMYFUNCTION("""COMPUTED_VALUE"""),"")</f>
        <v/>
      </c>
      <c r="D266" s="134" t="str">
        <f ca="1">IFERROR(__xludf.DUMMYFUNCTION("""COMPUTED_VALUE"""),"")</f>
        <v/>
      </c>
      <c r="E266" s="134" t="str">
        <f ca="1">IFERROR(__xludf.DUMMYFUNCTION("""COMPUTED_VALUE"""),"")</f>
        <v/>
      </c>
      <c r="F266" s="134" t="str">
        <f ca="1">IFERROR(__xludf.DUMMYFUNCTION("""COMPUTED_VALUE"""),"")</f>
        <v/>
      </c>
      <c r="G266" s="134" t="str">
        <f ca="1">IFERROR(__xludf.DUMMYFUNCTION("""COMPUTED_VALUE"""),"")</f>
        <v/>
      </c>
      <c r="H266" s="134" t="str">
        <f ca="1">IFERROR(__xludf.DUMMYFUNCTION("""COMPUTED_VALUE"""),"")</f>
        <v/>
      </c>
      <c r="I266" s="134" t="str">
        <f ca="1">IFERROR(__xludf.DUMMYFUNCTION("""COMPUTED_VALUE"""),"")</f>
        <v/>
      </c>
      <c r="J266" s="134" t="str">
        <f ca="1">IFERROR(__xludf.DUMMYFUNCTION("""COMPUTED_VALUE"""),"")</f>
        <v/>
      </c>
      <c r="N266" s="31"/>
    </row>
    <row r="267" spans="1:14" customFormat="1">
      <c r="A267" s="134" t="str">
        <f ca="1">IFERROR(__xludf.DUMMYFUNCTION("""COMPUTED_VALUE"""),"")</f>
        <v/>
      </c>
      <c r="B267" s="134" t="str">
        <f ca="1">IFERROR(__xludf.DUMMYFUNCTION("""COMPUTED_VALUE"""),"")</f>
        <v/>
      </c>
      <c r="C267" s="134" t="str">
        <f ca="1">IFERROR(__xludf.DUMMYFUNCTION("""COMPUTED_VALUE"""),"")</f>
        <v/>
      </c>
      <c r="D267" s="134" t="str">
        <f ca="1">IFERROR(__xludf.DUMMYFUNCTION("""COMPUTED_VALUE"""),"")</f>
        <v/>
      </c>
      <c r="E267" s="134" t="str">
        <f ca="1">IFERROR(__xludf.DUMMYFUNCTION("""COMPUTED_VALUE"""),"")</f>
        <v/>
      </c>
      <c r="F267" s="134" t="str">
        <f ca="1">IFERROR(__xludf.DUMMYFUNCTION("""COMPUTED_VALUE"""),"")</f>
        <v/>
      </c>
      <c r="G267" s="134" t="str">
        <f ca="1">IFERROR(__xludf.DUMMYFUNCTION("""COMPUTED_VALUE"""),"")</f>
        <v/>
      </c>
      <c r="H267" s="134" t="str">
        <f ca="1">IFERROR(__xludf.DUMMYFUNCTION("""COMPUTED_VALUE"""),"")</f>
        <v/>
      </c>
      <c r="I267" s="134" t="str">
        <f ca="1">IFERROR(__xludf.DUMMYFUNCTION("""COMPUTED_VALUE"""),"")</f>
        <v/>
      </c>
      <c r="J267" s="134" t="str">
        <f ca="1">IFERROR(__xludf.DUMMYFUNCTION("""COMPUTED_VALUE"""),"")</f>
        <v/>
      </c>
      <c r="N267" s="31"/>
    </row>
    <row r="268" spans="1:14" customFormat="1">
      <c r="A268" s="134" t="str">
        <f ca="1">IFERROR(__xludf.DUMMYFUNCTION("""COMPUTED_VALUE"""),"")</f>
        <v/>
      </c>
      <c r="B268" s="134" t="str">
        <f ca="1">IFERROR(__xludf.DUMMYFUNCTION("""COMPUTED_VALUE"""),"")</f>
        <v/>
      </c>
      <c r="C268" s="134" t="str">
        <f ca="1">IFERROR(__xludf.DUMMYFUNCTION("""COMPUTED_VALUE"""),"")</f>
        <v/>
      </c>
      <c r="D268" s="134" t="str">
        <f ca="1">IFERROR(__xludf.DUMMYFUNCTION("""COMPUTED_VALUE"""),"")</f>
        <v/>
      </c>
      <c r="E268" s="134" t="str">
        <f ca="1">IFERROR(__xludf.DUMMYFUNCTION("""COMPUTED_VALUE"""),"")</f>
        <v/>
      </c>
      <c r="F268" s="134" t="str">
        <f ca="1">IFERROR(__xludf.DUMMYFUNCTION("""COMPUTED_VALUE"""),"")</f>
        <v/>
      </c>
      <c r="G268" s="134" t="str">
        <f ca="1">IFERROR(__xludf.DUMMYFUNCTION("""COMPUTED_VALUE"""),"")</f>
        <v/>
      </c>
      <c r="H268" s="134" t="str">
        <f ca="1">IFERROR(__xludf.DUMMYFUNCTION("""COMPUTED_VALUE"""),"")</f>
        <v/>
      </c>
      <c r="I268" s="134" t="str">
        <f ca="1">IFERROR(__xludf.DUMMYFUNCTION("""COMPUTED_VALUE"""),"")</f>
        <v/>
      </c>
      <c r="J268" s="134" t="str">
        <f ca="1">IFERROR(__xludf.DUMMYFUNCTION("""COMPUTED_VALUE"""),"")</f>
        <v/>
      </c>
      <c r="N268" s="31"/>
    </row>
    <row r="269" spans="1:14" customFormat="1">
      <c r="A269" s="134" t="str">
        <f ca="1">IFERROR(__xludf.DUMMYFUNCTION("""COMPUTED_VALUE"""),"")</f>
        <v/>
      </c>
      <c r="B269" s="134" t="str">
        <f ca="1">IFERROR(__xludf.DUMMYFUNCTION("""COMPUTED_VALUE"""),"")</f>
        <v/>
      </c>
      <c r="C269" s="134" t="str">
        <f ca="1">IFERROR(__xludf.DUMMYFUNCTION("""COMPUTED_VALUE"""),"")</f>
        <v/>
      </c>
      <c r="D269" s="134" t="str">
        <f ca="1">IFERROR(__xludf.DUMMYFUNCTION("""COMPUTED_VALUE"""),"")</f>
        <v/>
      </c>
      <c r="E269" s="134" t="str">
        <f ca="1">IFERROR(__xludf.DUMMYFUNCTION("""COMPUTED_VALUE"""),"")</f>
        <v/>
      </c>
      <c r="F269" s="134" t="str">
        <f ca="1">IFERROR(__xludf.DUMMYFUNCTION("""COMPUTED_VALUE"""),"")</f>
        <v/>
      </c>
      <c r="G269" s="134" t="str">
        <f ca="1">IFERROR(__xludf.DUMMYFUNCTION("""COMPUTED_VALUE"""),"")</f>
        <v/>
      </c>
      <c r="H269" s="134" t="str">
        <f ca="1">IFERROR(__xludf.DUMMYFUNCTION("""COMPUTED_VALUE"""),"")</f>
        <v/>
      </c>
      <c r="I269" s="134" t="str">
        <f ca="1">IFERROR(__xludf.DUMMYFUNCTION("""COMPUTED_VALUE"""),"")</f>
        <v/>
      </c>
      <c r="J269" s="134" t="str">
        <f ca="1">IFERROR(__xludf.DUMMYFUNCTION("""COMPUTED_VALUE"""),"")</f>
        <v/>
      </c>
      <c r="N269" s="31"/>
    </row>
    <row r="270" spans="1:14" customFormat="1">
      <c r="A270" s="134" t="str">
        <f ca="1">IFERROR(__xludf.DUMMYFUNCTION("""COMPUTED_VALUE"""),"")</f>
        <v/>
      </c>
      <c r="B270" s="134" t="str">
        <f ca="1">IFERROR(__xludf.DUMMYFUNCTION("""COMPUTED_VALUE"""),"")</f>
        <v/>
      </c>
      <c r="C270" s="134" t="str">
        <f ca="1">IFERROR(__xludf.DUMMYFUNCTION("""COMPUTED_VALUE"""),"")</f>
        <v/>
      </c>
      <c r="D270" s="134" t="str">
        <f ca="1">IFERROR(__xludf.DUMMYFUNCTION("""COMPUTED_VALUE"""),"")</f>
        <v/>
      </c>
      <c r="E270" s="134" t="str">
        <f ca="1">IFERROR(__xludf.DUMMYFUNCTION("""COMPUTED_VALUE"""),"")</f>
        <v/>
      </c>
      <c r="F270" s="134" t="str">
        <f ca="1">IFERROR(__xludf.DUMMYFUNCTION("""COMPUTED_VALUE"""),"")</f>
        <v/>
      </c>
      <c r="G270" s="134" t="str">
        <f ca="1">IFERROR(__xludf.DUMMYFUNCTION("""COMPUTED_VALUE"""),"")</f>
        <v/>
      </c>
      <c r="H270" s="134" t="str">
        <f ca="1">IFERROR(__xludf.DUMMYFUNCTION("""COMPUTED_VALUE"""),"")</f>
        <v/>
      </c>
      <c r="I270" s="134" t="str">
        <f ca="1">IFERROR(__xludf.DUMMYFUNCTION("""COMPUTED_VALUE"""),"")</f>
        <v/>
      </c>
      <c r="J270" s="134" t="str">
        <f ca="1">IFERROR(__xludf.DUMMYFUNCTION("""COMPUTED_VALUE"""),"")</f>
        <v/>
      </c>
      <c r="N270" s="31"/>
    </row>
    <row r="271" spans="1:14" customFormat="1">
      <c r="A271" s="134" t="str">
        <f ca="1">IFERROR(__xludf.DUMMYFUNCTION("""COMPUTED_VALUE"""),"")</f>
        <v/>
      </c>
      <c r="B271" s="134" t="str">
        <f ca="1">IFERROR(__xludf.DUMMYFUNCTION("""COMPUTED_VALUE"""),"")</f>
        <v/>
      </c>
      <c r="C271" s="134" t="str">
        <f ca="1">IFERROR(__xludf.DUMMYFUNCTION("""COMPUTED_VALUE"""),"")</f>
        <v/>
      </c>
      <c r="D271" s="134" t="str">
        <f ca="1">IFERROR(__xludf.DUMMYFUNCTION("""COMPUTED_VALUE"""),"")</f>
        <v/>
      </c>
      <c r="E271" s="134" t="str">
        <f ca="1">IFERROR(__xludf.DUMMYFUNCTION("""COMPUTED_VALUE"""),"")</f>
        <v/>
      </c>
      <c r="F271" s="134" t="str">
        <f ca="1">IFERROR(__xludf.DUMMYFUNCTION("""COMPUTED_VALUE"""),"")</f>
        <v/>
      </c>
      <c r="G271" s="134" t="str">
        <f ca="1">IFERROR(__xludf.DUMMYFUNCTION("""COMPUTED_VALUE"""),"")</f>
        <v/>
      </c>
      <c r="H271" s="134" t="str">
        <f ca="1">IFERROR(__xludf.DUMMYFUNCTION("""COMPUTED_VALUE"""),"")</f>
        <v/>
      </c>
      <c r="I271" s="134" t="str">
        <f ca="1">IFERROR(__xludf.DUMMYFUNCTION("""COMPUTED_VALUE"""),"")</f>
        <v/>
      </c>
      <c r="J271" s="134" t="str">
        <f ca="1">IFERROR(__xludf.DUMMYFUNCTION("""COMPUTED_VALUE"""),"")</f>
        <v/>
      </c>
      <c r="N271" s="31"/>
    </row>
    <row r="272" spans="1:14" customFormat="1">
      <c r="A272" s="134" t="str">
        <f ca="1">IFERROR(__xludf.DUMMYFUNCTION("""COMPUTED_VALUE"""),"")</f>
        <v/>
      </c>
      <c r="B272" s="134" t="str">
        <f ca="1">IFERROR(__xludf.DUMMYFUNCTION("""COMPUTED_VALUE"""),"")</f>
        <v/>
      </c>
      <c r="C272" s="134" t="str">
        <f ca="1">IFERROR(__xludf.DUMMYFUNCTION("""COMPUTED_VALUE"""),"")</f>
        <v/>
      </c>
      <c r="D272" s="134" t="str">
        <f ca="1">IFERROR(__xludf.DUMMYFUNCTION("""COMPUTED_VALUE"""),"")</f>
        <v/>
      </c>
      <c r="E272" s="134" t="str">
        <f ca="1">IFERROR(__xludf.DUMMYFUNCTION("""COMPUTED_VALUE"""),"")</f>
        <v/>
      </c>
      <c r="F272" s="134" t="str">
        <f ca="1">IFERROR(__xludf.DUMMYFUNCTION("""COMPUTED_VALUE"""),"")</f>
        <v/>
      </c>
      <c r="G272" s="134" t="str">
        <f ca="1">IFERROR(__xludf.DUMMYFUNCTION("""COMPUTED_VALUE"""),"")</f>
        <v/>
      </c>
      <c r="H272" s="134" t="str">
        <f ca="1">IFERROR(__xludf.DUMMYFUNCTION("""COMPUTED_VALUE"""),"")</f>
        <v/>
      </c>
      <c r="I272" s="134" t="str">
        <f ca="1">IFERROR(__xludf.DUMMYFUNCTION("""COMPUTED_VALUE"""),"")</f>
        <v/>
      </c>
      <c r="J272" s="134" t="str">
        <f ca="1">IFERROR(__xludf.DUMMYFUNCTION("""COMPUTED_VALUE"""),"")</f>
        <v/>
      </c>
      <c r="N272" s="31"/>
    </row>
    <row r="273" spans="1:14" customFormat="1">
      <c r="A273" s="134" t="str">
        <f ca="1">IFERROR(__xludf.DUMMYFUNCTION("""COMPUTED_VALUE"""),"")</f>
        <v/>
      </c>
      <c r="B273" s="134" t="str">
        <f ca="1">IFERROR(__xludf.DUMMYFUNCTION("""COMPUTED_VALUE"""),"")</f>
        <v/>
      </c>
      <c r="C273" s="134" t="str">
        <f ca="1">IFERROR(__xludf.DUMMYFUNCTION("""COMPUTED_VALUE"""),"")</f>
        <v/>
      </c>
      <c r="D273" s="134" t="str">
        <f ca="1">IFERROR(__xludf.DUMMYFUNCTION("""COMPUTED_VALUE"""),"")</f>
        <v/>
      </c>
      <c r="E273" s="134" t="str">
        <f ca="1">IFERROR(__xludf.DUMMYFUNCTION("""COMPUTED_VALUE"""),"")</f>
        <v/>
      </c>
      <c r="F273" s="134" t="str">
        <f ca="1">IFERROR(__xludf.DUMMYFUNCTION("""COMPUTED_VALUE"""),"")</f>
        <v/>
      </c>
      <c r="G273" s="134" t="str">
        <f ca="1">IFERROR(__xludf.DUMMYFUNCTION("""COMPUTED_VALUE"""),"")</f>
        <v/>
      </c>
      <c r="H273" s="134" t="str">
        <f ca="1">IFERROR(__xludf.DUMMYFUNCTION("""COMPUTED_VALUE"""),"")</f>
        <v/>
      </c>
      <c r="I273" s="134" t="str">
        <f ca="1">IFERROR(__xludf.DUMMYFUNCTION("""COMPUTED_VALUE"""),"")</f>
        <v/>
      </c>
      <c r="J273" s="134" t="str">
        <f ca="1">IFERROR(__xludf.DUMMYFUNCTION("""COMPUTED_VALUE"""),"")</f>
        <v/>
      </c>
      <c r="N273" s="31"/>
    </row>
    <row r="274" spans="1:14" customFormat="1">
      <c r="A274" s="134" t="str">
        <f ca="1">IFERROR(__xludf.DUMMYFUNCTION("""COMPUTED_VALUE"""),"")</f>
        <v/>
      </c>
      <c r="B274" s="134" t="str">
        <f ca="1">IFERROR(__xludf.DUMMYFUNCTION("""COMPUTED_VALUE"""),"")</f>
        <v/>
      </c>
      <c r="C274" s="134" t="str">
        <f ca="1">IFERROR(__xludf.DUMMYFUNCTION("""COMPUTED_VALUE"""),"")</f>
        <v/>
      </c>
      <c r="D274" s="134" t="str">
        <f ca="1">IFERROR(__xludf.DUMMYFUNCTION("""COMPUTED_VALUE"""),"")</f>
        <v/>
      </c>
      <c r="E274" s="134" t="str">
        <f ca="1">IFERROR(__xludf.DUMMYFUNCTION("""COMPUTED_VALUE"""),"")</f>
        <v/>
      </c>
      <c r="F274" s="134" t="str">
        <f ca="1">IFERROR(__xludf.DUMMYFUNCTION("""COMPUTED_VALUE"""),"")</f>
        <v/>
      </c>
      <c r="G274" s="134" t="str">
        <f ca="1">IFERROR(__xludf.DUMMYFUNCTION("""COMPUTED_VALUE"""),"")</f>
        <v/>
      </c>
      <c r="H274" s="134" t="str">
        <f ca="1">IFERROR(__xludf.DUMMYFUNCTION("""COMPUTED_VALUE"""),"")</f>
        <v/>
      </c>
      <c r="I274" s="134" t="str">
        <f ca="1">IFERROR(__xludf.DUMMYFUNCTION("""COMPUTED_VALUE"""),"")</f>
        <v/>
      </c>
      <c r="J274" s="134" t="str">
        <f ca="1">IFERROR(__xludf.DUMMYFUNCTION("""COMPUTED_VALUE"""),"")</f>
        <v/>
      </c>
      <c r="N274" s="31"/>
    </row>
    <row r="275" spans="1:14" customFormat="1">
      <c r="A275" s="134" t="str">
        <f ca="1">IFERROR(__xludf.DUMMYFUNCTION("""COMPUTED_VALUE"""),"")</f>
        <v/>
      </c>
      <c r="B275" s="134" t="str">
        <f ca="1">IFERROR(__xludf.DUMMYFUNCTION("""COMPUTED_VALUE"""),"")</f>
        <v/>
      </c>
      <c r="C275" s="134" t="str">
        <f ca="1">IFERROR(__xludf.DUMMYFUNCTION("""COMPUTED_VALUE"""),"")</f>
        <v/>
      </c>
      <c r="D275" s="134" t="str">
        <f ca="1">IFERROR(__xludf.DUMMYFUNCTION("""COMPUTED_VALUE"""),"")</f>
        <v/>
      </c>
      <c r="E275" s="134" t="str">
        <f ca="1">IFERROR(__xludf.DUMMYFUNCTION("""COMPUTED_VALUE"""),"")</f>
        <v/>
      </c>
      <c r="F275" s="134" t="str">
        <f ca="1">IFERROR(__xludf.DUMMYFUNCTION("""COMPUTED_VALUE"""),"")</f>
        <v/>
      </c>
      <c r="G275" s="134" t="str">
        <f ca="1">IFERROR(__xludf.DUMMYFUNCTION("""COMPUTED_VALUE"""),"")</f>
        <v/>
      </c>
      <c r="H275" s="134" t="str">
        <f ca="1">IFERROR(__xludf.DUMMYFUNCTION("""COMPUTED_VALUE"""),"")</f>
        <v/>
      </c>
      <c r="I275" s="134" t="str">
        <f ca="1">IFERROR(__xludf.DUMMYFUNCTION("""COMPUTED_VALUE"""),"")</f>
        <v/>
      </c>
      <c r="J275" s="134" t="str">
        <f ca="1">IFERROR(__xludf.DUMMYFUNCTION("""COMPUTED_VALUE"""),"")</f>
        <v/>
      </c>
      <c r="N275" s="31"/>
    </row>
    <row r="276" spans="1:14" customFormat="1">
      <c r="A276" s="134" t="str">
        <f ca="1">IFERROR(__xludf.DUMMYFUNCTION("""COMPUTED_VALUE"""),"")</f>
        <v/>
      </c>
      <c r="B276" s="134" t="str">
        <f ca="1">IFERROR(__xludf.DUMMYFUNCTION("""COMPUTED_VALUE"""),"")</f>
        <v/>
      </c>
      <c r="C276" s="134" t="str">
        <f ca="1">IFERROR(__xludf.DUMMYFUNCTION("""COMPUTED_VALUE"""),"")</f>
        <v/>
      </c>
      <c r="D276" s="134" t="str">
        <f ca="1">IFERROR(__xludf.DUMMYFUNCTION("""COMPUTED_VALUE"""),"")</f>
        <v/>
      </c>
      <c r="E276" s="134" t="str">
        <f ca="1">IFERROR(__xludf.DUMMYFUNCTION("""COMPUTED_VALUE"""),"")</f>
        <v/>
      </c>
      <c r="F276" s="134" t="str">
        <f ca="1">IFERROR(__xludf.DUMMYFUNCTION("""COMPUTED_VALUE"""),"")</f>
        <v/>
      </c>
      <c r="G276" s="134" t="str">
        <f ca="1">IFERROR(__xludf.DUMMYFUNCTION("""COMPUTED_VALUE"""),"")</f>
        <v/>
      </c>
      <c r="H276" s="134" t="str">
        <f ca="1">IFERROR(__xludf.DUMMYFUNCTION("""COMPUTED_VALUE"""),"")</f>
        <v/>
      </c>
      <c r="I276" s="134" t="str">
        <f ca="1">IFERROR(__xludf.DUMMYFUNCTION("""COMPUTED_VALUE"""),"")</f>
        <v/>
      </c>
      <c r="J276" s="134" t="str">
        <f ca="1">IFERROR(__xludf.DUMMYFUNCTION("""COMPUTED_VALUE"""),"")</f>
        <v/>
      </c>
      <c r="N276" s="31"/>
    </row>
    <row r="277" spans="1:14" customFormat="1">
      <c r="A277" s="134" t="str">
        <f ca="1">IFERROR(__xludf.DUMMYFUNCTION("""COMPUTED_VALUE"""),"")</f>
        <v/>
      </c>
      <c r="B277" s="134" t="str">
        <f ca="1">IFERROR(__xludf.DUMMYFUNCTION("""COMPUTED_VALUE"""),"")</f>
        <v/>
      </c>
      <c r="C277" s="134" t="str">
        <f ca="1">IFERROR(__xludf.DUMMYFUNCTION("""COMPUTED_VALUE"""),"")</f>
        <v/>
      </c>
      <c r="D277" s="134" t="str">
        <f ca="1">IFERROR(__xludf.DUMMYFUNCTION("""COMPUTED_VALUE"""),"")</f>
        <v/>
      </c>
      <c r="E277" s="134" t="str">
        <f ca="1">IFERROR(__xludf.DUMMYFUNCTION("""COMPUTED_VALUE"""),"")</f>
        <v/>
      </c>
      <c r="F277" s="134" t="str">
        <f ca="1">IFERROR(__xludf.DUMMYFUNCTION("""COMPUTED_VALUE"""),"")</f>
        <v/>
      </c>
      <c r="G277" s="134" t="str">
        <f ca="1">IFERROR(__xludf.DUMMYFUNCTION("""COMPUTED_VALUE"""),"")</f>
        <v/>
      </c>
      <c r="H277" s="134" t="str">
        <f ca="1">IFERROR(__xludf.DUMMYFUNCTION("""COMPUTED_VALUE"""),"")</f>
        <v/>
      </c>
      <c r="I277" s="134" t="str">
        <f ca="1">IFERROR(__xludf.DUMMYFUNCTION("""COMPUTED_VALUE"""),"")</f>
        <v/>
      </c>
      <c r="J277" s="134" t="str">
        <f ca="1">IFERROR(__xludf.DUMMYFUNCTION("""COMPUTED_VALUE"""),"")</f>
        <v/>
      </c>
      <c r="N277" s="31"/>
    </row>
    <row r="278" spans="1:14" customFormat="1">
      <c r="A278" s="134" t="str">
        <f ca="1">IFERROR(__xludf.DUMMYFUNCTION("""COMPUTED_VALUE"""),"")</f>
        <v/>
      </c>
      <c r="B278" s="134" t="str">
        <f ca="1">IFERROR(__xludf.DUMMYFUNCTION("""COMPUTED_VALUE"""),"")</f>
        <v/>
      </c>
      <c r="C278" s="134" t="str">
        <f ca="1">IFERROR(__xludf.DUMMYFUNCTION("""COMPUTED_VALUE"""),"")</f>
        <v/>
      </c>
      <c r="D278" s="134" t="str">
        <f ca="1">IFERROR(__xludf.DUMMYFUNCTION("""COMPUTED_VALUE"""),"")</f>
        <v/>
      </c>
      <c r="E278" s="134" t="str">
        <f ca="1">IFERROR(__xludf.DUMMYFUNCTION("""COMPUTED_VALUE"""),"")</f>
        <v/>
      </c>
      <c r="F278" s="134" t="str">
        <f ca="1">IFERROR(__xludf.DUMMYFUNCTION("""COMPUTED_VALUE"""),"")</f>
        <v/>
      </c>
      <c r="G278" s="134" t="str">
        <f ca="1">IFERROR(__xludf.DUMMYFUNCTION("""COMPUTED_VALUE"""),"")</f>
        <v/>
      </c>
      <c r="H278" s="134" t="str">
        <f ca="1">IFERROR(__xludf.DUMMYFUNCTION("""COMPUTED_VALUE"""),"")</f>
        <v/>
      </c>
      <c r="I278" s="134" t="str">
        <f ca="1">IFERROR(__xludf.DUMMYFUNCTION("""COMPUTED_VALUE"""),"")</f>
        <v/>
      </c>
      <c r="J278" s="134" t="str">
        <f ca="1">IFERROR(__xludf.DUMMYFUNCTION("""COMPUTED_VALUE"""),"")</f>
        <v/>
      </c>
      <c r="N278" s="31"/>
    </row>
    <row r="279" spans="1:14" customFormat="1">
      <c r="A279" s="134" t="str">
        <f ca="1">IFERROR(__xludf.DUMMYFUNCTION("""COMPUTED_VALUE"""),"")</f>
        <v/>
      </c>
      <c r="B279" s="134" t="str">
        <f ca="1">IFERROR(__xludf.DUMMYFUNCTION("""COMPUTED_VALUE"""),"")</f>
        <v/>
      </c>
      <c r="C279" s="134" t="str">
        <f ca="1">IFERROR(__xludf.DUMMYFUNCTION("""COMPUTED_VALUE"""),"")</f>
        <v/>
      </c>
      <c r="D279" s="134" t="str">
        <f ca="1">IFERROR(__xludf.DUMMYFUNCTION("""COMPUTED_VALUE"""),"")</f>
        <v/>
      </c>
      <c r="E279" s="134" t="str">
        <f ca="1">IFERROR(__xludf.DUMMYFUNCTION("""COMPUTED_VALUE"""),"")</f>
        <v/>
      </c>
      <c r="F279" s="134" t="str">
        <f ca="1">IFERROR(__xludf.DUMMYFUNCTION("""COMPUTED_VALUE"""),"")</f>
        <v/>
      </c>
      <c r="G279" s="134" t="str">
        <f ca="1">IFERROR(__xludf.DUMMYFUNCTION("""COMPUTED_VALUE"""),"")</f>
        <v/>
      </c>
      <c r="H279" s="134" t="str">
        <f ca="1">IFERROR(__xludf.DUMMYFUNCTION("""COMPUTED_VALUE"""),"")</f>
        <v/>
      </c>
      <c r="I279" s="134" t="str">
        <f ca="1">IFERROR(__xludf.DUMMYFUNCTION("""COMPUTED_VALUE"""),"")</f>
        <v/>
      </c>
      <c r="J279" s="134" t="str">
        <f ca="1">IFERROR(__xludf.DUMMYFUNCTION("""COMPUTED_VALUE"""),"")</f>
        <v/>
      </c>
      <c r="N279" s="31"/>
    </row>
    <row r="280" spans="1:14" customFormat="1">
      <c r="A280" s="134" t="str">
        <f ca="1">IFERROR(__xludf.DUMMYFUNCTION("""COMPUTED_VALUE"""),"")</f>
        <v/>
      </c>
      <c r="B280" s="134" t="str">
        <f ca="1">IFERROR(__xludf.DUMMYFUNCTION("""COMPUTED_VALUE"""),"")</f>
        <v/>
      </c>
      <c r="C280" s="134" t="str">
        <f ca="1">IFERROR(__xludf.DUMMYFUNCTION("""COMPUTED_VALUE"""),"")</f>
        <v/>
      </c>
      <c r="D280" s="134" t="str">
        <f ca="1">IFERROR(__xludf.DUMMYFUNCTION("""COMPUTED_VALUE"""),"")</f>
        <v/>
      </c>
      <c r="E280" s="134" t="str">
        <f ca="1">IFERROR(__xludf.DUMMYFUNCTION("""COMPUTED_VALUE"""),"")</f>
        <v/>
      </c>
      <c r="F280" s="134" t="str">
        <f ca="1">IFERROR(__xludf.DUMMYFUNCTION("""COMPUTED_VALUE"""),"")</f>
        <v/>
      </c>
      <c r="G280" s="134" t="str">
        <f ca="1">IFERROR(__xludf.DUMMYFUNCTION("""COMPUTED_VALUE"""),"")</f>
        <v/>
      </c>
      <c r="H280" s="134" t="str">
        <f ca="1">IFERROR(__xludf.DUMMYFUNCTION("""COMPUTED_VALUE"""),"")</f>
        <v/>
      </c>
      <c r="I280" s="134" t="str">
        <f ca="1">IFERROR(__xludf.DUMMYFUNCTION("""COMPUTED_VALUE"""),"")</f>
        <v/>
      </c>
      <c r="J280" s="134" t="str">
        <f ca="1">IFERROR(__xludf.DUMMYFUNCTION("""COMPUTED_VALUE"""),"")</f>
        <v/>
      </c>
      <c r="N280" s="31"/>
    </row>
    <row r="281" spans="1:14" customFormat="1">
      <c r="A281" s="134" t="str">
        <f ca="1">IFERROR(__xludf.DUMMYFUNCTION("""COMPUTED_VALUE"""),"")</f>
        <v/>
      </c>
      <c r="B281" s="134" t="str">
        <f ca="1">IFERROR(__xludf.DUMMYFUNCTION("""COMPUTED_VALUE"""),"")</f>
        <v/>
      </c>
      <c r="C281" s="134" t="str">
        <f ca="1">IFERROR(__xludf.DUMMYFUNCTION("""COMPUTED_VALUE"""),"")</f>
        <v/>
      </c>
      <c r="D281" s="134" t="str">
        <f ca="1">IFERROR(__xludf.DUMMYFUNCTION("""COMPUTED_VALUE"""),"")</f>
        <v/>
      </c>
      <c r="E281" s="134" t="str">
        <f ca="1">IFERROR(__xludf.DUMMYFUNCTION("""COMPUTED_VALUE"""),"")</f>
        <v/>
      </c>
      <c r="F281" s="134" t="str">
        <f ca="1">IFERROR(__xludf.DUMMYFUNCTION("""COMPUTED_VALUE"""),"")</f>
        <v/>
      </c>
      <c r="G281" s="134" t="str">
        <f ca="1">IFERROR(__xludf.DUMMYFUNCTION("""COMPUTED_VALUE"""),"")</f>
        <v/>
      </c>
      <c r="H281" s="134" t="str">
        <f ca="1">IFERROR(__xludf.DUMMYFUNCTION("""COMPUTED_VALUE"""),"")</f>
        <v/>
      </c>
      <c r="I281" s="134" t="str">
        <f ca="1">IFERROR(__xludf.DUMMYFUNCTION("""COMPUTED_VALUE"""),"")</f>
        <v/>
      </c>
      <c r="J281" s="134" t="str">
        <f ca="1">IFERROR(__xludf.DUMMYFUNCTION("""COMPUTED_VALUE"""),"")</f>
        <v/>
      </c>
      <c r="N281" s="31"/>
    </row>
    <row r="282" spans="1:14" customFormat="1">
      <c r="A282" s="134" t="str">
        <f ca="1">IFERROR(__xludf.DUMMYFUNCTION("""COMPUTED_VALUE"""),"")</f>
        <v/>
      </c>
      <c r="B282" s="134" t="str">
        <f ca="1">IFERROR(__xludf.DUMMYFUNCTION("""COMPUTED_VALUE"""),"")</f>
        <v/>
      </c>
      <c r="C282" s="134" t="str">
        <f ca="1">IFERROR(__xludf.DUMMYFUNCTION("""COMPUTED_VALUE"""),"")</f>
        <v/>
      </c>
      <c r="D282" s="134" t="str">
        <f ca="1">IFERROR(__xludf.DUMMYFUNCTION("""COMPUTED_VALUE"""),"")</f>
        <v/>
      </c>
      <c r="E282" s="134" t="str">
        <f ca="1">IFERROR(__xludf.DUMMYFUNCTION("""COMPUTED_VALUE"""),"")</f>
        <v/>
      </c>
      <c r="F282" s="134" t="str">
        <f ca="1">IFERROR(__xludf.DUMMYFUNCTION("""COMPUTED_VALUE"""),"")</f>
        <v/>
      </c>
      <c r="G282" s="134" t="str">
        <f ca="1">IFERROR(__xludf.DUMMYFUNCTION("""COMPUTED_VALUE"""),"")</f>
        <v/>
      </c>
      <c r="H282" s="134" t="str">
        <f ca="1">IFERROR(__xludf.DUMMYFUNCTION("""COMPUTED_VALUE"""),"")</f>
        <v/>
      </c>
      <c r="I282" s="134" t="str">
        <f ca="1">IFERROR(__xludf.DUMMYFUNCTION("""COMPUTED_VALUE"""),"")</f>
        <v/>
      </c>
      <c r="J282" s="134" t="str">
        <f ca="1">IFERROR(__xludf.DUMMYFUNCTION("""COMPUTED_VALUE"""),"")</f>
        <v/>
      </c>
      <c r="N282" s="31"/>
    </row>
    <row r="283" spans="1:14" customFormat="1">
      <c r="A283" s="134" t="str">
        <f ca="1">IFERROR(__xludf.DUMMYFUNCTION("""COMPUTED_VALUE"""),"")</f>
        <v/>
      </c>
      <c r="B283" s="134" t="str">
        <f ca="1">IFERROR(__xludf.DUMMYFUNCTION("""COMPUTED_VALUE"""),"")</f>
        <v/>
      </c>
      <c r="C283" s="134" t="str">
        <f ca="1">IFERROR(__xludf.DUMMYFUNCTION("""COMPUTED_VALUE"""),"")</f>
        <v/>
      </c>
      <c r="D283" s="134" t="str">
        <f ca="1">IFERROR(__xludf.DUMMYFUNCTION("""COMPUTED_VALUE"""),"")</f>
        <v/>
      </c>
      <c r="E283" s="134" t="str">
        <f ca="1">IFERROR(__xludf.DUMMYFUNCTION("""COMPUTED_VALUE"""),"")</f>
        <v/>
      </c>
      <c r="F283" s="134" t="str">
        <f ca="1">IFERROR(__xludf.DUMMYFUNCTION("""COMPUTED_VALUE"""),"")</f>
        <v/>
      </c>
      <c r="G283" s="134" t="str">
        <f ca="1">IFERROR(__xludf.DUMMYFUNCTION("""COMPUTED_VALUE"""),"")</f>
        <v/>
      </c>
      <c r="H283" s="134" t="str">
        <f ca="1">IFERROR(__xludf.DUMMYFUNCTION("""COMPUTED_VALUE"""),"")</f>
        <v/>
      </c>
      <c r="I283" s="134" t="str">
        <f ca="1">IFERROR(__xludf.DUMMYFUNCTION("""COMPUTED_VALUE"""),"")</f>
        <v/>
      </c>
      <c r="J283" s="134" t="str">
        <f ca="1">IFERROR(__xludf.DUMMYFUNCTION("""COMPUTED_VALUE"""),"")</f>
        <v/>
      </c>
      <c r="N283" s="31"/>
    </row>
    <row r="284" spans="1:14" customFormat="1">
      <c r="A284" s="134" t="str">
        <f ca="1">IFERROR(__xludf.DUMMYFUNCTION("""COMPUTED_VALUE"""),"")</f>
        <v/>
      </c>
      <c r="B284" s="134" t="str">
        <f ca="1">IFERROR(__xludf.DUMMYFUNCTION("""COMPUTED_VALUE"""),"")</f>
        <v/>
      </c>
      <c r="C284" s="134" t="str">
        <f ca="1">IFERROR(__xludf.DUMMYFUNCTION("""COMPUTED_VALUE"""),"")</f>
        <v/>
      </c>
      <c r="D284" s="134" t="str">
        <f ca="1">IFERROR(__xludf.DUMMYFUNCTION("""COMPUTED_VALUE"""),"")</f>
        <v/>
      </c>
      <c r="E284" s="134" t="str">
        <f ca="1">IFERROR(__xludf.DUMMYFUNCTION("""COMPUTED_VALUE"""),"")</f>
        <v/>
      </c>
      <c r="F284" s="134" t="str">
        <f ca="1">IFERROR(__xludf.DUMMYFUNCTION("""COMPUTED_VALUE"""),"")</f>
        <v/>
      </c>
      <c r="G284" s="134" t="str">
        <f ca="1">IFERROR(__xludf.DUMMYFUNCTION("""COMPUTED_VALUE"""),"")</f>
        <v/>
      </c>
      <c r="H284" s="134" t="str">
        <f ca="1">IFERROR(__xludf.DUMMYFUNCTION("""COMPUTED_VALUE"""),"")</f>
        <v/>
      </c>
      <c r="I284" s="134" t="str">
        <f ca="1">IFERROR(__xludf.DUMMYFUNCTION("""COMPUTED_VALUE"""),"")</f>
        <v/>
      </c>
      <c r="J284" s="134" t="str">
        <f ca="1">IFERROR(__xludf.DUMMYFUNCTION("""COMPUTED_VALUE"""),"")</f>
        <v/>
      </c>
      <c r="N284" s="31"/>
    </row>
    <row r="285" spans="1:14" customFormat="1">
      <c r="A285" s="134" t="str">
        <f ca="1">IFERROR(__xludf.DUMMYFUNCTION("""COMPUTED_VALUE"""),"")</f>
        <v/>
      </c>
      <c r="B285" s="134" t="str">
        <f ca="1">IFERROR(__xludf.DUMMYFUNCTION("""COMPUTED_VALUE"""),"")</f>
        <v/>
      </c>
      <c r="C285" s="134" t="str">
        <f ca="1">IFERROR(__xludf.DUMMYFUNCTION("""COMPUTED_VALUE"""),"")</f>
        <v/>
      </c>
      <c r="D285" s="134" t="str">
        <f ca="1">IFERROR(__xludf.DUMMYFUNCTION("""COMPUTED_VALUE"""),"")</f>
        <v/>
      </c>
      <c r="E285" s="134" t="str">
        <f ca="1">IFERROR(__xludf.DUMMYFUNCTION("""COMPUTED_VALUE"""),"")</f>
        <v/>
      </c>
      <c r="F285" s="134" t="str">
        <f ca="1">IFERROR(__xludf.DUMMYFUNCTION("""COMPUTED_VALUE"""),"")</f>
        <v/>
      </c>
      <c r="G285" s="134" t="str">
        <f ca="1">IFERROR(__xludf.DUMMYFUNCTION("""COMPUTED_VALUE"""),"")</f>
        <v/>
      </c>
      <c r="H285" s="134" t="str">
        <f ca="1">IFERROR(__xludf.DUMMYFUNCTION("""COMPUTED_VALUE"""),"")</f>
        <v/>
      </c>
      <c r="I285" s="134" t="str">
        <f ca="1">IFERROR(__xludf.DUMMYFUNCTION("""COMPUTED_VALUE"""),"")</f>
        <v/>
      </c>
      <c r="J285" s="134" t="str">
        <f ca="1">IFERROR(__xludf.DUMMYFUNCTION("""COMPUTED_VALUE"""),"")</f>
        <v/>
      </c>
      <c r="N285" s="31"/>
    </row>
    <row r="286" spans="1:14" customFormat="1">
      <c r="A286" s="134" t="str">
        <f ca="1">IFERROR(__xludf.DUMMYFUNCTION("""COMPUTED_VALUE"""),"")</f>
        <v/>
      </c>
      <c r="B286" s="134" t="str">
        <f ca="1">IFERROR(__xludf.DUMMYFUNCTION("""COMPUTED_VALUE"""),"")</f>
        <v/>
      </c>
      <c r="C286" s="134" t="str">
        <f ca="1">IFERROR(__xludf.DUMMYFUNCTION("""COMPUTED_VALUE"""),"")</f>
        <v/>
      </c>
      <c r="D286" s="134" t="str">
        <f ca="1">IFERROR(__xludf.DUMMYFUNCTION("""COMPUTED_VALUE"""),"")</f>
        <v/>
      </c>
      <c r="E286" s="134" t="str">
        <f ca="1">IFERROR(__xludf.DUMMYFUNCTION("""COMPUTED_VALUE"""),"")</f>
        <v/>
      </c>
      <c r="F286" s="134" t="str">
        <f ca="1">IFERROR(__xludf.DUMMYFUNCTION("""COMPUTED_VALUE"""),"")</f>
        <v/>
      </c>
      <c r="G286" s="134" t="str">
        <f ca="1">IFERROR(__xludf.DUMMYFUNCTION("""COMPUTED_VALUE"""),"")</f>
        <v/>
      </c>
      <c r="H286" s="134" t="str">
        <f ca="1">IFERROR(__xludf.DUMMYFUNCTION("""COMPUTED_VALUE"""),"")</f>
        <v/>
      </c>
      <c r="I286" s="134" t="str">
        <f ca="1">IFERROR(__xludf.DUMMYFUNCTION("""COMPUTED_VALUE"""),"")</f>
        <v/>
      </c>
      <c r="J286" s="134" t="str">
        <f ca="1">IFERROR(__xludf.DUMMYFUNCTION("""COMPUTED_VALUE"""),"")</f>
        <v/>
      </c>
      <c r="N286" s="31"/>
    </row>
    <row r="287" spans="1:14" customFormat="1">
      <c r="A287" s="134" t="str">
        <f ca="1">IFERROR(__xludf.DUMMYFUNCTION("""COMPUTED_VALUE"""),"")</f>
        <v/>
      </c>
      <c r="B287" s="134" t="str">
        <f ca="1">IFERROR(__xludf.DUMMYFUNCTION("""COMPUTED_VALUE"""),"")</f>
        <v/>
      </c>
      <c r="C287" s="134" t="str">
        <f ca="1">IFERROR(__xludf.DUMMYFUNCTION("""COMPUTED_VALUE"""),"")</f>
        <v/>
      </c>
      <c r="D287" s="134" t="str">
        <f ca="1">IFERROR(__xludf.DUMMYFUNCTION("""COMPUTED_VALUE"""),"")</f>
        <v/>
      </c>
      <c r="E287" s="134" t="str">
        <f ca="1">IFERROR(__xludf.DUMMYFUNCTION("""COMPUTED_VALUE"""),"")</f>
        <v/>
      </c>
      <c r="F287" s="134" t="str">
        <f ca="1">IFERROR(__xludf.DUMMYFUNCTION("""COMPUTED_VALUE"""),"")</f>
        <v/>
      </c>
      <c r="G287" s="134" t="str">
        <f ca="1">IFERROR(__xludf.DUMMYFUNCTION("""COMPUTED_VALUE"""),"")</f>
        <v/>
      </c>
      <c r="H287" s="134" t="str">
        <f ca="1">IFERROR(__xludf.DUMMYFUNCTION("""COMPUTED_VALUE"""),"")</f>
        <v/>
      </c>
      <c r="I287" s="134" t="str">
        <f ca="1">IFERROR(__xludf.DUMMYFUNCTION("""COMPUTED_VALUE"""),"")</f>
        <v/>
      </c>
      <c r="J287" s="134" t="str">
        <f ca="1">IFERROR(__xludf.DUMMYFUNCTION("""COMPUTED_VALUE"""),"")</f>
        <v/>
      </c>
      <c r="N287" s="31"/>
    </row>
    <row r="288" spans="1:14" customFormat="1">
      <c r="A288" s="134" t="str">
        <f ca="1">IFERROR(__xludf.DUMMYFUNCTION("""COMPUTED_VALUE"""),"")</f>
        <v/>
      </c>
      <c r="B288" s="134" t="str">
        <f ca="1">IFERROR(__xludf.DUMMYFUNCTION("""COMPUTED_VALUE"""),"")</f>
        <v/>
      </c>
      <c r="C288" s="134" t="str">
        <f ca="1">IFERROR(__xludf.DUMMYFUNCTION("""COMPUTED_VALUE"""),"")</f>
        <v/>
      </c>
      <c r="D288" s="134" t="str">
        <f ca="1">IFERROR(__xludf.DUMMYFUNCTION("""COMPUTED_VALUE"""),"")</f>
        <v/>
      </c>
      <c r="E288" s="134" t="str">
        <f ca="1">IFERROR(__xludf.DUMMYFUNCTION("""COMPUTED_VALUE"""),"")</f>
        <v/>
      </c>
      <c r="F288" s="134" t="str">
        <f ca="1">IFERROR(__xludf.DUMMYFUNCTION("""COMPUTED_VALUE"""),"")</f>
        <v/>
      </c>
      <c r="G288" s="134" t="str">
        <f ca="1">IFERROR(__xludf.DUMMYFUNCTION("""COMPUTED_VALUE"""),"")</f>
        <v/>
      </c>
      <c r="H288" s="134" t="str">
        <f ca="1">IFERROR(__xludf.DUMMYFUNCTION("""COMPUTED_VALUE"""),"")</f>
        <v/>
      </c>
      <c r="I288" s="134" t="str">
        <f ca="1">IFERROR(__xludf.DUMMYFUNCTION("""COMPUTED_VALUE"""),"")</f>
        <v/>
      </c>
      <c r="J288" s="134" t="str">
        <f ca="1">IFERROR(__xludf.DUMMYFUNCTION("""COMPUTED_VALUE"""),"")</f>
        <v/>
      </c>
      <c r="N288" s="31"/>
    </row>
    <row r="289" spans="1:14" customFormat="1">
      <c r="A289" s="134" t="str">
        <f ca="1">IFERROR(__xludf.DUMMYFUNCTION("""COMPUTED_VALUE"""),"")</f>
        <v/>
      </c>
      <c r="B289" s="134" t="str">
        <f ca="1">IFERROR(__xludf.DUMMYFUNCTION("""COMPUTED_VALUE"""),"")</f>
        <v/>
      </c>
      <c r="C289" s="134" t="str">
        <f ca="1">IFERROR(__xludf.DUMMYFUNCTION("""COMPUTED_VALUE"""),"")</f>
        <v/>
      </c>
      <c r="D289" s="134" t="str">
        <f ca="1">IFERROR(__xludf.DUMMYFUNCTION("""COMPUTED_VALUE"""),"")</f>
        <v/>
      </c>
      <c r="E289" s="134" t="str">
        <f ca="1">IFERROR(__xludf.DUMMYFUNCTION("""COMPUTED_VALUE"""),"")</f>
        <v/>
      </c>
      <c r="F289" s="134" t="str">
        <f ca="1">IFERROR(__xludf.DUMMYFUNCTION("""COMPUTED_VALUE"""),"")</f>
        <v/>
      </c>
      <c r="G289" s="134" t="str">
        <f ca="1">IFERROR(__xludf.DUMMYFUNCTION("""COMPUTED_VALUE"""),"")</f>
        <v/>
      </c>
      <c r="H289" s="134" t="str">
        <f ca="1">IFERROR(__xludf.DUMMYFUNCTION("""COMPUTED_VALUE"""),"")</f>
        <v/>
      </c>
      <c r="I289" s="134" t="str">
        <f ca="1">IFERROR(__xludf.DUMMYFUNCTION("""COMPUTED_VALUE"""),"")</f>
        <v/>
      </c>
      <c r="J289" s="134" t="str">
        <f ca="1">IFERROR(__xludf.DUMMYFUNCTION("""COMPUTED_VALUE"""),"")</f>
        <v/>
      </c>
      <c r="N289" s="31"/>
    </row>
    <row r="290" spans="1:14" customFormat="1">
      <c r="A290" s="134" t="str">
        <f ca="1">IFERROR(__xludf.DUMMYFUNCTION("""COMPUTED_VALUE"""),"")</f>
        <v/>
      </c>
      <c r="B290" s="134" t="str">
        <f ca="1">IFERROR(__xludf.DUMMYFUNCTION("""COMPUTED_VALUE"""),"")</f>
        <v/>
      </c>
      <c r="C290" s="134" t="str">
        <f ca="1">IFERROR(__xludf.DUMMYFUNCTION("""COMPUTED_VALUE"""),"")</f>
        <v/>
      </c>
      <c r="D290" s="134" t="str">
        <f ca="1">IFERROR(__xludf.DUMMYFUNCTION("""COMPUTED_VALUE"""),"")</f>
        <v/>
      </c>
      <c r="E290" s="134" t="str">
        <f ca="1">IFERROR(__xludf.DUMMYFUNCTION("""COMPUTED_VALUE"""),"")</f>
        <v/>
      </c>
      <c r="F290" s="134" t="str">
        <f ca="1">IFERROR(__xludf.DUMMYFUNCTION("""COMPUTED_VALUE"""),"")</f>
        <v/>
      </c>
      <c r="G290" s="134" t="str">
        <f ca="1">IFERROR(__xludf.DUMMYFUNCTION("""COMPUTED_VALUE"""),"")</f>
        <v/>
      </c>
      <c r="H290" s="134" t="str">
        <f ca="1">IFERROR(__xludf.DUMMYFUNCTION("""COMPUTED_VALUE"""),"")</f>
        <v/>
      </c>
      <c r="I290" s="134" t="str">
        <f ca="1">IFERROR(__xludf.DUMMYFUNCTION("""COMPUTED_VALUE"""),"")</f>
        <v/>
      </c>
      <c r="J290" s="134" t="str">
        <f ca="1">IFERROR(__xludf.DUMMYFUNCTION("""COMPUTED_VALUE"""),"")</f>
        <v/>
      </c>
      <c r="N290" s="31"/>
    </row>
    <row r="291" spans="1:14" customFormat="1">
      <c r="A291" s="134" t="str">
        <f ca="1">IFERROR(__xludf.DUMMYFUNCTION("""COMPUTED_VALUE"""),"")</f>
        <v/>
      </c>
      <c r="B291" s="134" t="str">
        <f ca="1">IFERROR(__xludf.DUMMYFUNCTION("""COMPUTED_VALUE"""),"")</f>
        <v/>
      </c>
      <c r="C291" s="134" t="str">
        <f ca="1">IFERROR(__xludf.DUMMYFUNCTION("""COMPUTED_VALUE"""),"")</f>
        <v/>
      </c>
      <c r="D291" s="134" t="str">
        <f ca="1">IFERROR(__xludf.DUMMYFUNCTION("""COMPUTED_VALUE"""),"")</f>
        <v/>
      </c>
      <c r="E291" s="134" t="str">
        <f ca="1">IFERROR(__xludf.DUMMYFUNCTION("""COMPUTED_VALUE"""),"")</f>
        <v/>
      </c>
      <c r="F291" s="134" t="str">
        <f ca="1">IFERROR(__xludf.DUMMYFUNCTION("""COMPUTED_VALUE"""),"")</f>
        <v/>
      </c>
      <c r="G291" s="134" t="str">
        <f ca="1">IFERROR(__xludf.DUMMYFUNCTION("""COMPUTED_VALUE"""),"")</f>
        <v/>
      </c>
      <c r="H291" s="134" t="str">
        <f ca="1">IFERROR(__xludf.DUMMYFUNCTION("""COMPUTED_VALUE"""),"")</f>
        <v/>
      </c>
      <c r="I291" s="134" t="str">
        <f ca="1">IFERROR(__xludf.DUMMYFUNCTION("""COMPUTED_VALUE"""),"")</f>
        <v/>
      </c>
      <c r="J291" s="134" t="str">
        <f ca="1">IFERROR(__xludf.DUMMYFUNCTION("""COMPUTED_VALUE"""),"")</f>
        <v/>
      </c>
      <c r="N291" s="31"/>
    </row>
    <row r="292" spans="1:14" customFormat="1">
      <c r="A292" s="134" t="str">
        <f ca="1">IFERROR(__xludf.DUMMYFUNCTION("""COMPUTED_VALUE"""),"")</f>
        <v/>
      </c>
      <c r="B292" s="134" t="str">
        <f ca="1">IFERROR(__xludf.DUMMYFUNCTION("""COMPUTED_VALUE"""),"")</f>
        <v/>
      </c>
      <c r="C292" s="134" t="str">
        <f ca="1">IFERROR(__xludf.DUMMYFUNCTION("""COMPUTED_VALUE"""),"")</f>
        <v/>
      </c>
      <c r="D292" s="134" t="str">
        <f ca="1">IFERROR(__xludf.DUMMYFUNCTION("""COMPUTED_VALUE"""),"")</f>
        <v/>
      </c>
      <c r="E292" s="134" t="str">
        <f ca="1">IFERROR(__xludf.DUMMYFUNCTION("""COMPUTED_VALUE"""),"")</f>
        <v/>
      </c>
      <c r="F292" s="134" t="str">
        <f ca="1">IFERROR(__xludf.DUMMYFUNCTION("""COMPUTED_VALUE"""),"")</f>
        <v/>
      </c>
      <c r="G292" s="134" t="str">
        <f ca="1">IFERROR(__xludf.DUMMYFUNCTION("""COMPUTED_VALUE"""),"")</f>
        <v/>
      </c>
      <c r="H292" s="134" t="str">
        <f ca="1">IFERROR(__xludf.DUMMYFUNCTION("""COMPUTED_VALUE"""),"")</f>
        <v/>
      </c>
      <c r="I292" s="134" t="str">
        <f ca="1">IFERROR(__xludf.DUMMYFUNCTION("""COMPUTED_VALUE"""),"")</f>
        <v/>
      </c>
      <c r="J292" s="134" t="str">
        <f ca="1">IFERROR(__xludf.DUMMYFUNCTION("""COMPUTED_VALUE"""),"")</f>
        <v/>
      </c>
      <c r="N292" s="31"/>
    </row>
    <row r="293" spans="1:14" customFormat="1">
      <c r="A293" s="134" t="str">
        <f ca="1">IFERROR(__xludf.DUMMYFUNCTION("""COMPUTED_VALUE"""),"")</f>
        <v/>
      </c>
      <c r="B293" s="134" t="str">
        <f ca="1">IFERROR(__xludf.DUMMYFUNCTION("""COMPUTED_VALUE"""),"")</f>
        <v/>
      </c>
      <c r="C293" s="134" t="str">
        <f ca="1">IFERROR(__xludf.DUMMYFUNCTION("""COMPUTED_VALUE"""),"")</f>
        <v/>
      </c>
      <c r="D293" s="134" t="str">
        <f ca="1">IFERROR(__xludf.DUMMYFUNCTION("""COMPUTED_VALUE"""),"")</f>
        <v/>
      </c>
      <c r="E293" s="134" t="str">
        <f ca="1">IFERROR(__xludf.DUMMYFUNCTION("""COMPUTED_VALUE"""),"")</f>
        <v/>
      </c>
      <c r="F293" s="134" t="str">
        <f ca="1">IFERROR(__xludf.DUMMYFUNCTION("""COMPUTED_VALUE"""),"")</f>
        <v/>
      </c>
      <c r="G293" s="134" t="str">
        <f ca="1">IFERROR(__xludf.DUMMYFUNCTION("""COMPUTED_VALUE"""),"")</f>
        <v/>
      </c>
      <c r="H293" s="134" t="str">
        <f ca="1">IFERROR(__xludf.DUMMYFUNCTION("""COMPUTED_VALUE"""),"")</f>
        <v/>
      </c>
      <c r="I293" s="134" t="str">
        <f ca="1">IFERROR(__xludf.DUMMYFUNCTION("""COMPUTED_VALUE"""),"")</f>
        <v/>
      </c>
      <c r="J293" s="134" t="str">
        <f ca="1">IFERROR(__xludf.DUMMYFUNCTION("""COMPUTED_VALUE"""),"")</f>
        <v/>
      </c>
      <c r="N293" s="31"/>
    </row>
    <row r="294" spans="1:14" customFormat="1">
      <c r="A294" s="134" t="str">
        <f ca="1">IFERROR(__xludf.DUMMYFUNCTION("""COMPUTED_VALUE"""),"")</f>
        <v/>
      </c>
      <c r="B294" s="134" t="str">
        <f ca="1">IFERROR(__xludf.DUMMYFUNCTION("""COMPUTED_VALUE"""),"")</f>
        <v/>
      </c>
      <c r="C294" s="134" t="str">
        <f ca="1">IFERROR(__xludf.DUMMYFUNCTION("""COMPUTED_VALUE"""),"")</f>
        <v/>
      </c>
      <c r="D294" s="134" t="str">
        <f ca="1">IFERROR(__xludf.DUMMYFUNCTION("""COMPUTED_VALUE"""),"")</f>
        <v/>
      </c>
      <c r="E294" s="134" t="str">
        <f ca="1">IFERROR(__xludf.DUMMYFUNCTION("""COMPUTED_VALUE"""),"")</f>
        <v/>
      </c>
      <c r="F294" s="134" t="str">
        <f ca="1">IFERROR(__xludf.DUMMYFUNCTION("""COMPUTED_VALUE"""),"")</f>
        <v/>
      </c>
      <c r="G294" s="134" t="str">
        <f ca="1">IFERROR(__xludf.DUMMYFUNCTION("""COMPUTED_VALUE"""),"")</f>
        <v/>
      </c>
      <c r="H294" s="134" t="str">
        <f ca="1">IFERROR(__xludf.DUMMYFUNCTION("""COMPUTED_VALUE"""),"")</f>
        <v/>
      </c>
      <c r="I294" s="134" t="str">
        <f ca="1">IFERROR(__xludf.DUMMYFUNCTION("""COMPUTED_VALUE"""),"")</f>
        <v/>
      </c>
      <c r="J294" s="134" t="str">
        <f ca="1">IFERROR(__xludf.DUMMYFUNCTION("""COMPUTED_VALUE"""),"")</f>
        <v/>
      </c>
      <c r="N294" s="31"/>
    </row>
    <row r="295" spans="1:14" customFormat="1">
      <c r="A295" s="134" t="str">
        <f ca="1">IFERROR(__xludf.DUMMYFUNCTION("""COMPUTED_VALUE"""),"")</f>
        <v/>
      </c>
      <c r="B295" s="134" t="str">
        <f ca="1">IFERROR(__xludf.DUMMYFUNCTION("""COMPUTED_VALUE"""),"")</f>
        <v/>
      </c>
      <c r="C295" s="134" t="str">
        <f ca="1">IFERROR(__xludf.DUMMYFUNCTION("""COMPUTED_VALUE"""),"")</f>
        <v/>
      </c>
      <c r="D295" s="134" t="str">
        <f ca="1">IFERROR(__xludf.DUMMYFUNCTION("""COMPUTED_VALUE"""),"")</f>
        <v/>
      </c>
      <c r="E295" s="134" t="str">
        <f ca="1">IFERROR(__xludf.DUMMYFUNCTION("""COMPUTED_VALUE"""),"")</f>
        <v/>
      </c>
      <c r="F295" s="134" t="str">
        <f ca="1">IFERROR(__xludf.DUMMYFUNCTION("""COMPUTED_VALUE"""),"")</f>
        <v/>
      </c>
      <c r="G295" s="134" t="str">
        <f ca="1">IFERROR(__xludf.DUMMYFUNCTION("""COMPUTED_VALUE"""),"")</f>
        <v/>
      </c>
      <c r="H295" s="134" t="str">
        <f ca="1">IFERROR(__xludf.DUMMYFUNCTION("""COMPUTED_VALUE"""),"")</f>
        <v/>
      </c>
      <c r="I295" s="134" t="str">
        <f ca="1">IFERROR(__xludf.DUMMYFUNCTION("""COMPUTED_VALUE"""),"")</f>
        <v/>
      </c>
      <c r="J295" s="134" t="str">
        <f ca="1">IFERROR(__xludf.DUMMYFUNCTION("""COMPUTED_VALUE"""),"")</f>
        <v/>
      </c>
      <c r="N295" s="31"/>
    </row>
    <row r="296" spans="1:14" customFormat="1">
      <c r="A296" s="134" t="str">
        <f ca="1">IFERROR(__xludf.DUMMYFUNCTION("""COMPUTED_VALUE"""),"")</f>
        <v/>
      </c>
      <c r="B296" s="134" t="str">
        <f ca="1">IFERROR(__xludf.DUMMYFUNCTION("""COMPUTED_VALUE"""),"")</f>
        <v/>
      </c>
      <c r="C296" s="134" t="str">
        <f ca="1">IFERROR(__xludf.DUMMYFUNCTION("""COMPUTED_VALUE"""),"")</f>
        <v/>
      </c>
      <c r="D296" s="134" t="str">
        <f ca="1">IFERROR(__xludf.DUMMYFUNCTION("""COMPUTED_VALUE"""),"")</f>
        <v/>
      </c>
      <c r="E296" s="134" t="str">
        <f ca="1">IFERROR(__xludf.DUMMYFUNCTION("""COMPUTED_VALUE"""),"")</f>
        <v/>
      </c>
      <c r="F296" s="134" t="str">
        <f ca="1">IFERROR(__xludf.DUMMYFUNCTION("""COMPUTED_VALUE"""),"")</f>
        <v/>
      </c>
      <c r="G296" s="134" t="str">
        <f ca="1">IFERROR(__xludf.DUMMYFUNCTION("""COMPUTED_VALUE"""),"")</f>
        <v/>
      </c>
      <c r="H296" s="134" t="str">
        <f ca="1">IFERROR(__xludf.DUMMYFUNCTION("""COMPUTED_VALUE"""),"")</f>
        <v/>
      </c>
      <c r="I296" s="134" t="str">
        <f ca="1">IFERROR(__xludf.DUMMYFUNCTION("""COMPUTED_VALUE"""),"")</f>
        <v/>
      </c>
      <c r="J296" s="134" t="str">
        <f ca="1">IFERROR(__xludf.DUMMYFUNCTION("""COMPUTED_VALUE"""),"")</f>
        <v/>
      </c>
      <c r="N296" s="31"/>
    </row>
    <row r="297" spans="1:14" customFormat="1">
      <c r="A297" s="134" t="str">
        <f ca="1">IFERROR(__xludf.DUMMYFUNCTION("""COMPUTED_VALUE"""),"")</f>
        <v/>
      </c>
      <c r="B297" s="134" t="str">
        <f ca="1">IFERROR(__xludf.DUMMYFUNCTION("""COMPUTED_VALUE"""),"")</f>
        <v/>
      </c>
      <c r="C297" s="134" t="str">
        <f ca="1">IFERROR(__xludf.DUMMYFUNCTION("""COMPUTED_VALUE"""),"")</f>
        <v/>
      </c>
      <c r="D297" s="134" t="str">
        <f ca="1">IFERROR(__xludf.DUMMYFUNCTION("""COMPUTED_VALUE"""),"")</f>
        <v/>
      </c>
      <c r="E297" s="134" t="str">
        <f ca="1">IFERROR(__xludf.DUMMYFUNCTION("""COMPUTED_VALUE"""),"")</f>
        <v/>
      </c>
      <c r="F297" s="134" t="str">
        <f ca="1">IFERROR(__xludf.DUMMYFUNCTION("""COMPUTED_VALUE"""),"")</f>
        <v/>
      </c>
      <c r="G297" s="134" t="str">
        <f ca="1">IFERROR(__xludf.DUMMYFUNCTION("""COMPUTED_VALUE"""),"")</f>
        <v/>
      </c>
      <c r="H297" s="134" t="str">
        <f ca="1">IFERROR(__xludf.DUMMYFUNCTION("""COMPUTED_VALUE"""),"")</f>
        <v/>
      </c>
      <c r="I297" s="134" t="str">
        <f ca="1">IFERROR(__xludf.DUMMYFUNCTION("""COMPUTED_VALUE"""),"")</f>
        <v/>
      </c>
      <c r="J297" s="134" t="str">
        <f ca="1">IFERROR(__xludf.DUMMYFUNCTION("""COMPUTED_VALUE"""),"")</f>
        <v/>
      </c>
      <c r="N297" s="31"/>
    </row>
    <row r="298" spans="1:14" customFormat="1">
      <c r="A298" s="134" t="str">
        <f ca="1">IFERROR(__xludf.DUMMYFUNCTION("""COMPUTED_VALUE"""),"")</f>
        <v/>
      </c>
      <c r="B298" s="134" t="str">
        <f ca="1">IFERROR(__xludf.DUMMYFUNCTION("""COMPUTED_VALUE"""),"")</f>
        <v/>
      </c>
      <c r="C298" s="134" t="str">
        <f ca="1">IFERROR(__xludf.DUMMYFUNCTION("""COMPUTED_VALUE"""),"")</f>
        <v/>
      </c>
      <c r="D298" s="134" t="str">
        <f ca="1">IFERROR(__xludf.DUMMYFUNCTION("""COMPUTED_VALUE"""),"")</f>
        <v/>
      </c>
      <c r="E298" s="134" t="str">
        <f ca="1">IFERROR(__xludf.DUMMYFUNCTION("""COMPUTED_VALUE"""),"")</f>
        <v/>
      </c>
      <c r="F298" s="134" t="str">
        <f ca="1">IFERROR(__xludf.DUMMYFUNCTION("""COMPUTED_VALUE"""),"")</f>
        <v/>
      </c>
      <c r="G298" s="134" t="str">
        <f ca="1">IFERROR(__xludf.DUMMYFUNCTION("""COMPUTED_VALUE"""),"")</f>
        <v/>
      </c>
      <c r="H298" s="134" t="str">
        <f ca="1">IFERROR(__xludf.DUMMYFUNCTION("""COMPUTED_VALUE"""),"")</f>
        <v/>
      </c>
      <c r="I298" s="134" t="str">
        <f ca="1">IFERROR(__xludf.DUMMYFUNCTION("""COMPUTED_VALUE"""),"")</f>
        <v/>
      </c>
      <c r="J298" s="134" t="str">
        <f ca="1">IFERROR(__xludf.DUMMYFUNCTION("""COMPUTED_VALUE"""),"")</f>
        <v/>
      </c>
      <c r="N298" s="31"/>
    </row>
    <row r="299" spans="1:14" customFormat="1">
      <c r="A299" s="134" t="str">
        <f ca="1">IFERROR(__xludf.DUMMYFUNCTION("""COMPUTED_VALUE"""),"")</f>
        <v/>
      </c>
      <c r="B299" s="134" t="str">
        <f ca="1">IFERROR(__xludf.DUMMYFUNCTION("""COMPUTED_VALUE"""),"")</f>
        <v/>
      </c>
      <c r="C299" s="134" t="str">
        <f ca="1">IFERROR(__xludf.DUMMYFUNCTION("""COMPUTED_VALUE"""),"")</f>
        <v/>
      </c>
      <c r="D299" s="134" t="str">
        <f ca="1">IFERROR(__xludf.DUMMYFUNCTION("""COMPUTED_VALUE"""),"")</f>
        <v/>
      </c>
      <c r="E299" s="134" t="str">
        <f ca="1">IFERROR(__xludf.DUMMYFUNCTION("""COMPUTED_VALUE"""),"")</f>
        <v/>
      </c>
      <c r="F299" s="134" t="str">
        <f ca="1">IFERROR(__xludf.DUMMYFUNCTION("""COMPUTED_VALUE"""),"")</f>
        <v/>
      </c>
      <c r="G299" s="134" t="str">
        <f ca="1">IFERROR(__xludf.DUMMYFUNCTION("""COMPUTED_VALUE"""),"")</f>
        <v/>
      </c>
      <c r="H299" s="134" t="str">
        <f ca="1">IFERROR(__xludf.DUMMYFUNCTION("""COMPUTED_VALUE"""),"")</f>
        <v/>
      </c>
      <c r="I299" s="134" t="str">
        <f ca="1">IFERROR(__xludf.DUMMYFUNCTION("""COMPUTED_VALUE"""),"")</f>
        <v/>
      </c>
      <c r="J299" s="134" t="str">
        <f ca="1">IFERROR(__xludf.DUMMYFUNCTION("""COMPUTED_VALUE"""),"")</f>
        <v/>
      </c>
      <c r="N299" s="31"/>
    </row>
    <row r="300" spans="1:14" customFormat="1">
      <c r="A300" s="134" t="str">
        <f ca="1">IFERROR(__xludf.DUMMYFUNCTION("""COMPUTED_VALUE"""),"")</f>
        <v/>
      </c>
      <c r="B300" s="134" t="str">
        <f ca="1">IFERROR(__xludf.DUMMYFUNCTION("""COMPUTED_VALUE"""),"")</f>
        <v/>
      </c>
      <c r="C300" s="134" t="str">
        <f ca="1">IFERROR(__xludf.DUMMYFUNCTION("""COMPUTED_VALUE"""),"")</f>
        <v/>
      </c>
      <c r="D300" s="134" t="str">
        <f ca="1">IFERROR(__xludf.DUMMYFUNCTION("""COMPUTED_VALUE"""),"")</f>
        <v/>
      </c>
      <c r="E300" s="134" t="str">
        <f ca="1">IFERROR(__xludf.DUMMYFUNCTION("""COMPUTED_VALUE"""),"")</f>
        <v/>
      </c>
      <c r="F300" s="134" t="str">
        <f ca="1">IFERROR(__xludf.DUMMYFUNCTION("""COMPUTED_VALUE"""),"")</f>
        <v/>
      </c>
      <c r="G300" s="134" t="str">
        <f ca="1">IFERROR(__xludf.DUMMYFUNCTION("""COMPUTED_VALUE"""),"")</f>
        <v/>
      </c>
      <c r="H300" s="134" t="str">
        <f ca="1">IFERROR(__xludf.DUMMYFUNCTION("""COMPUTED_VALUE"""),"")</f>
        <v/>
      </c>
      <c r="I300" s="134" t="str">
        <f ca="1">IFERROR(__xludf.DUMMYFUNCTION("""COMPUTED_VALUE"""),"")</f>
        <v/>
      </c>
      <c r="J300" s="134" t="str">
        <f ca="1">IFERROR(__xludf.DUMMYFUNCTION("""COMPUTED_VALUE"""),"")</f>
        <v/>
      </c>
      <c r="N300" s="31"/>
    </row>
    <row r="301" spans="1:14" customFormat="1">
      <c r="A301" s="134" t="str">
        <f ca="1">IFERROR(__xludf.DUMMYFUNCTION("""COMPUTED_VALUE"""),"")</f>
        <v/>
      </c>
      <c r="B301" s="134" t="str">
        <f ca="1">IFERROR(__xludf.DUMMYFUNCTION("""COMPUTED_VALUE"""),"")</f>
        <v/>
      </c>
      <c r="C301" s="134" t="str">
        <f ca="1">IFERROR(__xludf.DUMMYFUNCTION("""COMPUTED_VALUE"""),"")</f>
        <v/>
      </c>
      <c r="D301" s="134" t="str">
        <f ca="1">IFERROR(__xludf.DUMMYFUNCTION("""COMPUTED_VALUE"""),"")</f>
        <v/>
      </c>
      <c r="E301" s="134" t="str">
        <f ca="1">IFERROR(__xludf.DUMMYFUNCTION("""COMPUTED_VALUE"""),"")</f>
        <v/>
      </c>
      <c r="F301" s="134" t="str">
        <f ca="1">IFERROR(__xludf.DUMMYFUNCTION("""COMPUTED_VALUE"""),"")</f>
        <v/>
      </c>
      <c r="G301" s="134" t="str">
        <f ca="1">IFERROR(__xludf.DUMMYFUNCTION("""COMPUTED_VALUE"""),"")</f>
        <v/>
      </c>
      <c r="H301" s="134" t="str">
        <f ca="1">IFERROR(__xludf.DUMMYFUNCTION("""COMPUTED_VALUE"""),"")</f>
        <v/>
      </c>
      <c r="I301" s="134" t="str">
        <f ca="1">IFERROR(__xludf.DUMMYFUNCTION("""COMPUTED_VALUE"""),"")</f>
        <v/>
      </c>
      <c r="J301" s="134" t="str">
        <f ca="1">IFERROR(__xludf.DUMMYFUNCTION("""COMPUTED_VALUE"""),"")</f>
        <v/>
      </c>
      <c r="N301" s="31"/>
    </row>
    <row r="302" spans="1:14" customFormat="1">
      <c r="A302" s="134" t="str">
        <f ca="1">IFERROR(__xludf.DUMMYFUNCTION("""COMPUTED_VALUE"""),"")</f>
        <v/>
      </c>
      <c r="B302" s="134" t="str">
        <f ca="1">IFERROR(__xludf.DUMMYFUNCTION("""COMPUTED_VALUE"""),"")</f>
        <v/>
      </c>
      <c r="C302" s="134" t="str">
        <f ca="1">IFERROR(__xludf.DUMMYFUNCTION("""COMPUTED_VALUE"""),"")</f>
        <v/>
      </c>
      <c r="D302" s="134" t="str">
        <f ca="1">IFERROR(__xludf.DUMMYFUNCTION("""COMPUTED_VALUE"""),"")</f>
        <v/>
      </c>
      <c r="E302" s="134" t="str">
        <f ca="1">IFERROR(__xludf.DUMMYFUNCTION("""COMPUTED_VALUE"""),"")</f>
        <v/>
      </c>
      <c r="F302" s="134" t="str">
        <f ca="1">IFERROR(__xludf.DUMMYFUNCTION("""COMPUTED_VALUE"""),"")</f>
        <v/>
      </c>
      <c r="G302" s="134" t="str">
        <f ca="1">IFERROR(__xludf.DUMMYFUNCTION("""COMPUTED_VALUE"""),"")</f>
        <v/>
      </c>
      <c r="H302" s="134" t="str">
        <f ca="1">IFERROR(__xludf.DUMMYFUNCTION("""COMPUTED_VALUE"""),"")</f>
        <v/>
      </c>
      <c r="I302" s="134" t="str">
        <f ca="1">IFERROR(__xludf.DUMMYFUNCTION("""COMPUTED_VALUE"""),"")</f>
        <v/>
      </c>
      <c r="J302" s="134" t="str">
        <f ca="1">IFERROR(__xludf.DUMMYFUNCTION("""COMPUTED_VALUE"""),"")</f>
        <v/>
      </c>
      <c r="N302" s="31"/>
    </row>
    <row r="303" spans="1:14" customFormat="1">
      <c r="A303" s="134" t="str">
        <f ca="1">IFERROR(__xludf.DUMMYFUNCTION("""COMPUTED_VALUE"""),"")</f>
        <v/>
      </c>
      <c r="B303" s="134" t="str">
        <f ca="1">IFERROR(__xludf.DUMMYFUNCTION("""COMPUTED_VALUE"""),"")</f>
        <v/>
      </c>
      <c r="C303" s="134" t="str">
        <f ca="1">IFERROR(__xludf.DUMMYFUNCTION("""COMPUTED_VALUE"""),"")</f>
        <v/>
      </c>
      <c r="D303" s="134" t="str">
        <f ca="1">IFERROR(__xludf.DUMMYFUNCTION("""COMPUTED_VALUE"""),"")</f>
        <v/>
      </c>
      <c r="E303" s="134" t="str">
        <f ca="1">IFERROR(__xludf.DUMMYFUNCTION("""COMPUTED_VALUE"""),"")</f>
        <v/>
      </c>
      <c r="F303" s="134" t="str">
        <f ca="1">IFERROR(__xludf.DUMMYFUNCTION("""COMPUTED_VALUE"""),"")</f>
        <v/>
      </c>
      <c r="G303" s="134" t="str">
        <f ca="1">IFERROR(__xludf.DUMMYFUNCTION("""COMPUTED_VALUE"""),"")</f>
        <v/>
      </c>
      <c r="H303" s="134" t="str">
        <f ca="1">IFERROR(__xludf.DUMMYFUNCTION("""COMPUTED_VALUE"""),"")</f>
        <v/>
      </c>
      <c r="I303" s="134" t="str">
        <f ca="1">IFERROR(__xludf.DUMMYFUNCTION("""COMPUTED_VALUE"""),"")</f>
        <v/>
      </c>
      <c r="J303" s="134" t="str">
        <f ca="1">IFERROR(__xludf.DUMMYFUNCTION("""COMPUTED_VALUE"""),"")</f>
        <v/>
      </c>
      <c r="N303" s="31"/>
    </row>
    <row r="304" spans="1:14" customFormat="1">
      <c r="A304" s="134" t="str">
        <f ca="1">IFERROR(__xludf.DUMMYFUNCTION("""COMPUTED_VALUE"""),"")</f>
        <v/>
      </c>
      <c r="B304" s="134" t="str">
        <f ca="1">IFERROR(__xludf.DUMMYFUNCTION("""COMPUTED_VALUE"""),"")</f>
        <v/>
      </c>
      <c r="C304" s="134" t="str">
        <f ca="1">IFERROR(__xludf.DUMMYFUNCTION("""COMPUTED_VALUE"""),"")</f>
        <v/>
      </c>
      <c r="D304" s="134" t="str">
        <f ca="1">IFERROR(__xludf.DUMMYFUNCTION("""COMPUTED_VALUE"""),"")</f>
        <v/>
      </c>
      <c r="E304" s="134" t="str">
        <f ca="1">IFERROR(__xludf.DUMMYFUNCTION("""COMPUTED_VALUE"""),"")</f>
        <v/>
      </c>
      <c r="F304" s="134" t="str">
        <f ca="1">IFERROR(__xludf.DUMMYFUNCTION("""COMPUTED_VALUE"""),"")</f>
        <v/>
      </c>
      <c r="G304" s="134" t="str">
        <f ca="1">IFERROR(__xludf.DUMMYFUNCTION("""COMPUTED_VALUE"""),"")</f>
        <v/>
      </c>
      <c r="H304" s="134" t="str">
        <f ca="1">IFERROR(__xludf.DUMMYFUNCTION("""COMPUTED_VALUE"""),"")</f>
        <v/>
      </c>
      <c r="I304" s="134" t="str">
        <f ca="1">IFERROR(__xludf.DUMMYFUNCTION("""COMPUTED_VALUE"""),"")</f>
        <v/>
      </c>
      <c r="J304" s="134" t="str">
        <f ca="1">IFERROR(__xludf.DUMMYFUNCTION("""COMPUTED_VALUE"""),"")</f>
        <v/>
      </c>
      <c r="N304" s="31"/>
    </row>
    <row r="305" spans="3:14" customFormat="1">
      <c r="C305" s="134" t="str">
        <f ca="1">IFERROR(__xludf.DUMMYFUNCTION("""COMPUTED_VALUE"""),"")</f>
        <v/>
      </c>
      <c r="D305" s="134" t="str">
        <f ca="1">IFERROR(__xludf.DUMMYFUNCTION("""COMPUTED_VALUE"""),"")</f>
        <v/>
      </c>
      <c r="E305" s="134" t="str">
        <f ca="1">IFERROR(__xludf.DUMMYFUNCTION("""COMPUTED_VALUE"""),"")</f>
        <v/>
      </c>
      <c r="F305" s="134" t="str">
        <f ca="1">IFERROR(__xludf.DUMMYFUNCTION("""COMPUTED_VALUE"""),"")</f>
        <v/>
      </c>
      <c r="G305" s="134" t="str">
        <f ca="1">IFERROR(__xludf.DUMMYFUNCTION("""COMPUTED_VALUE"""),"")</f>
        <v/>
      </c>
      <c r="H305" s="134" t="str">
        <f ca="1">IFERROR(__xludf.DUMMYFUNCTION("""COMPUTED_VALUE"""),"")</f>
        <v/>
      </c>
      <c r="I305" s="134" t="str">
        <f ca="1">IFERROR(__xludf.DUMMYFUNCTION("""COMPUTED_VALUE"""),"")</f>
        <v/>
      </c>
      <c r="J305" s="134" t="str">
        <f ca="1">IFERROR(__xludf.DUMMYFUNCTION("""COMPUTED_VALUE"""),"")</f>
        <v/>
      </c>
      <c r="N305" s="31"/>
    </row>
    <row r="306" spans="3:14" customFormat="1" ht="14.25">
      <c r="N306" s="31"/>
    </row>
    <row r="307" spans="3:14" customFormat="1" ht="14.25">
      <c r="N307" s="31"/>
    </row>
    <row r="308" spans="3:14" customFormat="1" ht="14.25">
      <c r="N308" s="31"/>
    </row>
    <row r="309" spans="3:14" customFormat="1" ht="14.25">
      <c r="N309" s="31"/>
    </row>
    <row r="310" spans="3:14" customFormat="1" ht="14.25">
      <c r="N310" s="31"/>
    </row>
    <row r="311" spans="3:14" customFormat="1" ht="14.25">
      <c r="N311" s="31"/>
    </row>
    <row r="312" spans="3:14" customFormat="1" ht="14.25">
      <c r="N312" s="31"/>
    </row>
    <row r="313" spans="3:14" customFormat="1" ht="14.25">
      <c r="N313" s="31"/>
    </row>
    <row r="314" spans="3:14" customFormat="1" ht="14.25">
      <c r="N314" s="31"/>
    </row>
    <row r="315" spans="3:14" customFormat="1" ht="14.25">
      <c r="N315" s="31"/>
    </row>
    <row r="316" spans="3:14" customFormat="1" ht="14.25">
      <c r="N316" s="31"/>
    </row>
    <row r="317" spans="3:14" customFormat="1" ht="14.25">
      <c r="N317" s="31"/>
    </row>
    <row r="318" spans="3:14" customFormat="1" ht="14.25">
      <c r="N318" s="31"/>
    </row>
    <row r="319" spans="3:14" customFormat="1" ht="14.25">
      <c r="N319" s="31"/>
    </row>
    <row r="320" spans="3:14" customFormat="1" ht="14.25">
      <c r="N320" s="31"/>
    </row>
    <row r="321" spans="14:14" customFormat="1" ht="14.25">
      <c r="N321" s="31"/>
    </row>
    <row r="322" spans="14:14" customFormat="1" ht="14.25">
      <c r="N322" s="31"/>
    </row>
    <row r="323" spans="14:14" customFormat="1" ht="14.25">
      <c r="N323" s="31"/>
    </row>
    <row r="324" spans="14:14" customFormat="1" ht="14.25">
      <c r="N324" s="31"/>
    </row>
    <row r="325" spans="14:14" customFormat="1" ht="14.25">
      <c r="N325" s="31"/>
    </row>
    <row r="326" spans="14:14" customFormat="1" ht="14.25">
      <c r="N326" s="31"/>
    </row>
    <row r="327" spans="14:14" customFormat="1" ht="14.25">
      <c r="N327" s="31"/>
    </row>
    <row r="328" spans="14:14" customFormat="1" ht="14.25">
      <c r="N328" s="31"/>
    </row>
    <row r="329" spans="14:14" customFormat="1" ht="14.25">
      <c r="N329" s="31"/>
    </row>
    <row r="330" spans="14:14" customFormat="1" ht="14.25">
      <c r="N330" s="31"/>
    </row>
    <row r="331" spans="14:14" customFormat="1" ht="14.25">
      <c r="N331" s="31"/>
    </row>
    <row r="332" spans="14:14" customFormat="1" ht="14.25">
      <c r="N332" s="31"/>
    </row>
    <row r="333" spans="14:14" customFormat="1" ht="14.25">
      <c r="N333" s="31"/>
    </row>
    <row r="334" spans="14:14" customFormat="1" ht="14.25">
      <c r="N334" s="31"/>
    </row>
    <row r="335" spans="14:14" customFormat="1" ht="14.25">
      <c r="N335" s="31"/>
    </row>
    <row r="336" spans="14:14" customFormat="1" ht="14.25">
      <c r="N336" s="31"/>
    </row>
    <row r="337" spans="14:14" customFormat="1" ht="14.25">
      <c r="N337" s="31"/>
    </row>
    <row r="338" spans="14:14" customFormat="1" ht="14.25">
      <c r="N338" s="31"/>
    </row>
    <row r="339" spans="14:14" customFormat="1" ht="14.25">
      <c r="N339" s="31"/>
    </row>
    <row r="340" spans="14:14" customFormat="1" ht="14.25">
      <c r="N340" s="31"/>
    </row>
    <row r="341" spans="14:14" customFormat="1" ht="14.25">
      <c r="N341" s="31"/>
    </row>
    <row r="342" spans="14:14" customFormat="1" ht="14.25">
      <c r="N342" s="31"/>
    </row>
    <row r="343" spans="14:14" customFormat="1" ht="14.25">
      <c r="N343" s="31"/>
    </row>
    <row r="344" spans="14:14" customFormat="1" ht="14.25">
      <c r="N344" s="31"/>
    </row>
    <row r="345" spans="14:14" customFormat="1" ht="14.25">
      <c r="N345" s="31"/>
    </row>
    <row r="346" spans="14:14" customFormat="1" ht="14.25">
      <c r="N346" s="31"/>
    </row>
    <row r="347" spans="14:14" customFormat="1" ht="14.25">
      <c r="N347" s="31"/>
    </row>
    <row r="348" spans="14:14" customFormat="1" ht="14.25">
      <c r="N348" s="31"/>
    </row>
    <row r="349" spans="14:14" customFormat="1" ht="14.25">
      <c r="N349" s="31"/>
    </row>
    <row r="350" spans="14:14" customFormat="1" ht="14.25">
      <c r="N350" s="31"/>
    </row>
    <row r="351" spans="14:14" customFormat="1" ht="14.25">
      <c r="N351" s="31"/>
    </row>
    <row r="352" spans="14:14" customFormat="1" ht="14.25">
      <c r="N352" s="31"/>
    </row>
    <row r="353" spans="14:14" customFormat="1" ht="14.25">
      <c r="N353" s="31"/>
    </row>
    <row r="354" spans="14:14" customFormat="1" ht="14.25">
      <c r="N354" s="31"/>
    </row>
    <row r="355" spans="14:14" customFormat="1" ht="14.25">
      <c r="N355" s="31"/>
    </row>
    <row r="356" spans="14:14" customFormat="1" ht="14.25">
      <c r="N356" s="31"/>
    </row>
    <row r="357" spans="14:14" customFormat="1" ht="14.25">
      <c r="N357" s="31"/>
    </row>
    <row r="358" spans="14:14" customFormat="1" ht="14.25">
      <c r="N358" s="31"/>
    </row>
    <row r="359" spans="14:14" customFormat="1" ht="14.25">
      <c r="N359" s="31"/>
    </row>
    <row r="360" spans="14:14" customFormat="1" ht="14.25">
      <c r="N360" s="31"/>
    </row>
    <row r="361" spans="14:14" customFormat="1" ht="14.25">
      <c r="N361" s="31"/>
    </row>
    <row r="362" spans="14:14" customFormat="1" ht="14.25">
      <c r="N362" s="31"/>
    </row>
    <row r="363" spans="14:14" customFormat="1" ht="14.25">
      <c r="N363" s="31"/>
    </row>
    <row r="364" spans="14:14" customFormat="1" ht="14.25">
      <c r="N364" s="31"/>
    </row>
    <row r="365" spans="14:14" customFormat="1" ht="14.25">
      <c r="N365" s="31"/>
    </row>
    <row r="366" spans="14:14" customFormat="1" ht="14.25">
      <c r="N366" s="31"/>
    </row>
    <row r="367" spans="14:14" customFormat="1" ht="14.25">
      <c r="N367" s="31"/>
    </row>
    <row r="368" spans="14:14" customFormat="1" ht="14.25">
      <c r="N368" s="31"/>
    </row>
    <row r="369" spans="14:14" customFormat="1" ht="14.25">
      <c r="N369" s="31"/>
    </row>
    <row r="370" spans="14:14" customFormat="1" ht="14.25">
      <c r="N370" s="31"/>
    </row>
    <row r="371" spans="14:14" customFormat="1" ht="14.25">
      <c r="N371" s="31"/>
    </row>
    <row r="372" spans="14:14" customFormat="1" ht="14.25">
      <c r="N372" s="31"/>
    </row>
    <row r="373" spans="14:14" customFormat="1" ht="14.25">
      <c r="N373" s="31"/>
    </row>
    <row r="374" spans="14:14" customFormat="1" ht="14.25">
      <c r="N374" s="31"/>
    </row>
    <row r="375" spans="14:14" customFormat="1" ht="14.25">
      <c r="N375" s="31"/>
    </row>
    <row r="376" spans="14:14" customFormat="1" ht="14.25">
      <c r="N376" s="31"/>
    </row>
    <row r="377" spans="14:14" customFormat="1" ht="14.25">
      <c r="N377" s="31"/>
    </row>
    <row r="378" spans="14:14" customFormat="1" ht="14.25">
      <c r="N378" s="31"/>
    </row>
    <row r="379" spans="14:14" customFormat="1" ht="14.25">
      <c r="N379" s="31"/>
    </row>
    <row r="380" spans="14:14" customFormat="1" ht="14.25">
      <c r="N380" s="31"/>
    </row>
    <row r="381" spans="14:14" customFormat="1" ht="14.25">
      <c r="N381" s="31"/>
    </row>
    <row r="382" spans="14:14" customFormat="1" ht="14.25">
      <c r="N382" s="31"/>
    </row>
    <row r="383" spans="14:14" customFormat="1" ht="14.25">
      <c r="N383" s="31"/>
    </row>
    <row r="384" spans="14:14" customFormat="1" ht="14.25">
      <c r="N384" s="31"/>
    </row>
    <row r="385" spans="1:14" customFormat="1" ht="14.25">
      <c r="N385" s="31"/>
    </row>
    <row r="386" spans="1:14" customFormat="1" ht="14.25">
      <c r="N386" s="31"/>
    </row>
    <row r="387" spans="1:14" customFormat="1" ht="14.25">
      <c r="N387" s="31"/>
    </row>
    <row r="388" spans="1:14" customFormat="1" ht="14.25">
      <c r="N388" s="31"/>
    </row>
    <row r="389" spans="1:14" customFormat="1" ht="14.25">
      <c r="N389" s="31"/>
    </row>
    <row r="390" spans="1:14" customFormat="1" ht="14.25">
      <c r="N390" s="31"/>
    </row>
    <row r="391" spans="1:14" customFormat="1" ht="14.25">
      <c r="N391" s="31"/>
    </row>
    <row r="392" spans="1:14" customFormat="1" ht="14.25">
      <c r="A392" s="28"/>
      <c r="B392" s="28"/>
      <c r="N392" s="31"/>
    </row>
  </sheetData>
  <autoFilter ref="A1:AA392" xr:uid="{00000000-0009-0000-0000-000008000000}"/>
  <mergeCells count="2">
    <mergeCell ref="D71:G71"/>
    <mergeCell ref="A71:B7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9900"/>
    <outlinePr summaryBelow="0" summaryRight="0"/>
  </sheetPr>
  <dimension ref="A1:AA449"/>
  <sheetViews>
    <sheetView zoomScale="70" zoomScaleNormal="70" workbookViewId="0">
      <selection activeCell="Q1" sqref="Q1:U1048576"/>
    </sheetView>
  </sheetViews>
  <sheetFormatPr defaultColWidth="12.625" defaultRowHeight="15" customHeight="1"/>
  <cols>
    <col min="1" max="1" width="34.5" style="28" customWidth="1"/>
    <col min="2" max="2" width="12.375" style="28" customWidth="1"/>
    <col min="3" max="3" width="10.875" style="28" customWidth="1"/>
    <col min="4" max="4" width="15.75" style="28" customWidth="1"/>
    <col min="5" max="5" width="27.5" style="28" customWidth="1"/>
    <col min="6" max="6" width="18.625" style="28" customWidth="1"/>
    <col min="7" max="7" width="19.875" style="28" customWidth="1"/>
    <col min="8" max="8" width="6.875" style="28" customWidth="1"/>
    <col min="9" max="9" width="15.5" style="28" customWidth="1"/>
    <col min="10" max="10" width="8.875" style="28" hidden="1" customWidth="1"/>
    <col min="11" max="13" width="0" hidden="1" customWidth="1"/>
    <col min="14" max="14" width="0" style="31" hidden="1" customWidth="1"/>
    <col min="15" max="16" width="12.625" style="28"/>
    <col min="17" max="21" width="0" style="28" hidden="1" customWidth="1"/>
    <col min="22" max="16384" width="12.625" style="28"/>
  </cols>
  <sheetData>
    <row r="1" spans="1:27" s="236" customFormat="1" ht="75">
      <c r="A1" s="166" t="s">
        <v>1224</v>
      </c>
      <c r="B1" s="166" t="s">
        <v>1225</v>
      </c>
      <c r="C1" s="166" t="s">
        <v>1228</v>
      </c>
      <c r="D1" s="166" t="s">
        <v>1246</v>
      </c>
      <c r="E1" s="166" t="s">
        <v>1247</v>
      </c>
      <c r="F1" s="166" t="s">
        <v>1248</v>
      </c>
      <c r="G1" s="166" t="s">
        <v>18</v>
      </c>
      <c r="H1" s="166" t="s">
        <v>1249</v>
      </c>
      <c r="I1" s="166" t="s">
        <v>1250</v>
      </c>
      <c r="J1" s="166" t="s">
        <v>10</v>
      </c>
      <c r="K1" s="167" t="s">
        <v>3651</v>
      </c>
      <c r="L1" s="167" t="s">
        <v>3652</v>
      </c>
      <c r="M1" s="167" t="s">
        <v>3653</v>
      </c>
      <c r="N1" s="167" t="s">
        <v>3654</v>
      </c>
      <c r="O1" s="235">
        <v>43991</v>
      </c>
      <c r="P1" s="53" t="s">
        <v>3655</v>
      </c>
      <c r="Q1" s="89" t="s">
        <v>3656</v>
      </c>
      <c r="R1" s="53"/>
      <c r="S1" s="53" t="s">
        <v>3657</v>
      </c>
      <c r="T1" s="167" t="s">
        <v>3658</v>
      </c>
    </row>
    <row r="2" spans="1:27" s="55" customFormat="1">
      <c r="A2" s="181" t="s">
        <v>332</v>
      </c>
      <c r="B2" s="181" t="s">
        <v>3659</v>
      </c>
      <c r="C2" s="181" t="s">
        <v>1897</v>
      </c>
      <c r="D2" s="181" t="s">
        <v>1899</v>
      </c>
      <c r="E2" s="181" t="s">
        <v>1900</v>
      </c>
      <c r="F2" s="181" t="s">
        <v>1901</v>
      </c>
      <c r="G2" s="181" t="s">
        <v>18</v>
      </c>
      <c r="H2" s="181" t="s">
        <v>30</v>
      </c>
      <c r="I2" s="181">
        <v>200</v>
      </c>
      <c r="J2" s="181" t="s">
        <v>3659</v>
      </c>
      <c r="K2" s="142">
        <v>5.5555555555555554</v>
      </c>
      <c r="L2" s="142">
        <v>6.3055555555555554</v>
      </c>
      <c r="M2" s="221">
        <v>18</v>
      </c>
      <c r="N2" s="132">
        <v>1</v>
      </c>
      <c r="O2" s="63">
        <f>$O$1+N2</f>
        <v>43992</v>
      </c>
      <c r="P2" s="174" t="s">
        <v>3894</v>
      </c>
      <c r="Q2" s="132">
        <f>ROUNDUP(I2/$R$2,0)</f>
        <v>4</v>
      </c>
      <c r="R2" s="143">
        <v>50</v>
      </c>
      <c r="S2" s="143" t="s">
        <v>3661</v>
      </c>
      <c r="T2" s="143">
        <v>5</v>
      </c>
      <c r="U2" s="143"/>
      <c r="V2" s="143"/>
      <c r="W2" s="143"/>
      <c r="X2" s="143"/>
      <c r="Y2" s="143"/>
      <c r="Z2" s="143"/>
      <c r="AA2" s="143"/>
    </row>
    <row r="3" spans="1:27" s="55" customFormat="1">
      <c r="A3" s="181" t="s">
        <v>2668</v>
      </c>
      <c r="B3" s="181" t="s">
        <v>1312</v>
      </c>
      <c r="C3" s="181" t="s">
        <v>1372</v>
      </c>
      <c r="D3" s="181" t="s">
        <v>2669</v>
      </c>
      <c r="E3" s="181" t="s">
        <v>2670</v>
      </c>
      <c r="F3" s="181" t="s">
        <v>2671</v>
      </c>
      <c r="G3" s="181" t="s">
        <v>18</v>
      </c>
      <c r="H3" s="181" t="s">
        <v>1298</v>
      </c>
      <c r="I3" s="181">
        <v>102</v>
      </c>
      <c r="J3" s="181" t="s">
        <v>3659</v>
      </c>
      <c r="K3" s="142">
        <v>2.8333333333333335</v>
      </c>
      <c r="L3" s="142">
        <v>3.5833333333333335</v>
      </c>
      <c r="M3" s="142"/>
      <c r="N3" s="132">
        <v>2</v>
      </c>
      <c r="O3" s="63">
        <f t="shared" ref="O3:O21" si="0">$O$1+N3</f>
        <v>43993</v>
      </c>
      <c r="P3" s="174" t="s">
        <v>3895</v>
      </c>
      <c r="Q3" s="132">
        <f t="shared" ref="Q3:Q24" si="1">ROUNDUP(I3/$R$2,0)</f>
        <v>3</v>
      </c>
      <c r="R3" s="143"/>
      <c r="S3" s="143"/>
      <c r="T3" s="143"/>
      <c r="U3" s="143"/>
      <c r="V3" s="143"/>
      <c r="W3" s="143"/>
      <c r="X3" s="143"/>
      <c r="Y3" s="143"/>
      <c r="Z3" s="143"/>
      <c r="AA3" s="143"/>
    </row>
    <row r="4" spans="1:27" s="55" customFormat="1">
      <c r="A4" s="181" t="s">
        <v>344</v>
      </c>
      <c r="B4" s="181" t="s">
        <v>3659</v>
      </c>
      <c r="C4" s="181" t="s">
        <v>1897</v>
      </c>
      <c r="D4" s="181" t="s">
        <v>2007</v>
      </c>
      <c r="E4" s="181" t="s">
        <v>2008</v>
      </c>
      <c r="F4" s="181" t="s">
        <v>2009</v>
      </c>
      <c r="G4" s="181" t="s">
        <v>18</v>
      </c>
      <c r="H4" s="181" t="s">
        <v>19</v>
      </c>
      <c r="I4" s="181">
        <v>80</v>
      </c>
      <c r="J4" s="181" t="s">
        <v>348</v>
      </c>
      <c r="K4" s="142">
        <v>2.2222222222222223</v>
      </c>
      <c r="L4" s="142">
        <v>2.9722222222222223</v>
      </c>
      <c r="M4" s="142"/>
      <c r="N4" s="132">
        <v>2</v>
      </c>
      <c r="O4" s="63">
        <f t="shared" si="0"/>
        <v>43993</v>
      </c>
      <c r="P4" s="174" t="s">
        <v>3847</v>
      </c>
      <c r="Q4" s="132">
        <f t="shared" si="1"/>
        <v>2</v>
      </c>
      <c r="R4" s="143"/>
      <c r="S4" s="143"/>
      <c r="T4" s="143"/>
      <c r="U4" s="143"/>
      <c r="V4" s="143"/>
      <c r="W4" s="143"/>
      <c r="X4" s="143"/>
      <c r="Y4" s="143"/>
      <c r="Z4" s="143"/>
      <c r="AA4" s="143"/>
    </row>
    <row r="5" spans="1:27" s="55" customFormat="1">
      <c r="A5" s="181" t="s">
        <v>2517</v>
      </c>
      <c r="B5" s="181" t="s">
        <v>2423</v>
      </c>
      <c r="C5" s="181" t="s">
        <v>1542</v>
      </c>
      <c r="D5" s="181" t="s">
        <v>2518</v>
      </c>
      <c r="E5" s="181" t="s">
        <v>2519</v>
      </c>
      <c r="F5" s="181" t="s">
        <v>1546</v>
      </c>
      <c r="G5" s="181" t="s">
        <v>18</v>
      </c>
      <c r="H5" s="181" t="s">
        <v>1298</v>
      </c>
      <c r="I5" s="181">
        <v>117</v>
      </c>
      <c r="J5" s="181" t="s">
        <v>3659</v>
      </c>
      <c r="K5" s="142">
        <v>3.25</v>
      </c>
      <c r="L5" s="142">
        <v>4</v>
      </c>
      <c r="M5" s="142"/>
      <c r="N5" s="132">
        <v>3</v>
      </c>
      <c r="O5" s="63">
        <f t="shared" si="0"/>
        <v>43994</v>
      </c>
      <c r="P5" s="174" t="s">
        <v>3895</v>
      </c>
      <c r="Q5" s="132">
        <f t="shared" si="1"/>
        <v>3</v>
      </c>
      <c r="R5" s="143"/>
      <c r="S5" s="143"/>
      <c r="T5" s="143"/>
      <c r="U5" s="143"/>
      <c r="V5" s="143"/>
      <c r="W5" s="143"/>
      <c r="X5" s="143"/>
      <c r="Y5" s="143"/>
      <c r="Z5" s="143"/>
      <c r="AA5" s="143"/>
    </row>
    <row r="6" spans="1:27" s="55" customFormat="1">
      <c r="A6" s="181" t="s">
        <v>162</v>
      </c>
      <c r="B6" s="181" t="s">
        <v>3659</v>
      </c>
      <c r="C6" s="181" t="s">
        <v>1542</v>
      </c>
      <c r="D6" s="181" t="s">
        <v>1544</v>
      </c>
      <c r="E6" s="181" t="s">
        <v>1545</v>
      </c>
      <c r="F6" s="181" t="s">
        <v>1546</v>
      </c>
      <c r="G6" s="181" t="s">
        <v>18</v>
      </c>
      <c r="H6" s="181" t="s">
        <v>30</v>
      </c>
      <c r="I6" s="181">
        <v>70</v>
      </c>
      <c r="J6" s="181" t="s">
        <v>3659</v>
      </c>
      <c r="K6" s="142">
        <v>1.9444444444444444</v>
      </c>
      <c r="L6" s="142">
        <v>2.6944444444444446</v>
      </c>
      <c r="M6" s="142"/>
      <c r="N6" s="132">
        <v>3</v>
      </c>
      <c r="O6" s="63">
        <f t="shared" si="0"/>
        <v>43994</v>
      </c>
      <c r="P6" s="174" t="s">
        <v>3847</v>
      </c>
      <c r="Q6" s="132">
        <f t="shared" si="1"/>
        <v>2</v>
      </c>
      <c r="R6" s="143"/>
      <c r="S6" s="143"/>
      <c r="T6" s="143"/>
      <c r="U6" s="143"/>
      <c r="V6" s="143"/>
      <c r="W6" s="143"/>
      <c r="X6" s="143"/>
      <c r="Y6" s="143"/>
      <c r="Z6" s="143"/>
      <c r="AA6" s="143"/>
    </row>
    <row r="7" spans="1:27" s="55" customFormat="1">
      <c r="A7" s="181" t="s">
        <v>1831</v>
      </c>
      <c r="B7" s="181" t="s">
        <v>1646</v>
      </c>
      <c r="C7" s="181" t="s">
        <v>1679</v>
      </c>
      <c r="D7" s="181" t="s">
        <v>3896</v>
      </c>
      <c r="E7" s="181" t="s">
        <v>1833</v>
      </c>
      <c r="F7" s="181" t="s">
        <v>3897</v>
      </c>
      <c r="G7" s="181" t="s">
        <v>18</v>
      </c>
      <c r="H7" s="181" t="s">
        <v>30</v>
      </c>
      <c r="I7" s="181">
        <v>75</v>
      </c>
      <c r="J7" s="181" t="s">
        <v>3665</v>
      </c>
      <c r="K7" s="142">
        <v>2.0833333333333335</v>
      </c>
      <c r="L7" s="142">
        <v>2.8333333333333335</v>
      </c>
      <c r="M7" s="142"/>
      <c r="N7" s="132">
        <v>4</v>
      </c>
      <c r="O7" s="63">
        <f t="shared" si="0"/>
        <v>43995</v>
      </c>
      <c r="P7" s="174" t="s">
        <v>3848</v>
      </c>
      <c r="Q7" s="132">
        <f t="shared" si="1"/>
        <v>2</v>
      </c>
      <c r="R7" s="143"/>
      <c r="S7" s="143"/>
      <c r="T7" s="143"/>
      <c r="U7" s="143"/>
      <c r="V7" s="143"/>
      <c r="W7" s="143"/>
      <c r="X7" s="143"/>
      <c r="Y7" s="143"/>
      <c r="Z7" s="143"/>
      <c r="AA7" s="143"/>
    </row>
    <row r="8" spans="1:27" s="55" customFormat="1">
      <c r="A8" s="181" t="s">
        <v>813</v>
      </c>
      <c r="B8" s="181" t="s">
        <v>2880</v>
      </c>
      <c r="C8" s="181" t="s">
        <v>1685</v>
      </c>
      <c r="D8" s="181" t="s">
        <v>2899</v>
      </c>
      <c r="E8" s="181" t="s">
        <v>2900</v>
      </c>
      <c r="F8" s="181" t="s">
        <v>2103</v>
      </c>
      <c r="G8" s="181" t="s">
        <v>18</v>
      </c>
      <c r="H8" s="181" t="s">
        <v>30</v>
      </c>
      <c r="I8" s="181">
        <v>225</v>
      </c>
      <c r="J8" s="181" t="s">
        <v>3659</v>
      </c>
      <c r="K8" s="142">
        <v>6.25</v>
      </c>
      <c r="L8" s="142">
        <v>7</v>
      </c>
      <c r="M8" s="142"/>
      <c r="N8" s="132">
        <v>4</v>
      </c>
      <c r="O8" s="63">
        <f t="shared" si="0"/>
        <v>43995</v>
      </c>
      <c r="P8" s="174" t="s">
        <v>3898</v>
      </c>
      <c r="Q8" s="132">
        <f t="shared" si="1"/>
        <v>5</v>
      </c>
      <c r="R8" s="143"/>
      <c r="S8" s="143"/>
      <c r="T8" s="143"/>
      <c r="U8" s="143"/>
      <c r="V8" s="143"/>
      <c r="W8" s="143"/>
      <c r="X8" s="143"/>
      <c r="Y8" s="143"/>
      <c r="Z8" s="143"/>
      <c r="AA8" s="143"/>
    </row>
    <row r="9" spans="1:27" s="55" customFormat="1">
      <c r="A9" s="181" t="s">
        <v>644</v>
      </c>
      <c r="B9" s="181" t="s">
        <v>3659</v>
      </c>
      <c r="C9" s="181" t="s">
        <v>1685</v>
      </c>
      <c r="D9" s="181" t="s">
        <v>2405</v>
      </c>
      <c r="E9" s="181" t="s">
        <v>2406</v>
      </c>
      <c r="F9" s="181" t="s">
        <v>2407</v>
      </c>
      <c r="G9" s="181" t="s">
        <v>18</v>
      </c>
      <c r="H9" s="181" t="s">
        <v>30</v>
      </c>
      <c r="I9" s="181">
        <v>100</v>
      </c>
      <c r="J9" s="181" t="s">
        <v>3659</v>
      </c>
      <c r="K9" s="142">
        <v>2.7777777777777777</v>
      </c>
      <c r="L9" s="142">
        <v>3.5277777777777777</v>
      </c>
      <c r="M9" s="142"/>
      <c r="N9" s="132">
        <v>6</v>
      </c>
      <c r="O9" s="63">
        <f t="shared" si="0"/>
        <v>43997</v>
      </c>
      <c r="P9" s="174" t="s">
        <v>3899</v>
      </c>
      <c r="Q9" s="132">
        <f t="shared" si="1"/>
        <v>2</v>
      </c>
      <c r="R9" s="143"/>
      <c r="S9" s="143"/>
      <c r="T9" s="143"/>
      <c r="U9" s="143"/>
      <c r="V9" s="143"/>
      <c r="W9" s="143"/>
      <c r="X9" s="143"/>
      <c r="Y9" s="143"/>
      <c r="Z9" s="143"/>
      <c r="AA9" s="143"/>
    </row>
    <row r="10" spans="1:27" s="55" customFormat="1">
      <c r="A10" s="181" t="s">
        <v>1683</v>
      </c>
      <c r="B10" s="181" t="s">
        <v>1312</v>
      </c>
      <c r="C10" s="181" t="s">
        <v>1685</v>
      </c>
      <c r="D10" s="181" t="s">
        <v>1686</v>
      </c>
      <c r="E10" s="181" t="s">
        <v>1687</v>
      </c>
      <c r="F10" s="181" t="s">
        <v>1688</v>
      </c>
      <c r="G10" s="181" t="s">
        <v>18</v>
      </c>
      <c r="H10" s="181" t="s">
        <v>30</v>
      </c>
      <c r="I10" s="181">
        <v>150</v>
      </c>
      <c r="J10" s="181" t="s">
        <v>3665</v>
      </c>
      <c r="K10" s="142">
        <v>4.166666666666667</v>
      </c>
      <c r="L10" s="142">
        <v>4.916666666666667</v>
      </c>
      <c r="M10" s="142"/>
      <c r="N10" s="144">
        <v>7</v>
      </c>
      <c r="O10" s="63">
        <f t="shared" si="0"/>
        <v>43998</v>
      </c>
      <c r="P10" s="174" t="s">
        <v>3883</v>
      </c>
      <c r="Q10" s="132">
        <f t="shared" si="1"/>
        <v>3</v>
      </c>
      <c r="R10" s="143"/>
      <c r="S10" s="143"/>
      <c r="T10" s="143"/>
      <c r="U10" s="143"/>
      <c r="V10" s="143"/>
      <c r="W10" s="143"/>
      <c r="X10" s="143"/>
      <c r="Y10" s="143"/>
      <c r="Z10" s="143"/>
      <c r="AA10" s="143"/>
    </row>
    <row r="11" spans="1:27" s="55" customFormat="1">
      <c r="A11" s="181" t="s">
        <v>647</v>
      </c>
      <c r="B11" s="181" t="s">
        <v>3659</v>
      </c>
      <c r="C11" s="181" t="s">
        <v>1685</v>
      </c>
      <c r="D11" s="181" t="s">
        <v>2409</v>
      </c>
      <c r="E11" s="181" t="s">
        <v>2410</v>
      </c>
      <c r="F11" s="181" t="s">
        <v>2103</v>
      </c>
      <c r="G11" s="181" t="s">
        <v>18</v>
      </c>
      <c r="H11" s="181" t="s">
        <v>19</v>
      </c>
      <c r="I11" s="181">
        <v>113</v>
      </c>
      <c r="J11" s="181" t="s">
        <v>3659</v>
      </c>
      <c r="K11" s="142">
        <v>3.1388888888888888</v>
      </c>
      <c r="L11" s="142">
        <v>3.8888888888888888</v>
      </c>
      <c r="M11" s="142"/>
      <c r="N11" s="132">
        <v>7</v>
      </c>
      <c r="O11" s="63">
        <f t="shared" si="0"/>
        <v>43998</v>
      </c>
      <c r="P11" s="174" t="s">
        <v>3900</v>
      </c>
      <c r="Q11" s="132">
        <f t="shared" si="1"/>
        <v>3</v>
      </c>
      <c r="R11" s="143"/>
      <c r="S11" s="143"/>
      <c r="T11" s="143"/>
      <c r="U11" s="143"/>
      <c r="V11" s="143"/>
      <c r="W11" s="143"/>
      <c r="X11" s="143"/>
      <c r="Y11" s="143"/>
      <c r="Z11" s="143"/>
      <c r="AA11" s="143"/>
    </row>
    <row r="12" spans="1:27" s="57" customFormat="1">
      <c r="A12" s="181" t="s">
        <v>757</v>
      </c>
      <c r="B12" s="181" t="s">
        <v>3659</v>
      </c>
      <c r="C12" s="181" t="s">
        <v>1685</v>
      </c>
      <c r="D12" s="181" t="s">
        <v>2754</v>
      </c>
      <c r="E12" s="181" t="s">
        <v>2755</v>
      </c>
      <c r="F12" s="181" t="s">
        <v>2756</v>
      </c>
      <c r="G12" s="181" t="s">
        <v>18</v>
      </c>
      <c r="H12" s="181" t="s">
        <v>19</v>
      </c>
      <c r="I12" s="181">
        <v>120</v>
      </c>
      <c r="J12" s="181" t="s">
        <v>3659</v>
      </c>
      <c r="K12" s="142">
        <v>3.3333333333333335</v>
      </c>
      <c r="L12" s="142">
        <v>4.0833333333333339</v>
      </c>
      <c r="M12" s="142"/>
      <c r="N12" s="132">
        <v>8</v>
      </c>
      <c r="O12" s="63">
        <f t="shared" si="0"/>
        <v>43999</v>
      </c>
      <c r="P12" s="181" t="s">
        <v>3867</v>
      </c>
      <c r="Q12" s="132">
        <f t="shared" si="1"/>
        <v>3</v>
      </c>
      <c r="R12" s="181"/>
      <c r="S12" s="181"/>
      <c r="T12" s="181"/>
      <c r="U12" s="181"/>
      <c r="V12" s="181"/>
      <c r="W12" s="181"/>
      <c r="X12" s="181"/>
      <c r="Y12" s="181"/>
      <c r="Z12" s="181"/>
      <c r="AA12" s="181"/>
    </row>
    <row r="13" spans="1:27" s="55" customFormat="1">
      <c r="A13" s="181" t="s">
        <v>2943</v>
      </c>
      <c r="B13" s="181" t="s">
        <v>343</v>
      </c>
      <c r="C13" s="181" t="s">
        <v>1685</v>
      </c>
      <c r="D13" s="181" t="s">
        <v>2944</v>
      </c>
      <c r="E13" s="181" t="s">
        <v>2945</v>
      </c>
      <c r="F13" s="181" t="s">
        <v>1688</v>
      </c>
      <c r="G13" s="181" t="s">
        <v>18</v>
      </c>
      <c r="H13" s="181" t="s">
        <v>1298</v>
      </c>
      <c r="I13" s="181">
        <v>118</v>
      </c>
      <c r="J13" s="181" t="s">
        <v>3659</v>
      </c>
      <c r="K13" s="142">
        <v>3.2777777777777777</v>
      </c>
      <c r="L13" s="142">
        <v>4.0277777777777777</v>
      </c>
      <c r="M13" s="142"/>
      <c r="N13" s="132">
        <v>8</v>
      </c>
      <c r="O13" s="63">
        <f t="shared" si="0"/>
        <v>43999</v>
      </c>
      <c r="P13" s="174" t="s">
        <v>3901</v>
      </c>
      <c r="Q13" s="132">
        <f t="shared" si="1"/>
        <v>3</v>
      </c>
      <c r="R13" s="143"/>
      <c r="S13" s="143"/>
      <c r="T13" s="143"/>
      <c r="U13" s="143"/>
      <c r="V13" s="143"/>
      <c r="W13" s="143"/>
      <c r="X13" s="143"/>
      <c r="Y13" s="143"/>
      <c r="Z13" s="143"/>
      <c r="AA13" s="143"/>
    </row>
    <row r="14" spans="1:27" s="55" customFormat="1">
      <c r="A14" s="181" t="s">
        <v>931</v>
      </c>
      <c r="B14" s="181" t="s">
        <v>3659</v>
      </c>
      <c r="C14" s="181" t="s">
        <v>1685</v>
      </c>
      <c r="D14" s="181" t="s">
        <v>3227</v>
      </c>
      <c r="E14" s="181" t="s">
        <v>3228</v>
      </c>
      <c r="F14" s="181" t="s">
        <v>1688</v>
      </c>
      <c r="G14" s="181" t="s">
        <v>18</v>
      </c>
      <c r="H14" s="181" t="s">
        <v>19</v>
      </c>
      <c r="I14" s="181">
        <v>170</v>
      </c>
      <c r="J14" s="181" t="s">
        <v>3659</v>
      </c>
      <c r="K14" s="142">
        <v>4.7222222222222223</v>
      </c>
      <c r="L14" s="142">
        <v>5.4722222222222223</v>
      </c>
      <c r="M14" s="142"/>
      <c r="N14" s="132">
        <v>9</v>
      </c>
      <c r="O14" s="63">
        <f t="shared" si="0"/>
        <v>44000</v>
      </c>
      <c r="P14" s="174" t="s">
        <v>3864</v>
      </c>
      <c r="Q14" s="132">
        <f t="shared" si="1"/>
        <v>4</v>
      </c>
      <c r="R14" s="143"/>
      <c r="S14" s="143"/>
      <c r="T14" s="143"/>
      <c r="U14" s="143"/>
      <c r="V14" s="143"/>
      <c r="W14" s="143"/>
      <c r="X14" s="143"/>
      <c r="Y14" s="143"/>
      <c r="Z14" s="143"/>
      <c r="AA14" s="143"/>
    </row>
    <row r="15" spans="1:27" s="55" customFormat="1">
      <c r="A15" s="181" t="s">
        <v>939</v>
      </c>
      <c r="B15" s="181" t="s">
        <v>3659</v>
      </c>
      <c r="C15" s="181" t="s">
        <v>1685</v>
      </c>
      <c r="D15" s="181" t="s">
        <v>3241</v>
      </c>
      <c r="E15" s="181" t="s">
        <v>3242</v>
      </c>
      <c r="F15" s="181" t="s">
        <v>1688</v>
      </c>
      <c r="G15" s="181" t="s">
        <v>18</v>
      </c>
      <c r="H15" s="181" t="s">
        <v>30</v>
      </c>
      <c r="I15" s="181">
        <v>75</v>
      </c>
      <c r="J15" s="181" t="s">
        <v>3659</v>
      </c>
      <c r="K15" s="142">
        <v>2.0833333333333335</v>
      </c>
      <c r="L15" s="142">
        <v>2.8333333333333335</v>
      </c>
      <c r="M15" s="142"/>
      <c r="N15" s="132">
        <v>10</v>
      </c>
      <c r="O15" s="63">
        <f t="shared" si="0"/>
        <v>44001</v>
      </c>
      <c r="P15" s="174" t="s">
        <v>3848</v>
      </c>
      <c r="Q15" s="132">
        <f t="shared" si="1"/>
        <v>2</v>
      </c>
      <c r="R15" s="143"/>
      <c r="S15" s="143"/>
      <c r="T15" s="143"/>
      <c r="U15" s="143"/>
      <c r="V15" s="143"/>
      <c r="W15" s="143"/>
      <c r="X15" s="143"/>
      <c r="Y15" s="143"/>
      <c r="Z15" s="143"/>
      <c r="AA15" s="143"/>
    </row>
    <row r="16" spans="1:27" s="57" customFormat="1">
      <c r="A16" s="181" t="s">
        <v>833</v>
      </c>
      <c r="B16" s="181" t="s">
        <v>1527</v>
      </c>
      <c r="C16" s="181" t="s">
        <v>1404</v>
      </c>
      <c r="D16" s="181" t="s">
        <v>3001</v>
      </c>
      <c r="E16" s="181" t="s">
        <v>3002</v>
      </c>
      <c r="F16" s="181" t="s">
        <v>3003</v>
      </c>
      <c r="G16" s="181" t="s">
        <v>18</v>
      </c>
      <c r="H16" s="181" t="s">
        <v>30</v>
      </c>
      <c r="I16" s="181">
        <v>45</v>
      </c>
      <c r="J16" s="181" t="s">
        <v>3659</v>
      </c>
      <c r="K16" s="142">
        <v>1.25</v>
      </c>
      <c r="L16" s="142">
        <v>2</v>
      </c>
      <c r="M16" s="142"/>
      <c r="N16" s="132">
        <v>10</v>
      </c>
      <c r="O16" s="63">
        <f t="shared" si="0"/>
        <v>44001</v>
      </c>
      <c r="P16" s="181" t="s">
        <v>3862</v>
      </c>
      <c r="Q16" s="132">
        <f t="shared" si="1"/>
        <v>1</v>
      </c>
      <c r="R16" s="181"/>
      <c r="S16" s="181"/>
      <c r="T16" s="181"/>
      <c r="U16" s="181"/>
      <c r="V16" s="181"/>
      <c r="W16" s="181"/>
      <c r="X16" s="181"/>
      <c r="Y16" s="181"/>
      <c r="Z16" s="181"/>
      <c r="AA16" s="181"/>
    </row>
    <row r="17" spans="1:27" s="55" customFormat="1">
      <c r="A17" s="181" t="s">
        <v>1673</v>
      </c>
      <c r="B17" s="181" t="s">
        <v>343</v>
      </c>
      <c r="C17" s="181" t="s">
        <v>1674</v>
      </c>
      <c r="D17" s="181" t="s">
        <v>1675</v>
      </c>
      <c r="E17" s="181" t="s">
        <v>1676</v>
      </c>
      <c r="F17" s="181" t="s">
        <v>1677</v>
      </c>
      <c r="G17" s="181" t="s">
        <v>18</v>
      </c>
      <c r="H17" s="181" t="s">
        <v>1298</v>
      </c>
      <c r="I17" s="181">
        <v>138</v>
      </c>
      <c r="J17" s="181" t="s">
        <v>3659</v>
      </c>
      <c r="K17" s="142">
        <v>3.8333333333333335</v>
      </c>
      <c r="L17" s="142">
        <v>4.5833333333333339</v>
      </c>
      <c r="M17" s="142"/>
      <c r="N17" s="144">
        <v>10</v>
      </c>
      <c r="O17" s="63">
        <f t="shared" si="0"/>
        <v>44001</v>
      </c>
      <c r="P17" s="174" t="s">
        <v>3856</v>
      </c>
      <c r="Q17" s="132">
        <f t="shared" si="1"/>
        <v>3</v>
      </c>
      <c r="R17" s="143"/>
      <c r="S17" s="143"/>
      <c r="T17" s="143"/>
      <c r="U17" s="143"/>
      <c r="V17" s="143"/>
      <c r="W17" s="143"/>
      <c r="X17" s="143"/>
      <c r="Y17" s="143"/>
      <c r="Z17" s="143"/>
      <c r="AA17" s="143"/>
    </row>
    <row r="18" spans="1:27" s="55" customFormat="1">
      <c r="A18" s="181" t="s">
        <v>875</v>
      </c>
      <c r="B18" s="181" t="s">
        <v>3659</v>
      </c>
      <c r="C18" s="181" t="s">
        <v>1674</v>
      </c>
      <c r="D18" s="181" t="s">
        <v>3106</v>
      </c>
      <c r="E18" s="181" t="s">
        <v>3107</v>
      </c>
      <c r="F18" s="181" t="s">
        <v>1677</v>
      </c>
      <c r="G18" s="181" t="s">
        <v>18</v>
      </c>
      <c r="H18" s="181" t="s">
        <v>30</v>
      </c>
      <c r="I18" s="181">
        <v>80</v>
      </c>
      <c r="J18" s="181" t="s">
        <v>879</v>
      </c>
      <c r="K18" s="142">
        <v>2.2222222222222223</v>
      </c>
      <c r="L18" s="142">
        <v>2.9722222222222223</v>
      </c>
      <c r="M18" s="142"/>
      <c r="N18" s="132">
        <v>11</v>
      </c>
      <c r="O18" s="63">
        <f t="shared" si="0"/>
        <v>44002</v>
      </c>
      <c r="P18" s="174" t="s">
        <v>3848</v>
      </c>
      <c r="Q18" s="132">
        <f t="shared" si="1"/>
        <v>2</v>
      </c>
      <c r="R18" s="143"/>
      <c r="S18" s="143"/>
      <c r="T18" s="143"/>
      <c r="U18" s="143"/>
      <c r="V18" s="143"/>
      <c r="W18" s="143"/>
      <c r="X18" s="143"/>
      <c r="Y18" s="143"/>
      <c r="Z18" s="143"/>
      <c r="AA18" s="143"/>
    </row>
    <row r="19" spans="1:27" s="55" customFormat="1">
      <c r="A19" s="181" t="s">
        <v>103</v>
      </c>
      <c r="B19" s="181" t="s">
        <v>3659</v>
      </c>
      <c r="C19" s="181" t="s">
        <v>1404</v>
      </c>
      <c r="D19" s="181" t="s">
        <v>1406</v>
      </c>
      <c r="E19" s="181" t="s">
        <v>1407</v>
      </c>
      <c r="F19" s="181" t="s">
        <v>1408</v>
      </c>
      <c r="G19" s="181" t="s">
        <v>18</v>
      </c>
      <c r="H19" s="181" t="s">
        <v>30</v>
      </c>
      <c r="I19" s="181">
        <v>135</v>
      </c>
      <c r="J19" s="181" t="s">
        <v>3659</v>
      </c>
      <c r="K19" s="142">
        <v>3.75</v>
      </c>
      <c r="L19" s="142">
        <v>4.5</v>
      </c>
      <c r="M19" s="142"/>
      <c r="N19" s="132">
        <v>11</v>
      </c>
      <c r="O19" s="63">
        <f t="shared" si="0"/>
        <v>44002</v>
      </c>
      <c r="P19" s="174" t="s">
        <v>3902</v>
      </c>
      <c r="Q19" s="132">
        <f t="shared" si="1"/>
        <v>3</v>
      </c>
      <c r="R19" s="143"/>
      <c r="S19" s="143"/>
      <c r="T19" s="143"/>
      <c r="U19" s="143"/>
      <c r="V19" s="143"/>
      <c r="W19" s="143"/>
      <c r="X19" s="143"/>
      <c r="Y19" s="143"/>
      <c r="Z19" s="143"/>
      <c r="AA19" s="143"/>
    </row>
    <row r="20" spans="1:27" s="55" customFormat="1">
      <c r="A20" s="181" t="s">
        <v>2187</v>
      </c>
      <c r="B20" s="181" t="s">
        <v>2148</v>
      </c>
      <c r="C20" s="181" t="s">
        <v>1404</v>
      </c>
      <c r="D20" s="181" t="s">
        <v>2189</v>
      </c>
      <c r="E20" s="181" t="s">
        <v>2190</v>
      </c>
      <c r="F20" s="181" t="s">
        <v>1408</v>
      </c>
      <c r="G20" s="181" t="s">
        <v>18</v>
      </c>
      <c r="H20" s="181" t="s">
        <v>1298</v>
      </c>
      <c r="I20" s="181">
        <v>65</v>
      </c>
      <c r="J20" s="181" t="s">
        <v>3659</v>
      </c>
      <c r="K20" s="142">
        <v>1.8055555555555556</v>
      </c>
      <c r="L20" s="142">
        <v>2.5555555555555554</v>
      </c>
      <c r="M20" s="142"/>
      <c r="N20" s="132">
        <v>13</v>
      </c>
      <c r="O20" s="63">
        <f t="shared" si="0"/>
        <v>44004</v>
      </c>
      <c r="P20" s="174" t="s">
        <v>3848</v>
      </c>
      <c r="Q20" s="132">
        <f t="shared" si="1"/>
        <v>2</v>
      </c>
      <c r="R20" s="143"/>
      <c r="S20" s="143"/>
      <c r="T20" s="143"/>
      <c r="U20" s="143"/>
      <c r="V20" s="143"/>
      <c r="W20" s="143"/>
      <c r="X20" s="143"/>
      <c r="Y20" s="143"/>
      <c r="Z20" s="143"/>
      <c r="AA20" s="143"/>
    </row>
    <row r="21" spans="1:27" s="55" customFormat="1">
      <c r="A21" s="181" t="s">
        <v>2419</v>
      </c>
      <c r="B21" s="181" t="s">
        <v>1312</v>
      </c>
      <c r="C21" s="181" t="s">
        <v>1404</v>
      </c>
      <c r="D21" s="181" t="s">
        <v>2420</v>
      </c>
      <c r="E21" s="181" t="s">
        <v>2421</v>
      </c>
      <c r="F21" s="181" t="s">
        <v>1408</v>
      </c>
      <c r="G21" s="181" t="s">
        <v>18</v>
      </c>
      <c r="H21" s="181" t="s">
        <v>1298</v>
      </c>
      <c r="I21" s="181">
        <v>108</v>
      </c>
      <c r="J21" s="181" t="s">
        <v>3659</v>
      </c>
      <c r="K21" s="142">
        <v>3</v>
      </c>
      <c r="L21" s="142">
        <v>3.75</v>
      </c>
      <c r="M21" s="142"/>
      <c r="N21" s="132">
        <v>13</v>
      </c>
      <c r="O21" s="63">
        <f t="shared" si="0"/>
        <v>44004</v>
      </c>
      <c r="P21" s="174" t="s">
        <v>3710</v>
      </c>
      <c r="Q21" s="132">
        <f t="shared" si="1"/>
        <v>3</v>
      </c>
      <c r="R21" s="143"/>
      <c r="S21" s="143"/>
      <c r="T21" s="143"/>
      <c r="U21" s="143"/>
      <c r="V21" s="143"/>
      <c r="W21" s="143"/>
      <c r="X21" s="143"/>
      <c r="Y21" s="143"/>
      <c r="Z21" s="143"/>
      <c r="AA21" s="143"/>
    </row>
    <row r="22" spans="1:27" s="353" customFormat="1">
      <c r="A22" s="348" t="s">
        <v>234</v>
      </c>
      <c r="B22" s="348" t="s">
        <v>1624</v>
      </c>
      <c r="C22" s="348" t="s">
        <v>1679</v>
      </c>
      <c r="D22" s="348" t="s">
        <v>1680</v>
      </c>
      <c r="E22" s="348" t="s">
        <v>1681</v>
      </c>
      <c r="F22" s="348" t="s">
        <v>1682</v>
      </c>
      <c r="G22" s="348" t="s">
        <v>91</v>
      </c>
      <c r="H22" s="348" t="s">
        <v>3659</v>
      </c>
      <c r="I22" s="348">
        <v>125</v>
      </c>
      <c r="J22" s="348" t="s">
        <v>238</v>
      </c>
      <c r="K22" s="349">
        <v>9.375</v>
      </c>
      <c r="L22" s="349">
        <v>11.875</v>
      </c>
      <c r="M22" s="349" t="s">
        <v>6930</v>
      </c>
      <c r="N22" s="351">
        <v>4</v>
      </c>
      <c r="O22" s="363">
        <v>44008</v>
      </c>
      <c r="P22" s="353" t="s">
        <v>3985</v>
      </c>
      <c r="Q22" s="351">
        <f t="shared" si="1"/>
        <v>3</v>
      </c>
    </row>
    <row r="23" spans="1:27" s="350" customFormat="1">
      <c r="A23" s="348" t="s">
        <v>1370</v>
      </c>
      <c r="B23" s="348" t="s">
        <v>1323</v>
      </c>
      <c r="C23" s="348" t="s">
        <v>1372</v>
      </c>
      <c r="D23" s="348" t="s">
        <v>3906</v>
      </c>
      <c r="E23" s="348" t="s">
        <v>1373</v>
      </c>
      <c r="F23" s="348" t="s">
        <v>3907</v>
      </c>
      <c r="G23" s="348" t="s">
        <v>91</v>
      </c>
      <c r="H23" s="348" t="s">
        <v>30</v>
      </c>
      <c r="I23" s="348">
        <v>80</v>
      </c>
      <c r="J23" s="348" t="s">
        <v>92</v>
      </c>
      <c r="K23" s="349">
        <v>6.25</v>
      </c>
      <c r="L23" s="349">
        <v>8.75</v>
      </c>
      <c r="M23" s="349" t="s">
        <v>6930</v>
      </c>
      <c r="N23" s="362">
        <v>5</v>
      </c>
      <c r="O23" s="363">
        <v>44009</v>
      </c>
      <c r="P23" s="353" t="s">
        <v>6940</v>
      </c>
      <c r="Q23" s="362">
        <f t="shared" si="1"/>
        <v>2</v>
      </c>
      <c r="R23" s="348"/>
      <c r="S23" s="348"/>
      <c r="T23" s="348"/>
      <c r="U23" s="348"/>
      <c r="V23" s="348"/>
      <c r="W23" s="348"/>
      <c r="X23" s="348"/>
      <c r="Y23" s="348"/>
      <c r="Z23" s="348"/>
      <c r="AA23" s="348"/>
    </row>
    <row r="24" spans="1:27" s="350" customFormat="1">
      <c r="A24" s="348" t="s">
        <v>2929</v>
      </c>
      <c r="B24" s="348" t="s">
        <v>1288</v>
      </c>
      <c r="C24" s="348" t="s">
        <v>1685</v>
      </c>
      <c r="D24" s="348" t="s">
        <v>2932</v>
      </c>
      <c r="E24" s="348" t="s">
        <v>2933</v>
      </c>
      <c r="F24" s="348" t="s">
        <v>1688</v>
      </c>
      <c r="G24" s="348" t="s">
        <v>91</v>
      </c>
      <c r="H24" s="348" t="s">
        <v>30</v>
      </c>
      <c r="I24" s="348">
        <v>140</v>
      </c>
      <c r="J24" s="348" t="s">
        <v>3659</v>
      </c>
      <c r="K24" s="349">
        <v>9.375</v>
      </c>
      <c r="L24" s="349">
        <v>11.875</v>
      </c>
      <c r="M24" s="349" t="s">
        <v>6930</v>
      </c>
      <c r="N24" s="362">
        <v>3</v>
      </c>
      <c r="O24" s="363">
        <v>44007</v>
      </c>
      <c r="P24" s="353" t="s">
        <v>3985</v>
      </c>
      <c r="Q24" s="362">
        <f t="shared" si="1"/>
        <v>3</v>
      </c>
      <c r="R24" s="348"/>
      <c r="S24" s="348"/>
      <c r="T24" s="348"/>
      <c r="U24" s="348"/>
      <c r="V24" s="348"/>
      <c r="W24" s="348"/>
      <c r="X24" s="348"/>
      <c r="Y24" s="348"/>
      <c r="Z24" s="348"/>
      <c r="AA24" s="348"/>
    </row>
    <row r="25" spans="1:27" s="141" customFormat="1">
      <c r="A25" s="140" t="s">
        <v>896</v>
      </c>
      <c r="B25" s="140" t="s">
        <v>1300</v>
      </c>
      <c r="C25" s="140" t="s">
        <v>1404</v>
      </c>
      <c r="D25" s="140" t="s">
        <v>3152</v>
      </c>
      <c r="E25" s="140" t="s">
        <v>3153</v>
      </c>
      <c r="F25" s="140" t="s">
        <v>1408</v>
      </c>
      <c r="G25" s="140" t="s">
        <v>54</v>
      </c>
      <c r="H25" s="140" t="s">
        <v>3659</v>
      </c>
      <c r="I25" s="140">
        <v>75</v>
      </c>
      <c r="J25" s="140" t="s">
        <v>3903</v>
      </c>
      <c r="K25" s="164"/>
      <c r="L25" s="164"/>
      <c r="M25" s="164"/>
      <c r="N25" s="165"/>
      <c r="O25" s="255"/>
      <c r="P25" s="265"/>
      <c r="Q25" s="165"/>
    </row>
    <row r="26" spans="1:27" s="141" customFormat="1">
      <c r="A26" s="140" t="s">
        <v>3904</v>
      </c>
      <c r="B26" s="140" t="s">
        <v>1312</v>
      </c>
      <c r="C26" s="140" t="s">
        <v>1685</v>
      </c>
      <c r="D26" s="140" t="s">
        <v>2101</v>
      </c>
      <c r="E26" s="140" t="s">
        <v>2102</v>
      </c>
      <c r="F26" s="140" t="s">
        <v>2103</v>
      </c>
      <c r="G26" s="140" t="s">
        <v>54</v>
      </c>
      <c r="H26" s="140" t="s">
        <v>30</v>
      </c>
      <c r="I26" s="140">
        <v>115</v>
      </c>
      <c r="J26" s="140" t="s">
        <v>3905</v>
      </c>
      <c r="K26" s="164"/>
      <c r="L26" s="164"/>
      <c r="M26" s="164"/>
      <c r="N26" s="165"/>
      <c r="O26" s="255"/>
      <c r="P26" s="265"/>
      <c r="Q26" s="165"/>
    </row>
    <row r="27" spans="1:27" customFormat="1" hidden="1">
      <c r="A27" s="134" t="str">
        <f ca="1">IFERROR(__xludf.DUMMYFUNCTION("""COMPUTED_VALUE"""),"")</f>
        <v/>
      </c>
      <c r="B27" s="134" t="str">
        <f ca="1">IFERROR(__xludf.DUMMYFUNCTION("""COMPUTED_VALUE"""),"")</f>
        <v/>
      </c>
      <c r="C27" s="134" t="str">
        <f ca="1">IFERROR(__xludf.DUMMYFUNCTION("""COMPUTED_VALUE"""),"")</f>
        <v/>
      </c>
      <c r="D27" s="134" t="str">
        <f ca="1">IFERROR(__xludf.DUMMYFUNCTION("""COMPUTED_VALUE"""),"")</f>
        <v/>
      </c>
      <c r="E27" s="134" t="str">
        <f ca="1">IFERROR(__xludf.DUMMYFUNCTION("""COMPUTED_VALUE"""),"")</f>
        <v/>
      </c>
      <c r="F27" s="134" t="str">
        <f ca="1">IFERROR(__xludf.DUMMYFUNCTION("""COMPUTED_VALUE"""),"")</f>
        <v/>
      </c>
      <c r="G27" s="134" t="str">
        <f ca="1">IFERROR(__xludf.DUMMYFUNCTION("""COMPUTED_VALUE"""),"")</f>
        <v/>
      </c>
      <c r="H27" s="134" t="str">
        <f ca="1">IFERROR(__xludf.DUMMYFUNCTION("""COMPUTED_VALUE"""),"")</f>
        <v/>
      </c>
      <c r="I27" s="134" t="str">
        <f ca="1">IFERROR(__xludf.DUMMYFUNCTION("""COMPUTED_VALUE"""),"")</f>
        <v/>
      </c>
      <c r="J27" s="134" t="str">
        <f ca="1">IFERROR(__xludf.DUMMYFUNCTION("""COMPUTED_VALUE"""),"")</f>
        <v/>
      </c>
      <c r="N27" s="31"/>
    </row>
    <row r="28" spans="1:27" customFormat="1" ht="15.75" hidden="1" thickBot="1">
      <c r="A28" s="134" t="str">
        <f ca="1">IFERROR(__xludf.DUMMYFUNCTION("""COMPUTED_VALUE"""),"")</f>
        <v/>
      </c>
      <c r="B28" s="134" t="str">
        <f ca="1">IFERROR(__xludf.DUMMYFUNCTION("""COMPUTED_VALUE"""),"")</f>
        <v/>
      </c>
      <c r="C28" s="134" t="str">
        <f ca="1">IFERROR(__xludf.DUMMYFUNCTION("""COMPUTED_VALUE"""),"")</f>
        <v/>
      </c>
      <c r="D28" s="134" t="str">
        <f ca="1">IFERROR(__xludf.DUMMYFUNCTION("""COMPUTED_VALUE"""),"")</f>
        <v/>
      </c>
      <c r="E28" s="134" t="str">
        <f ca="1">IFERROR(__xludf.DUMMYFUNCTION("""COMPUTED_VALUE"""),"")</f>
        <v/>
      </c>
      <c r="F28" s="134" t="str">
        <f ca="1">IFERROR(__xludf.DUMMYFUNCTION("""COMPUTED_VALUE"""),"")</f>
        <v/>
      </c>
      <c r="G28" s="134" t="str">
        <f ca="1">IFERROR(__xludf.DUMMYFUNCTION("""COMPUTED_VALUE"""),"")</f>
        <v/>
      </c>
      <c r="H28" s="134" t="str">
        <f ca="1">IFERROR(__xludf.DUMMYFUNCTION("""COMPUTED_VALUE"""),"")</f>
        <v/>
      </c>
      <c r="I28" s="134" t="str">
        <f ca="1">IFERROR(__xludf.DUMMYFUNCTION("""COMPUTED_VALUE"""),"")</f>
        <v/>
      </c>
      <c r="J28" s="134" t="str">
        <f ca="1">IFERROR(__xludf.DUMMYFUNCTION("""COMPUTED_VALUE"""),"")</f>
        <v/>
      </c>
      <c r="N28" s="31"/>
    </row>
    <row r="29" spans="1:27" customFormat="1" ht="15.75" hidden="1" thickBot="1">
      <c r="A29" s="414" t="s">
        <v>3695</v>
      </c>
      <c r="B29" s="415"/>
      <c r="C29" s="134" t="str">
        <f ca="1">IFERROR(__xludf.DUMMYFUNCTION("""COMPUTED_VALUE"""),"")</f>
        <v/>
      </c>
      <c r="D29" s="414" t="s">
        <v>3696</v>
      </c>
      <c r="E29" s="416"/>
      <c r="F29" s="416"/>
      <c r="G29" s="415"/>
      <c r="H29" s="134" t="str">
        <f ca="1">IFERROR(__xludf.DUMMYFUNCTION("""COMPUTED_VALUE"""),"")</f>
        <v/>
      </c>
      <c r="I29" s="134">
        <v>60</v>
      </c>
      <c r="J29" s="134" t="s">
        <v>3697</v>
      </c>
      <c r="L29" s="159">
        <v>43992</v>
      </c>
      <c r="M29" s="159"/>
      <c r="N29" s="159">
        <v>43993</v>
      </c>
      <c r="O29" s="159"/>
      <c r="P29" s="159">
        <v>43994</v>
      </c>
      <c r="Q29" s="159"/>
      <c r="R29" s="159">
        <v>43995</v>
      </c>
      <c r="S29" s="159"/>
      <c r="T29" s="159">
        <v>43997</v>
      </c>
      <c r="U29" s="159"/>
      <c r="V29" s="159">
        <v>43998</v>
      </c>
      <c r="W29" s="159"/>
    </row>
    <row r="30" spans="1:27" customFormat="1" hidden="1">
      <c r="A30" s="43"/>
      <c r="B30" s="36" t="s">
        <v>3365</v>
      </c>
      <c r="C30" s="134" t="str">
        <f ca="1">IFERROR(__xludf.DUMMYFUNCTION("""COMPUTED_VALUE"""),"")</f>
        <v/>
      </c>
      <c r="D30" s="43"/>
      <c r="E30" s="44" t="s">
        <v>3366</v>
      </c>
      <c r="F30" s="50" t="s">
        <v>3367</v>
      </c>
      <c r="G30" s="36"/>
      <c r="H30" s="134" t="str">
        <f ca="1">IFERROR(__xludf.DUMMYFUNCTION("""COMPUTED_VALUE"""),"")</f>
        <v/>
      </c>
      <c r="L30" s="134">
        <f>SUM(I2)</f>
        <v>200</v>
      </c>
      <c r="M30" s="134">
        <f>SUM(Q2)</f>
        <v>4</v>
      </c>
      <c r="N30" s="134">
        <f>SUM(I3:I4)</f>
        <v>182</v>
      </c>
      <c r="O30" s="134">
        <f>SUM(Q3:Q4)</f>
        <v>5</v>
      </c>
      <c r="P30" s="134">
        <f>SUM(I5:I6)</f>
        <v>187</v>
      </c>
      <c r="Q30" s="134">
        <f>SUM(Q5:Q6)</f>
        <v>5</v>
      </c>
      <c r="R30" s="134">
        <f>SUM(I7:I8)</f>
        <v>300</v>
      </c>
      <c r="S30" s="134">
        <f>SUM(Q7:Q8)</f>
        <v>7</v>
      </c>
      <c r="T30" s="134">
        <f>SUM(I9:I9)</f>
        <v>100</v>
      </c>
      <c r="U30" s="134">
        <f>SUM(Q9:Q9)</f>
        <v>2</v>
      </c>
      <c r="V30" s="134">
        <f>SUM(I10:I11)</f>
        <v>263</v>
      </c>
      <c r="W30" s="134">
        <f>SUM(Q10:Q11)</f>
        <v>6</v>
      </c>
    </row>
    <row r="31" spans="1:27" customFormat="1" hidden="1">
      <c r="A31" s="45" t="s">
        <v>3368</v>
      </c>
      <c r="B31" s="48">
        <v>5</v>
      </c>
      <c r="C31" s="134" t="str">
        <f ca="1">IFERROR(__xludf.DUMMYFUNCTION("""COMPUTED_VALUE"""),"")</f>
        <v/>
      </c>
      <c r="D31" s="45" t="s">
        <v>3369</v>
      </c>
      <c r="E31" s="27">
        <f>(50/$F$34)*60</f>
        <v>187.5</v>
      </c>
      <c r="F31" s="37">
        <v>15</v>
      </c>
      <c r="G31" s="38" t="s">
        <v>3370</v>
      </c>
      <c r="H31" s="134" t="str">
        <f ca="1">IFERROR(__xludf.DUMMYFUNCTION("""COMPUTED_VALUE"""),"")</f>
        <v/>
      </c>
      <c r="L31" s="134" t="str">
        <f ca="1">IFERROR(__xludf.DUMMYFUNCTION("""COMPUTED_VALUE"""),"")</f>
        <v/>
      </c>
      <c r="M31" s="134" t="str">
        <f ca="1">IFERROR(__xludf.DUMMYFUNCTION("""COMPUTED_VALUE"""),"")</f>
        <v/>
      </c>
      <c r="N31" s="134"/>
      <c r="R31" s="28"/>
      <c r="S31" s="28"/>
    </row>
    <row r="32" spans="1:27" customFormat="1" hidden="1">
      <c r="A32" s="45" t="s">
        <v>3371</v>
      </c>
      <c r="B32" s="48">
        <v>3</v>
      </c>
      <c r="C32" s="134" t="str">
        <f ca="1">IFERROR(__xludf.DUMMYFUNCTION("""COMPUTED_VALUE"""),"")</f>
        <v/>
      </c>
      <c r="D32" s="45" t="s">
        <v>3372</v>
      </c>
      <c r="E32" s="27">
        <f>(100/$F$34)*60</f>
        <v>375</v>
      </c>
      <c r="F32" s="37">
        <v>5</v>
      </c>
      <c r="G32" s="38" t="s">
        <v>3373</v>
      </c>
      <c r="H32" s="134" t="str">
        <f ca="1">IFERROR(__xludf.DUMMYFUNCTION("""COMPUTED_VALUE"""),"")</f>
        <v/>
      </c>
      <c r="L32" s="135" t="str">
        <f ca="1">IFERROR(__xludf.DUMMYFUNCTION("""COMPUTED_VALUE"""),"")</f>
        <v/>
      </c>
      <c r="M32" s="135" t="str">
        <f ca="1">IFERROR(__xludf.DUMMYFUNCTION("""COMPUTED_VALUE"""),"")</f>
        <v/>
      </c>
      <c r="N32" s="135"/>
    </row>
    <row r="33" spans="1:21" customFormat="1" hidden="1">
      <c r="A33" s="45" t="s">
        <v>3374</v>
      </c>
      <c r="B33" s="48">
        <v>15</v>
      </c>
      <c r="C33" s="134" t="str">
        <f ca="1">IFERROR(__xludf.DUMMYFUNCTION("""COMPUTED_VALUE"""),"")</f>
        <v/>
      </c>
      <c r="D33" s="45" t="s">
        <v>3375</v>
      </c>
      <c r="E33" s="27">
        <f>(150/$F$34)*60</f>
        <v>562.5</v>
      </c>
      <c r="F33" s="37">
        <v>5.5</v>
      </c>
      <c r="G33" s="38" t="s">
        <v>3376</v>
      </c>
      <c r="H33" s="134" t="str">
        <f ca="1">IFERROR(__xludf.DUMMYFUNCTION("""COMPUTED_VALUE"""),"")</f>
        <v/>
      </c>
      <c r="I33" s="135"/>
      <c r="J33" s="135"/>
      <c r="L33" s="135" t="str">
        <f ca="1">IFERROR(__xludf.DUMMYFUNCTION("""COMPUTED_VALUE"""),"")</f>
        <v/>
      </c>
      <c r="M33" s="135" t="str">
        <f ca="1">IFERROR(__xludf.DUMMYFUNCTION("""COMPUTED_VALUE"""),"")</f>
        <v/>
      </c>
      <c r="N33" s="135"/>
    </row>
    <row r="34" spans="1:21" customFormat="1" hidden="1">
      <c r="A34" s="45" t="s">
        <v>3377</v>
      </c>
      <c r="B34" s="48">
        <v>30</v>
      </c>
      <c r="C34" s="134" t="str">
        <f ca="1">IFERROR(__xludf.DUMMYFUNCTION("""COMPUTED_VALUE"""),"")</f>
        <v/>
      </c>
      <c r="D34" s="45" t="s">
        <v>3378</v>
      </c>
      <c r="E34" s="27">
        <f>(200/$F$34)*60</f>
        <v>750</v>
      </c>
      <c r="F34" s="37">
        <f>ROUNDDOWN(F33*3,0)</f>
        <v>16</v>
      </c>
      <c r="G34" s="38" t="s">
        <v>3698</v>
      </c>
      <c r="H34" s="134" t="str">
        <f ca="1">IFERROR(__xludf.DUMMYFUNCTION("""COMPUTED_VALUE"""),"")</f>
        <v/>
      </c>
      <c r="L34" s="159">
        <v>43999</v>
      </c>
      <c r="M34" s="159"/>
      <c r="N34" s="159">
        <v>44000</v>
      </c>
      <c r="O34" s="159"/>
      <c r="P34" s="159">
        <v>44001</v>
      </c>
      <c r="Q34" s="159"/>
      <c r="R34" s="159">
        <v>44002</v>
      </c>
      <c r="S34" s="159"/>
      <c r="T34" s="159">
        <v>44004</v>
      </c>
      <c r="U34" s="159"/>
    </row>
    <row r="35" spans="1:21" customFormat="1" hidden="1">
      <c r="A35" s="45"/>
      <c r="B35" s="48"/>
      <c r="C35" s="134" t="str">
        <f ca="1">IFERROR(__xludf.DUMMYFUNCTION("""COMPUTED_VALUE"""),"")</f>
        <v/>
      </c>
      <c r="D35" s="45" t="s">
        <v>3381</v>
      </c>
      <c r="E35" s="27">
        <f>(250/$F$34)*60</f>
        <v>937.5</v>
      </c>
      <c r="F35" s="37">
        <v>45</v>
      </c>
      <c r="G35" s="38" t="s">
        <v>3382</v>
      </c>
      <c r="H35" s="134" t="str">
        <f ca="1">IFERROR(__xludf.DUMMYFUNCTION("""COMPUTED_VALUE"""),"")</f>
        <v/>
      </c>
      <c r="L35" s="128">
        <f>SUM(I12:I13)</f>
        <v>238</v>
      </c>
      <c r="M35" s="128">
        <f>SUM(Q12:Q13)</f>
        <v>6</v>
      </c>
      <c r="N35" s="128">
        <f>I14</f>
        <v>170</v>
      </c>
      <c r="O35" s="128">
        <f>Q14</f>
        <v>4</v>
      </c>
      <c r="P35" s="128">
        <f>SUM(I15:I17)</f>
        <v>258</v>
      </c>
      <c r="Q35" s="128">
        <f>SUM(Q15:Q17)</f>
        <v>6</v>
      </c>
      <c r="R35" s="128">
        <f>SUM(I18:I19)</f>
        <v>215</v>
      </c>
      <c r="S35" s="128">
        <f>SUM(Q18:Q19)</f>
        <v>5</v>
      </c>
      <c r="T35" s="128">
        <f>SUM(I20:I25)</f>
        <v>593</v>
      </c>
      <c r="U35" s="128">
        <f>SUM(Q20:Q25)</f>
        <v>13</v>
      </c>
    </row>
    <row r="36" spans="1:21" customFormat="1" hidden="1">
      <c r="A36" s="45" t="s">
        <v>3380</v>
      </c>
      <c r="B36" s="48">
        <f>(60/B31)*B32</f>
        <v>36</v>
      </c>
      <c r="C36" s="134" t="str">
        <f ca="1">IFERROR(__xludf.DUMMYFUNCTION("""COMPUTED_VALUE"""),"")</f>
        <v/>
      </c>
      <c r="D36" s="45" t="s">
        <v>3385</v>
      </c>
      <c r="E36" s="27">
        <f>(300/$F$34)*60</f>
        <v>1125</v>
      </c>
      <c r="F36" s="39">
        <v>60</v>
      </c>
      <c r="G36" s="40" t="s">
        <v>3386</v>
      </c>
      <c r="H36" s="134" t="str">
        <f ca="1">IFERROR(__xludf.DUMMYFUNCTION("""COMPUTED_VALUE"""),"")</f>
        <v/>
      </c>
      <c r="I36" s="135"/>
      <c r="J36" s="135"/>
    </row>
    <row r="37" spans="1:21" customFormat="1" ht="15.75" hidden="1" thickBot="1">
      <c r="A37" s="46" t="s">
        <v>3383</v>
      </c>
      <c r="B37" s="49" t="s">
        <v>3384</v>
      </c>
      <c r="C37" s="134" t="str">
        <f ca="1">IFERROR(__xludf.DUMMYFUNCTION("""COMPUTED_VALUE"""),"")</f>
        <v/>
      </c>
      <c r="D37" s="46" t="s">
        <v>3387</v>
      </c>
      <c r="E37" s="47">
        <f>(350/$F$34)*60</f>
        <v>1312.5</v>
      </c>
      <c r="F37" s="41">
        <v>45</v>
      </c>
      <c r="G37" s="42" t="s">
        <v>3388</v>
      </c>
      <c r="H37" s="134" t="str">
        <f ca="1">IFERROR(__xludf.DUMMYFUNCTION("""COMPUTED_VALUE"""),"")</f>
        <v/>
      </c>
      <c r="N37" s="159"/>
    </row>
    <row r="38" spans="1:21" customFormat="1" hidden="1">
      <c r="A38" s="134" t="str">
        <f ca="1">IFERROR(__xludf.DUMMYFUNCTION("""COMPUTED_VALUE"""),"")</f>
        <v/>
      </c>
      <c r="B38" s="134" t="str">
        <f ca="1">IFERROR(__xludf.DUMMYFUNCTION("""COMPUTED_VALUE"""),"")</f>
        <v/>
      </c>
      <c r="C38" s="134" t="str">
        <f ca="1">IFERROR(__xludf.DUMMYFUNCTION("""COMPUTED_VALUE"""),"")</f>
        <v/>
      </c>
      <c r="D38" s="134" t="str">
        <f ca="1">IFERROR(__xludf.DUMMYFUNCTION("""COMPUTED_VALUE"""),"")</f>
        <v/>
      </c>
      <c r="E38" s="134" t="str">
        <f ca="1">IFERROR(__xludf.DUMMYFUNCTION("""COMPUTED_VALUE"""),"")</f>
        <v/>
      </c>
      <c r="F38" s="134" t="str">
        <f ca="1">IFERROR(__xludf.DUMMYFUNCTION("""COMPUTED_VALUE"""),"")</f>
        <v/>
      </c>
      <c r="G38" s="134" t="str">
        <f ca="1">IFERROR(__xludf.DUMMYFUNCTION("""COMPUTED_VALUE"""),"")</f>
        <v/>
      </c>
      <c r="H38" s="134" t="str">
        <f ca="1">IFERROR(__xludf.DUMMYFUNCTION("""COMPUTED_VALUE"""),"")</f>
        <v/>
      </c>
      <c r="N38" s="134"/>
    </row>
    <row r="39" spans="1:21" customFormat="1" hidden="1">
      <c r="A39" s="134" t="str">
        <f ca="1">IFERROR(__xludf.DUMMYFUNCTION("""COMPUTED_VALUE"""),"")</f>
        <v/>
      </c>
      <c r="B39" s="134" t="str">
        <f ca="1">IFERROR(__xludf.DUMMYFUNCTION("""COMPUTED_VALUE"""),"")</f>
        <v/>
      </c>
      <c r="C39" s="134" t="str">
        <f ca="1">IFERROR(__xludf.DUMMYFUNCTION("""COMPUTED_VALUE"""),"")</f>
        <v/>
      </c>
      <c r="D39" s="134" t="str">
        <f ca="1">IFERROR(__xludf.DUMMYFUNCTION("""COMPUTED_VALUE"""),"")</f>
        <v/>
      </c>
      <c r="E39" s="134" t="str">
        <f ca="1">IFERROR(__xludf.DUMMYFUNCTION("""COMPUTED_VALUE"""),"")</f>
        <v/>
      </c>
      <c r="F39" s="134" t="str">
        <f ca="1">IFERROR(__xludf.DUMMYFUNCTION("""COMPUTED_VALUE"""),"")</f>
        <v/>
      </c>
      <c r="G39" s="134" t="str">
        <f ca="1">IFERROR(__xludf.DUMMYFUNCTION("""COMPUTED_VALUE"""),"")</f>
        <v/>
      </c>
      <c r="H39" s="134" t="str">
        <f ca="1">IFERROR(__xludf.DUMMYFUNCTION("""COMPUTED_VALUE"""),"")</f>
        <v/>
      </c>
      <c r="I39" s="134" t="str">
        <f ca="1">IFERROR(__xludf.DUMMYFUNCTION("""COMPUTED_VALUE"""),"")</f>
        <v/>
      </c>
      <c r="J39" s="134" t="str">
        <f ca="1">IFERROR(__xludf.DUMMYFUNCTION("""COMPUTED_VALUE"""),"")</f>
        <v/>
      </c>
      <c r="L39" s="134" t="str">
        <f ca="1">IFERROR(__xludf.DUMMYFUNCTION("""COMPUTED_VALUE"""),"")</f>
        <v/>
      </c>
      <c r="M39" s="134" t="str">
        <f ca="1">IFERROR(__xludf.DUMMYFUNCTION("""COMPUTED_VALUE"""),"")</f>
        <v/>
      </c>
      <c r="N39" s="134"/>
    </row>
    <row r="40" spans="1:21" customFormat="1" hidden="1">
      <c r="A40" s="134" t="str">
        <f ca="1">IFERROR(__xludf.DUMMYFUNCTION("""COMPUTED_VALUE"""),"")</f>
        <v/>
      </c>
      <c r="B40" s="134" t="str">
        <f ca="1">IFERROR(__xludf.DUMMYFUNCTION("""COMPUTED_VALUE"""),"")</f>
        <v/>
      </c>
      <c r="C40" s="134" t="str">
        <f ca="1">IFERROR(__xludf.DUMMYFUNCTION("""COMPUTED_VALUE"""),"")</f>
        <v/>
      </c>
      <c r="D40" s="134" t="str">
        <f ca="1">IFERROR(__xludf.DUMMYFUNCTION("""COMPUTED_VALUE"""),"")</f>
        <v/>
      </c>
      <c r="E40" s="134" t="str">
        <f ca="1">IFERROR(__xludf.DUMMYFUNCTION("""COMPUTED_VALUE"""),"")</f>
        <v/>
      </c>
      <c r="F40" s="134" t="str">
        <f ca="1">IFERROR(__xludf.DUMMYFUNCTION("""COMPUTED_VALUE"""),"")</f>
        <v/>
      </c>
      <c r="G40" s="134" t="str">
        <f ca="1">IFERROR(__xludf.DUMMYFUNCTION("""COMPUTED_VALUE"""),"")</f>
        <v/>
      </c>
      <c r="H40" s="134" t="str">
        <f ca="1">IFERROR(__xludf.DUMMYFUNCTION("""COMPUTED_VALUE"""),"")</f>
        <v/>
      </c>
      <c r="I40" s="134" t="str">
        <f ca="1">IFERROR(__xludf.DUMMYFUNCTION("""COMPUTED_VALUE"""),"")</f>
        <v/>
      </c>
      <c r="J40" s="134" t="str">
        <f ca="1">IFERROR(__xludf.DUMMYFUNCTION("""COMPUTED_VALUE"""),"")</f>
        <v/>
      </c>
      <c r="L40" s="135" t="str">
        <f ca="1">IFERROR(__xludf.DUMMYFUNCTION("""COMPUTED_VALUE"""),"")</f>
        <v/>
      </c>
      <c r="M40" s="135" t="str">
        <f ca="1">IFERROR(__xludf.DUMMYFUNCTION("""COMPUTED_VALUE"""),"")</f>
        <v/>
      </c>
      <c r="N40" s="135"/>
    </row>
    <row r="41" spans="1:21" customFormat="1">
      <c r="A41" s="134" t="str">
        <f ca="1">IFERROR(__xludf.DUMMYFUNCTION("""COMPUTED_VALUE"""),"")</f>
        <v/>
      </c>
      <c r="B41" s="134" t="str">
        <f ca="1">IFERROR(__xludf.DUMMYFUNCTION("""COMPUTED_VALUE"""),"")</f>
        <v/>
      </c>
      <c r="C41" s="134" t="str">
        <f ca="1">IFERROR(__xludf.DUMMYFUNCTION("""COMPUTED_VALUE"""),"")</f>
        <v/>
      </c>
      <c r="D41" s="134" t="str">
        <f ca="1">IFERROR(__xludf.DUMMYFUNCTION("""COMPUTED_VALUE"""),"")</f>
        <v/>
      </c>
      <c r="E41" s="134" t="str">
        <f ca="1">IFERROR(__xludf.DUMMYFUNCTION("""COMPUTED_VALUE"""),"")</f>
        <v/>
      </c>
      <c r="F41" s="134" t="str">
        <f ca="1">IFERROR(__xludf.DUMMYFUNCTION("""COMPUTED_VALUE"""),"")</f>
        <v/>
      </c>
      <c r="G41" s="134" t="str">
        <f ca="1">IFERROR(__xludf.DUMMYFUNCTION("""COMPUTED_VALUE"""),"")</f>
        <v/>
      </c>
      <c r="H41" s="134" t="str">
        <f ca="1">IFERROR(__xludf.DUMMYFUNCTION("""COMPUTED_VALUE"""),"")</f>
        <v/>
      </c>
      <c r="I41" s="134" t="str">
        <f ca="1">IFERROR(__xludf.DUMMYFUNCTION("""COMPUTED_VALUE"""),"")</f>
        <v/>
      </c>
      <c r="J41" s="134" t="str">
        <f ca="1">IFERROR(__xludf.DUMMYFUNCTION("""COMPUTED_VALUE"""),"")</f>
        <v/>
      </c>
      <c r="L41" s="135" t="str">
        <f ca="1">IFERROR(__xludf.DUMMYFUNCTION("""COMPUTED_VALUE"""),"")</f>
        <v/>
      </c>
      <c r="M41" s="135" t="str">
        <f ca="1">IFERROR(__xludf.DUMMYFUNCTION("""COMPUTED_VALUE"""),"")</f>
        <v/>
      </c>
      <c r="N41" s="135"/>
    </row>
    <row r="42" spans="1:21" customFormat="1">
      <c r="A42" s="134" t="str">
        <f ca="1">IFERROR(__xludf.DUMMYFUNCTION("""COMPUTED_VALUE"""),"")</f>
        <v/>
      </c>
      <c r="B42" s="134" t="str">
        <f ca="1">IFERROR(__xludf.DUMMYFUNCTION("""COMPUTED_VALUE"""),"")</f>
        <v/>
      </c>
      <c r="C42" s="134" t="str">
        <f ca="1">IFERROR(__xludf.DUMMYFUNCTION("""COMPUTED_VALUE"""),"")</f>
        <v/>
      </c>
      <c r="D42" s="134" t="str">
        <f ca="1">IFERROR(__xludf.DUMMYFUNCTION("""COMPUTED_VALUE"""),"")</f>
        <v/>
      </c>
      <c r="E42" s="134" t="str">
        <f ca="1">IFERROR(__xludf.DUMMYFUNCTION("""COMPUTED_VALUE"""),"")</f>
        <v/>
      </c>
      <c r="F42" s="134" t="str">
        <f ca="1">IFERROR(__xludf.DUMMYFUNCTION("""COMPUTED_VALUE"""),"")</f>
        <v/>
      </c>
      <c r="G42" s="134" t="str">
        <f ca="1">IFERROR(__xludf.DUMMYFUNCTION("""COMPUTED_VALUE"""),"")</f>
        <v/>
      </c>
      <c r="H42" s="134" t="str">
        <f ca="1">IFERROR(__xludf.DUMMYFUNCTION("""COMPUTED_VALUE"""),"")</f>
        <v/>
      </c>
      <c r="I42" s="134" t="str">
        <f ca="1">IFERROR(__xludf.DUMMYFUNCTION("""COMPUTED_VALUE"""),"")</f>
        <v/>
      </c>
      <c r="J42" s="134" t="str">
        <f ca="1">IFERROR(__xludf.DUMMYFUNCTION("""COMPUTED_VALUE"""),"")</f>
        <v/>
      </c>
      <c r="N42" s="159"/>
    </row>
    <row r="43" spans="1:21" customFormat="1">
      <c r="A43" s="134" t="str">
        <f ca="1">IFERROR(__xludf.DUMMYFUNCTION("""COMPUTED_VALUE"""),"")</f>
        <v/>
      </c>
      <c r="B43" s="134" t="str">
        <f ca="1">IFERROR(__xludf.DUMMYFUNCTION("""COMPUTED_VALUE"""),"")</f>
        <v/>
      </c>
      <c r="C43" s="134" t="str">
        <f ca="1">IFERROR(__xludf.DUMMYFUNCTION("""COMPUTED_VALUE"""),"")</f>
        <v/>
      </c>
      <c r="D43" s="134" t="str">
        <f ca="1">IFERROR(__xludf.DUMMYFUNCTION("""COMPUTED_VALUE"""),"")</f>
        <v/>
      </c>
      <c r="E43" s="134" t="str">
        <f ca="1">IFERROR(__xludf.DUMMYFUNCTION("""COMPUTED_VALUE"""),"")</f>
        <v/>
      </c>
      <c r="F43" s="134" t="str">
        <f ca="1">IFERROR(__xludf.DUMMYFUNCTION("""COMPUTED_VALUE"""),"")</f>
        <v/>
      </c>
      <c r="G43" s="134" t="str">
        <f ca="1">IFERROR(__xludf.DUMMYFUNCTION("""COMPUTED_VALUE"""),"")</f>
        <v/>
      </c>
      <c r="H43" s="134" t="str">
        <f ca="1">IFERROR(__xludf.DUMMYFUNCTION("""COMPUTED_VALUE"""),"")</f>
        <v/>
      </c>
      <c r="I43" s="134" t="str">
        <f ca="1">IFERROR(__xludf.DUMMYFUNCTION("""COMPUTED_VALUE"""),"")</f>
        <v/>
      </c>
      <c r="J43" s="134" t="str">
        <f ca="1">IFERROR(__xludf.DUMMYFUNCTION("""COMPUTED_VALUE"""),"")</f>
        <v/>
      </c>
      <c r="N43" s="128"/>
    </row>
    <row r="44" spans="1:21" customFormat="1">
      <c r="A44" s="134" t="str">
        <f ca="1">IFERROR(__xludf.DUMMYFUNCTION("""COMPUTED_VALUE"""),"")</f>
        <v/>
      </c>
      <c r="B44" s="134" t="str">
        <f ca="1">IFERROR(__xludf.DUMMYFUNCTION("""COMPUTED_VALUE"""),"")</f>
        <v/>
      </c>
      <c r="C44" s="134" t="str">
        <f ca="1">IFERROR(__xludf.DUMMYFUNCTION("""COMPUTED_VALUE"""),"")</f>
        <v/>
      </c>
      <c r="D44" s="134" t="str">
        <f ca="1">IFERROR(__xludf.DUMMYFUNCTION("""COMPUTED_VALUE"""),"")</f>
        <v/>
      </c>
      <c r="E44" s="134" t="str">
        <f ca="1">IFERROR(__xludf.DUMMYFUNCTION("""COMPUTED_VALUE"""),"")</f>
        <v/>
      </c>
      <c r="F44" s="134" t="str">
        <f ca="1">IFERROR(__xludf.DUMMYFUNCTION("""COMPUTED_VALUE"""),"")</f>
        <v/>
      </c>
      <c r="G44" s="134" t="str">
        <f ca="1">IFERROR(__xludf.DUMMYFUNCTION("""COMPUTED_VALUE"""),"")</f>
        <v/>
      </c>
      <c r="H44" s="134" t="str">
        <f ca="1">IFERROR(__xludf.DUMMYFUNCTION("""COMPUTED_VALUE"""),"")</f>
        <v/>
      </c>
      <c r="I44" s="134" t="str">
        <f ca="1">IFERROR(__xludf.DUMMYFUNCTION("""COMPUTED_VALUE"""),"")</f>
        <v/>
      </c>
      <c r="J44" s="134" t="str">
        <f ca="1">IFERROR(__xludf.DUMMYFUNCTION("""COMPUTED_VALUE"""),"")</f>
        <v/>
      </c>
    </row>
    <row r="45" spans="1:21" customFormat="1">
      <c r="A45" s="134" t="str">
        <f ca="1">IFERROR(__xludf.DUMMYFUNCTION("""COMPUTED_VALUE"""),"")</f>
        <v/>
      </c>
      <c r="B45" s="134" t="str">
        <f ca="1">IFERROR(__xludf.DUMMYFUNCTION("""COMPUTED_VALUE"""),"")</f>
        <v/>
      </c>
      <c r="C45" s="134" t="str">
        <f ca="1">IFERROR(__xludf.DUMMYFUNCTION("""COMPUTED_VALUE"""),"")</f>
        <v/>
      </c>
      <c r="D45" s="134" t="str">
        <f ca="1">IFERROR(__xludf.DUMMYFUNCTION("""COMPUTED_VALUE"""),"")</f>
        <v/>
      </c>
      <c r="E45" s="134" t="str">
        <f ca="1">IFERROR(__xludf.DUMMYFUNCTION("""COMPUTED_VALUE"""),"")</f>
        <v/>
      </c>
      <c r="F45" s="134" t="str">
        <f ca="1">IFERROR(__xludf.DUMMYFUNCTION("""COMPUTED_VALUE"""),"")</f>
        <v/>
      </c>
      <c r="G45" s="134" t="str">
        <f ca="1">IFERROR(__xludf.DUMMYFUNCTION("""COMPUTED_VALUE"""),"")</f>
        <v/>
      </c>
      <c r="H45" s="134" t="str">
        <f ca="1">IFERROR(__xludf.DUMMYFUNCTION("""COMPUTED_VALUE"""),"")</f>
        <v/>
      </c>
      <c r="I45" s="134" t="str">
        <f ca="1">IFERROR(__xludf.DUMMYFUNCTION("""COMPUTED_VALUE"""),"")</f>
        <v/>
      </c>
      <c r="J45" s="134" t="str">
        <f ca="1">IFERROR(__xludf.DUMMYFUNCTION("""COMPUTED_VALUE"""),"")</f>
        <v/>
      </c>
      <c r="N45" s="159"/>
    </row>
    <row r="46" spans="1:21" customFormat="1">
      <c r="A46" s="134" t="str">
        <f ca="1">IFERROR(__xludf.DUMMYFUNCTION("""COMPUTED_VALUE"""),"")</f>
        <v/>
      </c>
      <c r="B46" s="134" t="str">
        <f ca="1">IFERROR(__xludf.DUMMYFUNCTION("""COMPUTED_VALUE"""),"")</f>
        <v/>
      </c>
      <c r="C46" s="134" t="str">
        <f ca="1">IFERROR(__xludf.DUMMYFUNCTION("""COMPUTED_VALUE"""),"")</f>
        <v/>
      </c>
      <c r="D46" s="134" t="str">
        <f ca="1">IFERROR(__xludf.DUMMYFUNCTION("""COMPUTED_VALUE"""),"")</f>
        <v/>
      </c>
      <c r="E46" s="134" t="str">
        <f ca="1">IFERROR(__xludf.DUMMYFUNCTION("""COMPUTED_VALUE"""),"")</f>
        <v/>
      </c>
      <c r="F46" s="134" t="str">
        <f ca="1">IFERROR(__xludf.DUMMYFUNCTION("""COMPUTED_VALUE"""),"")</f>
        <v/>
      </c>
      <c r="G46" s="134" t="str">
        <f ca="1">IFERROR(__xludf.DUMMYFUNCTION("""COMPUTED_VALUE"""),"")</f>
        <v/>
      </c>
      <c r="H46" s="134" t="str">
        <f ca="1">IFERROR(__xludf.DUMMYFUNCTION("""COMPUTED_VALUE"""),"")</f>
        <v/>
      </c>
      <c r="I46" s="134" t="str">
        <f ca="1">IFERROR(__xludf.DUMMYFUNCTION("""COMPUTED_VALUE"""),"")</f>
        <v/>
      </c>
      <c r="J46" s="134" t="str">
        <f ca="1">IFERROR(__xludf.DUMMYFUNCTION("""COMPUTED_VALUE"""),"")</f>
        <v/>
      </c>
      <c r="N46" s="134"/>
    </row>
    <row r="47" spans="1:21" customFormat="1">
      <c r="A47" s="134" t="str">
        <f ca="1">IFERROR(__xludf.DUMMYFUNCTION("""COMPUTED_VALUE"""),"")</f>
        <v/>
      </c>
      <c r="B47" s="134" t="str">
        <f ca="1">IFERROR(__xludf.DUMMYFUNCTION("""COMPUTED_VALUE"""),"")</f>
        <v/>
      </c>
      <c r="C47" s="134" t="str">
        <f ca="1">IFERROR(__xludf.DUMMYFUNCTION("""COMPUTED_VALUE"""),"")</f>
        <v/>
      </c>
      <c r="D47" s="134" t="str">
        <f ca="1">IFERROR(__xludf.DUMMYFUNCTION("""COMPUTED_VALUE"""),"")</f>
        <v/>
      </c>
      <c r="E47" s="134" t="str">
        <f ca="1">IFERROR(__xludf.DUMMYFUNCTION("""COMPUTED_VALUE"""),"")</f>
        <v/>
      </c>
      <c r="F47" s="134" t="str">
        <f ca="1">IFERROR(__xludf.DUMMYFUNCTION("""COMPUTED_VALUE"""),"")</f>
        <v/>
      </c>
      <c r="G47" s="134" t="str">
        <f ca="1">IFERROR(__xludf.DUMMYFUNCTION("""COMPUTED_VALUE"""),"")</f>
        <v/>
      </c>
      <c r="H47" s="134" t="str">
        <f ca="1">IFERROR(__xludf.DUMMYFUNCTION("""COMPUTED_VALUE"""),"")</f>
        <v/>
      </c>
      <c r="I47" s="134" t="str">
        <f ca="1">IFERROR(__xludf.DUMMYFUNCTION("""COMPUTED_VALUE"""),"")</f>
        <v/>
      </c>
      <c r="J47" s="134" t="str">
        <f ca="1">IFERROR(__xludf.DUMMYFUNCTION("""COMPUTED_VALUE"""),"")</f>
        <v/>
      </c>
    </row>
    <row r="48" spans="1:21" customFormat="1">
      <c r="A48" s="134" t="str">
        <f ca="1">IFERROR(__xludf.DUMMYFUNCTION("""COMPUTED_VALUE"""),"")</f>
        <v/>
      </c>
      <c r="B48" s="134" t="str">
        <f ca="1">IFERROR(__xludf.DUMMYFUNCTION("""COMPUTED_VALUE"""),"")</f>
        <v/>
      </c>
      <c r="C48" s="134" t="str">
        <f ca="1">IFERROR(__xludf.DUMMYFUNCTION("""COMPUTED_VALUE"""),"")</f>
        <v/>
      </c>
      <c r="D48" s="134" t="str">
        <f ca="1">IFERROR(__xludf.DUMMYFUNCTION("""COMPUTED_VALUE"""),"")</f>
        <v/>
      </c>
      <c r="E48" s="134" t="str">
        <f ca="1">IFERROR(__xludf.DUMMYFUNCTION("""COMPUTED_VALUE"""),"")</f>
        <v/>
      </c>
      <c r="F48" s="134" t="str">
        <f ca="1">IFERROR(__xludf.DUMMYFUNCTION("""COMPUTED_VALUE"""),"")</f>
        <v/>
      </c>
      <c r="G48" s="134" t="str">
        <f ca="1">IFERROR(__xludf.DUMMYFUNCTION("""COMPUTED_VALUE"""),"")</f>
        <v/>
      </c>
      <c r="H48" s="134" t="str">
        <f ca="1">IFERROR(__xludf.DUMMYFUNCTION("""COMPUTED_VALUE"""),"")</f>
        <v/>
      </c>
      <c r="I48" s="134" t="str">
        <f ca="1">IFERROR(__xludf.DUMMYFUNCTION("""COMPUTED_VALUE"""),"")</f>
        <v/>
      </c>
      <c r="J48" s="134" t="str">
        <f ca="1">IFERROR(__xludf.DUMMYFUNCTION("""COMPUTED_VALUE"""),"")</f>
        <v/>
      </c>
      <c r="L48" s="135"/>
      <c r="M48" s="135"/>
      <c r="N48" s="135"/>
    </row>
    <row r="49" spans="1:14" customFormat="1">
      <c r="A49" s="134" t="str">
        <f ca="1">IFERROR(__xludf.DUMMYFUNCTION("""COMPUTED_VALUE"""),"")</f>
        <v/>
      </c>
      <c r="B49" s="134" t="str">
        <f ca="1">IFERROR(__xludf.DUMMYFUNCTION("""COMPUTED_VALUE"""),"")</f>
        <v/>
      </c>
      <c r="C49" s="134" t="str">
        <f ca="1">IFERROR(__xludf.DUMMYFUNCTION("""COMPUTED_VALUE"""),"")</f>
        <v/>
      </c>
      <c r="D49" s="134" t="str">
        <f ca="1">IFERROR(__xludf.DUMMYFUNCTION("""COMPUTED_VALUE"""),"")</f>
        <v/>
      </c>
      <c r="E49" s="134" t="str">
        <f ca="1">IFERROR(__xludf.DUMMYFUNCTION("""COMPUTED_VALUE"""),"")</f>
        <v/>
      </c>
      <c r="F49" s="134" t="str">
        <f ca="1">IFERROR(__xludf.DUMMYFUNCTION("""COMPUTED_VALUE"""),"")</f>
        <v/>
      </c>
      <c r="G49" s="134" t="str">
        <f ca="1">IFERROR(__xludf.DUMMYFUNCTION("""COMPUTED_VALUE"""),"")</f>
        <v/>
      </c>
      <c r="H49" s="134" t="str">
        <f ca="1">IFERROR(__xludf.DUMMYFUNCTION("""COMPUTED_VALUE"""),"")</f>
        <v/>
      </c>
      <c r="I49" s="134" t="str">
        <f ca="1">IFERROR(__xludf.DUMMYFUNCTION("""COMPUTED_VALUE"""),"")</f>
        <v/>
      </c>
      <c r="J49" s="134" t="str">
        <f ca="1">IFERROR(__xludf.DUMMYFUNCTION("""COMPUTED_VALUE"""),"")</f>
        <v/>
      </c>
      <c r="L49" s="135"/>
      <c r="M49" s="135"/>
      <c r="N49" s="135"/>
    </row>
    <row r="50" spans="1:14" customFormat="1">
      <c r="A50" s="134" t="str">
        <f ca="1">IFERROR(__xludf.DUMMYFUNCTION("""COMPUTED_VALUE"""),"")</f>
        <v/>
      </c>
      <c r="B50" s="134" t="str">
        <f ca="1">IFERROR(__xludf.DUMMYFUNCTION("""COMPUTED_VALUE"""),"")</f>
        <v/>
      </c>
      <c r="C50" s="134" t="str">
        <f ca="1">IFERROR(__xludf.DUMMYFUNCTION("""COMPUTED_VALUE"""),"")</f>
        <v/>
      </c>
      <c r="D50" s="134" t="str">
        <f ca="1">IFERROR(__xludf.DUMMYFUNCTION("""COMPUTED_VALUE"""),"")</f>
        <v/>
      </c>
      <c r="E50" s="134" t="str">
        <f ca="1">IFERROR(__xludf.DUMMYFUNCTION("""COMPUTED_VALUE"""),"")</f>
        <v/>
      </c>
      <c r="F50" s="134" t="str">
        <f ca="1">IFERROR(__xludf.DUMMYFUNCTION("""COMPUTED_VALUE"""),"")</f>
        <v/>
      </c>
      <c r="G50" s="134" t="str">
        <f ca="1">IFERROR(__xludf.DUMMYFUNCTION("""COMPUTED_VALUE"""),"")</f>
        <v/>
      </c>
      <c r="H50" s="134" t="str">
        <f ca="1">IFERROR(__xludf.DUMMYFUNCTION("""COMPUTED_VALUE"""),"")</f>
        <v/>
      </c>
      <c r="I50" s="134" t="str">
        <f ca="1">IFERROR(__xludf.DUMMYFUNCTION("""COMPUTED_VALUE"""),"")</f>
        <v/>
      </c>
      <c r="J50" s="134" t="str">
        <f ca="1">IFERROR(__xludf.DUMMYFUNCTION("""COMPUTED_VALUE"""),"")</f>
        <v/>
      </c>
      <c r="N50" s="159"/>
    </row>
    <row r="51" spans="1:14" customFormat="1">
      <c r="A51" s="134" t="str">
        <f ca="1">IFERROR(__xludf.DUMMYFUNCTION("""COMPUTED_VALUE"""),"")</f>
        <v/>
      </c>
      <c r="B51" s="134" t="str">
        <f ca="1">IFERROR(__xludf.DUMMYFUNCTION("""COMPUTED_VALUE"""),"")</f>
        <v/>
      </c>
      <c r="C51" s="134" t="str">
        <f ca="1">IFERROR(__xludf.DUMMYFUNCTION("""COMPUTED_VALUE"""),"")</f>
        <v/>
      </c>
      <c r="D51" s="134" t="str">
        <f ca="1">IFERROR(__xludf.DUMMYFUNCTION("""COMPUTED_VALUE"""),"")</f>
        <v/>
      </c>
      <c r="E51" s="134" t="str">
        <f ca="1">IFERROR(__xludf.DUMMYFUNCTION("""COMPUTED_VALUE"""),"")</f>
        <v/>
      </c>
      <c r="F51" s="134" t="str">
        <f ca="1">IFERROR(__xludf.DUMMYFUNCTION("""COMPUTED_VALUE"""),"")</f>
        <v/>
      </c>
      <c r="G51" s="134" t="str">
        <f ca="1">IFERROR(__xludf.DUMMYFUNCTION("""COMPUTED_VALUE"""),"")</f>
        <v/>
      </c>
      <c r="H51" s="134" t="str">
        <f ca="1">IFERROR(__xludf.DUMMYFUNCTION("""COMPUTED_VALUE"""),"")</f>
        <v/>
      </c>
      <c r="I51" s="134" t="str">
        <f ca="1">IFERROR(__xludf.DUMMYFUNCTION("""COMPUTED_VALUE"""),"")</f>
        <v/>
      </c>
      <c r="J51" s="134" t="str">
        <f ca="1">IFERROR(__xludf.DUMMYFUNCTION("""COMPUTED_VALUE"""),"")</f>
        <v/>
      </c>
      <c r="N51" s="128"/>
    </row>
    <row r="52" spans="1:14" customFormat="1">
      <c r="A52" s="134" t="str">
        <f ca="1">IFERROR(__xludf.DUMMYFUNCTION("""COMPUTED_VALUE"""),"")</f>
        <v/>
      </c>
      <c r="B52" s="134" t="str">
        <f ca="1">IFERROR(__xludf.DUMMYFUNCTION("""COMPUTED_VALUE"""),"")</f>
        <v/>
      </c>
      <c r="C52" s="134" t="str">
        <f ca="1">IFERROR(__xludf.DUMMYFUNCTION("""COMPUTED_VALUE"""),"")</f>
        <v/>
      </c>
      <c r="D52" s="134" t="str">
        <f ca="1">IFERROR(__xludf.DUMMYFUNCTION("""COMPUTED_VALUE"""),"")</f>
        <v/>
      </c>
      <c r="E52" s="134" t="str">
        <f ca="1">IFERROR(__xludf.DUMMYFUNCTION("""COMPUTED_VALUE"""),"")</f>
        <v/>
      </c>
      <c r="F52" s="134" t="str">
        <f ca="1">IFERROR(__xludf.DUMMYFUNCTION("""COMPUTED_VALUE"""),"")</f>
        <v/>
      </c>
      <c r="G52" s="134" t="str">
        <f ca="1">IFERROR(__xludf.DUMMYFUNCTION("""COMPUTED_VALUE"""),"")</f>
        <v/>
      </c>
      <c r="H52" s="134" t="str">
        <f ca="1">IFERROR(__xludf.DUMMYFUNCTION("""COMPUTED_VALUE"""),"")</f>
        <v/>
      </c>
      <c r="I52" s="134" t="str">
        <f ca="1">IFERROR(__xludf.DUMMYFUNCTION("""COMPUTED_VALUE"""),"")</f>
        <v/>
      </c>
      <c r="J52" s="134" t="str">
        <f ca="1">IFERROR(__xludf.DUMMYFUNCTION("""COMPUTED_VALUE"""),"")</f>
        <v/>
      </c>
    </row>
    <row r="53" spans="1:14" customFormat="1">
      <c r="A53" s="134" t="str">
        <f ca="1">IFERROR(__xludf.DUMMYFUNCTION("""COMPUTED_VALUE"""),"")</f>
        <v/>
      </c>
      <c r="B53" s="134" t="str">
        <f ca="1">IFERROR(__xludf.DUMMYFUNCTION("""COMPUTED_VALUE"""),"")</f>
        <v/>
      </c>
      <c r="C53" s="134" t="str">
        <f ca="1">IFERROR(__xludf.DUMMYFUNCTION("""COMPUTED_VALUE"""),"")</f>
        <v/>
      </c>
      <c r="D53" s="134" t="str">
        <f ca="1">IFERROR(__xludf.DUMMYFUNCTION("""COMPUTED_VALUE"""),"")</f>
        <v/>
      </c>
      <c r="E53" s="134" t="str">
        <f ca="1">IFERROR(__xludf.DUMMYFUNCTION("""COMPUTED_VALUE"""),"")</f>
        <v/>
      </c>
      <c r="F53" s="134" t="str">
        <f ca="1">IFERROR(__xludf.DUMMYFUNCTION("""COMPUTED_VALUE"""),"")</f>
        <v/>
      </c>
      <c r="G53" s="134" t="str">
        <f ca="1">IFERROR(__xludf.DUMMYFUNCTION("""COMPUTED_VALUE"""),"")</f>
        <v/>
      </c>
      <c r="H53" s="134" t="str">
        <f ca="1">IFERROR(__xludf.DUMMYFUNCTION("""COMPUTED_VALUE"""),"")</f>
        <v/>
      </c>
      <c r="I53" s="134" t="str">
        <f ca="1">IFERROR(__xludf.DUMMYFUNCTION("""COMPUTED_VALUE"""),"")</f>
        <v/>
      </c>
      <c r="J53" s="134" t="str">
        <f ca="1">IFERROR(__xludf.DUMMYFUNCTION("""COMPUTED_VALUE"""),"")</f>
        <v/>
      </c>
      <c r="N53" s="159"/>
    </row>
    <row r="54" spans="1:14" customFormat="1">
      <c r="A54" s="134" t="str">
        <f ca="1">IFERROR(__xludf.DUMMYFUNCTION("""COMPUTED_VALUE"""),"")</f>
        <v/>
      </c>
      <c r="B54" s="134" t="str">
        <f ca="1">IFERROR(__xludf.DUMMYFUNCTION("""COMPUTED_VALUE"""),"")</f>
        <v/>
      </c>
      <c r="C54" s="134" t="str">
        <f ca="1">IFERROR(__xludf.DUMMYFUNCTION("""COMPUTED_VALUE"""),"")</f>
        <v/>
      </c>
      <c r="D54" s="134" t="str">
        <f ca="1">IFERROR(__xludf.DUMMYFUNCTION("""COMPUTED_VALUE"""),"")</f>
        <v/>
      </c>
      <c r="E54" s="134" t="str">
        <f ca="1">IFERROR(__xludf.DUMMYFUNCTION("""COMPUTED_VALUE"""),"")</f>
        <v/>
      </c>
      <c r="F54" s="134" t="str">
        <f ca="1">IFERROR(__xludf.DUMMYFUNCTION("""COMPUTED_VALUE"""),"")</f>
        <v/>
      </c>
      <c r="G54" s="134" t="str">
        <f ca="1">IFERROR(__xludf.DUMMYFUNCTION("""COMPUTED_VALUE"""),"")</f>
        <v/>
      </c>
      <c r="H54" s="134" t="str">
        <f ca="1">IFERROR(__xludf.DUMMYFUNCTION("""COMPUTED_VALUE"""),"")</f>
        <v/>
      </c>
      <c r="I54" s="134" t="str">
        <f ca="1">IFERROR(__xludf.DUMMYFUNCTION("""COMPUTED_VALUE"""),"")</f>
        <v/>
      </c>
      <c r="J54" s="134" t="str">
        <f ca="1">IFERROR(__xludf.DUMMYFUNCTION("""COMPUTED_VALUE"""),"")</f>
        <v/>
      </c>
      <c r="K54" s="135"/>
      <c r="N54" s="134"/>
    </row>
    <row r="55" spans="1:14" customFormat="1">
      <c r="A55" s="134" t="str">
        <f ca="1">IFERROR(__xludf.DUMMYFUNCTION("""COMPUTED_VALUE"""),"")</f>
        <v/>
      </c>
      <c r="B55" s="134" t="str">
        <f ca="1">IFERROR(__xludf.DUMMYFUNCTION("""COMPUTED_VALUE"""),"")</f>
        <v/>
      </c>
      <c r="C55" s="134" t="str">
        <f ca="1">IFERROR(__xludf.DUMMYFUNCTION("""COMPUTED_VALUE"""),"")</f>
        <v/>
      </c>
      <c r="D55" s="134" t="str">
        <f ca="1">IFERROR(__xludf.DUMMYFUNCTION("""COMPUTED_VALUE"""),"")</f>
        <v/>
      </c>
      <c r="E55" s="134" t="str">
        <f ca="1">IFERROR(__xludf.DUMMYFUNCTION("""COMPUTED_VALUE"""),"")</f>
        <v/>
      </c>
      <c r="F55" s="134" t="str">
        <f ca="1">IFERROR(__xludf.DUMMYFUNCTION("""COMPUTED_VALUE"""),"")</f>
        <v/>
      </c>
      <c r="G55" s="134" t="str">
        <f ca="1">IFERROR(__xludf.DUMMYFUNCTION("""COMPUTED_VALUE"""),"")</f>
        <v/>
      </c>
      <c r="H55" s="134" t="str">
        <f ca="1">IFERROR(__xludf.DUMMYFUNCTION("""COMPUTED_VALUE"""),"")</f>
        <v/>
      </c>
      <c r="I55" s="134" t="str">
        <f ca="1">IFERROR(__xludf.DUMMYFUNCTION("""COMPUTED_VALUE"""),"")</f>
        <v/>
      </c>
      <c r="J55" s="134" t="str">
        <f ca="1">IFERROR(__xludf.DUMMYFUNCTION("""COMPUTED_VALUE"""),"")</f>
        <v/>
      </c>
      <c r="K55" s="135"/>
    </row>
    <row r="56" spans="1:14" customFormat="1">
      <c r="A56" s="134" t="str">
        <f ca="1">IFERROR(__xludf.DUMMYFUNCTION("""COMPUTED_VALUE"""),"")</f>
        <v/>
      </c>
      <c r="B56" s="134" t="str">
        <f ca="1">IFERROR(__xludf.DUMMYFUNCTION("""COMPUTED_VALUE"""),"")</f>
        <v/>
      </c>
      <c r="C56" s="134" t="str">
        <f ca="1">IFERROR(__xludf.DUMMYFUNCTION("""COMPUTED_VALUE"""),"")</f>
        <v/>
      </c>
      <c r="D56" s="134" t="str">
        <f ca="1">IFERROR(__xludf.DUMMYFUNCTION("""COMPUTED_VALUE"""),"")</f>
        <v/>
      </c>
      <c r="E56" s="134" t="str">
        <f ca="1">IFERROR(__xludf.DUMMYFUNCTION("""COMPUTED_VALUE"""),"")</f>
        <v/>
      </c>
      <c r="F56" s="134" t="str">
        <f ca="1">IFERROR(__xludf.DUMMYFUNCTION("""COMPUTED_VALUE"""),"")</f>
        <v/>
      </c>
      <c r="G56" s="134" t="str">
        <f ca="1">IFERROR(__xludf.DUMMYFUNCTION("""COMPUTED_VALUE"""),"")</f>
        <v/>
      </c>
      <c r="H56" s="134" t="str">
        <f ca="1">IFERROR(__xludf.DUMMYFUNCTION("""COMPUTED_VALUE"""),"")</f>
        <v/>
      </c>
      <c r="I56" s="134" t="str">
        <f ca="1">IFERROR(__xludf.DUMMYFUNCTION("""COMPUTED_VALUE"""),"")</f>
        <v/>
      </c>
      <c r="J56" s="134" t="str">
        <f ca="1">IFERROR(__xludf.DUMMYFUNCTION("""COMPUTED_VALUE"""),"")</f>
        <v/>
      </c>
      <c r="L56" s="135"/>
      <c r="M56" s="135"/>
      <c r="N56" s="135"/>
    </row>
    <row r="57" spans="1:14" customFormat="1">
      <c r="A57" s="134" t="str">
        <f ca="1">IFERROR(__xludf.DUMMYFUNCTION("""COMPUTED_VALUE"""),"")</f>
        <v/>
      </c>
      <c r="B57" s="134" t="str">
        <f ca="1">IFERROR(__xludf.DUMMYFUNCTION("""COMPUTED_VALUE"""),"")</f>
        <v/>
      </c>
      <c r="C57" s="134" t="str">
        <f ca="1">IFERROR(__xludf.DUMMYFUNCTION("""COMPUTED_VALUE"""),"")</f>
        <v/>
      </c>
      <c r="D57" s="134" t="str">
        <f ca="1">IFERROR(__xludf.DUMMYFUNCTION("""COMPUTED_VALUE"""),"")</f>
        <v/>
      </c>
      <c r="E57" s="134" t="str">
        <f ca="1">IFERROR(__xludf.DUMMYFUNCTION("""COMPUTED_VALUE"""),"")</f>
        <v/>
      </c>
      <c r="F57" s="134" t="str">
        <f ca="1">IFERROR(__xludf.DUMMYFUNCTION("""COMPUTED_VALUE"""),"")</f>
        <v/>
      </c>
      <c r="G57" s="134" t="str">
        <f ca="1">IFERROR(__xludf.DUMMYFUNCTION("""COMPUTED_VALUE"""),"")</f>
        <v/>
      </c>
      <c r="H57" s="134" t="str">
        <f ca="1">IFERROR(__xludf.DUMMYFUNCTION("""COMPUTED_VALUE"""),"")</f>
        <v/>
      </c>
      <c r="I57" s="134" t="str">
        <f ca="1">IFERROR(__xludf.DUMMYFUNCTION("""COMPUTED_VALUE"""),"")</f>
        <v/>
      </c>
      <c r="J57" s="134" t="str">
        <f ca="1">IFERROR(__xludf.DUMMYFUNCTION("""COMPUTED_VALUE"""),"")</f>
        <v/>
      </c>
      <c r="L57" s="135"/>
      <c r="M57" s="135"/>
      <c r="N57" s="135"/>
    </row>
    <row r="58" spans="1:14" customFormat="1">
      <c r="A58" s="134" t="str">
        <f ca="1">IFERROR(__xludf.DUMMYFUNCTION("""COMPUTED_VALUE"""),"")</f>
        <v/>
      </c>
      <c r="B58" s="134" t="str">
        <f ca="1">IFERROR(__xludf.DUMMYFUNCTION("""COMPUTED_VALUE"""),"")</f>
        <v/>
      </c>
      <c r="C58" s="134" t="str">
        <f ca="1">IFERROR(__xludf.DUMMYFUNCTION("""COMPUTED_VALUE"""),"")</f>
        <v/>
      </c>
      <c r="D58" s="134" t="str">
        <f ca="1">IFERROR(__xludf.DUMMYFUNCTION("""COMPUTED_VALUE"""),"")</f>
        <v/>
      </c>
      <c r="E58" s="134" t="str">
        <f ca="1">IFERROR(__xludf.DUMMYFUNCTION("""COMPUTED_VALUE"""),"")</f>
        <v/>
      </c>
      <c r="F58" s="134" t="str">
        <f ca="1">IFERROR(__xludf.DUMMYFUNCTION("""COMPUTED_VALUE"""),"")</f>
        <v/>
      </c>
      <c r="G58" s="134" t="str">
        <f ca="1">IFERROR(__xludf.DUMMYFUNCTION("""COMPUTED_VALUE"""),"")</f>
        <v/>
      </c>
      <c r="H58" s="134" t="str">
        <f ca="1">IFERROR(__xludf.DUMMYFUNCTION("""COMPUTED_VALUE"""),"")</f>
        <v/>
      </c>
      <c r="I58" s="134" t="str">
        <f ca="1">IFERROR(__xludf.DUMMYFUNCTION("""COMPUTED_VALUE"""),"")</f>
        <v/>
      </c>
      <c r="J58" s="134" t="str">
        <f ca="1">IFERROR(__xludf.DUMMYFUNCTION("""COMPUTED_VALUE"""),"")</f>
        <v/>
      </c>
      <c r="N58" s="159"/>
    </row>
    <row r="59" spans="1:14" customFormat="1">
      <c r="A59" s="134" t="str">
        <f ca="1">IFERROR(__xludf.DUMMYFUNCTION("""COMPUTED_VALUE"""),"")</f>
        <v/>
      </c>
      <c r="B59" s="134" t="str">
        <f ca="1">IFERROR(__xludf.DUMMYFUNCTION("""COMPUTED_VALUE"""),"")</f>
        <v/>
      </c>
      <c r="C59" s="134" t="str">
        <f ca="1">IFERROR(__xludf.DUMMYFUNCTION("""COMPUTED_VALUE"""),"")</f>
        <v/>
      </c>
      <c r="D59" s="134" t="str">
        <f ca="1">IFERROR(__xludf.DUMMYFUNCTION("""COMPUTED_VALUE"""),"")</f>
        <v/>
      </c>
      <c r="E59" s="134" t="str">
        <f ca="1">IFERROR(__xludf.DUMMYFUNCTION("""COMPUTED_VALUE"""),"")</f>
        <v/>
      </c>
      <c r="F59" s="134" t="str">
        <f ca="1">IFERROR(__xludf.DUMMYFUNCTION("""COMPUTED_VALUE"""),"")</f>
        <v/>
      </c>
      <c r="G59" s="134" t="str">
        <f ca="1">IFERROR(__xludf.DUMMYFUNCTION("""COMPUTED_VALUE"""),"")</f>
        <v/>
      </c>
      <c r="H59" s="134" t="str">
        <f ca="1">IFERROR(__xludf.DUMMYFUNCTION("""COMPUTED_VALUE"""),"")</f>
        <v/>
      </c>
      <c r="I59" s="134" t="str">
        <f ca="1">IFERROR(__xludf.DUMMYFUNCTION("""COMPUTED_VALUE"""),"")</f>
        <v/>
      </c>
      <c r="J59" s="134" t="str">
        <f ca="1">IFERROR(__xludf.DUMMYFUNCTION("""COMPUTED_VALUE"""),"")</f>
        <v/>
      </c>
      <c r="N59" s="128"/>
    </row>
    <row r="60" spans="1:14" customFormat="1">
      <c r="A60" s="134" t="str">
        <f ca="1">IFERROR(__xludf.DUMMYFUNCTION("""COMPUTED_VALUE"""),"")</f>
        <v/>
      </c>
      <c r="B60" s="134" t="str">
        <f ca="1">IFERROR(__xludf.DUMMYFUNCTION("""COMPUTED_VALUE"""),"")</f>
        <v/>
      </c>
      <c r="C60" s="134" t="str">
        <f ca="1">IFERROR(__xludf.DUMMYFUNCTION("""COMPUTED_VALUE"""),"")</f>
        <v/>
      </c>
      <c r="D60" s="134" t="str">
        <f ca="1">IFERROR(__xludf.DUMMYFUNCTION("""COMPUTED_VALUE"""),"")</f>
        <v/>
      </c>
      <c r="E60" s="134" t="str">
        <f ca="1">IFERROR(__xludf.DUMMYFUNCTION("""COMPUTED_VALUE"""),"")</f>
        <v/>
      </c>
      <c r="F60" s="134" t="str">
        <f ca="1">IFERROR(__xludf.DUMMYFUNCTION("""COMPUTED_VALUE"""),"")</f>
        <v/>
      </c>
      <c r="G60" s="134" t="str">
        <f ca="1">IFERROR(__xludf.DUMMYFUNCTION("""COMPUTED_VALUE"""),"")</f>
        <v/>
      </c>
      <c r="H60" s="134" t="str">
        <f ca="1">IFERROR(__xludf.DUMMYFUNCTION("""COMPUTED_VALUE"""),"")</f>
        <v/>
      </c>
      <c r="I60" s="134" t="str">
        <f ca="1">IFERROR(__xludf.DUMMYFUNCTION("""COMPUTED_VALUE"""),"")</f>
        <v/>
      </c>
      <c r="J60" s="134" t="str">
        <f ca="1">IFERROR(__xludf.DUMMYFUNCTION("""COMPUTED_VALUE"""),"")</f>
        <v/>
      </c>
    </row>
    <row r="61" spans="1:14" customFormat="1">
      <c r="A61" s="134" t="str">
        <f ca="1">IFERROR(__xludf.DUMMYFUNCTION("""COMPUTED_VALUE"""),"")</f>
        <v/>
      </c>
      <c r="B61" s="134" t="str">
        <f ca="1">IFERROR(__xludf.DUMMYFUNCTION("""COMPUTED_VALUE"""),"")</f>
        <v/>
      </c>
      <c r="C61" s="134" t="str">
        <f ca="1">IFERROR(__xludf.DUMMYFUNCTION("""COMPUTED_VALUE"""),"")</f>
        <v/>
      </c>
      <c r="D61" s="134" t="str">
        <f ca="1">IFERROR(__xludf.DUMMYFUNCTION("""COMPUTED_VALUE"""),"")</f>
        <v/>
      </c>
      <c r="E61" s="134" t="str">
        <f ca="1">IFERROR(__xludf.DUMMYFUNCTION("""COMPUTED_VALUE"""),"")</f>
        <v/>
      </c>
      <c r="F61" s="134" t="str">
        <f ca="1">IFERROR(__xludf.DUMMYFUNCTION("""COMPUTED_VALUE"""),"")</f>
        <v/>
      </c>
      <c r="G61" s="134" t="str">
        <f ca="1">IFERROR(__xludf.DUMMYFUNCTION("""COMPUTED_VALUE"""),"")</f>
        <v/>
      </c>
      <c r="H61" s="134" t="str">
        <f ca="1">IFERROR(__xludf.DUMMYFUNCTION("""COMPUTED_VALUE"""),"")</f>
        <v/>
      </c>
      <c r="I61" s="134" t="str">
        <f ca="1">IFERROR(__xludf.DUMMYFUNCTION("""COMPUTED_VALUE"""),"")</f>
        <v/>
      </c>
      <c r="J61" s="134" t="str">
        <f ca="1">IFERROR(__xludf.DUMMYFUNCTION("""COMPUTED_VALUE"""),"")</f>
        <v/>
      </c>
      <c r="N61" s="159"/>
    </row>
    <row r="62" spans="1:14" customFormat="1">
      <c r="A62" s="134" t="str">
        <f ca="1">IFERROR(__xludf.DUMMYFUNCTION("""COMPUTED_VALUE"""),"")</f>
        <v/>
      </c>
      <c r="B62" s="134" t="str">
        <f ca="1">IFERROR(__xludf.DUMMYFUNCTION("""COMPUTED_VALUE"""),"")</f>
        <v/>
      </c>
      <c r="C62" s="134" t="str">
        <f ca="1">IFERROR(__xludf.DUMMYFUNCTION("""COMPUTED_VALUE"""),"")</f>
        <v/>
      </c>
      <c r="D62" s="134" t="str">
        <f ca="1">IFERROR(__xludf.DUMMYFUNCTION("""COMPUTED_VALUE"""),"")</f>
        <v/>
      </c>
      <c r="E62" s="134" t="str">
        <f ca="1">IFERROR(__xludf.DUMMYFUNCTION("""COMPUTED_VALUE"""),"")</f>
        <v/>
      </c>
      <c r="F62" s="134" t="str">
        <f ca="1">IFERROR(__xludf.DUMMYFUNCTION("""COMPUTED_VALUE"""),"")</f>
        <v/>
      </c>
      <c r="G62" s="134" t="str">
        <f ca="1">IFERROR(__xludf.DUMMYFUNCTION("""COMPUTED_VALUE"""),"")</f>
        <v/>
      </c>
      <c r="H62" s="134" t="str">
        <f ca="1">IFERROR(__xludf.DUMMYFUNCTION("""COMPUTED_VALUE"""),"")</f>
        <v/>
      </c>
      <c r="I62" s="134" t="str">
        <f ca="1">IFERROR(__xludf.DUMMYFUNCTION("""COMPUTED_VALUE"""),"")</f>
        <v/>
      </c>
      <c r="J62" s="134" t="str">
        <f ca="1">IFERROR(__xludf.DUMMYFUNCTION("""COMPUTED_VALUE"""),"")</f>
        <v/>
      </c>
      <c r="N62" s="134"/>
    </row>
    <row r="63" spans="1:14" customFormat="1">
      <c r="A63" s="134" t="str">
        <f ca="1">IFERROR(__xludf.DUMMYFUNCTION("""COMPUTED_VALUE"""),"")</f>
        <v/>
      </c>
      <c r="B63" s="134" t="str">
        <f ca="1">IFERROR(__xludf.DUMMYFUNCTION("""COMPUTED_VALUE"""),"")</f>
        <v/>
      </c>
      <c r="C63" s="134" t="str">
        <f ca="1">IFERROR(__xludf.DUMMYFUNCTION("""COMPUTED_VALUE"""),"")</f>
        <v/>
      </c>
      <c r="D63" s="134" t="str">
        <f ca="1">IFERROR(__xludf.DUMMYFUNCTION("""COMPUTED_VALUE"""),"")</f>
        <v/>
      </c>
      <c r="E63" s="134" t="str">
        <f ca="1">IFERROR(__xludf.DUMMYFUNCTION("""COMPUTED_VALUE"""),"")</f>
        <v/>
      </c>
      <c r="F63" s="134" t="str">
        <f ca="1">IFERROR(__xludf.DUMMYFUNCTION("""COMPUTED_VALUE"""),"")</f>
        <v/>
      </c>
      <c r="G63" s="134" t="str">
        <f ca="1">IFERROR(__xludf.DUMMYFUNCTION("""COMPUTED_VALUE"""),"")</f>
        <v/>
      </c>
      <c r="H63" s="134" t="str">
        <f ca="1">IFERROR(__xludf.DUMMYFUNCTION("""COMPUTED_VALUE"""),"")</f>
        <v/>
      </c>
      <c r="I63" s="134" t="str">
        <f ca="1">IFERROR(__xludf.DUMMYFUNCTION("""COMPUTED_VALUE"""),"")</f>
        <v/>
      </c>
      <c r="J63" s="134" t="str">
        <f ca="1">IFERROR(__xludf.DUMMYFUNCTION("""COMPUTED_VALUE"""),"")</f>
        <v/>
      </c>
    </row>
    <row r="64" spans="1:14" customFormat="1">
      <c r="A64" s="134" t="str">
        <f ca="1">IFERROR(__xludf.DUMMYFUNCTION("""COMPUTED_VALUE"""),"")</f>
        <v/>
      </c>
      <c r="B64" s="134" t="str">
        <f ca="1">IFERROR(__xludf.DUMMYFUNCTION("""COMPUTED_VALUE"""),"")</f>
        <v/>
      </c>
      <c r="C64" s="134" t="str">
        <f ca="1">IFERROR(__xludf.DUMMYFUNCTION("""COMPUTED_VALUE"""),"")</f>
        <v/>
      </c>
      <c r="D64" s="134" t="str">
        <f ca="1">IFERROR(__xludf.DUMMYFUNCTION("""COMPUTED_VALUE"""),"")</f>
        <v/>
      </c>
      <c r="E64" s="134" t="str">
        <f ca="1">IFERROR(__xludf.DUMMYFUNCTION("""COMPUTED_VALUE"""),"")</f>
        <v/>
      </c>
      <c r="F64" s="134" t="str">
        <f ca="1">IFERROR(__xludf.DUMMYFUNCTION("""COMPUTED_VALUE"""),"")</f>
        <v/>
      </c>
      <c r="G64" s="134" t="str">
        <f ca="1">IFERROR(__xludf.DUMMYFUNCTION("""COMPUTED_VALUE"""),"")</f>
        <v/>
      </c>
      <c r="H64" s="134" t="str">
        <f ca="1">IFERROR(__xludf.DUMMYFUNCTION("""COMPUTED_VALUE"""),"")</f>
        <v/>
      </c>
      <c r="I64" s="134" t="str">
        <f ca="1">IFERROR(__xludf.DUMMYFUNCTION("""COMPUTED_VALUE"""),"")</f>
        <v/>
      </c>
      <c r="J64" s="134" t="str">
        <f ca="1">IFERROR(__xludf.DUMMYFUNCTION("""COMPUTED_VALUE"""),"")</f>
        <v/>
      </c>
      <c r="L64" s="135"/>
      <c r="M64" s="135"/>
      <c r="N64" s="135"/>
    </row>
    <row r="65" spans="1:14" customFormat="1">
      <c r="A65" s="134" t="str">
        <f ca="1">IFERROR(__xludf.DUMMYFUNCTION("""COMPUTED_VALUE"""),"")</f>
        <v/>
      </c>
      <c r="B65" s="134" t="str">
        <f ca="1">IFERROR(__xludf.DUMMYFUNCTION("""COMPUTED_VALUE"""),"")</f>
        <v/>
      </c>
      <c r="C65" s="134" t="str">
        <f ca="1">IFERROR(__xludf.DUMMYFUNCTION("""COMPUTED_VALUE"""),"")</f>
        <v/>
      </c>
      <c r="D65" s="134" t="str">
        <f ca="1">IFERROR(__xludf.DUMMYFUNCTION("""COMPUTED_VALUE"""),"")</f>
        <v/>
      </c>
      <c r="E65" s="134" t="str">
        <f ca="1">IFERROR(__xludf.DUMMYFUNCTION("""COMPUTED_VALUE"""),"")</f>
        <v/>
      </c>
      <c r="F65" s="134" t="str">
        <f ca="1">IFERROR(__xludf.DUMMYFUNCTION("""COMPUTED_VALUE"""),"")</f>
        <v/>
      </c>
      <c r="G65" s="134" t="str">
        <f ca="1">IFERROR(__xludf.DUMMYFUNCTION("""COMPUTED_VALUE"""),"")</f>
        <v/>
      </c>
      <c r="H65" s="134" t="str">
        <f ca="1">IFERROR(__xludf.DUMMYFUNCTION("""COMPUTED_VALUE"""),"")</f>
        <v/>
      </c>
      <c r="I65" s="134" t="str">
        <f ca="1">IFERROR(__xludf.DUMMYFUNCTION("""COMPUTED_VALUE"""),"")</f>
        <v/>
      </c>
      <c r="J65" s="134" t="str">
        <f ca="1">IFERROR(__xludf.DUMMYFUNCTION("""COMPUTED_VALUE"""),"")</f>
        <v/>
      </c>
      <c r="L65" s="135"/>
      <c r="M65" s="135"/>
      <c r="N65" s="135"/>
    </row>
    <row r="66" spans="1:14" customFormat="1">
      <c r="A66" s="134" t="str">
        <f ca="1">IFERROR(__xludf.DUMMYFUNCTION("""COMPUTED_VALUE"""),"")</f>
        <v/>
      </c>
      <c r="B66" s="134" t="str">
        <f ca="1">IFERROR(__xludf.DUMMYFUNCTION("""COMPUTED_VALUE"""),"")</f>
        <v/>
      </c>
      <c r="C66" s="134" t="str">
        <f ca="1">IFERROR(__xludf.DUMMYFUNCTION("""COMPUTED_VALUE"""),"")</f>
        <v/>
      </c>
      <c r="D66" s="134" t="str">
        <f ca="1">IFERROR(__xludf.DUMMYFUNCTION("""COMPUTED_VALUE"""),"")</f>
        <v/>
      </c>
      <c r="E66" s="134" t="str">
        <f ca="1">IFERROR(__xludf.DUMMYFUNCTION("""COMPUTED_VALUE"""),"")</f>
        <v/>
      </c>
      <c r="F66" s="134" t="str">
        <f ca="1">IFERROR(__xludf.DUMMYFUNCTION("""COMPUTED_VALUE"""),"")</f>
        <v/>
      </c>
      <c r="G66" s="134" t="str">
        <f ca="1">IFERROR(__xludf.DUMMYFUNCTION("""COMPUTED_VALUE"""),"")</f>
        <v/>
      </c>
      <c r="H66" s="134" t="str">
        <f ca="1">IFERROR(__xludf.DUMMYFUNCTION("""COMPUTED_VALUE"""),"")</f>
        <v/>
      </c>
      <c r="I66" s="134" t="str">
        <f ca="1">IFERROR(__xludf.DUMMYFUNCTION("""COMPUTED_VALUE"""),"")</f>
        <v/>
      </c>
      <c r="J66" s="134" t="str">
        <f ca="1">IFERROR(__xludf.DUMMYFUNCTION("""COMPUTED_VALUE"""),"")</f>
        <v/>
      </c>
      <c r="N66" s="159"/>
    </row>
    <row r="67" spans="1:14" customFormat="1">
      <c r="A67" s="134" t="str">
        <f ca="1">IFERROR(__xludf.DUMMYFUNCTION("""COMPUTED_VALUE"""),"")</f>
        <v/>
      </c>
      <c r="B67" s="134" t="str">
        <f ca="1">IFERROR(__xludf.DUMMYFUNCTION("""COMPUTED_VALUE"""),"")</f>
        <v/>
      </c>
      <c r="C67" s="134" t="str">
        <f ca="1">IFERROR(__xludf.DUMMYFUNCTION("""COMPUTED_VALUE"""),"")</f>
        <v/>
      </c>
      <c r="D67" s="134" t="str">
        <f ca="1">IFERROR(__xludf.DUMMYFUNCTION("""COMPUTED_VALUE"""),"")</f>
        <v/>
      </c>
      <c r="E67" s="134" t="str">
        <f ca="1">IFERROR(__xludf.DUMMYFUNCTION("""COMPUTED_VALUE"""),"")</f>
        <v/>
      </c>
      <c r="F67" s="134" t="str">
        <f ca="1">IFERROR(__xludf.DUMMYFUNCTION("""COMPUTED_VALUE"""),"")</f>
        <v/>
      </c>
      <c r="G67" s="134" t="str">
        <f ca="1">IFERROR(__xludf.DUMMYFUNCTION("""COMPUTED_VALUE"""),"")</f>
        <v/>
      </c>
      <c r="H67" s="134" t="str">
        <f ca="1">IFERROR(__xludf.DUMMYFUNCTION("""COMPUTED_VALUE"""),"")</f>
        <v/>
      </c>
      <c r="I67" s="134" t="str">
        <f ca="1">IFERROR(__xludf.DUMMYFUNCTION("""COMPUTED_VALUE"""),"")</f>
        <v/>
      </c>
      <c r="J67" s="134" t="str">
        <f ca="1">IFERROR(__xludf.DUMMYFUNCTION("""COMPUTED_VALUE"""),"")</f>
        <v/>
      </c>
      <c r="N67" s="128"/>
    </row>
    <row r="68" spans="1:14" customFormat="1">
      <c r="A68" s="134" t="str">
        <f ca="1">IFERROR(__xludf.DUMMYFUNCTION("""COMPUTED_VALUE"""),"")</f>
        <v/>
      </c>
      <c r="B68" s="134" t="str">
        <f ca="1">IFERROR(__xludf.DUMMYFUNCTION("""COMPUTED_VALUE"""),"")</f>
        <v/>
      </c>
      <c r="C68" s="134" t="str">
        <f ca="1">IFERROR(__xludf.DUMMYFUNCTION("""COMPUTED_VALUE"""),"")</f>
        <v/>
      </c>
      <c r="D68" s="134" t="str">
        <f ca="1">IFERROR(__xludf.DUMMYFUNCTION("""COMPUTED_VALUE"""),"")</f>
        <v/>
      </c>
      <c r="E68" s="134" t="str">
        <f ca="1">IFERROR(__xludf.DUMMYFUNCTION("""COMPUTED_VALUE"""),"")</f>
        <v/>
      </c>
      <c r="F68" s="134" t="str">
        <f ca="1">IFERROR(__xludf.DUMMYFUNCTION("""COMPUTED_VALUE"""),"")</f>
        <v/>
      </c>
      <c r="G68" s="134" t="str">
        <f ca="1">IFERROR(__xludf.DUMMYFUNCTION("""COMPUTED_VALUE"""),"")</f>
        <v/>
      </c>
      <c r="H68" s="134" t="str">
        <f ca="1">IFERROR(__xludf.DUMMYFUNCTION("""COMPUTED_VALUE"""),"")</f>
        <v/>
      </c>
      <c r="I68" s="134" t="str">
        <f ca="1">IFERROR(__xludf.DUMMYFUNCTION("""COMPUTED_VALUE"""),"")</f>
        <v/>
      </c>
      <c r="J68" s="134" t="str">
        <f ca="1">IFERROR(__xludf.DUMMYFUNCTION("""COMPUTED_VALUE"""),"")</f>
        <v/>
      </c>
    </row>
    <row r="69" spans="1:14" customFormat="1">
      <c r="A69" s="134" t="str">
        <f ca="1">IFERROR(__xludf.DUMMYFUNCTION("""COMPUTED_VALUE"""),"")</f>
        <v/>
      </c>
      <c r="B69" s="134" t="str">
        <f ca="1">IFERROR(__xludf.DUMMYFUNCTION("""COMPUTED_VALUE"""),"")</f>
        <v/>
      </c>
      <c r="C69" s="134" t="str">
        <f ca="1">IFERROR(__xludf.DUMMYFUNCTION("""COMPUTED_VALUE"""),"")</f>
        <v/>
      </c>
      <c r="D69" s="134" t="str">
        <f ca="1">IFERROR(__xludf.DUMMYFUNCTION("""COMPUTED_VALUE"""),"")</f>
        <v/>
      </c>
      <c r="E69" s="134" t="str">
        <f ca="1">IFERROR(__xludf.DUMMYFUNCTION("""COMPUTED_VALUE"""),"")</f>
        <v/>
      </c>
      <c r="F69" s="134" t="str">
        <f ca="1">IFERROR(__xludf.DUMMYFUNCTION("""COMPUTED_VALUE"""),"")</f>
        <v/>
      </c>
      <c r="G69" s="134" t="str">
        <f ca="1">IFERROR(__xludf.DUMMYFUNCTION("""COMPUTED_VALUE"""),"")</f>
        <v/>
      </c>
      <c r="H69" s="134" t="str">
        <f ca="1">IFERROR(__xludf.DUMMYFUNCTION("""COMPUTED_VALUE"""),"")</f>
        <v/>
      </c>
      <c r="I69" s="134" t="str">
        <f ca="1">IFERROR(__xludf.DUMMYFUNCTION("""COMPUTED_VALUE"""),"")</f>
        <v/>
      </c>
      <c r="J69" s="134" t="str">
        <f ca="1">IFERROR(__xludf.DUMMYFUNCTION("""COMPUTED_VALUE"""),"")</f>
        <v/>
      </c>
      <c r="N69" s="159"/>
    </row>
    <row r="70" spans="1:14" customFormat="1">
      <c r="A70" s="134" t="str">
        <f ca="1">IFERROR(__xludf.DUMMYFUNCTION("""COMPUTED_VALUE"""),"")</f>
        <v/>
      </c>
      <c r="B70" s="134" t="str">
        <f ca="1">IFERROR(__xludf.DUMMYFUNCTION("""COMPUTED_VALUE"""),"")</f>
        <v/>
      </c>
      <c r="C70" s="134" t="str">
        <f ca="1">IFERROR(__xludf.DUMMYFUNCTION("""COMPUTED_VALUE"""),"")</f>
        <v/>
      </c>
      <c r="D70" s="134" t="str">
        <f ca="1">IFERROR(__xludf.DUMMYFUNCTION("""COMPUTED_VALUE"""),"")</f>
        <v/>
      </c>
      <c r="E70" s="134" t="str">
        <f ca="1">IFERROR(__xludf.DUMMYFUNCTION("""COMPUTED_VALUE"""),"")</f>
        <v/>
      </c>
      <c r="F70" s="134" t="str">
        <f ca="1">IFERROR(__xludf.DUMMYFUNCTION("""COMPUTED_VALUE"""),"")</f>
        <v/>
      </c>
      <c r="G70" s="134" t="str">
        <f ca="1">IFERROR(__xludf.DUMMYFUNCTION("""COMPUTED_VALUE"""),"")</f>
        <v/>
      </c>
      <c r="H70" s="134" t="str">
        <f ca="1">IFERROR(__xludf.DUMMYFUNCTION("""COMPUTED_VALUE"""),"")</f>
        <v/>
      </c>
      <c r="I70" s="134" t="str">
        <f ca="1">IFERROR(__xludf.DUMMYFUNCTION("""COMPUTED_VALUE"""),"")</f>
        <v/>
      </c>
      <c r="J70" s="134" t="str">
        <f ca="1">IFERROR(__xludf.DUMMYFUNCTION("""COMPUTED_VALUE"""),"")</f>
        <v/>
      </c>
      <c r="N70" s="134"/>
    </row>
    <row r="71" spans="1:14" customFormat="1">
      <c r="A71" s="134" t="str">
        <f ca="1">IFERROR(__xludf.DUMMYFUNCTION("""COMPUTED_VALUE"""),"")</f>
        <v/>
      </c>
      <c r="B71" s="134" t="str">
        <f ca="1">IFERROR(__xludf.DUMMYFUNCTION("""COMPUTED_VALUE"""),"")</f>
        <v/>
      </c>
      <c r="C71" s="134" t="str">
        <f ca="1">IFERROR(__xludf.DUMMYFUNCTION("""COMPUTED_VALUE"""),"")</f>
        <v/>
      </c>
      <c r="D71" s="134" t="str">
        <f ca="1">IFERROR(__xludf.DUMMYFUNCTION("""COMPUTED_VALUE"""),"")</f>
        <v/>
      </c>
      <c r="E71" s="134" t="str">
        <f ca="1">IFERROR(__xludf.DUMMYFUNCTION("""COMPUTED_VALUE"""),"")</f>
        <v/>
      </c>
      <c r="F71" s="134" t="str">
        <f ca="1">IFERROR(__xludf.DUMMYFUNCTION("""COMPUTED_VALUE"""),"")</f>
        <v/>
      </c>
      <c r="G71" s="134" t="str">
        <f ca="1">IFERROR(__xludf.DUMMYFUNCTION("""COMPUTED_VALUE"""),"")</f>
        <v/>
      </c>
      <c r="H71" s="134" t="str">
        <f ca="1">IFERROR(__xludf.DUMMYFUNCTION("""COMPUTED_VALUE"""),"")</f>
        <v/>
      </c>
      <c r="I71" s="134" t="str">
        <f ca="1">IFERROR(__xludf.DUMMYFUNCTION("""COMPUTED_VALUE"""),"")</f>
        <v/>
      </c>
      <c r="J71" s="134" t="str">
        <f ca="1">IFERROR(__xludf.DUMMYFUNCTION("""COMPUTED_VALUE"""),"")</f>
        <v/>
      </c>
      <c r="L71" s="31"/>
      <c r="M71" s="31"/>
      <c r="N71" s="31"/>
    </row>
    <row r="72" spans="1:14" customFormat="1">
      <c r="A72" s="134" t="str">
        <f ca="1">IFERROR(__xludf.DUMMYFUNCTION("""COMPUTED_VALUE"""),"")</f>
        <v/>
      </c>
      <c r="B72" s="134" t="str">
        <f ca="1">IFERROR(__xludf.DUMMYFUNCTION("""COMPUTED_VALUE"""),"")</f>
        <v/>
      </c>
      <c r="C72" s="134" t="str">
        <f ca="1">IFERROR(__xludf.DUMMYFUNCTION("""COMPUTED_VALUE"""),"")</f>
        <v/>
      </c>
      <c r="D72" s="134" t="str">
        <f ca="1">IFERROR(__xludf.DUMMYFUNCTION("""COMPUTED_VALUE"""),"")</f>
        <v/>
      </c>
      <c r="E72" s="134" t="str">
        <f ca="1">IFERROR(__xludf.DUMMYFUNCTION("""COMPUTED_VALUE"""),"")</f>
        <v/>
      </c>
      <c r="F72" s="134" t="str">
        <f ca="1">IFERROR(__xludf.DUMMYFUNCTION("""COMPUTED_VALUE"""),"")</f>
        <v/>
      </c>
      <c r="G72" s="134" t="str">
        <f ca="1">IFERROR(__xludf.DUMMYFUNCTION("""COMPUTED_VALUE"""),"")</f>
        <v/>
      </c>
      <c r="H72" s="134" t="str">
        <f ca="1">IFERROR(__xludf.DUMMYFUNCTION("""COMPUTED_VALUE"""),"")</f>
        <v/>
      </c>
      <c r="I72" s="134" t="str">
        <f ca="1">IFERROR(__xludf.DUMMYFUNCTION("""COMPUTED_VALUE"""),"")</f>
        <v/>
      </c>
      <c r="J72" s="134" t="str">
        <f ca="1">IFERROR(__xludf.DUMMYFUNCTION("""COMPUTED_VALUE"""),"")</f>
        <v/>
      </c>
      <c r="N72" s="31"/>
    </row>
    <row r="73" spans="1:14" customFormat="1">
      <c r="A73" s="134" t="str">
        <f ca="1">IFERROR(__xludf.DUMMYFUNCTION("""COMPUTED_VALUE"""),"")</f>
        <v/>
      </c>
      <c r="B73" s="134" t="str">
        <f ca="1">IFERROR(__xludf.DUMMYFUNCTION("""COMPUTED_VALUE"""),"")</f>
        <v/>
      </c>
      <c r="C73" s="134" t="str">
        <f ca="1">IFERROR(__xludf.DUMMYFUNCTION("""COMPUTED_VALUE"""),"")</f>
        <v/>
      </c>
      <c r="D73" s="134" t="str">
        <f ca="1">IFERROR(__xludf.DUMMYFUNCTION("""COMPUTED_VALUE"""),"")</f>
        <v/>
      </c>
      <c r="E73" s="134" t="str">
        <f ca="1">IFERROR(__xludf.DUMMYFUNCTION("""COMPUTED_VALUE"""),"")</f>
        <v/>
      </c>
      <c r="F73" s="134" t="str">
        <f ca="1">IFERROR(__xludf.DUMMYFUNCTION("""COMPUTED_VALUE"""),"")</f>
        <v/>
      </c>
      <c r="G73" s="134" t="str">
        <f ca="1">IFERROR(__xludf.DUMMYFUNCTION("""COMPUTED_VALUE"""),"")</f>
        <v/>
      </c>
      <c r="H73" s="134" t="str">
        <f ca="1">IFERROR(__xludf.DUMMYFUNCTION("""COMPUTED_VALUE"""),"")</f>
        <v/>
      </c>
      <c r="I73" s="134" t="str">
        <f ca="1">IFERROR(__xludf.DUMMYFUNCTION("""COMPUTED_VALUE"""),"")</f>
        <v/>
      </c>
      <c r="J73" s="134" t="str">
        <f ca="1">IFERROR(__xludf.DUMMYFUNCTION("""COMPUTED_VALUE"""),"")</f>
        <v/>
      </c>
      <c r="N73" s="31"/>
    </row>
    <row r="74" spans="1:14" customFormat="1">
      <c r="A74" s="134" t="str">
        <f ca="1">IFERROR(__xludf.DUMMYFUNCTION("""COMPUTED_VALUE"""),"")</f>
        <v/>
      </c>
      <c r="B74" s="134" t="str">
        <f ca="1">IFERROR(__xludf.DUMMYFUNCTION("""COMPUTED_VALUE"""),"")</f>
        <v/>
      </c>
      <c r="C74" s="134" t="str">
        <f ca="1">IFERROR(__xludf.DUMMYFUNCTION("""COMPUTED_VALUE"""),"")</f>
        <v/>
      </c>
      <c r="D74" s="134" t="str">
        <f ca="1">IFERROR(__xludf.DUMMYFUNCTION("""COMPUTED_VALUE"""),"")</f>
        <v/>
      </c>
      <c r="E74" s="134" t="str">
        <f ca="1">IFERROR(__xludf.DUMMYFUNCTION("""COMPUTED_VALUE"""),"")</f>
        <v/>
      </c>
      <c r="F74" s="134" t="str">
        <f ca="1">IFERROR(__xludf.DUMMYFUNCTION("""COMPUTED_VALUE"""),"")</f>
        <v/>
      </c>
      <c r="G74" s="134" t="str">
        <f ca="1">IFERROR(__xludf.DUMMYFUNCTION("""COMPUTED_VALUE"""),"")</f>
        <v/>
      </c>
      <c r="H74" s="134" t="str">
        <f ca="1">IFERROR(__xludf.DUMMYFUNCTION("""COMPUTED_VALUE"""),"")</f>
        <v/>
      </c>
      <c r="I74" s="134" t="str">
        <f ca="1">IFERROR(__xludf.DUMMYFUNCTION("""COMPUTED_VALUE"""),"")</f>
        <v/>
      </c>
      <c r="J74" s="134" t="str">
        <f ca="1">IFERROR(__xludf.DUMMYFUNCTION("""COMPUTED_VALUE"""),"")</f>
        <v/>
      </c>
      <c r="N74" s="31"/>
    </row>
    <row r="75" spans="1:14" customFormat="1">
      <c r="A75" s="134" t="str">
        <f ca="1">IFERROR(__xludf.DUMMYFUNCTION("""COMPUTED_VALUE"""),"")</f>
        <v/>
      </c>
      <c r="B75" s="134" t="str">
        <f ca="1">IFERROR(__xludf.DUMMYFUNCTION("""COMPUTED_VALUE"""),"")</f>
        <v/>
      </c>
      <c r="C75" s="134" t="str">
        <f ca="1">IFERROR(__xludf.DUMMYFUNCTION("""COMPUTED_VALUE"""),"")</f>
        <v/>
      </c>
      <c r="D75" s="134" t="str">
        <f ca="1">IFERROR(__xludf.DUMMYFUNCTION("""COMPUTED_VALUE"""),"")</f>
        <v/>
      </c>
      <c r="E75" s="134" t="str">
        <f ca="1">IFERROR(__xludf.DUMMYFUNCTION("""COMPUTED_VALUE"""),"")</f>
        <v/>
      </c>
      <c r="F75" s="134" t="str">
        <f ca="1">IFERROR(__xludf.DUMMYFUNCTION("""COMPUTED_VALUE"""),"")</f>
        <v/>
      </c>
      <c r="G75" s="134" t="str">
        <f ca="1">IFERROR(__xludf.DUMMYFUNCTION("""COMPUTED_VALUE"""),"")</f>
        <v/>
      </c>
      <c r="H75" s="134" t="str">
        <f ca="1">IFERROR(__xludf.DUMMYFUNCTION("""COMPUTED_VALUE"""),"")</f>
        <v/>
      </c>
      <c r="I75" s="134" t="str">
        <f ca="1">IFERROR(__xludf.DUMMYFUNCTION("""COMPUTED_VALUE"""),"")</f>
        <v/>
      </c>
      <c r="J75" s="134" t="str">
        <f ca="1">IFERROR(__xludf.DUMMYFUNCTION("""COMPUTED_VALUE"""),"")</f>
        <v/>
      </c>
      <c r="N75" s="31"/>
    </row>
    <row r="76" spans="1:14" customFormat="1">
      <c r="A76" s="134" t="str">
        <f ca="1">IFERROR(__xludf.DUMMYFUNCTION("""COMPUTED_VALUE"""),"")</f>
        <v/>
      </c>
      <c r="B76" s="134" t="str">
        <f ca="1">IFERROR(__xludf.DUMMYFUNCTION("""COMPUTED_VALUE"""),"")</f>
        <v/>
      </c>
      <c r="C76" s="134" t="str">
        <f ca="1">IFERROR(__xludf.DUMMYFUNCTION("""COMPUTED_VALUE"""),"")</f>
        <v/>
      </c>
      <c r="D76" s="134" t="str">
        <f ca="1">IFERROR(__xludf.DUMMYFUNCTION("""COMPUTED_VALUE"""),"")</f>
        <v/>
      </c>
      <c r="E76" s="134" t="str">
        <f ca="1">IFERROR(__xludf.DUMMYFUNCTION("""COMPUTED_VALUE"""),"")</f>
        <v/>
      </c>
      <c r="F76" s="134" t="str">
        <f ca="1">IFERROR(__xludf.DUMMYFUNCTION("""COMPUTED_VALUE"""),"")</f>
        <v/>
      </c>
      <c r="G76" s="134" t="str">
        <f ca="1">IFERROR(__xludf.DUMMYFUNCTION("""COMPUTED_VALUE"""),"")</f>
        <v/>
      </c>
      <c r="H76" s="134" t="str">
        <f ca="1">IFERROR(__xludf.DUMMYFUNCTION("""COMPUTED_VALUE"""),"")</f>
        <v/>
      </c>
      <c r="I76" s="134" t="str">
        <f ca="1">IFERROR(__xludf.DUMMYFUNCTION("""COMPUTED_VALUE"""),"")</f>
        <v/>
      </c>
      <c r="J76" s="134" t="str">
        <f ca="1">IFERROR(__xludf.DUMMYFUNCTION("""COMPUTED_VALUE"""),"")</f>
        <v/>
      </c>
      <c r="N76" s="31"/>
    </row>
    <row r="77" spans="1:14" customFormat="1">
      <c r="A77" s="134" t="str">
        <f ca="1">IFERROR(__xludf.DUMMYFUNCTION("""COMPUTED_VALUE"""),"")</f>
        <v/>
      </c>
      <c r="B77" s="134" t="str">
        <f ca="1">IFERROR(__xludf.DUMMYFUNCTION("""COMPUTED_VALUE"""),"")</f>
        <v/>
      </c>
      <c r="C77" s="134" t="str">
        <f ca="1">IFERROR(__xludf.DUMMYFUNCTION("""COMPUTED_VALUE"""),"")</f>
        <v/>
      </c>
      <c r="D77" s="134" t="str">
        <f ca="1">IFERROR(__xludf.DUMMYFUNCTION("""COMPUTED_VALUE"""),"")</f>
        <v/>
      </c>
      <c r="E77" s="134" t="str">
        <f ca="1">IFERROR(__xludf.DUMMYFUNCTION("""COMPUTED_VALUE"""),"")</f>
        <v/>
      </c>
      <c r="F77" s="134" t="str">
        <f ca="1">IFERROR(__xludf.DUMMYFUNCTION("""COMPUTED_VALUE"""),"")</f>
        <v/>
      </c>
      <c r="G77" s="134" t="str">
        <f ca="1">IFERROR(__xludf.DUMMYFUNCTION("""COMPUTED_VALUE"""),"")</f>
        <v/>
      </c>
      <c r="H77" s="134" t="str">
        <f ca="1">IFERROR(__xludf.DUMMYFUNCTION("""COMPUTED_VALUE"""),"")</f>
        <v/>
      </c>
      <c r="I77" s="134" t="str">
        <f ca="1">IFERROR(__xludf.DUMMYFUNCTION("""COMPUTED_VALUE"""),"")</f>
        <v/>
      </c>
      <c r="J77" s="134" t="str">
        <f ca="1">IFERROR(__xludf.DUMMYFUNCTION("""COMPUTED_VALUE"""),"")</f>
        <v/>
      </c>
      <c r="N77" s="31"/>
    </row>
    <row r="78" spans="1:14" customFormat="1">
      <c r="A78" s="134" t="str">
        <f ca="1">IFERROR(__xludf.DUMMYFUNCTION("""COMPUTED_VALUE"""),"")</f>
        <v/>
      </c>
      <c r="B78" s="134" t="str">
        <f ca="1">IFERROR(__xludf.DUMMYFUNCTION("""COMPUTED_VALUE"""),"")</f>
        <v/>
      </c>
      <c r="C78" s="134" t="str">
        <f ca="1">IFERROR(__xludf.DUMMYFUNCTION("""COMPUTED_VALUE"""),"")</f>
        <v/>
      </c>
      <c r="D78" s="134" t="str">
        <f ca="1">IFERROR(__xludf.DUMMYFUNCTION("""COMPUTED_VALUE"""),"")</f>
        <v/>
      </c>
      <c r="E78" s="134" t="str">
        <f ca="1">IFERROR(__xludf.DUMMYFUNCTION("""COMPUTED_VALUE"""),"")</f>
        <v/>
      </c>
      <c r="F78" s="134" t="str">
        <f ca="1">IFERROR(__xludf.DUMMYFUNCTION("""COMPUTED_VALUE"""),"")</f>
        <v/>
      </c>
      <c r="G78" s="134" t="str">
        <f ca="1">IFERROR(__xludf.DUMMYFUNCTION("""COMPUTED_VALUE"""),"")</f>
        <v/>
      </c>
      <c r="H78" s="134" t="str">
        <f ca="1">IFERROR(__xludf.DUMMYFUNCTION("""COMPUTED_VALUE"""),"")</f>
        <v/>
      </c>
      <c r="I78" s="134" t="str">
        <f ca="1">IFERROR(__xludf.DUMMYFUNCTION("""COMPUTED_VALUE"""),"")</f>
        <v/>
      </c>
      <c r="J78" s="134" t="str">
        <f ca="1">IFERROR(__xludf.DUMMYFUNCTION("""COMPUTED_VALUE"""),"")</f>
        <v/>
      </c>
      <c r="N78" s="31"/>
    </row>
    <row r="79" spans="1:14" customFormat="1">
      <c r="A79" s="134" t="str">
        <f ca="1">IFERROR(__xludf.DUMMYFUNCTION("""COMPUTED_VALUE"""),"")</f>
        <v/>
      </c>
      <c r="B79" s="134" t="str">
        <f ca="1">IFERROR(__xludf.DUMMYFUNCTION("""COMPUTED_VALUE"""),"")</f>
        <v/>
      </c>
      <c r="C79" s="134" t="str">
        <f ca="1">IFERROR(__xludf.DUMMYFUNCTION("""COMPUTED_VALUE"""),"")</f>
        <v/>
      </c>
      <c r="D79" s="134" t="str">
        <f ca="1">IFERROR(__xludf.DUMMYFUNCTION("""COMPUTED_VALUE"""),"")</f>
        <v/>
      </c>
      <c r="E79" s="134" t="str">
        <f ca="1">IFERROR(__xludf.DUMMYFUNCTION("""COMPUTED_VALUE"""),"")</f>
        <v/>
      </c>
      <c r="F79" s="134" t="str">
        <f ca="1">IFERROR(__xludf.DUMMYFUNCTION("""COMPUTED_VALUE"""),"")</f>
        <v/>
      </c>
      <c r="G79" s="134" t="str">
        <f ca="1">IFERROR(__xludf.DUMMYFUNCTION("""COMPUTED_VALUE"""),"")</f>
        <v/>
      </c>
      <c r="H79" s="134" t="str">
        <f ca="1">IFERROR(__xludf.DUMMYFUNCTION("""COMPUTED_VALUE"""),"")</f>
        <v/>
      </c>
      <c r="I79" s="134" t="str">
        <f ca="1">IFERROR(__xludf.DUMMYFUNCTION("""COMPUTED_VALUE"""),"")</f>
        <v/>
      </c>
      <c r="J79" s="134" t="str">
        <f ca="1">IFERROR(__xludf.DUMMYFUNCTION("""COMPUTED_VALUE"""),"")</f>
        <v/>
      </c>
      <c r="N79" s="31"/>
    </row>
    <row r="80" spans="1:14" customFormat="1">
      <c r="A80" s="134" t="str">
        <f ca="1">IFERROR(__xludf.DUMMYFUNCTION("""COMPUTED_VALUE"""),"")</f>
        <v/>
      </c>
      <c r="B80" s="134" t="str">
        <f ca="1">IFERROR(__xludf.DUMMYFUNCTION("""COMPUTED_VALUE"""),"")</f>
        <v/>
      </c>
      <c r="C80" s="134" t="str">
        <f ca="1">IFERROR(__xludf.DUMMYFUNCTION("""COMPUTED_VALUE"""),"")</f>
        <v/>
      </c>
      <c r="D80" s="134" t="str">
        <f ca="1">IFERROR(__xludf.DUMMYFUNCTION("""COMPUTED_VALUE"""),"")</f>
        <v/>
      </c>
      <c r="E80" s="134" t="str">
        <f ca="1">IFERROR(__xludf.DUMMYFUNCTION("""COMPUTED_VALUE"""),"")</f>
        <v/>
      </c>
      <c r="F80" s="134" t="str">
        <f ca="1">IFERROR(__xludf.DUMMYFUNCTION("""COMPUTED_VALUE"""),"")</f>
        <v/>
      </c>
      <c r="G80" s="134" t="str">
        <f ca="1">IFERROR(__xludf.DUMMYFUNCTION("""COMPUTED_VALUE"""),"")</f>
        <v/>
      </c>
      <c r="H80" s="134" t="str">
        <f ca="1">IFERROR(__xludf.DUMMYFUNCTION("""COMPUTED_VALUE"""),"")</f>
        <v/>
      </c>
      <c r="I80" s="134" t="str">
        <f ca="1">IFERROR(__xludf.DUMMYFUNCTION("""COMPUTED_VALUE"""),"")</f>
        <v/>
      </c>
      <c r="J80" s="134" t="str">
        <f ca="1">IFERROR(__xludf.DUMMYFUNCTION("""COMPUTED_VALUE"""),"")</f>
        <v/>
      </c>
      <c r="N80" s="31"/>
    </row>
    <row r="81" spans="1:14" customFormat="1">
      <c r="A81" s="134" t="str">
        <f ca="1">IFERROR(__xludf.DUMMYFUNCTION("""COMPUTED_VALUE"""),"")</f>
        <v/>
      </c>
      <c r="B81" s="134" t="str">
        <f ca="1">IFERROR(__xludf.DUMMYFUNCTION("""COMPUTED_VALUE"""),"")</f>
        <v/>
      </c>
      <c r="C81" s="134" t="str">
        <f ca="1">IFERROR(__xludf.DUMMYFUNCTION("""COMPUTED_VALUE"""),"")</f>
        <v/>
      </c>
      <c r="D81" s="134" t="str">
        <f ca="1">IFERROR(__xludf.DUMMYFUNCTION("""COMPUTED_VALUE"""),"")</f>
        <v/>
      </c>
      <c r="E81" s="134" t="str">
        <f ca="1">IFERROR(__xludf.DUMMYFUNCTION("""COMPUTED_VALUE"""),"")</f>
        <v/>
      </c>
      <c r="F81" s="134" t="str">
        <f ca="1">IFERROR(__xludf.DUMMYFUNCTION("""COMPUTED_VALUE"""),"")</f>
        <v/>
      </c>
      <c r="G81" s="134" t="str">
        <f ca="1">IFERROR(__xludf.DUMMYFUNCTION("""COMPUTED_VALUE"""),"")</f>
        <v/>
      </c>
      <c r="H81" s="134" t="str">
        <f ca="1">IFERROR(__xludf.DUMMYFUNCTION("""COMPUTED_VALUE"""),"")</f>
        <v/>
      </c>
      <c r="I81" s="134" t="str">
        <f ca="1">IFERROR(__xludf.DUMMYFUNCTION("""COMPUTED_VALUE"""),"")</f>
        <v/>
      </c>
      <c r="J81" s="134" t="str">
        <f ca="1">IFERROR(__xludf.DUMMYFUNCTION("""COMPUTED_VALUE"""),"")</f>
        <v/>
      </c>
      <c r="N81" s="31"/>
    </row>
    <row r="82" spans="1:14" customFormat="1">
      <c r="A82" s="134" t="str">
        <f ca="1">IFERROR(__xludf.DUMMYFUNCTION("""COMPUTED_VALUE"""),"")</f>
        <v/>
      </c>
      <c r="B82" s="134" t="str">
        <f ca="1">IFERROR(__xludf.DUMMYFUNCTION("""COMPUTED_VALUE"""),"")</f>
        <v/>
      </c>
      <c r="C82" s="134" t="str">
        <f ca="1">IFERROR(__xludf.DUMMYFUNCTION("""COMPUTED_VALUE"""),"")</f>
        <v/>
      </c>
      <c r="D82" s="134" t="str">
        <f ca="1">IFERROR(__xludf.DUMMYFUNCTION("""COMPUTED_VALUE"""),"")</f>
        <v/>
      </c>
      <c r="E82" s="134" t="str">
        <f ca="1">IFERROR(__xludf.DUMMYFUNCTION("""COMPUTED_VALUE"""),"")</f>
        <v/>
      </c>
      <c r="F82" s="134" t="str">
        <f ca="1">IFERROR(__xludf.DUMMYFUNCTION("""COMPUTED_VALUE"""),"")</f>
        <v/>
      </c>
      <c r="G82" s="134" t="str">
        <f ca="1">IFERROR(__xludf.DUMMYFUNCTION("""COMPUTED_VALUE"""),"")</f>
        <v/>
      </c>
      <c r="H82" s="134" t="str">
        <f ca="1">IFERROR(__xludf.DUMMYFUNCTION("""COMPUTED_VALUE"""),"")</f>
        <v/>
      </c>
      <c r="I82" s="134" t="str">
        <f ca="1">IFERROR(__xludf.DUMMYFUNCTION("""COMPUTED_VALUE"""),"")</f>
        <v/>
      </c>
      <c r="J82" s="134" t="str">
        <f ca="1">IFERROR(__xludf.DUMMYFUNCTION("""COMPUTED_VALUE"""),"")</f>
        <v/>
      </c>
      <c r="N82" s="31"/>
    </row>
    <row r="83" spans="1:14" customFormat="1">
      <c r="A83" s="134" t="str">
        <f ca="1">IFERROR(__xludf.DUMMYFUNCTION("""COMPUTED_VALUE"""),"")</f>
        <v/>
      </c>
      <c r="B83" s="134" t="str">
        <f ca="1">IFERROR(__xludf.DUMMYFUNCTION("""COMPUTED_VALUE"""),"")</f>
        <v/>
      </c>
      <c r="C83" s="134" t="str">
        <f ca="1">IFERROR(__xludf.DUMMYFUNCTION("""COMPUTED_VALUE"""),"")</f>
        <v/>
      </c>
      <c r="D83" s="134" t="str">
        <f ca="1">IFERROR(__xludf.DUMMYFUNCTION("""COMPUTED_VALUE"""),"")</f>
        <v/>
      </c>
      <c r="E83" s="134" t="str">
        <f ca="1">IFERROR(__xludf.DUMMYFUNCTION("""COMPUTED_VALUE"""),"")</f>
        <v/>
      </c>
      <c r="F83" s="134" t="str">
        <f ca="1">IFERROR(__xludf.DUMMYFUNCTION("""COMPUTED_VALUE"""),"")</f>
        <v/>
      </c>
      <c r="G83" s="134" t="str">
        <f ca="1">IFERROR(__xludf.DUMMYFUNCTION("""COMPUTED_VALUE"""),"")</f>
        <v/>
      </c>
      <c r="H83" s="134" t="str">
        <f ca="1">IFERROR(__xludf.DUMMYFUNCTION("""COMPUTED_VALUE"""),"")</f>
        <v/>
      </c>
      <c r="I83" s="134" t="str">
        <f ca="1">IFERROR(__xludf.DUMMYFUNCTION("""COMPUTED_VALUE"""),"")</f>
        <v/>
      </c>
      <c r="J83" s="134" t="str">
        <f ca="1">IFERROR(__xludf.DUMMYFUNCTION("""COMPUTED_VALUE"""),"")</f>
        <v/>
      </c>
      <c r="N83" s="31"/>
    </row>
    <row r="84" spans="1:14" customFormat="1">
      <c r="A84" s="134" t="str">
        <f ca="1">IFERROR(__xludf.DUMMYFUNCTION("""COMPUTED_VALUE"""),"")</f>
        <v/>
      </c>
      <c r="B84" s="134" t="str">
        <f ca="1">IFERROR(__xludf.DUMMYFUNCTION("""COMPUTED_VALUE"""),"")</f>
        <v/>
      </c>
      <c r="C84" s="134" t="str">
        <f ca="1">IFERROR(__xludf.DUMMYFUNCTION("""COMPUTED_VALUE"""),"")</f>
        <v/>
      </c>
      <c r="D84" s="134" t="str">
        <f ca="1">IFERROR(__xludf.DUMMYFUNCTION("""COMPUTED_VALUE"""),"")</f>
        <v/>
      </c>
      <c r="E84" s="134" t="str">
        <f ca="1">IFERROR(__xludf.DUMMYFUNCTION("""COMPUTED_VALUE"""),"")</f>
        <v/>
      </c>
      <c r="F84" s="134" t="str">
        <f ca="1">IFERROR(__xludf.DUMMYFUNCTION("""COMPUTED_VALUE"""),"")</f>
        <v/>
      </c>
      <c r="G84" s="134" t="str">
        <f ca="1">IFERROR(__xludf.DUMMYFUNCTION("""COMPUTED_VALUE"""),"")</f>
        <v/>
      </c>
      <c r="H84" s="134" t="str">
        <f ca="1">IFERROR(__xludf.DUMMYFUNCTION("""COMPUTED_VALUE"""),"")</f>
        <v/>
      </c>
      <c r="I84" s="134" t="str">
        <f ca="1">IFERROR(__xludf.DUMMYFUNCTION("""COMPUTED_VALUE"""),"")</f>
        <v/>
      </c>
      <c r="J84" s="134" t="str">
        <f ca="1">IFERROR(__xludf.DUMMYFUNCTION("""COMPUTED_VALUE"""),"")</f>
        <v/>
      </c>
      <c r="N84" s="31"/>
    </row>
    <row r="85" spans="1:14" customFormat="1">
      <c r="A85" s="134" t="str">
        <f ca="1">IFERROR(__xludf.DUMMYFUNCTION("""COMPUTED_VALUE"""),"")</f>
        <v/>
      </c>
      <c r="B85" s="134" t="str">
        <f ca="1">IFERROR(__xludf.DUMMYFUNCTION("""COMPUTED_VALUE"""),"")</f>
        <v/>
      </c>
      <c r="C85" s="134" t="str">
        <f ca="1">IFERROR(__xludf.DUMMYFUNCTION("""COMPUTED_VALUE"""),"")</f>
        <v/>
      </c>
      <c r="D85" s="134" t="str">
        <f ca="1">IFERROR(__xludf.DUMMYFUNCTION("""COMPUTED_VALUE"""),"")</f>
        <v/>
      </c>
      <c r="E85" s="134" t="str">
        <f ca="1">IFERROR(__xludf.DUMMYFUNCTION("""COMPUTED_VALUE"""),"")</f>
        <v/>
      </c>
      <c r="F85" s="134" t="str">
        <f ca="1">IFERROR(__xludf.DUMMYFUNCTION("""COMPUTED_VALUE"""),"")</f>
        <v/>
      </c>
      <c r="G85" s="134" t="str">
        <f ca="1">IFERROR(__xludf.DUMMYFUNCTION("""COMPUTED_VALUE"""),"")</f>
        <v/>
      </c>
      <c r="H85" s="134" t="str">
        <f ca="1">IFERROR(__xludf.DUMMYFUNCTION("""COMPUTED_VALUE"""),"")</f>
        <v/>
      </c>
      <c r="I85" s="134" t="str">
        <f ca="1">IFERROR(__xludf.DUMMYFUNCTION("""COMPUTED_VALUE"""),"")</f>
        <v/>
      </c>
      <c r="J85" s="134" t="str">
        <f ca="1">IFERROR(__xludf.DUMMYFUNCTION("""COMPUTED_VALUE"""),"")</f>
        <v/>
      </c>
      <c r="N85" s="31"/>
    </row>
    <row r="86" spans="1:14" customFormat="1">
      <c r="A86" s="134" t="str">
        <f ca="1">IFERROR(__xludf.DUMMYFUNCTION("""COMPUTED_VALUE"""),"")</f>
        <v/>
      </c>
      <c r="B86" s="134" t="str">
        <f ca="1">IFERROR(__xludf.DUMMYFUNCTION("""COMPUTED_VALUE"""),"")</f>
        <v/>
      </c>
      <c r="C86" s="134" t="str">
        <f ca="1">IFERROR(__xludf.DUMMYFUNCTION("""COMPUTED_VALUE"""),"")</f>
        <v/>
      </c>
      <c r="D86" s="134" t="str">
        <f ca="1">IFERROR(__xludf.DUMMYFUNCTION("""COMPUTED_VALUE"""),"")</f>
        <v/>
      </c>
      <c r="E86" s="134" t="str">
        <f ca="1">IFERROR(__xludf.DUMMYFUNCTION("""COMPUTED_VALUE"""),"")</f>
        <v/>
      </c>
      <c r="F86" s="134" t="str">
        <f ca="1">IFERROR(__xludf.DUMMYFUNCTION("""COMPUTED_VALUE"""),"")</f>
        <v/>
      </c>
      <c r="G86" s="134" t="str">
        <f ca="1">IFERROR(__xludf.DUMMYFUNCTION("""COMPUTED_VALUE"""),"")</f>
        <v/>
      </c>
      <c r="H86" s="134" t="str">
        <f ca="1">IFERROR(__xludf.DUMMYFUNCTION("""COMPUTED_VALUE"""),"")</f>
        <v/>
      </c>
      <c r="I86" s="134" t="str">
        <f ca="1">IFERROR(__xludf.DUMMYFUNCTION("""COMPUTED_VALUE"""),"")</f>
        <v/>
      </c>
      <c r="J86" s="134" t="str">
        <f ca="1">IFERROR(__xludf.DUMMYFUNCTION("""COMPUTED_VALUE"""),"")</f>
        <v/>
      </c>
      <c r="N86" s="31"/>
    </row>
    <row r="87" spans="1:14" customFormat="1">
      <c r="A87" s="134" t="str">
        <f ca="1">IFERROR(__xludf.DUMMYFUNCTION("""COMPUTED_VALUE"""),"")</f>
        <v/>
      </c>
      <c r="B87" s="134" t="str">
        <f ca="1">IFERROR(__xludf.DUMMYFUNCTION("""COMPUTED_VALUE"""),"")</f>
        <v/>
      </c>
      <c r="C87" s="134" t="str">
        <f ca="1">IFERROR(__xludf.DUMMYFUNCTION("""COMPUTED_VALUE"""),"")</f>
        <v/>
      </c>
      <c r="D87" s="134" t="str">
        <f ca="1">IFERROR(__xludf.DUMMYFUNCTION("""COMPUTED_VALUE"""),"")</f>
        <v/>
      </c>
      <c r="E87" s="134" t="str">
        <f ca="1">IFERROR(__xludf.DUMMYFUNCTION("""COMPUTED_VALUE"""),"")</f>
        <v/>
      </c>
      <c r="F87" s="134" t="str">
        <f ca="1">IFERROR(__xludf.DUMMYFUNCTION("""COMPUTED_VALUE"""),"")</f>
        <v/>
      </c>
      <c r="G87" s="134" t="str">
        <f ca="1">IFERROR(__xludf.DUMMYFUNCTION("""COMPUTED_VALUE"""),"")</f>
        <v/>
      </c>
      <c r="H87" s="134" t="str">
        <f ca="1">IFERROR(__xludf.DUMMYFUNCTION("""COMPUTED_VALUE"""),"")</f>
        <v/>
      </c>
      <c r="I87" s="134" t="str">
        <f ca="1">IFERROR(__xludf.DUMMYFUNCTION("""COMPUTED_VALUE"""),"")</f>
        <v/>
      </c>
      <c r="J87" s="134" t="str">
        <f ca="1">IFERROR(__xludf.DUMMYFUNCTION("""COMPUTED_VALUE"""),"")</f>
        <v/>
      </c>
      <c r="N87" s="31"/>
    </row>
    <row r="88" spans="1:14" customFormat="1">
      <c r="A88" s="134" t="str">
        <f ca="1">IFERROR(__xludf.DUMMYFUNCTION("""COMPUTED_VALUE"""),"")</f>
        <v/>
      </c>
      <c r="B88" s="134" t="str">
        <f ca="1">IFERROR(__xludf.DUMMYFUNCTION("""COMPUTED_VALUE"""),"")</f>
        <v/>
      </c>
      <c r="C88" s="134" t="str">
        <f ca="1">IFERROR(__xludf.DUMMYFUNCTION("""COMPUTED_VALUE"""),"")</f>
        <v/>
      </c>
      <c r="D88" s="134" t="str">
        <f ca="1">IFERROR(__xludf.DUMMYFUNCTION("""COMPUTED_VALUE"""),"")</f>
        <v/>
      </c>
      <c r="E88" s="134" t="str">
        <f ca="1">IFERROR(__xludf.DUMMYFUNCTION("""COMPUTED_VALUE"""),"")</f>
        <v/>
      </c>
      <c r="F88" s="134" t="str">
        <f ca="1">IFERROR(__xludf.DUMMYFUNCTION("""COMPUTED_VALUE"""),"")</f>
        <v/>
      </c>
      <c r="G88" s="134" t="str">
        <f ca="1">IFERROR(__xludf.DUMMYFUNCTION("""COMPUTED_VALUE"""),"")</f>
        <v/>
      </c>
      <c r="H88" s="134" t="str">
        <f ca="1">IFERROR(__xludf.DUMMYFUNCTION("""COMPUTED_VALUE"""),"")</f>
        <v/>
      </c>
      <c r="I88" s="134" t="str">
        <f ca="1">IFERROR(__xludf.DUMMYFUNCTION("""COMPUTED_VALUE"""),"")</f>
        <v/>
      </c>
      <c r="J88" s="134" t="str">
        <f ca="1">IFERROR(__xludf.DUMMYFUNCTION("""COMPUTED_VALUE"""),"")</f>
        <v/>
      </c>
      <c r="N88" s="31"/>
    </row>
    <row r="89" spans="1:14" customFormat="1">
      <c r="A89" s="134" t="str">
        <f ca="1">IFERROR(__xludf.DUMMYFUNCTION("""COMPUTED_VALUE"""),"")</f>
        <v/>
      </c>
      <c r="B89" s="134" t="str">
        <f ca="1">IFERROR(__xludf.DUMMYFUNCTION("""COMPUTED_VALUE"""),"")</f>
        <v/>
      </c>
      <c r="C89" s="134" t="str">
        <f ca="1">IFERROR(__xludf.DUMMYFUNCTION("""COMPUTED_VALUE"""),"")</f>
        <v/>
      </c>
      <c r="D89" s="134" t="str">
        <f ca="1">IFERROR(__xludf.DUMMYFUNCTION("""COMPUTED_VALUE"""),"")</f>
        <v/>
      </c>
      <c r="E89" s="134" t="str">
        <f ca="1">IFERROR(__xludf.DUMMYFUNCTION("""COMPUTED_VALUE"""),"")</f>
        <v/>
      </c>
      <c r="F89" s="134" t="str">
        <f ca="1">IFERROR(__xludf.DUMMYFUNCTION("""COMPUTED_VALUE"""),"")</f>
        <v/>
      </c>
      <c r="G89" s="134" t="str">
        <f ca="1">IFERROR(__xludf.DUMMYFUNCTION("""COMPUTED_VALUE"""),"")</f>
        <v/>
      </c>
      <c r="H89" s="134" t="str">
        <f ca="1">IFERROR(__xludf.DUMMYFUNCTION("""COMPUTED_VALUE"""),"")</f>
        <v/>
      </c>
      <c r="I89" s="134" t="str">
        <f ca="1">IFERROR(__xludf.DUMMYFUNCTION("""COMPUTED_VALUE"""),"")</f>
        <v/>
      </c>
      <c r="J89" s="134" t="str">
        <f ca="1">IFERROR(__xludf.DUMMYFUNCTION("""COMPUTED_VALUE"""),"")</f>
        <v/>
      </c>
      <c r="N89" s="31"/>
    </row>
    <row r="90" spans="1:14" customFormat="1">
      <c r="A90" s="134" t="str">
        <f ca="1">IFERROR(__xludf.DUMMYFUNCTION("""COMPUTED_VALUE"""),"")</f>
        <v/>
      </c>
      <c r="B90" s="134" t="str">
        <f ca="1">IFERROR(__xludf.DUMMYFUNCTION("""COMPUTED_VALUE"""),"")</f>
        <v/>
      </c>
      <c r="C90" s="134" t="str">
        <f ca="1">IFERROR(__xludf.DUMMYFUNCTION("""COMPUTED_VALUE"""),"")</f>
        <v/>
      </c>
      <c r="D90" s="134" t="str">
        <f ca="1">IFERROR(__xludf.DUMMYFUNCTION("""COMPUTED_VALUE"""),"")</f>
        <v/>
      </c>
      <c r="E90" s="134" t="str">
        <f ca="1">IFERROR(__xludf.DUMMYFUNCTION("""COMPUTED_VALUE"""),"")</f>
        <v/>
      </c>
      <c r="F90" s="134" t="str">
        <f ca="1">IFERROR(__xludf.DUMMYFUNCTION("""COMPUTED_VALUE"""),"")</f>
        <v/>
      </c>
      <c r="G90" s="134" t="str">
        <f ca="1">IFERROR(__xludf.DUMMYFUNCTION("""COMPUTED_VALUE"""),"")</f>
        <v/>
      </c>
      <c r="H90" s="134" t="str">
        <f ca="1">IFERROR(__xludf.DUMMYFUNCTION("""COMPUTED_VALUE"""),"")</f>
        <v/>
      </c>
      <c r="I90" s="134" t="str">
        <f ca="1">IFERROR(__xludf.DUMMYFUNCTION("""COMPUTED_VALUE"""),"")</f>
        <v/>
      </c>
      <c r="J90" s="134" t="str">
        <f ca="1">IFERROR(__xludf.DUMMYFUNCTION("""COMPUTED_VALUE"""),"")</f>
        <v/>
      </c>
      <c r="N90" s="31"/>
    </row>
    <row r="91" spans="1:14" customFormat="1">
      <c r="A91" s="134" t="str">
        <f ca="1">IFERROR(__xludf.DUMMYFUNCTION("""COMPUTED_VALUE"""),"")</f>
        <v/>
      </c>
      <c r="B91" s="134" t="str">
        <f ca="1">IFERROR(__xludf.DUMMYFUNCTION("""COMPUTED_VALUE"""),"")</f>
        <v/>
      </c>
      <c r="C91" s="134" t="str">
        <f ca="1">IFERROR(__xludf.DUMMYFUNCTION("""COMPUTED_VALUE"""),"")</f>
        <v/>
      </c>
      <c r="D91" s="134" t="str">
        <f ca="1">IFERROR(__xludf.DUMMYFUNCTION("""COMPUTED_VALUE"""),"")</f>
        <v/>
      </c>
      <c r="E91" s="134" t="str">
        <f ca="1">IFERROR(__xludf.DUMMYFUNCTION("""COMPUTED_VALUE"""),"")</f>
        <v/>
      </c>
      <c r="F91" s="134" t="str">
        <f ca="1">IFERROR(__xludf.DUMMYFUNCTION("""COMPUTED_VALUE"""),"")</f>
        <v/>
      </c>
      <c r="G91" s="134" t="str">
        <f ca="1">IFERROR(__xludf.DUMMYFUNCTION("""COMPUTED_VALUE"""),"")</f>
        <v/>
      </c>
      <c r="H91" s="134" t="str">
        <f ca="1">IFERROR(__xludf.DUMMYFUNCTION("""COMPUTED_VALUE"""),"")</f>
        <v/>
      </c>
      <c r="I91" s="134" t="str">
        <f ca="1">IFERROR(__xludf.DUMMYFUNCTION("""COMPUTED_VALUE"""),"")</f>
        <v/>
      </c>
      <c r="J91" s="134" t="str">
        <f ca="1">IFERROR(__xludf.DUMMYFUNCTION("""COMPUTED_VALUE"""),"")</f>
        <v/>
      </c>
      <c r="N91" s="31"/>
    </row>
    <row r="92" spans="1:14" customFormat="1">
      <c r="A92" s="134" t="str">
        <f ca="1">IFERROR(__xludf.DUMMYFUNCTION("""COMPUTED_VALUE"""),"")</f>
        <v/>
      </c>
      <c r="B92" s="134" t="str">
        <f ca="1">IFERROR(__xludf.DUMMYFUNCTION("""COMPUTED_VALUE"""),"")</f>
        <v/>
      </c>
      <c r="C92" s="134" t="str">
        <f ca="1">IFERROR(__xludf.DUMMYFUNCTION("""COMPUTED_VALUE"""),"")</f>
        <v/>
      </c>
      <c r="D92" s="134" t="str">
        <f ca="1">IFERROR(__xludf.DUMMYFUNCTION("""COMPUTED_VALUE"""),"")</f>
        <v/>
      </c>
      <c r="E92" s="134" t="str">
        <f ca="1">IFERROR(__xludf.DUMMYFUNCTION("""COMPUTED_VALUE"""),"")</f>
        <v/>
      </c>
      <c r="F92" s="134" t="str">
        <f ca="1">IFERROR(__xludf.DUMMYFUNCTION("""COMPUTED_VALUE"""),"")</f>
        <v/>
      </c>
      <c r="G92" s="134" t="str">
        <f ca="1">IFERROR(__xludf.DUMMYFUNCTION("""COMPUTED_VALUE"""),"")</f>
        <v/>
      </c>
      <c r="H92" s="134" t="str">
        <f ca="1">IFERROR(__xludf.DUMMYFUNCTION("""COMPUTED_VALUE"""),"")</f>
        <v/>
      </c>
      <c r="I92" s="134" t="str">
        <f ca="1">IFERROR(__xludf.DUMMYFUNCTION("""COMPUTED_VALUE"""),"")</f>
        <v/>
      </c>
      <c r="J92" s="134" t="str">
        <f ca="1">IFERROR(__xludf.DUMMYFUNCTION("""COMPUTED_VALUE"""),"")</f>
        <v/>
      </c>
      <c r="N92" s="31"/>
    </row>
    <row r="93" spans="1:14" customFormat="1">
      <c r="A93" s="134" t="str">
        <f ca="1">IFERROR(__xludf.DUMMYFUNCTION("""COMPUTED_VALUE"""),"")</f>
        <v/>
      </c>
      <c r="B93" s="134" t="str">
        <f ca="1">IFERROR(__xludf.DUMMYFUNCTION("""COMPUTED_VALUE"""),"")</f>
        <v/>
      </c>
      <c r="C93" s="134" t="str">
        <f ca="1">IFERROR(__xludf.DUMMYFUNCTION("""COMPUTED_VALUE"""),"")</f>
        <v/>
      </c>
      <c r="D93" s="134" t="str">
        <f ca="1">IFERROR(__xludf.DUMMYFUNCTION("""COMPUTED_VALUE"""),"")</f>
        <v/>
      </c>
      <c r="E93" s="134" t="str">
        <f ca="1">IFERROR(__xludf.DUMMYFUNCTION("""COMPUTED_VALUE"""),"")</f>
        <v/>
      </c>
      <c r="F93" s="134" t="str">
        <f ca="1">IFERROR(__xludf.DUMMYFUNCTION("""COMPUTED_VALUE"""),"")</f>
        <v/>
      </c>
      <c r="G93" s="134" t="str">
        <f ca="1">IFERROR(__xludf.DUMMYFUNCTION("""COMPUTED_VALUE"""),"")</f>
        <v/>
      </c>
      <c r="H93" s="134" t="str">
        <f ca="1">IFERROR(__xludf.DUMMYFUNCTION("""COMPUTED_VALUE"""),"")</f>
        <v/>
      </c>
      <c r="I93" s="134" t="str">
        <f ca="1">IFERROR(__xludf.DUMMYFUNCTION("""COMPUTED_VALUE"""),"")</f>
        <v/>
      </c>
      <c r="J93" s="134" t="str">
        <f ca="1">IFERROR(__xludf.DUMMYFUNCTION("""COMPUTED_VALUE"""),"")</f>
        <v/>
      </c>
      <c r="N93" s="31"/>
    </row>
    <row r="94" spans="1:14" customFormat="1">
      <c r="A94" s="134" t="str">
        <f ca="1">IFERROR(__xludf.DUMMYFUNCTION("""COMPUTED_VALUE"""),"")</f>
        <v/>
      </c>
      <c r="B94" s="134" t="str">
        <f ca="1">IFERROR(__xludf.DUMMYFUNCTION("""COMPUTED_VALUE"""),"")</f>
        <v/>
      </c>
      <c r="C94" s="134" t="str">
        <f ca="1">IFERROR(__xludf.DUMMYFUNCTION("""COMPUTED_VALUE"""),"")</f>
        <v/>
      </c>
      <c r="D94" s="134" t="str">
        <f ca="1">IFERROR(__xludf.DUMMYFUNCTION("""COMPUTED_VALUE"""),"")</f>
        <v/>
      </c>
      <c r="E94" s="134" t="str">
        <f ca="1">IFERROR(__xludf.DUMMYFUNCTION("""COMPUTED_VALUE"""),"")</f>
        <v/>
      </c>
      <c r="F94" s="134" t="str">
        <f ca="1">IFERROR(__xludf.DUMMYFUNCTION("""COMPUTED_VALUE"""),"")</f>
        <v/>
      </c>
      <c r="G94" s="134" t="str">
        <f ca="1">IFERROR(__xludf.DUMMYFUNCTION("""COMPUTED_VALUE"""),"")</f>
        <v/>
      </c>
      <c r="H94" s="134" t="str">
        <f ca="1">IFERROR(__xludf.DUMMYFUNCTION("""COMPUTED_VALUE"""),"")</f>
        <v/>
      </c>
      <c r="I94" s="134" t="str">
        <f ca="1">IFERROR(__xludf.DUMMYFUNCTION("""COMPUTED_VALUE"""),"")</f>
        <v/>
      </c>
      <c r="J94" s="134" t="str">
        <f ca="1">IFERROR(__xludf.DUMMYFUNCTION("""COMPUTED_VALUE"""),"")</f>
        <v/>
      </c>
      <c r="N94" s="31"/>
    </row>
    <row r="95" spans="1:14" customFormat="1">
      <c r="A95" s="134" t="str">
        <f ca="1">IFERROR(__xludf.DUMMYFUNCTION("""COMPUTED_VALUE"""),"")</f>
        <v/>
      </c>
      <c r="B95" s="134" t="str">
        <f ca="1">IFERROR(__xludf.DUMMYFUNCTION("""COMPUTED_VALUE"""),"")</f>
        <v/>
      </c>
      <c r="C95" s="134" t="str">
        <f ca="1">IFERROR(__xludf.DUMMYFUNCTION("""COMPUTED_VALUE"""),"")</f>
        <v/>
      </c>
      <c r="D95" s="134" t="str">
        <f ca="1">IFERROR(__xludf.DUMMYFUNCTION("""COMPUTED_VALUE"""),"")</f>
        <v/>
      </c>
      <c r="E95" s="134" t="str">
        <f ca="1">IFERROR(__xludf.DUMMYFUNCTION("""COMPUTED_VALUE"""),"")</f>
        <v/>
      </c>
      <c r="F95" s="134" t="str">
        <f ca="1">IFERROR(__xludf.DUMMYFUNCTION("""COMPUTED_VALUE"""),"")</f>
        <v/>
      </c>
      <c r="G95" s="134" t="str">
        <f ca="1">IFERROR(__xludf.DUMMYFUNCTION("""COMPUTED_VALUE"""),"")</f>
        <v/>
      </c>
      <c r="H95" s="134" t="str">
        <f ca="1">IFERROR(__xludf.DUMMYFUNCTION("""COMPUTED_VALUE"""),"")</f>
        <v/>
      </c>
      <c r="I95" s="134" t="str">
        <f ca="1">IFERROR(__xludf.DUMMYFUNCTION("""COMPUTED_VALUE"""),"")</f>
        <v/>
      </c>
      <c r="J95" s="134" t="str">
        <f ca="1">IFERROR(__xludf.DUMMYFUNCTION("""COMPUTED_VALUE"""),"")</f>
        <v/>
      </c>
      <c r="N95" s="31"/>
    </row>
    <row r="96" spans="1:14" customFormat="1">
      <c r="A96" s="134" t="str">
        <f ca="1">IFERROR(__xludf.DUMMYFUNCTION("""COMPUTED_VALUE"""),"")</f>
        <v/>
      </c>
      <c r="B96" s="134" t="str">
        <f ca="1">IFERROR(__xludf.DUMMYFUNCTION("""COMPUTED_VALUE"""),"")</f>
        <v/>
      </c>
      <c r="C96" s="134" t="str">
        <f ca="1">IFERROR(__xludf.DUMMYFUNCTION("""COMPUTED_VALUE"""),"")</f>
        <v/>
      </c>
      <c r="D96" s="134" t="str">
        <f ca="1">IFERROR(__xludf.DUMMYFUNCTION("""COMPUTED_VALUE"""),"")</f>
        <v/>
      </c>
      <c r="E96" s="134" t="str">
        <f ca="1">IFERROR(__xludf.DUMMYFUNCTION("""COMPUTED_VALUE"""),"")</f>
        <v/>
      </c>
      <c r="F96" s="134" t="str">
        <f ca="1">IFERROR(__xludf.DUMMYFUNCTION("""COMPUTED_VALUE"""),"")</f>
        <v/>
      </c>
      <c r="G96" s="134" t="str">
        <f ca="1">IFERROR(__xludf.DUMMYFUNCTION("""COMPUTED_VALUE"""),"")</f>
        <v/>
      </c>
      <c r="H96" s="134" t="str">
        <f ca="1">IFERROR(__xludf.DUMMYFUNCTION("""COMPUTED_VALUE"""),"")</f>
        <v/>
      </c>
      <c r="I96" s="134" t="str">
        <f ca="1">IFERROR(__xludf.DUMMYFUNCTION("""COMPUTED_VALUE"""),"")</f>
        <v/>
      </c>
      <c r="J96" s="134" t="str">
        <f ca="1">IFERROR(__xludf.DUMMYFUNCTION("""COMPUTED_VALUE"""),"")</f>
        <v/>
      </c>
      <c r="N96" s="31"/>
    </row>
    <row r="97" spans="1:14" customFormat="1">
      <c r="A97" s="134" t="str">
        <f ca="1">IFERROR(__xludf.DUMMYFUNCTION("""COMPUTED_VALUE"""),"")</f>
        <v/>
      </c>
      <c r="B97" s="134" t="str">
        <f ca="1">IFERROR(__xludf.DUMMYFUNCTION("""COMPUTED_VALUE"""),"")</f>
        <v/>
      </c>
      <c r="C97" s="134" t="str">
        <f ca="1">IFERROR(__xludf.DUMMYFUNCTION("""COMPUTED_VALUE"""),"")</f>
        <v/>
      </c>
      <c r="D97" s="134" t="str">
        <f ca="1">IFERROR(__xludf.DUMMYFUNCTION("""COMPUTED_VALUE"""),"")</f>
        <v/>
      </c>
      <c r="E97" s="134" t="str">
        <f ca="1">IFERROR(__xludf.DUMMYFUNCTION("""COMPUTED_VALUE"""),"")</f>
        <v/>
      </c>
      <c r="F97" s="134" t="str">
        <f ca="1">IFERROR(__xludf.DUMMYFUNCTION("""COMPUTED_VALUE"""),"")</f>
        <v/>
      </c>
      <c r="G97" s="134" t="str">
        <f ca="1">IFERROR(__xludf.DUMMYFUNCTION("""COMPUTED_VALUE"""),"")</f>
        <v/>
      </c>
      <c r="H97" s="134" t="str">
        <f ca="1">IFERROR(__xludf.DUMMYFUNCTION("""COMPUTED_VALUE"""),"")</f>
        <v/>
      </c>
      <c r="I97" s="134" t="str">
        <f ca="1">IFERROR(__xludf.DUMMYFUNCTION("""COMPUTED_VALUE"""),"")</f>
        <v/>
      </c>
      <c r="J97" s="134" t="str">
        <f ca="1">IFERROR(__xludf.DUMMYFUNCTION("""COMPUTED_VALUE"""),"")</f>
        <v/>
      </c>
      <c r="N97" s="31"/>
    </row>
    <row r="98" spans="1:14" customFormat="1">
      <c r="A98" s="134" t="str">
        <f ca="1">IFERROR(__xludf.DUMMYFUNCTION("""COMPUTED_VALUE"""),"")</f>
        <v/>
      </c>
      <c r="B98" s="134" t="str">
        <f ca="1">IFERROR(__xludf.DUMMYFUNCTION("""COMPUTED_VALUE"""),"")</f>
        <v/>
      </c>
      <c r="C98" s="134" t="str">
        <f ca="1">IFERROR(__xludf.DUMMYFUNCTION("""COMPUTED_VALUE"""),"")</f>
        <v/>
      </c>
      <c r="D98" s="134" t="str">
        <f ca="1">IFERROR(__xludf.DUMMYFUNCTION("""COMPUTED_VALUE"""),"")</f>
        <v/>
      </c>
      <c r="E98" s="134" t="str">
        <f ca="1">IFERROR(__xludf.DUMMYFUNCTION("""COMPUTED_VALUE"""),"")</f>
        <v/>
      </c>
      <c r="F98" s="134" t="str">
        <f ca="1">IFERROR(__xludf.DUMMYFUNCTION("""COMPUTED_VALUE"""),"")</f>
        <v/>
      </c>
      <c r="G98" s="134" t="str">
        <f ca="1">IFERROR(__xludf.DUMMYFUNCTION("""COMPUTED_VALUE"""),"")</f>
        <v/>
      </c>
      <c r="H98" s="134" t="str">
        <f ca="1">IFERROR(__xludf.DUMMYFUNCTION("""COMPUTED_VALUE"""),"")</f>
        <v/>
      </c>
      <c r="I98" s="134" t="str">
        <f ca="1">IFERROR(__xludf.DUMMYFUNCTION("""COMPUTED_VALUE"""),"")</f>
        <v/>
      </c>
      <c r="J98" s="134" t="str">
        <f ca="1">IFERROR(__xludf.DUMMYFUNCTION("""COMPUTED_VALUE"""),"")</f>
        <v/>
      </c>
      <c r="N98" s="31"/>
    </row>
    <row r="99" spans="1:14" customFormat="1">
      <c r="A99" s="134" t="str">
        <f ca="1">IFERROR(__xludf.DUMMYFUNCTION("""COMPUTED_VALUE"""),"")</f>
        <v/>
      </c>
      <c r="B99" s="134" t="str">
        <f ca="1">IFERROR(__xludf.DUMMYFUNCTION("""COMPUTED_VALUE"""),"")</f>
        <v/>
      </c>
      <c r="C99" s="134" t="str">
        <f ca="1">IFERROR(__xludf.DUMMYFUNCTION("""COMPUTED_VALUE"""),"")</f>
        <v/>
      </c>
      <c r="D99" s="134" t="str">
        <f ca="1">IFERROR(__xludf.DUMMYFUNCTION("""COMPUTED_VALUE"""),"")</f>
        <v/>
      </c>
      <c r="E99" s="134" t="str">
        <f ca="1">IFERROR(__xludf.DUMMYFUNCTION("""COMPUTED_VALUE"""),"")</f>
        <v/>
      </c>
      <c r="F99" s="134" t="str">
        <f ca="1">IFERROR(__xludf.DUMMYFUNCTION("""COMPUTED_VALUE"""),"")</f>
        <v/>
      </c>
      <c r="G99" s="134" t="str">
        <f ca="1">IFERROR(__xludf.DUMMYFUNCTION("""COMPUTED_VALUE"""),"")</f>
        <v/>
      </c>
      <c r="H99" s="134" t="str">
        <f ca="1">IFERROR(__xludf.DUMMYFUNCTION("""COMPUTED_VALUE"""),"")</f>
        <v/>
      </c>
      <c r="I99" s="134" t="str">
        <f ca="1">IFERROR(__xludf.DUMMYFUNCTION("""COMPUTED_VALUE"""),"")</f>
        <v/>
      </c>
      <c r="J99" s="134" t="str">
        <f ca="1">IFERROR(__xludf.DUMMYFUNCTION("""COMPUTED_VALUE"""),"")</f>
        <v/>
      </c>
      <c r="N99" s="31"/>
    </row>
    <row r="100" spans="1:14" customFormat="1">
      <c r="A100" s="134" t="str">
        <f ca="1">IFERROR(__xludf.DUMMYFUNCTION("""COMPUTED_VALUE"""),"")</f>
        <v/>
      </c>
      <c r="B100" s="134" t="str">
        <f ca="1">IFERROR(__xludf.DUMMYFUNCTION("""COMPUTED_VALUE"""),"")</f>
        <v/>
      </c>
      <c r="C100" s="134" t="str">
        <f ca="1">IFERROR(__xludf.DUMMYFUNCTION("""COMPUTED_VALUE"""),"")</f>
        <v/>
      </c>
      <c r="D100" s="134" t="str">
        <f ca="1">IFERROR(__xludf.DUMMYFUNCTION("""COMPUTED_VALUE"""),"")</f>
        <v/>
      </c>
      <c r="E100" s="134" t="str">
        <f ca="1">IFERROR(__xludf.DUMMYFUNCTION("""COMPUTED_VALUE"""),"")</f>
        <v/>
      </c>
      <c r="F100" s="134" t="str">
        <f ca="1">IFERROR(__xludf.DUMMYFUNCTION("""COMPUTED_VALUE"""),"")</f>
        <v/>
      </c>
      <c r="G100" s="134" t="str">
        <f ca="1">IFERROR(__xludf.DUMMYFUNCTION("""COMPUTED_VALUE"""),"")</f>
        <v/>
      </c>
      <c r="H100" s="134" t="str">
        <f ca="1">IFERROR(__xludf.DUMMYFUNCTION("""COMPUTED_VALUE"""),"")</f>
        <v/>
      </c>
      <c r="I100" s="134" t="str">
        <f ca="1">IFERROR(__xludf.DUMMYFUNCTION("""COMPUTED_VALUE"""),"")</f>
        <v/>
      </c>
      <c r="J100" s="134" t="str">
        <f ca="1">IFERROR(__xludf.DUMMYFUNCTION("""COMPUTED_VALUE"""),"")</f>
        <v/>
      </c>
      <c r="N100" s="31"/>
    </row>
    <row r="101" spans="1:14" customFormat="1">
      <c r="A101" s="134" t="str">
        <f ca="1">IFERROR(__xludf.DUMMYFUNCTION("""COMPUTED_VALUE"""),"")</f>
        <v/>
      </c>
      <c r="B101" s="134" t="str">
        <f ca="1">IFERROR(__xludf.DUMMYFUNCTION("""COMPUTED_VALUE"""),"")</f>
        <v/>
      </c>
      <c r="C101" s="134" t="str">
        <f ca="1">IFERROR(__xludf.DUMMYFUNCTION("""COMPUTED_VALUE"""),"")</f>
        <v/>
      </c>
      <c r="D101" s="134" t="str">
        <f ca="1">IFERROR(__xludf.DUMMYFUNCTION("""COMPUTED_VALUE"""),"")</f>
        <v/>
      </c>
      <c r="E101" s="134" t="str">
        <f ca="1">IFERROR(__xludf.DUMMYFUNCTION("""COMPUTED_VALUE"""),"")</f>
        <v/>
      </c>
      <c r="F101" s="134" t="str">
        <f ca="1">IFERROR(__xludf.DUMMYFUNCTION("""COMPUTED_VALUE"""),"")</f>
        <v/>
      </c>
      <c r="G101" s="134" t="str">
        <f ca="1">IFERROR(__xludf.DUMMYFUNCTION("""COMPUTED_VALUE"""),"")</f>
        <v/>
      </c>
      <c r="H101" s="134" t="str">
        <f ca="1">IFERROR(__xludf.DUMMYFUNCTION("""COMPUTED_VALUE"""),"")</f>
        <v/>
      </c>
      <c r="I101" s="134" t="str">
        <f ca="1">IFERROR(__xludf.DUMMYFUNCTION("""COMPUTED_VALUE"""),"")</f>
        <v/>
      </c>
      <c r="J101" s="134" t="str">
        <f ca="1">IFERROR(__xludf.DUMMYFUNCTION("""COMPUTED_VALUE"""),"")</f>
        <v/>
      </c>
      <c r="N101" s="31"/>
    </row>
    <row r="102" spans="1:14" customFormat="1">
      <c r="A102" s="134" t="str">
        <f ca="1">IFERROR(__xludf.DUMMYFUNCTION("""COMPUTED_VALUE"""),"")</f>
        <v/>
      </c>
      <c r="B102" s="134" t="str">
        <f ca="1">IFERROR(__xludf.DUMMYFUNCTION("""COMPUTED_VALUE"""),"")</f>
        <v/>
      </c>
      <c r="C102" s="134" t="str">
        <f ca="1">IFERROR(__xludf.DUMMYFUNCTION("""COMPUTED_VALUE"""),"")</f>
        <v/>
      </c>
      <c r="D102" s="134" t="str">
        <f ca="1">IFERROR(__xludf.DUMMYFUNCTION("""COMPUTED_VALUE"""),"")</f>
        <v/>
      </c>
      <c r="E102" s="134" t="str">
        <f ca="1">IFERROR(__xludf.DUMMYFUNCTION("""COMPUTED_VALUE"""),"")</f>
        <v/>
      </c>
      <c r="F102" s="134" t="str">
        <f ca="1">IFERROR(__xludf.DUMMYFUNCTION("""COMPUTED_VALUE"""),"")</f>
        <v/>
      </c>
      <c r="G102" s="134" t="str">
        <f ca="1">IFERROR(__xludf.DUMMYFUNCTION("""COMPUTED_VALUE"""),"")</f>
        <v/>
      </c>
      <c r="H102" s="134" t="str">
        <f ca="1">IFERROR(__xludf.DUMMYFUNCTION("""COMPUTED_VALUE"""),"")</f>
        <v/>
      </c>
      <c r="I102" s="134" t="str">
        <f ca="1">IFERROR(__xludf.DUMMYFUNCTION("""COMPUTED_VALUE"""),"")</f>
        <v/>
      </c>
      <c r="J102" s="134" t="str">
        <f ca="1">IFERROR(__xludf.DUMMYFUNCTION("""COMPUTED_VALUE"""),"")</f>
        <v/>
      </c>
      <c r="N102" s="31"/>
    </row>
    <row r="103" spans="1:14" customFormat="1">
      <c r="A103" s="134" t="str">
        <f ca="1">IFERROR(__xludf.DUMMYFUNCTION("""COMPUTED_VALUE"""),"")</f>
        <v/>
      </c>
      <c r="B103" s="134" t="str">
        <f ca="1">IFERROR(__xludf.DUMMYFUNCTION("""COMPUTED_VALUE"""),"")</f>
        <v/>
      </c>
      <c r="C103" s="134" t="str">
        <f ca="1">IFERROR(__xludf.DUMMYFUNCTION("""COMPUTED_VALUE"""),"")</f>
        <v/>
      </c>
      <c r="D103" s="134" t="str">
        <f ca="1">IFERROR(__xludf.DUMMYFUNCTION("""COMPUTED_VALUE"""),"")</f>
        <v/>
      </c>
      <c r="E103" s="134" t="str">
        <f ca="1">IFERROR(__xludf.DUMMYFUNCTION("""COMPUTED_VALUE"""),"")</f>
        <v/>
      </c>
      <c r="F103" s="134" t="str">
        <f ca="1">IFERROR(__xludf.DUMMYFUNCTION("""COMPUTED_VALUE"""),"")</f>
        <v/>
      </c>
      <c r="G103" s="134" t="str">
        <f ca="1">IFERROR(__xludf.DUMMYFUNCTION("""COMPUTED_VALUE"""),"")</f>
        <v/>
      </c>
      <c r="H103" s="134" t="str">
        <f ca="1">IFERROR(__xludf.DUMMYFUNCTION("""COMPUTED_VALUE"""),"")</f>
        <v/>
      </c>
      <c r="I103" s="134" t="str">
        <f ca="1">IFERROR(__xludf.DUMMYFUNCTION("""COMPUTED_VALUE"""),"")</f>
        <v/>
      </c>
      <c r="J103" s="134" t="str">
        <f ca="1">IFERROR(__xludf.DUMMYFUNCTION("""COMPUTED_VALUE"""),"")</f>
        <v/>
      </c>
      <c r="N103" s="31"/>
    </row>
    <row r="104" spans="1:14" customFormat="1">
      <c r="A104" s="134" t="str">
        <f ca="1">IFERROR(__xludf.DUMMYFUNCTION("""COMPUTED_VALUE"""),"")</f>
        <v/>
      </c>
      <c r="B104" s="134" t="str">
        <f ca="1">IFERROR(__xludf.DUMMYFUNCTION("""COMPUTED_VALUE"""),"")</f>
        <v/>
      </c>
      <c r="C104" s="134" t="str">
        <f ca="1">IFERROR(__xludf.DUMMYFUNCTION("""COMPUTED_VALUE"""),"")</f>
        <v/>
      </c>
      <c r="D104" s="134" t="str">
        <f ca="1">IFERROR(__xludf.DUMMYFUNCTION("""COMPUTED_VALUE"""),"")</f>
        <v/>
      </c>
      <c r="E104" s="134" t="str">
        <f ca="1">IFERROR(__xludf.DUMMYFUNCTION("""COMPUTED_VALUE"""),"")</f>
        <v/>
      </c>
      <c r="F104" s="134" t="str">
        <f ca="1">IFERROR(__xludf.DUMMYFUNCTION("""COMPUTED_VALUE"""),"")</f>
        <v/>
      </c>
      <c r="G104" s="134" t="str">
        <f ca="1">IFERROR(__xludf.DUMMYFUNCTION("""COMPUTED_VALUE"""),"")</f>
        <v/>
      </c>
      <c r="H104" s="134" t="str">
        <f ca="1">IFERROR(__xludf.DUMMYFUNCTION("""COMPUTED_VALUE"""),"")</f>
        <v/>
      </c>
      <c r="I104" s="134" t="str">
        <f ca="1">IFERROR(__xludf.DUMMYFUNCTION("""COMPUTED_VALUE"""),"")</f>
        <v/>
      </c>
      <c r="J104" s="134" t="str">
        <f ca="1">IFERROR(__xludf.DUMMYFUNCTION("""COMPUTED_VALUE"""),"")</f>
        <v/>
      </c>
      <c r="N104" s="31"/>
    </row>
    <row r="105" spans="1:14" customFormat="1">
      <c r="A105" s="134" t="str">
        <f ca="1">IFERROR(__xludf.DUMMYFUNCTION("""COMPUTED_VALUE"""),"")</f>
        <v/>
      </c>
      <c r="B105" s="134" t="str">
        <f ca="1">IFERROR(__xludf.DUMMYFUNCTION("""COMPUTED_VALUE"""),"")</f>
        <v/>
      </c>
      <c r="C105" s="134" t="str">
        <f ca="1">IFERROR(__xludf.DUMMYFUNCTION("""COMPUTED_VALUE"""),"")</f>
        <v/>
      </c>
      <c r="D105" s="134" t="str">
        <f ca="1">IFERROR(__xludf.DUMMYFUNCTION("""COMPUTED_VALUE"""),"")</f>
        <v/>
      </c>
      <c r="E105" s="134" t="str">
        <f ca="1">IFERROR(__xludf.DUMMYFUNCTION("""COMPUTED_VALUE"""),"")</f>
        <v/>
      </c>
      <c r="F105" s="134" t="str">
        <f ca="1">IFERROR(__xludf.DUMMYFUNCTION("""COMPUTED_VALUE"""),"")</f>
        <v/>
      </c>
      <c r="G105" s="134" t="str">
        <f ca="1">IFERROR(__xludf.DUMMYFUNCTION("""COMPUTED_VALUE"""),"")</f>
        <v/>
      </c>
      <c r="H105" s="134" t="str">
        <f ca="1">IFERROR(__xludf.DUMMYFUNCTION("""COMPUTED_VALUE"""),"")</f>
        <v/>
      </c>
      <c r="I105" s="134" t="str">
        <f ca="1">IFERROR(__xludf.DUMMYFUNCTION("""COMPUTED_VALUE"""),"")</f>
        <v/>
      </c>
      <c r="J105" s="134" t="str">
        <f ca="1">IFERROR(__xludf.DUMMYFUNCTION("""COMPUTED_VALUE"""),"")</f>
        <v/>
      </c>
      <c r="N105" s="31"/>
    </row>
    <row r="106" spans="1:14" customFormat="1">
      <c r="A106" s="134" t="str">
        <f ca="1">IFERROR(__xludf.DUMMYFUNCTION("""COMPUTED_VALUE"""),"")</f>
        <v/>
      </c>
      <c r="B106" s="134" t="str">
        <f ca="1">IFERROR(__xludf.DUMMYFUNCTION("""COMPUTED_VALUE"""),"")</f>
        <v/>
      </c>
      <c r="C106" s="134" t="str">
        <f ca="1">IFERROR(__xludf.DUMMYFUNCTION("""COMPUTED_VALUE"""),"")</f>
        <v/>
      </c>
      <c r="D106" s="134" t="str">
        <f ca="1">IFERROR(__xludf.DUMMYFUNCTION("""COMPUTED_VALUE"""),"")</f>
        <v/>
      </c>
      <c r="E106" s="134" t="str">
        <f ca="1">IFERROR(__xludf.DUMMYFUNCTION("""COMPUTED_VALUE"""),"")</f>
        <v/>
      </c>
      <c r="F106" s="134" t="str">
        <f ca="1">IFERROR(__xludf.DUMMYFUNCTION("""COMPUTED_VALUE"""),"")</f>
        <v/>
      </c>
      <c r="G106" s="134" t="str">
        <f ca="1">IFERROR(__xludf.DUMMYFUNCTION("""COMPUTED_VALUE"""),"")</f>
        <v/>
      </c>
      <c r="H106" s="134" t="str">
        <f ca="1">IFERROR(__xludf.DUMMYFUNCTION("""COMPUTED_VALUE"""),"")</f>
        <v/>
      </c>
      <c r="I106" s="134" t="str">
        <f ca="1">IFERROR(__xludf.DUMMYFUNCTION("""COMPUTED_VALUE"""),"")</f>
        <v/>
      </c>
      <c r="J106" s="134" t="str">
        <f ca="1">IFERROR(__xludf.DUMMYFUNCTION("""COMPUTED_VALUE"""),"")</f>
        <v/>
      </c>
      <c r="N106" s="31"/>
    </row>
    <row r="107" spans="1:14" customFormat="1">
      <c r="A107" s="134" t="str">
        <f ca="1">IFERROR(__xludf.DUMMYFUNCTION("""COMPUTED_VALUE"""),"")</f>
        <v/>
      </c>
      <c r="B107" s="134" t="str">
        <f ca="1">IFERROR(__xludf.DUMMYFUNCTION("""COMPUTED_VALUE"""),"")</f>
        <v/>
      </c>
      <c r="C107" s="134" t="str">
        <f ca="1">IFERROR(__xludf.DUMMYFUNCTION("""COMPUTED_VALUE"""),"")</f>
        <v/>
      </c>
      <c r="D107" s="134" t="str">
        <f ca="1">IFERROR(__xludf.DUMMYFUNCTION("""COMPUTED_VALUE"""),"")</f>
        <v/>
      </c>
      <c r="E107" s="134" t="str">
        <f ca="1">IFERROR(__xludf.DUMMYFUNCTION("""COMPUTED_VALUE"""),"")</f>
        <v/>
      </c>
      <c r="F107" s="134" t="str">
        <f ca="1">IFERROR(__xludf.DUMMYFUNCTION("""COMPUTED_VALUE"""),"")</f>
        <v/>
      </c>
      <c r="G107" s="134" t="str">
        <f ca="1">IFERROR(__xludf.DUMMYFUNCTION("""COMPUTED_VALUE"""),"")</f>
        <v/>
      </c>
      <c r="H107" s="134" t="str">
        <f ca="1">IFERROR(__xludf.DUMMYFUNCTION("""COMPUTED_VALUE"""),"")</f>
        <v/>
      </c>
      <c r="I107" s="134" t="str">
        <f ca="1">IFERROR(__xludf.DUMMYFUNCTION("""COMPUTED_VALUE"""),"")</f>
        <v/>
      </c>
      <c r="J107" s="134" t="str">
        <f ca="1">IFERROR(__xludf.DUMMYFUNCTION("""COMPUTED_VALUE"""),"")</f>
        <v/>
      </c>
      <c r="N107" s="31"/>
    </row>
    <row r="108" spans="1:14" customFormat="1">
      <c r="A108" s="134" t="str">
        <f ca="1">IFERROR(__xludf.DUMMYFUNCTION("""COMPUTED_VALUE"""),"")</f>
        <v/>
      </c>
      <c r="B108" s="134" t="str">
        <f ca="1">IFERROR(__xludf.DUMMYFUNCTION("""COMPUTED_VALUE"""),"")</f>
        <v/>
      </c>
      <c r="C108" s="134" t="str">
        <f ca="1">IFERROR(__xludf.DUMMYFUNCTION("""COMPUTED_VALUE"""),"")</f>
        <v/>
      </c>
      <c r="D108" s="134" t="str">
        <f ca="1">IFERROR(__xludf.DUMMYFUNCTION("""COMPUTED_VALUE"""),"")</f>
        <v/>
      </c>
      <c r="E108" s="134" t="str">
        <f ca="1">IFERROR(__xludf.DUMMYFUNCTION("""COMPUTED_VALUE"""),"")</f>
        <v/>
      </c>
      <c r="F108" s="134" t="str">
        <f ca="1">IFERROR(__xludf.DUMMYFUNCTION("""COMPUTED_VALUE"""),"")</f>
        <v/>
      </c>
      <c r="G108" s="134" t="str">
        <f ca="1">IFERROR(__xludf.DUMMYFUNCTION("""COMPUTED_VALUE"""),"")</f>
        <v/>
      </c>
      <c r="H108" s="134" t="str">
        <f ca="1">IFERROR(__xludf.DUMMYFUNCTION("""COMPUTED_VALUE"""),"")</f>
        <v/>
      </c>
      <c r="I108" s="134" t="str">
        <f ca="1">IFERROR(__xludf.DUMMYFUNCTION("""COMPUTED_VALUE"""),"")</f>
        <v/>
      </c>
      <c r="J108" s="134" t="str">
        <f ca="1">IFERROR(__xludf.DUMMYFUNCTION("""COMPUTED_VALUE"""),"")</f>
        <v/>
      </c>
      <c r="N108" s="31"/>
    </row>
    <row r="109" spans="1:14" customFormat="1">
      <c r="A109" s="134" t="str">
        <f ca="1">IFERROR(__xludf.DUMMYFUNCTION("""COMPUTED_VALUE"""),"")</f>
        <v/>
      </c>
      <c r="B109" s="134" t="str">
        <f ca="1">IFERROR(__xludf.DUMMYFUNCTION("""COMPUTED_VALUE"""),"")</f>
        <v/>
      </c>
      <c r="C109" s="134" t="str">
        <f ca="1">IFERROR(__xludf.DUMMYFUNCTION("""COMPUTED_VALUE"""),"")</f>
        <v/>
      </c>
      <c r="D109" s="134" t="str">
        <f ca="1">IFERROR(__xludf.DUMMYFUNCTION("""COMPUTED_VALUE"""),"")</f>
        <v/>
      </c>
      <c r="E109" s="134" t="str">
        <f ca="1">IFERROR(__xludf.DUMMYFUNCTION("""COMPUTED_VALUE"""),"")</f>
        <v/>
      </c>
      <c r="F109" s="134" t="str">
        <f ca="1">IFERROR(__xludf.DUMMYFUNCTION("""COMPUTED_VALUE"""),"")</f>
        <v/>
      </c>
      <c r="G109" s="134" t="str">
        <f ca="1">IFERROR(__xludf.DUMMYFUNCTION("""COMPUTED_VALUE"""),"")</f>
        <v/>
      </c>
      <c r="H109" s="134" t="str">
        <f ca="1">IFERROR(__xludf.DUMMYFUNCTION("""COMPUTED_VALUE"""),"")</f>
        <v/>
      </c>
      <c r="I109" s="134" t="str">
        <f ca="1">IFERROR(__xludf.DUMMYFUNCTION("""COMPUTED_VALUE"""),"")</f>
        <v/>
      </c>
      <c r="J109" s="134" t="str">
        <f ca="1">IFERROR(__xludf.DUMMYFUNCTION("""COMPUTED_VALUE"""),"")</f>
        <v/>
      </c>
      <c r="N109" s="31"/>
    </row>
    <row r="110" spans="1:14" customFormat="1">
      <c r="A110" s="134" t="str">
        <f ca="1">IFERROR(__xludf.DUMMYFUNCTION("""COMPUTED_VALUE"""),"")</f>
        <v/>
      </c>
      <c r="B110" s="134" t="str">
        <f ca="1">IFERROR(__xludf.DUMMYFUNCTION("""COMPUTED_VALUE"""),"")</f>
        <v/>
      </c>
      <c r="C110" s="134" t="str">
        <f ca="1">IFERROR(__xludf.DUMMYFUNCTION("""COMPUTED_VALUE"""),"")</f>
        <v/>
      </c>
      <c r="D110" s="134" t="str">
        <f ca="1">IFERROR(__xludf.DUMMYFUNCTION("""COMPUTED_VALUE"""),"")</f>
        <v/>
      </c>
      <c r="E110" s="134" t="str">
        <f ca="1">IFERROR(__xludf.DUMMYFUNCTION("""COMPUTED_VALUE"""),"")</f>
        <v/>
      </c>
      <c r="F110" s="134" t="str">
        <f ca="1">IFERROR(__xludf.DUMMYFUNCTION("""COMPUTED_VALUE"""),"")</f>
        <v/>
      </c>
      <c r="G110" s="134" t="str">
        <f ca="1">IFERROR(__xludf.DUMMYFUNCTION("""COMPUTED_VALUE"""),"")</f>
        <v/>
      </c>
      <c r="H110" s="134" t="str">
        <f ca="1">IFERROR(__xludf.DUMMYFUNCTION("""COMPUTED_VALUE"""),"")</f>
        <v/>
      </c>
      <c r="I110" s="134" t="str">
        <f ca="1">IFERROR(__xludf.DUMMYFUNCTION("""COMPUTED_VALUE"""),"")</f>
        <v/>
      </c>
      <c r="J110" s="134" t="str">
        <f ca="1">IFERROR(__xludf.DUMMYFUNCTION("""COMPUTED_VALUE"""),"")</f>
        <v/>
      </c>
      <c r="N110" s="31"/>
    </row>
    <row r="111" spans="1:14" customFormat="1">
      <c r="A111" s="134" t="str">
        <f ca="1">IFERROR(__xludf.DUMMYFUNCTION("""COMPUTED_VALUE"""),"")</f>
        <v/>
      </c>
      <c r="B111" s="134" t="str">
        <f ca="1">IFERROR(__xludf.DUMMYFUNCTION("""COMPUTED_VALUE"""),"")</f>
        <v/>
      </c>
      <c r="C111" s="134" t="str">
        <f ca="1">IFERROR(__xludf.DUMMYFUNCTION("""COMPUTED_VALUE"""),"")</f>
        <v/>
      </c>
      <c r="D111" s="134" t="str">
        <f ca="1">IFERROR(__xludf.DUMMYFUNCTION("""COMPUTED_VALUE"""),"")</f>
        <v/>
      </c>
      <c r="E111" s="134" t="str">
        <f ca="1">IFERROR(__xludf.DUMMYFUNCTION("""COMPUTED_VALUE"""),"")</f>
        <v/>
      </c>
      <c r="F111" s="134" t="str">
        <f ca="1">IFERROR(__xludf.DUMMYFUNCTION("""COMPUTED_VALUE"""),"")</f>
        <v/>
      </c>
      <c r="G111" s="134" t="str">
        <f ca="1">IFERROR(__xludf.DUMMYFUNCTION("""COMPUTED_VALUE"""),"")</f>
        <v/>
      </c>
      <c r="H111" s="134" t="str">
        <f ca="1">IFERROR(__xludf.DUMMYFUNCTION("""COMPUTED_VALUE"""),"")</f>
        <v/>
      </c>
      <c r="I111" s="134" t="str">
        <f ca="1">IFERROR(__xludf.DUMMYFUNCTION("""COMPUTED_VALUE"""),"")</f>
        <v/>
      </c>
      <c r="J111" s="134" t="str">
        <f ca="1">IFERROR(__xludf.DUMMYFUNCTION("""COMPUTED_VALUE"""),"")</f>
        <v/>
      </c>
      <c r="N111" s="31"/>
    </row>
    <row r="112" spans="1:14" customFormat="1">
      <c r="A112" s="134" t="str">
        <f ca="1">IFERROR(__xludf.DUMMYFUNCTION("""COMPUTED_VALUE"""),"")</f>
        <v/>
      </c>
      <c r="B112" s="134" t="str">
        <f ca="1">IFERROR(__xludf.DUMMYFUNCTION("""COMPUTED_VALUE"""),"")</f>
        <v/>
      </c>
      <c r="C112" s="134" t="str">
        <f ca="1">IFERROR(__xludf.DUMMYFUNCTION("""COMPUTED_VALUE"""),"")</f>
        <v/>
      </c>
      <c r="D112" s="134" t="str">
        <f ca="1">IFERROR(__xludf.DUMMYFUNCTION("""COMPUTED_VALUE"""),"")</f>
        <v/>
      </c>
      <c r="E112" s="134" t="str">
        <f ca="1">IFERROR(__xludf.DUMMYFUNCTION("""COMPUTED_VALUE"""),"")</f>
        <v/>
      </c>
      <c r="F112" s="134" t="str">
        <f ca="1">IFERROR(__xludf.DUMMYFUNCTION("""COMPUTED_VALUE"""),"")</f>
        <v/>
      </c>
      <c r="G112" s="134" t="str">
        <f ca="1">IFERROR(__xludf.DUMMYFUNCTION("""COMPUTED_VALUE"""),"")</f>
        <v/>
      </c>
      <c r="H112" s="134" t="str">
        <f ca="1">IFERROR(__xludf.DUMMYFUNCTION("""COMPUTED_VALUE"""),"")</f>
        <v/>
      </c>
      <c r="I112" s="134" t="str">
        <f ca="1">IFERROR(__xludf.DUMMYFUNCTION("""COMPUTED_VALUE"""),"")</f>
        <v/>
      </c>
      <c r="J112" s="134" t="str">
        <f ca="1">IFERROR(__xludf.DUMMYFUNCTION("""COMPUTED_VALUE"""),"")</f>
        <v/>
      </c>
      <c r="N112" s="31"/>
    </row>
    <row r="113" spans="1:14" customFormat="1">
      <c r="A113" s="134" t="str">
        <f ca="1">IFERROR(__xludf.DUMMYFUNCTION("""COMPUTED_VALUE"""),"")</f>
        <v/>
      </c>
      <c r="B113" s="134" t="str">
        <f ca="1">IFERROR(__xludf.DUMMYFUNCTION("""COMPUTED_VALUE"""),"")</f>
        <v/>
      </c>
      <c r="C113" s="134" t="str">
        <f ca="1">IFERROR(__xludf.DUMMYFUNCTION("""COMPUTED_VALUE"""),"")</f>
        <v/>
      </c>
      <c r="D113" s="134" t="str">
        <f ca="1">IFERROR(__xludf.DUMMYFUNCTION("""COMPUTED_VALUE"""),"")</f>
        <v/>
      </c>
      <c r="E113" s="134" t="str">
        <f ca="1">IFERROR(__xludf.DUMMYFUNCTION("""COMPUTED_VALUE"""),"")</f>
        <v/>
      </c>
      <c r="F113" s="134" t="str">
        <f ca="1">IFERROR(__xludf.DUMMYFUNCTION("""COMPUTED_VALUE"""),"")</f>
        <v/>
      </c>
      <c r="G113" s="134" t="str">
        <f ca="1">IFERROR(__xludf.DUMMYFUNCTION("""COMPUTED_VALUE"""),"")</f>
        <v/>
      </c>
      <c r="H113" s="134" t="str">
        <f ca="1">IFERROR(__xludf.DUMMYFUNCTION("""COMPUTED_VALUE"""),"")</f>
        <v/>
      </c>
      <c r="I113" s="134" t="str">
        <f ca="1">IFERROR(__xludf.DUMMYFUNCTION("""COMPUTED_VALUE"""),"")</f>
        <v/>
      </c>
      <c r="J113" s="134" t="str">
        <f ca="1">IFERROR(__xludf.DUMMYFUNCTION("""COMPUTED_VALUE"""),"")</f>
        <v/>
      </c>
      <c r="N113" s="31"/>
    </row>
    <row r="114" spans="1:14" customFormat="1">
      <c r="A114" s="134" t="str">
        <f ca="1">IFERROR(__xludf.DUMMYFUNCTION("""COMPUTED_VALUE"""),"")</f>
        <v/>
      </c>
      <c r="B114" s="134" t="str">
        <f ca="1">IFERROR(__xludf.DUMMYFUNCTION("""COMPUTED_VALUE"""),"")</f>
        <v/>
      </c>
      <c r="C114" s="134" t="str">
        <f ca="1">IFERROR(__xludf.DUMMYFUNCTION("""COMPUTED_VALUE"""),"")</f>
        <v/>
      </c>
      <c r="D114" s="134" t="str">
        <f ca="1">IFERROR(__xludf.DUMMYFUNCTION("""COMPUTED_VALUE"""),"")</f>
        <v/>
      </c>
      <c r="E114" s="134" t="str">
        <f ca="1">IFERROR(__xludf.DUMMYFUNCTION("""COMPUTED_VALUE"""),"")</f>
        <v/>
      </c>
      <c r="F114" s="134" t="str">
        <f ca="1">IFERROR(__xludf.DUMMYFUNCTION("""COMPUTED_VALUE"""),"")</f>
        <v/>
      </c>
      <c r="G114" s="134" t="str">
        <f ca="1">IFERROR(__xludf.DUMMYFUNCTION("""COMPUTED_VALUE"""),"")</f>
        <v/>
      </c>
      <c r="H114" s="134" t="str">
        <f ca="1">IFERROR(__xludf.DUMMYFUNCTION("""COMPUTED_VALUE"""),"")</f>
        <v/>
      </c>
      <c r="I114" s="134" t="str">
        <f ca="1">IFERROR(__xludf.DUMMYFUNCTION("""COMPUTED_VALUE"""),"")</f>
        <v/>
      </c>
      <c r="J114" s="134" t="str">
        <f ca="1">IFERROR(__xludf.DUMMYFUNCTION("""COMPUTED_VALUE"""),"")</f>
        <v/>
      </c>
      <c r="N114" s="31"/>
    </row>
    <row r="115" spans="1:14" customFormat="1">
      <c r="A115" s="134" t="str">
        <f ca="1">IFERROR(__xludf.DUMMYFUNCTION("""COMPUTED_VALUE"""),"")</f>
        <v/>
      </c>
      <c r="B115" s="134" t="str">
        <f ca="1">IFERROR(__xludf.DUMMYFUNCTION("""COMPUTED_VALUE"""),"")</f>
        <v/>
      </c>
      <c r="C115" s="134" t="str">
        <f ca="1">IFERROR(__xludf.DUMMYFUNCTION("""COMPUTED_VALUE"""),"")</f>
        <v/>
      </c>
      <c r="D115" s="134" t="str">
        <f ca="1">IFERROR(__xludf.DUMMYFUNCTION("""COMPUTED_VALUE"""),"")</f>
        <v/>
      </c>
      <c r="E115" s="134" t="str">
        <f ca="1">IFERROR(__xludf.DUMMYFUNCTION("""COMPUTED_VALUE"""),"")</f>
        <v/>
      </c>
      <c r="F115" s="134" t="str">
        <f ca="1">IFERROR(__xludf.DUMMYFUNCTION("""COMPUTED_VALUE"""),"")</f>
        <v/>
      </c>
      <c r="G115" s="134" t="str">
        <f ca="1">IFERROR(__xludf.DUMMYFUNCTION("""COMPUTED_VALUE"""),"")</f>
        <v/>
      </c>
      <c r="H115" s="134" t="str">
        <f ca="1">IFERROR(__xludf.DUMMYFUNCTION("""COMPUTED_VALUE"""),"")</f>
        <v/>
      </c>
      <c r="I115" s="134" t="str">
        <f ca="1">IFERROR(__xludf.DUMMYFUNCTION("""COMPUTED_VALUE"""),"")</f>
        <v/>
      </c>
      <c r="J115" s="134" t="str">
        <f ca="1">IFERROR(__xludf.DUMMYFUNCTION("""COMPUTED_VALUE"""),"")</f>
        <v/>
      </c>
      <c r="N115" s="31"/>
    </row>
    <row r="116" spans="1:14" customFormat="1">
      <c r="A116" s="134" t="str">
        <f ca="1">IFERROR(__xludf.DUMMYFUNCTION("""COMPUTED_VALUE"""),"")</f>
        <v/>
      </c>
      <c r="B116" s="134" t="str">
        <f ca="1">IFERROR(__xludf.DUMMYFUNCTION("""COMPUTED_VALUE"""),"")</f>
        <v/>
      </c>
      <c r="C116" s="134" t="str">
        <f ca="1">IFERROR(__xludf.DUMMYFUNCTION("""COMPUTED_VALUE"""),"")</f>
        <v/>
      </c>
      <c r="D116" s="134" t="str">
        <f ca="1">IFERROR(__xludf.DUMMYFUNCTION("""COMPUTED_VALUE"""),"")</f>
        <v/>
      </c>
      <c r="E116" s="134" t="str">
        <f ca="1">IFERROR(__xludf.DUMMYFUNCTION("""COMPUTED_VALUE"""),"")</f>
        <v/>
      </c>
      <c r="F116" s="134" t="str">
        <f ca="1">IFERROR(__xludf.DUMMYFUNCTION("""COMPUTED_VALUE"""),"")</f>
        <v/>
      </c>
      <c r="G116" s="134" t="str">
        <f ca="1">IFERROR(__xludf.DUMMYFUNCTION("""COMPUTED_VALUE"""),"")</f>
        <v/>
      </c>
      <c r="H116" s="134" t="str">
        <f ca="1">IFERROR(__xludf.DUMMYFUNCTION("""COMPUTED_VALUE"""),"")</f>
        <v/>
      </c>
      <c r="I116" s="134" t="str">
        <f ca="1">IFERROR(__xludf.DUMMYFUNCTION("""COMPUTED_VALUE"""),"")</f>
        <v/>
      </c>
      <c r="J116" s="134" t="str">
        <f ca="1">IFERROR(__xludf.DUMMYFUNCTION("""COMPUTED_VALUE"""),"")</f>
        <v/>
      </c>
      <c r="N116" s="31"/>
    </row>
    <row r="117" spans="1:14" customFormat="1">
      <c r="A117" s="134" t="str">
        <f ca="1">IFERROR(__xludf.DUMMYFUNCTION("""COMPUTED_VALUE"""),"")</f>
        <v/>
      </c>
      <c r="B117" s="134" t="str">
        <f ca="1">IFERROR(__xludf.DUMMYFUNCTION("""COMPUTED_VALUE"""),"")</f>
        <v/>
      </c>
      <c r="C117" s="134" t="str">
        <f ca="1">IFERROR(__xludf.DUMMYFUNCTION("""COMPUTED_VALUE"""),"")</f>
        <v/>
      </c>
      <c r="D117" s="134" t="str">
        <f ca="1">IFERROR(__xludf.DUMMYFUNCTION("""COMPUTED_VALUE"""),"")</f>
        <v/>
      </c>
      <c r="E117" s="134" t="str">
        <f ca="1">IFERROR(__xludf.DUMMYFUNCTION("""COMPUTED_VALUE"""),"")</f>
        <v/>
      </c>
      <c r="F117" s="134" t="str">
        <f ca="1">IFERROR(__xludf.DUMMYFUNCTION("""COMPUTED_VALUE"""),"")</f>
        <v/>
      </c>
      <c r="G117" s="134" t="str">
        <f ca="1">IFERROR(__xludf.DUMMYFUNCTION("""COMPUTED_VALUE"""),"")</f>
        <v/>
      </c>
      <c r="H117" s="134" t="str">
        <f ca="1">IFERROR(__xludf.DUMMYFUNCTION("""COMPUTED_VALUE"""),"")</f>
        <v/>
      </c>
      <c r="I117" s="134" t="str">
        <f ca="1">IFERROR(__xludf.DUMMYFUNCTION("""COMPUTED_VALUE"""),"")</f>
        <v/>
      </c>
      <c r="J117" s="134" t="str">
        <f ca="1">IFERROR(__xludf.DUMMYFUNCTION("""COMPUTED_VALUE"""),"")</f>
        <v/>
      </c>
      <c r="N117" s="31"/>
    </row>
    <row r="118" spans="1:14" customFormat="1">
      <c r="A118" s="134" t="str">
        <f ca="1">IFERROR(__xludf.DUMMYFUNCTION("""COMPUTED_VALUE"""),"")</f>
        <v/>
      </c>
      <c r="B118" s="134" t="str">
        <f ca="1">IFERROR(__xludf.DUMMYFUNCTION("""COMPUTED_VALUE"""),"")</f>
        <v/>
      </c>
      <c r="C118" s="134" t="str">
        <f ca="1">IFERROR(__xludf.DUMMYFUNCTION("""COMPUTED_VALUE"""),"")</f>
        <v/>
      </c>
      <c r="D118" s="134" t="str">
        <f ca="1">IFERROR(__xludf.DUMMYFUNCTION("""COMPUTED_VALUE"""),"")</f>
        <v/>
      </c>
      <c r="E118" s="134" t="str">
        <f ca="1">IFERROR(__xludf.DUMMYFUNCTION("""COMPUTED_VALUE"""),"")</f>
        <v/>
      </c>
      <c r="F118" s="134" t="str">
        <f ca="1">IFERROR(__xludf.DUMMYFUNCTION("""COMPUTED_VALUE"""),"")</f>
        <v/>
      </c>
      <c r="G118" s="134" t="str">
        <f ca="1">IFERROR(__xludf.DUMMYFUNCTION("""COMPUTED_VALUE"""),"")</f>
        <v/>
      </c>
      <c r="H118" s="134" t="str">
        <f ca="1">IFERROR(__xludf.DUMMYFUNCTION("""COMPUTED_VALUE"""),"")</f>
        <v/>
      </c>
      <c r="I118" s="134" t="str">
        <f ca="1">IFERROR(__xludf.DUMMYFUNCTION("""COMPUTED_VALUE"""),"")</f>
        <v/>
      </c>
      <c r="J118" s="134" t="str">
        <f ca="1">IFERROR(__xludf.DUMMYFUNCTION("""COMPUTED_VALUE"""),"")</f>
        <v/>
      </c>
      <c r="N118" s="31"/>
    </row>
    <row r="119" spans="1:14" customFormat="1">
      <c r="A119" s="134" t="str">
        <f ca="1">IFERROR(__xludf.DUMMYFUNCTION("""COMPUTED_VALUE"""),"")</f>
        <v/>
      </c>
      <c r="B119" s="134" t="str">
        <f ca="1">IFERROR(__xludf.DUMMYFUNCTION("""COMPUTED_VALUE"""),"")</f>
        <v/>
      </c>
      <c r="C119" s="134" t="str">
        <f ca="1">IFERROR(__xludf.DUMMYFUNCTION("""COMPUTED_VALUE"""),"")</f>
        <v/>
      </c>
      <c r="D119" s="134" t="str">
        <f ca="1">IFERROR(__xludf.DUMMYFUNCTION("""COMPUTED_VALUE"""),"")</f>
        <v/>
      </c>
      <c r="E119" s="134" t="str">
        <f ca="1">IFERROR(__xludf.DUMMYFUNCTION("""COMPUTED_VALUE"""),"")</f>
        <v/>
      </c>
      <c r="F119" s="134" t="str">
        <f ca="1">IFERROR(__xludf.DUMMYFUNCTION("""COMPUTED_VALUE"""),"")</f>
        <v/>
      </c>
      <c r="G119" s="134" t="str">
        <f ca="1">IFERROR(__xludf.DUMMYFUNCTION("""COMPUTED_VALUE"""),"")</f>
        <v/>
      </c>
      <c r="H119" s="134" t="str">
        <f ca="1">IFERROR(__xludf.DUMMYFUNCTION("""COMPUTED_VALUE"""),"")</f>
        <v/>
      </c>
      <c r="I119" s="134" t="str">
        <f ca="1">IFERROR(__xludf.DUMMYFUNCTION("""COMPUTED_VALUE"""),"")</f>
        <v/>
      </c>
      <c r="J119" s="134" t="str">
        <f ca="1">IFERROR(__xludf.DUMMYFUNCTION("""COMPUTED_VALUE"""),"")</f>
        <v/>
      </c>
      <c r="N119" s="31"/>
    </row>
    <row r="120" spans="1:14" customFormat="1">
      <c r="A120" s="134" t="str">
        <f ca="1">IFERROR(__xludf.DUMMYFUNCTION("""COMPUTED_VALUE"""),"")</f>
        <v/>
      </c>
      <c r="B120" s="134" t="str">
        <f ca="1">IFERROR(__xludf.DUMMYFUNCTION("""COMPUTED_VALUE"""),"")</f>
        <v/>
      </c>
      <c r="C120" s="134" t="str">
        <f ca="1">IFERROR(__xludf.DUMMYFUNCTION("""COMPUTED_VALUE"""),"")</f>
        <v/>
      </c>
      <c r="D120" s="134" t="str">
        <f ca="1">IFERROR(__xludf.DUMMYFUNCTION("""COMPUTED_VALUE"""),"")</f>
        <v/>
      </c>
      <c r="E120" s="134" t="str">
        <f ca="1">IFERROR(__xludf.DUMMYFUNCTION("""COMPUTED_VALUE"""),"")</f>
        <v/>
      </c>
      <c r="F120" s="134" t="str">
        <f ca="1">IFERROR(__xludf.DUMMYFUNCTION("""COMPUTED_VALUE"""),"")</f>
        <v/>
      </c>
      <c r="G120" s="134" t="str">
        <f ca="1">IFERROR(__xludf.DUMMYFUNCTION("""COMPUTED_VALUE"""),"")</f>
        <v/>
      </c>
      <c r="H120" s="134" t="str">
        <f ca="1">IFERROR(__xludf.DUMMYFUNCTION("""COMPUTED_VALUE"""),"")</f>
        <v/>
      </c>
      <c r="I120" s="134" t="str">
        <f ca="1">IFERROR(__xludf.DUMMYFUNCTION("""COMPUTED_VALUE"""),"")</f>
        <v/>
      </c>
      <c r="J120" s="134" t="str">
        <f ca="1">IFERROR(__xludf.DUMMYFUNCTION("""COMPUTED_VALUE"""),"")</f>
        <v/>
      </c>
      <c r="N120" s="31"/>
    </row>
    <row r="121" spans="1:14" customFormat="1">
      <c r="A121" s="134" t="str">
        <f ca="1">IFERROR(__xludf.DUMMYFUNCTION("""COMPUTED_VALUE"""),"")</f>
        <v/>
      </c>
      <c r="B121" s="134" t="str">
        <f ca="1">IFERROR(__xludf.DUMMYFUNCTION("""COMPUTED_VALUE"""),"")</f>
        <v/>
      </c>
      <c r="C121" s="134" t="str">
        <f ca="1">IFERROR(__xludf.DUMMYFUNCTION("""COMPUTED_VALUE"""),"")</f>
        <v/>
      </c>
      <c r="D121" s="134" t="str">
        <f ca="1">IFERROR(__xludf.DUMMYFUNCTION("""COMPUTED_VALUE"""),"")</f>
        <v/>
      </c>
      <c r="E121" s="134" t="str">
        <f ca="1">IFERROR(__xludf.DUMMYFUNCTION("""COMPUTED_VALUE"""),"")</f>
        <v/>
      </c>
      <c r="F121" s="134" t="str">
        <f ca="1">IFERROR(__xludf.DUMMYFUNCTION("""COMPUTED_VALUE"""),"")</f>
        <v/>
      </c>
      <c r="G121" s="134" t="str">
        <f ca="1">IFERROR(__xludf.DUMMYFUNCTION("""COMPUTED_VALUE"""),"")</f>
        <v/>
      </c>
      <c r="H121" s="134" t="str">
        <f ca="1">IFERROR(__xludf.DUMMYFUNCTION("""COMPUTED_VALUE"""),"")</f>
        <v/>
      </c>
      <c r="I121" s="134" t="str">
        <f ca="1">IFERROR(__xludf.DUMMYFUNCTION("""COMPUTED_VALUE"""),"")</f>
        <v/>
      </c>
      <c r="J121" s="134" t="str">
        <f ca="1">IFERROR(__xludf.DUMMYFUNCTION("""COMPUTED_VALUE"""),"")</f>
        <v/>
      </c>
      <c r="N121" s="31"/>
    </row>
    <row r="122" spans="1:14" customFormat="1">
      <c r="A122" s="134" t="str">
        <f ca="1">IFERROR(__xludf.DUMMYFUNCTION("""COMPUTED_VALUE"""),"")</f>
        <v/>
      </c>
      <c r="B122" s="134" t="str">
        <f ca="1">IFERROR(__xludf.DUMMYFUNCTION("""COMPUTED_VALUE"""),"")</f>
        <v/>
      </c>
      <c r="C122" s="134" t="str">
        <f ca="1">IFERROR(__xludf.DUMMYFUNCTION("""COMPUTED_VALUE"""),"")</f>
        <v/>
      </c>
      <c r="D122" s="134" t="str">
        <f ca="1">IFERROR(__xludf.DUMMYFUNCTION("""COMPUTED_VALUE"""),"")</f>
        <v/>
      </c>
      <c r="E122" s="134" t="str">
        <f ca="1">IFERROR(__xludf.DUMMYFUNCTION("""COMPUTED_VALUE"""),"")</f>
        <v/>
      </c>
      <c r="F122" s="134" t="str">
        <f ca="1">IFERROR(__xludf.DUMMYFUNCTION("""COMPUTED_VALUE"""),"")</f>
        <v/>
      </c>
      <c r="G122" s="134" t="str">
        <f ca="1">IFERROR(__xludf.DUMMYFUNCTION("""COMPUTED_VALUE"""),"")</f>
        <v/>
      </c>
      <c r="H122" s="134" t="str">
        <f ca="1">IFERROR(__xludf.DUMMYFUNCTION("""COMPUTED_VALUE"""),"")</f>
        <v/>
      </c>
      <c r="I122" s="134" t="str">
        <f ca="1">IFERROR(__xludf.DUMMYFUNCTION("""COMPUTED_VALUE"""),"")</f>
        <v/>
      </c>
      <c r="J122" s="134" t="str">
        <f ca="1">IFERROR(__xludf.DUMMYFUNCTION("""COMPUTED_VALUE"""),"")</f>
        <v/>
      </c>
      <c r="N122" s="31"/>
    </row>
    <row r="123" spans="1:14" customFormat="1">
      <c r="A123" s="134" t="str">
        <f ca="1">IFERROR(__xludf.DUMMYFUNCTION("""COMPUTED_VALUE"""),"")</f>
        <v/>
      </c>
      <c r="B123" s="134" t="str">
        <f ca="1">IFERROR(__xludf.DUMMYFUNCTION("""COMPUTED_VALUE"""),"")</f>
        <v/>
      </c>
      <c r="C123" s="134" t="str">
        <f ca="1">IFERROR(__xludf.DUMMYFUNCTION("""COMPUTED_VALUE"""),"")</f>
        <v/>
      </c>
      <c r="D123" s="134" t="str">
        <f ca="1">IFERROR(__xludf.DUMMYFUNCTION("""COMPUTED_VALUE"""),"")</f>
        <v/>
      </c>
      <c r="E123" s="134" t="str">
        <f ca="1">IFERROR(__xludf.DUMMYFUNCTION("""COMPUTED_VALUE"""),"")</f>
        <v/>
      </c>
      <c r="F123" s="134" t="str">
        <f ca="1">IFERROR(__xludf.DUMMYFUNCTION("""COMPUTED_VALUE"""),"")</f>
        <v/>
      </c>
      <c r="G123" s="134" t="str">
        <f ca="1">IFERROR(__xludf.DUMMYFUNCTION("""COMPUTED_VALUE"""),"")</f>
        <v/>
      </c>
      <c r="H123" s="134" t="str">
        <f ca="1">IFERROR(__xludf.DUMMYFUNCTION("""COMPUTED_VALUE"""),"")</f>
        <v/>
      </c>
      <c r="I123" s="134" t="str">
        <f ca="1">IFERROR(__xludf.DUMMYFUNCTION("""COMPUTED_VALUE"""),"")</f>
        <v/>
      </c>
      <c r="J123" s="134" t="str">
        <f ca="1">IFERROR(__xludf.DUMMYFUNCTION("""COMPUTED_VALUE"""),"")</f>
        <v/>
      </c>
      <c r="N123" s="31"/>
    </row>
    <row r="124" spans="1:14" customFormat="1">
      <c r="A124" s="134" t="str">
        <f ca="1">IFERROR(__xludf.DUMMYFUNCTION("""COMPUTED_VALUE"""),"")</f>
        <v/>
      </c>
      <c r="B124" s="134" t="str">
        <f ca="1">IFERROR(__xludf.DUMMYFUNCTION("""COMPUTED_VALUE"""),"")</f>
        <v/>
      </c>
      <c r="C124" s="134" t="str">
        <f ca="1">IFERROR(__xludf.DUMMYFUNCTION("""COMPUTED_VALUE"""),"")</f>
        <v/>
      </c>
      <c r="D124" s="134" t="str">
        <f ca="1">IFERROR(__xludf.DUMMYFUNCTION("""COMPUTED_VALUE"""),"")</f>
        <v/>
      </c>
      <c r="E124" s="134" t="str">
        <f ca="1">IFERROR(__xludf.DUMMYFUNCTION("""COMPUTED_VALUE"""),"")</f>
        <v/>
      </c>
      <c r="F124" s="134" t="str">
        <f ca="1">IFERROR(__xludf.DUMMYFUNCTION("""COMPUTED_VALUE"""),"")</f>
        <v/>
      </c>
      <c r="G124" s="134" t="str">
        <f ca="1">IFERROR(__xludf.DUMMYFUNCTION("""COMPUTED_VALUE"""),"")</f>
        <v/>
      </c>
      <c r="H124" s="134" t="str">
        <f ca="1">IFERROR(__xludf.DUMMYFUNCTION("""COMPUTED_VALUE"""),"")</f>
        <v/>
      </c>
      <c r="I124" s="134" t="str">
        <f ca="1">IFERROR(__xludf.DUMMYFUNCTION("""COMPUTED_VALUE"""),"")</f>
        <v/>
      </c>
      <c r="J124" s="134" t="str">
        <f ca="1">IFERROR(__xludf.DUMMYFUNCTION("""COMPUTED_VALUE"""),"")</f>
        <v/>
      </c>
      <c r="N124" s="31"/>
    </row>
    <row r="125" spans="1:14" customFormat="1">
      <c r="A125" s="134" t="str">
        <f ca="1">IFERROR(__xludf.DUMMYFUNCTION("""COMPUTED_VALUE"""),"")</f>
        <v/>
      </c>
      <c r="B125" s="134" t="str">
        <f ca="1">IFERROR(__xludf.DUMMYFUNCTION("""COMPUTED_VALUE"""),"")</f>
        <v/>
      </c>
      <c r="C125" s="134" t="str">
        <f ca="1">IFERROR(__xludf.DUMMYFUNCTION("""COMPUTED_VALUE"""),"")</f>
        <v/>
      </c>
      <c r="D125" s="134" t="str">
        <f ca="1">IFERROR(__xludf.DUMMYFUNCTION("""COMPUTED_VALUE"""),"")</f>
        <v/>
      </c>
      <c r="E125" s="134" t="str">
        <f ca="1">IFERROR(__xludf.DUMMYFUNCTION("""COMPUTED_VALUE"""),"")</f>
        <v/>
      </c>
      <c r="F125" s="134" t="str">
        <f ca="1">IFERROR(__xludf.DUMMYFUNCTION("""COMPUTED_VALUE"""),"")</f>
        <v/>
      </c>
      <c r="G125" s="134" t="str">
        <f ca="1">IFERROR(__xludf.DUMMYFUNCTION("""COMPUTED_VALUE"""),"")</f>
        <v/>
      </c>
      <c r="H125" s="134" t="str">
        <f ca="1">IFERROR(__xludf.DUMMYFUNCTION("""COMPUTED_VALUE"""),"")</f>
        <v/>
      </c>
      <c r="I125" s="134" t="str">
        <f ca="1">IFERROR(__xludf.DUMMYFUNCTION("""COMPUTED_VALUE"""),"")</f>
        <v/>
      </c>
      <c r="J125" s="134" t="str">
        <f ca="1">IFERROR(__xludf.DUMMYFUNCTION("""COMPUTED_VALUE"""),"")</f>
        <v/>
      </c>
      <c r="N125" s="31"/>
    </row>
    <row r="126" spans="1:14" customFormat="1">
      <c r="A126" s="134" t="str">
        <f ca="1">IFERROR(__xludf.DUMMYFUNCTION("""COMPUTED_VALUE"""),"")</f>
        <v/>
      </c>
      <c r="B126" s="134" t="str">
        <f ca="1">IFERROR(__xludf.DUMMYFUNCTION("""COMPUTED_VALUE"""),"")</f>
        <v/>
      </c>
      <c r="C126" s="134" t="str">
        <f ca="1">IFERROR(__xludf.DUMMYFUNCTION("""COMPUTED_VALUE"""),"")</f>
        <v/>
      </c>
      <c r="D126" s="134" t="str">
        <f ca="1">IFERROR(__xludf.DUMMYFUNCTION("""COMPUTED_VALUE"""),"")</f>
        <v/>
      </c>
      <c r="E126" s="134" t="str">
        <f ca="1">IFERROR(__xludf.DUMMYFUNCTION("""COMPUTED_VALUE"""),"")</f>
        <v/>
      </c>
      <c r="F126" s="134" t="str">
        <f ca="1">IFERROR(__xludf.DUMMYFUNCTION("""COMPUTED_VALUE"""),"")</f>
        <v/>
      </c>
      <c r="G126" s="134" t="str">
        <f ca="1">IFERROR(__xludf.DUMMYFUNCTION("""COMPUTED_VALUE"""),"")</f>
        <v/>
      </c>
      <c r="H126" s="134" t="str">
        <f ca="1">IFERROR(__xludf.DUMMYFUNCTION("""COMPUTED_VALUE"""),"")</f>
        <v/>
      </c>
      <c r="I126" s="134" t="str">
        <f ca="1">IFERROR(__xludf.DUMMYFUNCTION("""COMPUTED_VALUE"""),"")</f>
        <v/>
      </c>
      <c r="J126" s="134" t="str">
        <f ca="1">IFERROR(__xludf.DUMMYFUNCTION("""COMPUTED_VALUE"""),"")</f>
        <v/>
      </c>
      <c r="N126" s="31"/>
    </row>
    <row r="127" spans="1:14" customFormat="1">
      <c r="A127" s="134" t="str">
        <f ca="1">IFERROR(__xludf.DUMMYFUNCTION("""COMPUTED_VALUE"""),"")</f>
        <v/>
      </c>
      <c r="B127" s="134" t="str">
        <f ca="1">IFERROR(__xludf.DUMMYFUNCTION("""COMPUTED_VALUE"""),"")</f>
        <v/>
      </c>
      <c r="C127" s="134" t="str">
        <f ca="1">IFERROR(__xludf.DUMMYFUNCTION("""COMPUTED_VALUE"""),"")</f>
        <v/>
      </c>
      <c r="D127" s="134" t="str">
        <f ca="1">IFERROR(__xludf.DUMMYFUNCTION("""COMPUTED_VALUE"""),"")</f>
        <v/>
      </c>
      <c r="E127" s="134" t="str">
        <f ca="1">IFERROR(__xludf.DUMMYFUNCTION("""COMPUTED_VALUE"""),"")</f>
        <v/>
      </c>
      <c r="F127" s="134" t="str">
        <f ca="1">IFERROR(__xludf.DUMMYFUNCTION("""COMPUTED_VALUE"""),"")</f>
        <v/>
      </c>
      <c r="G127" s="134" t="str">
        <f ca="1">IFERROR(__xludf.DUMMYFUNCTION("""COMPUTED_VALUE"""),"")</f>
        <v/>
      </c>
      <c r="H127" s="134" t="str">
        <f ca="1">IFERROR(__xludf.DUMMYFUNCTION("""COMPUTED_VALUE"""),"")</f>
        <v/>
      </c>
      <c r="I127" s="134" t="str">
        <f ca="1">IFERROR(__xludf.DUMMYFUNCTION("""COMPUTED_VALUE"""),"")</f>
        <v/>
      </c>
      <c r="J127" s="134" t="str">
        <f ca="1">IFERROR(__xludf.DUMMYFUNCTION("""COMPUTED_VALUE"""),"")</f>
        <v/>
      </c>
      <c r="N127" s="31"/>
    </row>
    <row r="128" spans="1:14" customFormat="1">
      <c r="A128" s="134" t="str">
        <f ca="1">IFERROR(__xludf.DUMMYFUNCTION("""COMPUTED_VALUE"""),"")</f>
        <v/>
      </c>
      <c r="B128" s="134" t="str">
        <f ca="1">IFERROR(__xludf.DUMMYFUNCTION("""COMPUTED_VALUE"""),"")</f>
        <v/>
      </c>
      <c r="C128" s="134" t="str">
        <f ca="1">IFERROR(__xludf.DUMMYFUNCTION("""COMPUTED_VALUE"""),"")</f>
        <v/>
      </c>
      <c r="D128" s="134" t="str">
        <f ca="1">IFERROR(__xludf.DUMMYFUNCTION("""COMPUTED_VALUE"""),"")</f>
        <v/>
      </c>
      <c r="E128" s="134" t="str">
        <f ca="1">IFERROR(__xludf.DUMMYFUNCTION("""COMPUTED_VALUE"""),"")</f>
        <v/>
      </c>
      <c r="F128" s="134" t="str">
        <f ca="1">IFERROR(__xludf.DUMMYFUNCTION("""COMPUTED_VALUE"""),"")</f>
        <v/>
      </c>
      <c r="G128" s="134" t="str">
        <f ca="1">IFERROR(__xludf.DUMMYFUNCTION("""COMPUTED_VALUE"""),"")</f>
        <v/>
      </c>
      <c r="H128" s="134" t="str">
        <f ca="1">IFERROR(__xludf.DUMMYFUNCTION("""COMPUTED_VALUE"""),"")</f>
        <v/>
      </c>
      <c r="I128" s="134" t="str">
        <f ca="1">IFERROR(__xludf.DUMMYFUNCTION("""COMPUTED_VALUE"""),"")</f>
        <v/>
      </c>
      <c r="J128" s="134" t="str">
        <f ca="1">IFERROR(__xludf.DUMMYFUNCTION("""COMPUTED_VALUE"""),"")</f>
        <v/>
      </c>
      <c r="N128" s="31"/>
    </row>
    <row r="129" spans="1:14" customFormat="1">
      <c r="A129" s="134" t="str">
        <f ca="1">IFERROR(__xludf.DUMMYFUNCTION("""COMPUTED_VALUE"""),"")</f>
        <v/>
      </c>
      <c r="B129" s="134" t="str">
        <f ca="1">IFERROR(__xludf.DUMMYFUNCTION("""COMPUTED_VALUE"""),"")</f>
        <v/>
      </c>
      <c r="C129" s="134" t="str">
        <f ca="1">IFERROR(__xludf.DUMMYFUNCTION("""COMPUTED_VALUE"""),"")</f>
        <v/>
      </c>
      <c r="D129" s="134" t="str">
        <f ca="1">IFERROR(__xludf.DUMMYFUNCTION("""COMPUTED_VALUE"""),"")</f>
        <v/>
      </c>
      <c r="E129" s="134" t="str">
        <f ca="1">IFERROR(__xludf.DUMMYFUNCTION("""COMPUTED_VALUE"""),"")</f>
        <v/>
      </c>
      <c r="F129" s="134" t="str">
        <f ca="1">IFERROR(__xludf.DUMMYFUNCTION("""COMPUTED_VALUE"""),"")</f>
        <v/>
      </c>
      <c r="G129" s="134" t="str">
        <f ca="1">IFERROR(__xludf.DUMMYFUNCTION("""COMPUTED_VALUE"""),"")</f>
        <v/>
      </c>
      <c r="H129" s="134" t="str">
        <f ca="1">IFERROR(__xludf.DUMMYFUNCTION("""COMPUTED_VALUE"""),"")</f>
        <v/>
      </c>
      <c r="I129" s="134" t="str">
        <f ca="1">IFERROR(__xludf.DUMMYFUNCTION("""COMPUTED_VALUE"""),"")</f>
        <v/>
      </c>
      <c r="J129" s="134" t="str">
        <f ca="1">IFERROR(__xludf.DUMMYFUNCTION("""COMPUTED_VALUE"""),"")</f>
        <v/>
      </c>
      <c r="N129" s="31"/>
    </row>
    <row r="130" spans="1:14" customFormat="1">
      <c r="A130" s="134" t="str">
        <f ca="1">IFERROR(__xludf.DUMMYFUNCTION("""COMPUTED_VALUE"""),"")</f>
        <v/>
      </c>
      <c r="B130" s="134" t="str">
        <f ca="1">IFERROR(__xludf.DUMMYFUNCTION("""COMPUTED_VALUE"""),"")</f>
        <v/>
      </c>
      <c r="C130" s="134" t="str">
        <f ca="1">IFERROR(__xludf.DUMMYFUNCTION("""COMPUTED_VALUE"""),"")</f>
        <v/>
      </c>
      <c r="D130" s="134" t="str">
        <f ca="1">IFERROR(__xludf.DUMMYFUNCTION("""COMPUTED_VALUE"""),"")</f>
        <v/>
      </c>
      <c r="E130" s="134" t="str">
        <f ca="1">IFERROR(__xludf.DUMMYFUNCTION("""COMPUTED_VALUE"""),"")</f>
        <v/>
      </c>
      <c r="F130" s="134" t="str">
        <f ca="1">IFERROR(__xludf.DUMMYFUNCTION("""COMPUTED_VALUE"""),"")</f>
        <v/>
      </c>
      <c r="G130" s="134" t="str">
        <f ca="1">IFERROR(__xludf.DUMMYFUNCTION("""COMPUTED_VALUE"""),"")</f>
        <v/>
      </c>
      <c r="H130" s="134" t="str">
        <f ca="1">IFERROR(__xludf.DUMMYFUNCTION("""COMPUTED_VALUE"""),"")</f>
        <v/>
      </c>
      <c r="I130" s="134" t="str">
        <f ca="1">IFERROR(__xludf.DUMMYFUNCTION("""COMPUTED_VALUE"""),"")</f>
        <v/>
      </c>
      <c r="J130" s="134" t="str">
        <f ca="1">IFERROR(__xludf.DUMMYFUNCTION("""COMPUTED_VALUE"""),"")</f>
        <v/>
      </c>
      <c r="N130" s="31"/>
    </row>
    <row r="131" spans="1:14" customFormat="1">
      <c r="A131" s="134" t="str">
        <f ca="1">IFERROR(__xludf.DUMMYFUNCTION("""COMPUTED_VALUE"""),"")</f>
        <v/>
      </c>
      <c r="B131" s="134" t="str">
        <f ca="1">IFERROR(__xludf.DUMMYFUNCTION("""COMPUTED_VALUE"""),"")</f>
        <v/>
      </c>
      <c r="C131" s="134" t="str">
        <f ca="1">IFERROR(__xludf.DUMMYFUNCTION("""COMPUTED_VALUE"""),"")</f>
        <v/>
      </c>
      <c r="D131" s="134" t="str">
        <f ca="1">IFERROR(__xludf.DUMMYFUNCTION("""COMPUTED_VALUE"""),"")</f>
        <v/>
      </c>
      <c r="E131" s="134" t="str">
        <f ca="1">IFERROR(__xludf.DUMMYFUNCTION("""COMPUTED_VALUE"""),"")</f>
        <v/>
      </c>
      <c r="F131" s="134" t="str">
        <f ca="1">IFERROR(__xludf.DUMMYFUNCTION("""COMPUTED_VALUE"""),"")</f>
        <v/>
      </c>
      <c r="G131" s="134" t="str">
        <f ca="1">IFERROR(__xludf.DUMMYFUNCTION("""COMPUTED_VALUE"""),"")</f>
        <v/>
      </c>
      <c r="H131" s="134" t="str">
        <f ca="1">IFERROR(__xludf.DUMMYFUNCTION("""COMPUTED_VALUE"""),"")</f>
        <v/>
      </c>
      <c r="I131" s="134" t="str">
        <f ca="1">IFERROR(__xludf.DUMMYFUNCTION("""COMPUTED_VALUE"""),"")</f>
        <v/>
      </c>
      <c r="J131" s="134" t="str">
        <f ca="1">IFERROR(__xludf.DUMMYFUNCTION("""COMPUTED_VALUE"""),"")</f>
        <v/>
      </c>
      <c r="N131" s="31"/>
    </row>
    <row r="132" spans="1:14" customFormat="1">
      <c r="A132" s="134" t="str">
        <f ca="1">IFERROR(__xludf.DUMMYFUNCTION("""COMPUTED_VALUE"""),"")</f>
        <v/>
      </c>
      <c r="B132" s="134" t="str">
        <f ca="1">IFERROR(__xludf.DUMMYFUNCTION("""COMPUTED_VALUE"""),"")</f>
        <v/>
      </c>
      <c r="C132" s="134" t="str">
        <f ca="1">IFERROR(__xludf.DUMMYFUNCTION("""COMPUTED_VALUE"""),"")</f>
        <v/>
      </c>
      <c r="D132" s="134" t="str">
        <f ca="1">IFERROR(__xludf.DUMMYFUNCTION("""COMPUTED_VALUE"""),"")</f>
        <v/>
      </c>
      <c r="E132" s="134" t="str">
        <f ca="1">IFERROR(__xludf.DUMMYFUNCTION("""COMPUTED_VALUE"""),"")</f>
        <v/>
      </c>
      <c r="F132" s="134" t="str">
        <f ca="1">IFERROR(__xludf.DUMMYFUNCTION("""COMPUTED_VALUE"""),"")</f>
        <v/>
      </c>
      <c r="G132" s="134" t="str">
        <f ca="1">IFERROR(__xludf.DUMMYFUNCTION("""COMPUTED_VALUE"""),"")</f>
        <v/>
      </c>
      <c r="H132" s="134" t="str">
        <f ca="1">IFERROR(__xludf.DUMMYFUNCTION("""COMPUTED_VALUE"""),"")</f>
        <v/>
      </c>
      <c r="I132" s="134" t="str">
        <f ca="1">IFERROR(__xludf.DUMMYFUNCTION("""COMPUTED_VALUE"""),"")</f>
        <v/>
      </c>
      <c r="J132" s="134" t="str">
        <f ca="1">IFERROR(__xludf.DUMMYFUNCTION("""COMPUTED_VALUE"""),"")</f>
        <v/>
      </c>
      <c r="N132" s="31"/>
    </row>
    <row r="133" spans="1:14" customFormat="1">
      <c r="A133" s="134" t="str">
        <f ca="1">IFERROR(__xludf.DUMMYFUNCTION("""COMPUTED_VALUE"""),"")</f>
        <v/>
      </c>
      <c r="B133" s="134" t="str">
        <f ca="1">IFERROR(__xludf.DUMMYFUNCTION("""COMPUTED_VALUE"""),"")</f>
        <v/>
      </c>
      <c r="C133" s="134" t="str">
        <f ca="1">IFERROR(__xludf.DUMMYFUNCTION("""COMPUTED_VALUE"""),"")</f>
        <v/>
      </c>
      <c r="D133" s="134" t="str">
        <f ca="1">IFERROR(__xludf.DUMMYFUNCTION("""COMPUTED_VALUE"""),"")</f>
        <v/>
      </c>
      <c r="E133" s="134" t="str">
        <f ca="1">IFERROR(__xludf.DUMMYFUNCTION("""COMPUTED_VALUE"""),"")</f>
        <v/>
      </c>
      <c r="F133" s="134" t="str">
        <f ca="1">IFERROR(__xludf.DUMMYFUNCTION("""COMPUTED_VALUE"""),"")</f>
        <v/>
      </c>
      <c r="G133" s="134" t="str">
        <f ca="1">IFERROR(__xludf.DUMMYFUNCTION("""COMPUTED_VALUE"""),"")</f>
        <v/>
      </c>
      <c r="H133" s="134" t="str">
        <f ca="1">IFERROR(__xludf.DUMMYFUNCTION("""COMPUTED_VALUE"""),"")</f>
        <v/>
      </c>
      <c r="I133" s="134" t="str">
        <f ca="1">IFERROR(__xludf.DUMMYFUNCTION("""COMPUTED_VALUE"""),"")</f>
        <v/>
      </c>
      <c r="J133" s="134" t="str">
        <f ca="1">IFERROR(__xludf.DUMMYFUNCTION("""COMPUTED_VALUE"""),"")</f>
        <v/>
      </c>
      <c r="N133" s="31"/>
    </row>
    <row r="134" spans="1:14" customFormat="1">
      <c r="A134" s="134" t="str">
        <f ca="1">IFERROR(__xludf.DUMMYFUNCTION("""COMPUTED_VALUE"""),"")</f>
        <v/>
      </c>
      <c r="B134" s="134" t="str">
        <f ca="1">IFERROR(__xludf.DUMMYFUNCTION("""COMPUTED_VALUE"""),"")</f>
        <v/>
      </c>
      <c r="C134" s="134" t="str">
        <f ca="1">IFERROR(__xludf.DUMMYFUNCTION("""COMPUTED_VALUE"""),"")</f>
        <v/>
      </c>
      <c r="D134" s="134" t="str">
        <f ca="1">IFERROR(__xludf.DUMMYFUNCTION("""COMPUTED_VALUE"""),"")</f>
        <v/>
      </c>
      <c r="E134" s="134" t="str">
        <f ca="1">IFERROR(__xludf.DUMMYFUNCTION("""COMPUTED_VALUE"""),"")</f>
        <v/>
      </c>
      <c r="F134" s="134" t="str">
        <f ca="1">IFERROR(__xludf.DUMMYFUNCTION("""COMPUTED_VALUE"""),"")</f>
        <v/>
      </c>
      <c r="G134" s="134" t="str">
        <f ca="1">IFERROR(__xludf.DUMMYFUNCTION("""COMPUTED_VALUE"""),"")</f>
        <v/>
      </c>
      <c r="H134" s="134" t="str">
        <f ca="1">IFERROR(__xludf.DUMMYFUNCTION("""COMPUTED_VALUE"""),"")</f>
        <v/>
      </c>
      <c r="I134" s="134" t="str">
        <f ca="1">IFERROR(__xludf.DUMMYFUNCTION("""COMPUTED_VALUE"""),"")</f>
        <v/>
      </c>
      <c r="J134" s="134" t="str">
        <f ca="1">IFERROR(__xludf.DUMMYFUNCTION("""COMPUTED_VALUE"""),"")</f>
        <v/>
      </c>
      <c r="N134" s="31"/>
    </row>
    <row r="135" spans="1:14" customFormat="1">
      <c r="A135" s="134" t="str">
        <f ca="1">IFERROR(__xludf.DUMMYFUNCTION("""COMPUTED_VALUE"""),"")</f>
        <v/>
      </c>
      <c r="B135" s="134" t="str">
        <f ca="1">IFERROR(__xludf.DUMMYFUNCTION("""COMPUTED_VALUE"""),"")</f>
        <v/>
      </c>
      <c r="C135" s="134" t="str">
        <f ca="1">IFERROR(__xludf.DUMMYFUNCTION("""COMPUTED_VALUE"""),"")</f>
        <v/>
      </c>
      <c r="D135" s="134" t="str">
        <f ca="1">IFERROR(__xludf.DUMMYFUNCTION("""COMPUTED_VALUE"""),"")</f>
        <v/>
      </c>
      <c r="E135" s="134" t="str">
        <f ca="1">IFERROR(__xludf.DUMMYFUNCTION("""COMPUTED_VALUE"""),"")</f>
        <v/>
      </c>
      <c r="F135" s="134" t="str">
        <f ca="1">IFERROR(__xludf.DUMMYFUNCTION("""COMPUTED_VALUE"""),"")</f>
        <v/>
      </c>
      <c r="G135" s="134" t="str">
        <f ca="1">IFERROR(__xludf.DUMMYFUNCTION("""COMPUTED_VALUE"""),"")</f>
        <v/>
      </c>
      <c r="H135" s="134" t="str">
        <f ca="1">IFERROR(__xludf.DUMMYFUNCTION("""COMPUTED_VALUE"""),"")</f>
        <v/>
      </c>
      <c r="I135" s="134" t="str">
        <f ca="1">IFERROR(__xludf.DUMMYFUNCTION("""COMPUTED_VALUE"""),"")</f>
        <v/>
      </c>
      <c r="J135" s="134" t="str">
        <f ca="1">IFERROR(__xludf.DUMMYFUNCTION("""COMPUTED_VALUE"""),"")</f>
        <v/>
      </c>
      <c r="N135" s="31"/>
    </row>
    <row r="136" spans="1:14" customFormat="1">
      <c r="A136" s="134" t="str">
        <f ca="1">IFERROR(__xludf.DUMMYFUNCTION("""COMPUTED_VALUE"""),"")</f>
        <v/>
      </c>
      <c r="B136" s="134" t="str">
        <f ca="1">IFERROR(__xludf.DUMMYFUNCTION("""COMPUTED_VALUE"""),"")</f>
        <v/>
      </c>
      <c r="C136" s="134" t="str">
        <f ca="1">IFERROR(__xludf.DUMMYFUNCTION("""COMPUTED_VALUE"""),"")</f>
        <v/>
      </c>
      <c r="D136" s="134" t="str">
        <f ca="1">IFERROR(__xludf.DUMMYFUNCTION("""COMPUTED_VALUE"""),"")</f>
        <v/>
      </c>
      <c r="E136" s="134" t="str">
        <f ca="1">IFERROR(__xludf.DUMMYFUNCTION("""COMPUTED_VALUE"""),"")</f>
        <v/>
      </c>
      <c r="F136" s="134" t="str">
        <f ca="1">IFERROR(__xludf.DUMMYFUNCTION("""COMPUTED_VALUE"""),"")</f>
        <v/>
      </c>
      <c r="G136" s="134" t="str">
        <f ca="1">IFERROR(__xludf.DUMMYFUNCTION("""COMPUTED_VALUE"""),"")</f>
        <v/>
      </c>
      <c r="H136" s="134" t="str">
        <f ca="1">IFERROR(__xludf.DUMMYFUNCTION("""COMPUTED_VALUE"""),"")</f>
        <v/>
      </c>
      <c r="I136" s="134" t="str">
        <f ca="1">IFERROR(__xludf.DUMMYFUNCTION("""COMPUTED_VALUE"""),"")</f>
        <v/>
      </c>
      <c r="J136" s="134" t="str">
        <f ca="1">IFERROR(__xludf.DUMMYFUNCTION("""COMPUTED_VALUE"""),"")</f>
        <v/>
      </c>
      <c r="N136" s="31"/>
    </row>
    <row r="137" spans="1:14" customFormat="1">
      <c r="A137" s="134" t="str">
        <f ca="1">IFERROR(__xludf.DUMMYFUNCTION("""COMPUTED_VALUE"""),"")</f>
        <v/>
      </c>
      <c r="B137" s="134" t="str">
        <f ca="1">IFERROR(__xludf.DUMMYFUNCTION("""COMPUTED_VALUE"""),"")</f>
        <v/>
      </c>
      <c r="C137" s="134" t="str">
        <f ca="1">IFERROR(__xludf.DUMMYFUNCTION("""COMPUTED_VALUE"""),"")</f>
        <v/>
      </c>
      <c r="D137" s="134" t="str">
        <f ca="1">IFERROR(__xludf.DUMMYFUNCTION("""COMPUTED_VALUE"""),"")</f>
        <v/>
      </c>
      <c r="E137" s="134" t="str">
        <f ca="1">IFERROR(__xludf.DUMMYFUNCTION("""COMPUTED_VALUE"""),"")</f>
        <v/>
      </c>
      <c r="F137" s="134" t="str">
        <f ca="1">IFERROR(__xludf.DUMMYFUNCTION("""COMPUTED_VALUE"""),"")</f>
        <v/>
      </c>
      <c r="G137" s="134" t="str">
        <f ca="1">IFERROR(__xludf.DUMMYFUNCTION("""COMPUTED_VALUE"""),"")</f>
        <v/>
      </c>
      <c r="H137" s="134" t="str">
        <f ca="1">IFERROR(__xludf.DUMMYFUNCTION("""COMPUTED_VALUE"""),"")</f>
        <v/>
      </c>
      <c r="I137" s="134" t="str">
        <f ca="1">IFERROR(__xludf.DUMMYFUNCTION("""COMPUTED_VALUE"""),"")</f>
        <v/>
      </c>
      <c r="J137" s="134" t="str">
        <f ca="1">IFERROR(__xludf.DUMMYFUNCTION("""COMPUTED_VALUE"""),"")</f>
        <v/>
      </c>
      <c r="N137" s="31"/>
    </row>
    <row r="138" spans="1:14" customFormat="1">
      <c r="A138" s="134" t="str">
        <f ca="1">IFERROR(__xludf.DUMMYFUNCTION("""COMPUTED_VALUE"""),"")</f>
        <v/>
      </c>
      <c r="B138" s="134" t="str">
        <f ca="1">IFERROR(__xludf.DUMMYFUNCTION("""COMPUTED_VALUE"""),"")</f>
        <v/>
      </c>
      <c r="C138" s="134" t="str">
        <f ca="1">IFERROR(__xludf.DUMMYFUNCTION("""COMPUTED_VALUE"""),"")</f>
        <v/>
      </c>
      <c r="D138" s="134" t="str">
        <f ca="1">IFERROR(__xludf.DUMMYFUNCTION("""COMPUTED_VALUE"""),"")</f>
        <v/>
      </c>
      <c r="E138" s="134" t="str">
        <f ca="1">IFERROR(__xludf.DUMMYFUNCTION("""COMPUTED_VALUE"""),"")</f>
        <v/>
      </c>
      <c r="F138" s="134" t="str">
        <f ca="1">IFERROR(__xludf.DUMMYFUNCTION("""COMPUTED_VALUE"""),"")</f>
        <v/>
      </c>
      <c r="G138" s="134" t="str">
        <f ca="1">IFERROR(__xludf.DUMMYFUNCTION("""COMPUTED_VALUE"""),"")</f>
        <v/>
      </c>
      <c r="H138" s="134" t="str">
        <f ca="1">IFERROR(__xludf.DUMMYFUNCTION("""COMPUTED_VALUE"""),"")</f>
        <v/>
      </c>
      <c r="I138" s="134" t="str">
        <f ca="1">IFERROR(__xludf.DUMMYFUNCTION("""COMPUTED_VALUE"""),"")</f>
        <v/>
      </c>
      <c r="J138" s="134" t="str">
        <f ca="1">IFERROR(__xludf.DUMMYFUNCTION("""COMPUTED_VALUE"""),"")</f>
        <v/>
      </c>
      <c r="N138" s="31"/>
    </row>
    <row r="139" spans="1:14" customFormat="1">
      <c r="A139" s="134" t="str">
        <f ca="1">IFERROR(__xludf.DUMMYFUNCTION("""COMPUTED_VALUE"""),"")</f>
        <v/>
      </c>
      <c r="B139" s="134" t="str">
        <f ca="1">IFERROR(__xludf.DUMMYFUNCTION("""COMPUTED_VALUE"""),"")</f>
        <v/>
      </c>
      <c r="C139" s="134" t="str">
        <f ca="1">IFERROR(__xludf.DUMMYFUNCTION("""COMPUTED_VALUE"""),"")</f>
        <v/>
      </c>
      <c r="D139" s="134" t="str">
        <f ca="1">IFERROR(__xludf.DUMMYFUNCTION("""COMPUTED_VALUE"""),"")</f>
        <v/>
      </c>
      <c r="E139" s="134" t="str">
        <f ca="1">IFERROR(__xludf.DUMMYFUNCTION("""COMPUTED_VALUE"""),"")</f>
        <v/>
      </c>
      <c r="F139" s="134" t="str">
        <f ca="1">IFERROR(__xludf.DUMMYFUNCTION("""COMPUTED_VALUE"""),"")</f>
        <v/>
      </c>
      <c r="G139" s="134" t="str">
        <f ca="1">IFERROR(__xludf.DUMMYFUNCTION("""COMPUTED_VALUE"""),"")</f>
        <v/>
      </c>
      <c r="H139" s="134" t="str">
        <f ca="1">IFERROR(__xludf.DUMMYFUNCTION("""COMPUTED_VALUE"""),"")</f>
        <v/>
      </c>
      <c r="I139" s="134" t="str">
        <f ca="1">IFERROR(__xludf.DUMMYFUNCTION("""COMPUTED_VALUE"""),"")</f>
        <v/>
      </c>
      <c r="J139" s="134" t="str">
        <f ca="1">IFERROR(__xludf.DUMMYFUNCTION("""COMPUTED_VALUE"""),"")</f>
        <v/>
      </c>
      <c r="N139" s="31"/>
    </row>
    <row r="140" spans="1:14" customFormat="1">
      <c r="A140" s="134" t="str">
        <f ca="1">IFERROR(__xludf.DUMMYFUNCTION("""COMPUTED_VALUE"""),"")</f>
        <v/>
      </c>
      <c r="B140" s="134" t="str">
        <f ca="1">IFERROR(__xludf.DUMMYFUNCTION("""COMPUTED_VALUE"""),"")</f>
        <v/>
      </c>
      <c r="C140" s="134" t="str">
        <f ca="1">IFERROR(__xludf.DUMMYFUNCTION("""COMPUTED_VALUE"""),"")</f>
        <v/>
      </c>
      <c r="D140" s="134" t="str">
        <f ca="1">IFERROR(__xludf.DUMMYFUNCTION("""COMPUTED_VALUE"""),"")</f>
        <v/>
      </c>
      <c r="E140" s="134" t="str">
        <f ca="1">IFERROR(__xludf.DUMMYFUNCTION("""COMPUTED_VALUE"""),"")</f>
        <v/>
      </c>
      <c r="F140" s="134" t="str">
        <f ca="1">IFERROR(__xludf.DUMMYFUNCTION("""COMPUTED_VALUE"""),"")</f>
        <v/>
      </c>
      <c r="G140" s="134" t="str">
        <f ca="1">IFERROR(__xludf.DUMMYFUNCTION("""COMPUTED_VALUE"""),"")</f>
        <v/>
      </c>
      <c r="H140" s="134" t="str">
        <f ca="1">IFERROR(__xludf.DUMMYFUNCTION("""COMPUTED_VALUE"""),"")</f>
        <v/>
      </c>
      <c r="I140" s="134" t="str">
        <f ca="1">IFERROR(__xludf.DUMMYFUNCTION("""COMPUTED_VALUE"""),"")</f>
        <v/>
      </c>
      <c r="J140" s="134" t="str">
        <f ca="1">IFERROR(__xludf.DUMMYFUNCTION("""COMPUTED_VALUE"""),"")</f>
        <v/>
      </c>
      <c r="N140" s="31"/>
    </row>
    <row r="141" spans="1:14" customFormat="1">
      <c r="A141" s="134" t="str">
        <f ca="1">IFERROR(__xludf.DUMMYFUNCTION("""COMPUTED_VALUE"""),"")</f>
        <v/>
      </c>
      <c r="B141" s="134" t="str">
        <f ca="1">IFERROR(__xludf.DUMMYFUNCTION("""COMPUTED_VALUE"""),"")</f>
        <v/>
      </c>
      <c r="C141" s="134" t="str">
        <f ca="1">IFERROR(__xludf.DUMMYFUNCTION("""COMPUTED_VALUE"""),"")</f>
        <v/>
      </c>
      <c r="D141" s="134" t="str">
        <f ca="1">IFERROR(__xludf.DUMMYFUNCTION("""COMPUTED_VALUE"""),"")</f>
        <v/>
      </c>
      <c r="E141" s="134" t="str">
        <f ca="1">IFERROR(__xludf.DUMMYFUNCTION("""COMPUTED_VALUE"""),"")</f>
        <v/>
      </c>
      <c r="F141" s="134" t="str">
        <f ca="1">IFERROR(__xludf.DUMMYFUNCTION("""COMPUTED_VALUE"""),"")</f>
        <v/>
      </c>
      <c r="G141" s="134" t="str">
        <f ca="1">IFERROR(__xludf.DUMMYFUNCTION("""COMPUTED_VALUE"""),"")</f>
        <v/>
      </c>
      <c r="H141" s="134" t="str">
        <f ca="1">IFERROR(__xludf.DUMMYFUNCTION("""COMPUTED_VALUE"""),"")</f>
        <v/>
      </c>
      <c r="I141" s="134" t="str">
        <f ca="1">IFERROR(__xludf.DUMMYFUNCTION("""COMPUTED_VALUE"""),"")</f>
        <v/>
      </c>
      <c r="J141" s="134" t="str">
        <f ca="1">IFERROR(__xludf.DUMMYFUNCTION("""COMPUTED_VALUE"""),"")</f>
        <v/>
      </c>
      <c r="N141" s="31"/>
    </row>
    <row r="142" spans="1:14" customFormat="1">
      <c r="A142" s="134" t="str">
        <f ca="1">IFERROR(__xludf.DUMMYFUNCTION("""COMPUTED_VALUE"""),"")</f>
        <v/>
      </c>
      <c r="B142" s="134" t="str">
        <f ca="1">IFERROR(__xludf.DUMMYFUNCTION("""COMPUTED_VALUE"""),"")</f>
        <v/>
      </c>
      <c r="C142" s="134" t="str">
        <f ca="1">IFERROR(__xludf.DUMMYFUNCTION("""COMPUTED_VALUE"""),"")</f>
        <v/>
      </c>
      <c r="D142" s="134" t="str">
        <f ca="1">IFERROR(__xludf.DUMMYFUNCTION("""COMPUTED_VALUE"""),"")</f>
        <v/>
      </c>
      <c r="E142" s="134" t="str">
        <f ca="1">IFERROR(__xludf.DUMMYFUNCTION("""COMPUTED_VALUE"""),"")</f>
        <v/>
      </c>
      <c r="F142" s="134" t="str">
        <f ca="1">IFERROR(__xludf.DUMMYFUNCTION("""COMPUTED_VALUE"""),"")</f>
        <v/>
      </c>
      <c r="G142" s="134" t="str">
        <f ca="1">IFERROR(__xludf.DUMMYFUNCTION("""COMPUTED_VALUE"""),"")</f>
        <v/>
      </c>
      <c r="H142" s="134" t="str">
        <f ca="1">IFERROR(__xludf.DUMMYFUNCTION("""COMPUTED_VALUE"""),"")</f>
        <v/>
      </c>
      <c r="I142" s="134" t="str">
        <f ca="1">IFERROR(__xludf.DUMMYFUNCTION("""COMPUTED_VALUE"""),"")</f>
        <v/>
      </c>
      <c r="J142" s="134" t="str">
        <f ca="1">IFERROR(__xludf.DUMMYFUNCTION("""COMPUTED_VALUE"""),"")</f>
        <v/>
      </c>
      <c r="N142" s="31"/>
    </row>
    <row r="143" spans="1:14" customFormat="1">
      <c r="A143" s="134" t="str">
        <f ca="1">IFERROR(__xludf.DUMMYFUNCTION("""COMPUTED_VALUE"""),"")</f>
        <v/>
      </c>
      <c r="B143" s="134" t="str">
        <f ca="1">IFERROR(__xludf.DUMMYFUNCTION("""COMPUTED_VALUE"""),"")</f>
        <v/>
      </c>
      <c r="C143" s="134" t="str">
        <f ca="1">IFERROR(__xludf.DUMMYFUNCTION("""COMPUTED_VALUE"""),"")</f>
        <v/>
      </c>
      <c r="D143" s="134" t="str">
        <f ca="1">IFERROR(__xludf.DUMMYFUNCTION("""COMPUTED_VALUE"""),"")</f>
        <v/>
      </c>
      <c r="E143" s="134" t="str">
        <f ca="1">IFERROR(__xludf.DUMMYFUNCTION("""COMPUTED_VALUE"""),"")</f>
        <v/>
      </c>
      <c r="F143" s="134" t="str">
        <f ca="1">IFERROR(__xludf.DUMMYFUNCTION("""COMPUTED_VALUE"""),"")</f>
        <v/>
      </c>
      <c r="G143" s="134" t="str">
        <f ca="1">IFERROR(__xludf.DUMMYFUNCTION("""COMPUTED_VALUE"""),"")</f>
        <v/>
      </c>
      <c r="H143" s="134" t="str">
        <f ca="1">IFERROR(__xludf.DUMMYFUNCTION("""COMPUTED_VALUE"""),"")</f>
        <v/>
      </c>
      <c r="I143" s="134" t="str">
        <f ca="1">IFERROR(__xludf.DUMMYFUNCTION("""COMPUTED_VALUE"""),"")</f>
        <v/>
      </c>
      <c r="J143" s="134" t="str">
        <f ca="1">IFERROR(__xludf.DUMMYFUNCTION("""COMPUTED_VALUE"""),"")</f>
        <v/>
      </c>
      <c r="N143" s="31"/>
    </row>
    <row r="144" spans="1:14" customFormat="1">
      <c r="A144" s="134" t="str">
        <f ca="1">IFERROR(__xludf.DUMMYFUNCTION("""COMPUTED_VALUE"""),"")</f>
        <v/>
      </c>
      <c r="B144" s="134" t="str">
        <f ca="1">IFERROR(__xludf.DUMMYFUNCTION("""COMPUTED_VALUE"""),"")</f>
        <v/>
      </c>
      <c r="C144" s="134" t="str">
        <f ca="1">IFERROR(__xludf.DUMMYFUNCTION("""COMPUTED_VALUE"""),"")</f>
        <v/>
      </c>
      <c r="D144" s="134" t="str">
        <f ca="1">IFERROR(__xludf.DUMMYFUNCTION("""COMPUTED_VALUE"""),"")</f>
        <v/>
      </c>
      <c r="E144" s="134" t="str">
        <f ca="1">IFERROR(__xludf.DUMMYFUNCTION("""COMPUTED_VALUE"""),"")</f>
        <v/>
      </c>
      <c r="F144" s="134" t="str">
        <f ca="1">IFERROR(__xludf.DUMMYFUNCTION("""COMPUTED_VALUE"""),"")</f>
        <v/>
      </c>
      <c r="G144" s="134" t="str">
        <f ca="1">IFERROR(__xludf.DUMMYFUNCTION("""COMPUTED_VALUE"""),"")</f>
        <v/>
      </c>
      <c r="H144" s="134" t="str">
        <f ca="1">IFERROR(__xludf.DUMMYFUNCTION("""COMPUTED_VALUE"""),"")</f>
        <v/>
      </c>
      <c r="I144" s="134" t="str">
        <f ca="1">IFERROR(__xludf.DUMMYFUNCTION("""COMPUTED_VALUE"""),"")</f>
        <v/>
      </c>
      <c r="J144" s="134" t="str">
        <f ca="1">IFERROR(__xludf.DUMMYFUNCTION("""COMPUTED_VALUE"""),"")</f>
        <v/>
      </c>
      <c r="N144" s="31"/>
    </row>
    <row r="145" spans="1:14" customFormat="1">
      <c r="A145" s="134" t="str">
        <f ca="1">IFERROR(__xludf.DUMMYFUNCTION("""COMPUTED_VALUE"""),"")</f>
        <v/>
      </c>
      <c r="B145" s="134" t="str">
        <f ca="1">IFERROR(__xludf.DUMMYFUNCTION("""COMPUTED_VALUE"""),"")</f>
        <v/>
      </c>
      <c r="C145" s="134" t="str">
        <f ca="1">IFERROR(__xludf.DUMMYFUNCTION("""COMPUTED_VALUE"""),"")</f>
        <v/>
      </c>
      <c r="D145" s="134" t="str">
        <f ca="1">IFERROR(__xludf.DUMMYFUNCTION("""COMPUTED_VALUE"""),"")</f>
        <v/>
      </c>
      <c r="E145" s="134" t="str">
        <f ca="1">IFERROR(__xludf.DUMMYFUNCTION("""COMPUTED_VALUE"""),"")</f>
        <v/>
      </c>
      <c r="F145" s="134" t="str">
        <f ca="1">IFERROR(__xludf.DUMMYFUNCTION("""COMPUTED_VALUE"""),"")</f>
        <v/>
      </c>
      <c r="G145" s="134" t="str">
        <f ca="1">IFERROR(__xludf.DUMMYFUNCTION("""COMPUTED_VALUE"""),"")</f>
        <v/>
      </c>
      <c r="H145" s="134" t="str">
        <f ca="1">IFERROR(__xludf.DUMMYFUNCTION("""COMPUTED_VALUE"""),"")</f>
        <v/>
      </c>
      <c r="I145" s="134" t="str">
        <f ca="1">IFERROR(__xludf.DUMMYFUNCTION("""COMPUTED_VALUE"""),"")</f>
        <v/>
      </c>
      <c r="J145" s="134" t="str">
        <f ca="1">IFERROR(__xludf.DUMMYFUNCTION("""COMPUTED_VALUE"""),"")</f>
        <v/>
      </c>
      <c r="N145" s="31"/>
    </row>
    <row r="146" spans="1:14" customFormat="1">
      <c r="A146" s="134" t="str">
        <f ca="1">IFERROR(__xludf.DUMMYFUNCTION("""COMPUTED_VALUE"""),"")</f>
        <v/>
      </c>
      <c r="B146" s="134" t="str">
        <f ca="1">IFERROR(__xludf.DUMMYFUNCTION("""COMPUTED_VALUE"""),"")</f>
        <v/>
      </c>
      <c r="C146" s="134" t="str">
        <f ca="1">IFERROR(__xludf.DUMMYFUNCTION("""COMPUTED_VALUE"""),"")</f>
        <v/>
      </c>
      <c r="D146" s="134" t="str">
        <f ca="1">IFERROR(__xludf.DUMMYFUNCTION("""COMPUTED_VALUE"""),"")</f>
        <v/>
      </c>
      <c r="E146" s="134" t="str">
        <f ca="1">IFERROR(__xludf.DUMMYFUNCTION("""COMPUTED_VALUE"""),"")</f>
        <v/>
      </c>
      <c r="F146" s="134" t="str">
        <f ca="1">IFERROR(__xludf.DUMMYFUNCTION("""COMPUTED_VALUE"""),"")</f>
        <v/>
      </c>
      <c r="G146" s="134" t="str">
        <f ca="1">IFERROR(__xludf.DUMMYFUNCTION("""COMPUTED_VALUE"""),"")</f>
        <v/>
      </c>
      <c r="H146" s="134" t="str">
        <f ca="1">IFERROR(__xludf.DUMMYFUNCTION("""COMPUTED_VALUE"""),"")</f>
        <v/>
      </c>
      <c r="I146" s="134" t="str">
        <f ca="1">IFERROR(__xludf.DUMMYFUNCTION("""COMPUTED_VALUE"""),"")</f>
        <v/>
      </c>
      <c r="J146" s="134" t="str">
        <f ca="1">IFERROR(__xludf.DUMMYFUNCTION("""COMPUTED_VALUE"""),"")</f>
        <v/>
      </c>
      <c r="N146" s="31"/>
    </row>
    <row r="147" spans="1:14" customFormat="1">
      <c r="A147" s="134" t="str">
        <f ca="1">IFERROR(__xludf.DUMMYFUNCTION("""COMPUTED_VALUE"""),"")</f>
        <v/>
      </c>
      <c r="B147" s="134" t="str">
        <f ca="1">IFERROR(__xludf.DUMMYFUNCTION("""COMPUTED_VALUE"""),"")</f>
        <v/>
      </c>
      <c r="C147" s="134" t="str">
        <f ca="1">IFERROR(__xludf.DUMMYFUNCTION("""COMPUTED_VALUE"""),"")</f>
        <v/>
      </c>
      <c r="D147" s="134" t="str">
        <f ca="1">IFERROR(__xludf.DUMMYFUNCTION("""COMPUTED_VALUE"""),"")</f>
        <v/>
      </c>
      <c r="E147" s="134" t="str">
        <f ca="1">IFERROR(__xludf.DUMMYFUNCTION("""COMPUTED_VALUE"""),"")</f>
        <v/>
      </c>
      <c r="F147" s="134" t="str">
        <f ca="1">IFERROR(__xludf.DUMMYFUNCTION("""COMPUTED_VALUE"""),"")</f>
        <v/>
      </c>
      <c r="G147" s="134" t="str">
        <f ca="1">IFERROR(__xludf.DUMMYFUNCTION("""COMPUTED_VALUE"""),"")</f>
        <v/>
      </c>
      <c r="H147" s="134" t="str">
        <f ca="1">IFERROR(__xludf.DUMMYFUNCTION("""COMPUTED_VALUE"""),"")</f>
        <v/>
      </c>
      <c r="I147" s="134" t="str">
        <f ca="1">IFERROR(__xludf.DUMMYFUNCTION("""COMPUTED_VALUE"""),"")</f>
        <v/>
      </c>
      <c r="J147" s="134" t="str">
        <f ca="1">IFERROR(__xludf.DUMMYFUNCTION("""COMPUTED_VALUE"""),"")</f>
        <v/>
      </c>
      <c r="N147" s="31"/>
    </row>
    <row r="148" spans="1:14" customFormat="1">
      <c r="A148" s="134" t="str">
        <f ca="1">IFERROR(__xludf.DUMMYFUNCTION("""COMPUTED_VALUE"""),"")</f>
        <v/>
      </c>
      <c r="B148" s="134" t="str">
        <f ca="1">IFERROR(__xludf.DUMMYFUNCTION("""COMPUTED_VALUE"""),"")</f>
        <v/>
      </c>
      <c r="C148" s="134" t="str">
        <f ca="1">IFERROR(__xludf.DUMMYFUNCTION("""COMPUTED_VALUE"""),"")</f>
        <v/>
      </c>
      <c r="D148" s="134" t="str">
        <f ca="1">IFERROR(__xludf.DUMMYFUNCTION("""COMPUTED_VALUE"""),"")</f>
        <v/>
      </c>
      <c r="E148" s="134" t="str">
        <f ca="1">IFERROR(__xludf.DUMMYFUNCTION("""COMPUTED_VALUE"""),"")</f>
        <v/>
      </c>
      <c r="F148" s="134" t="str">
        <f ca="1">IFERROR(__xludf.DUMMYFUNCTION("""COMPUTED_VALUE"""),"")</f>
        <v/>
      </c>
      <c r="G148" s="134" t="str">
        <f ca="1">IFERROR(__xludf.DUMMYFUNCTION("""COMPUTED_VALUE"""),"")</f>
        <v/>
      </c>
      <c r="H148" s="134" t="str">
        <f ca="1">IFERROR(__xludf.DUMMYFUNCTION("""COMPUTED_VALUE"""),"")</f>
        <v/>
      </c>
      <c r="I148" s="134" t="str">
        <f ca="1">IFERROR(__xludf.DUMMYFUNCTION("""COMPUTED_VALUE"""),"")</f>
        <v/>
      </c>
      <c r="J148" s="134" t="str">
        <f ca="1">IFERROR(__xludf.DUMMYFUNCTION("""COMPUTED_VALUE"""),"")</f>
        <v/>
      </c>
      <c r="N148" s="31"/>
    </row>
    <row r="149" spans="1:14" customFormat="1">
      <c r="A149" s="134" t="str">
        <f ca="1">IFERROR(__xludf.DUMMYFUNCTION("""COMPUTED_VALUE"""),"")</f>
        <v/>
      </c>
      <c r="B149" s="134" t="str">
        <f ca="1">IFERROR(__xludf.DUMMYFUNCTION("""COMPUTED_VALUE"""),"")</f>
        <v/>
      </c>
      <c r="C149" s="134" t="str">
        <f ca="1">IFERROR(__xludf.DUMMYFUNCTION("""COMPUTED_VALUE"""),"")</f>
        <v/>
      </c>
      <c r="D149" s="134" t="str">
        <f ca="1">IFERROR(__xludf.DUMMYFUNCTION("""COMPUTED_VALUE"""),"")</f>
        <v/>
      </c>
      <c r="E149" s="134" t="str">
        <f ca="1">IFERROR(__xludf.DUMMYFUNCTION("""COMPUTED_VALUE"""),"")</f>
        <v/>
      </c>
      <c r="F149" s="134" t="str">
        <f ca="1">IFERROR(__xludf.DUMMYFUNCTION("""COMPUTED_VALUE"""),"")</f>
        <v/>
      </c>
      <c r="G149" s="134" t="str">
        <f ca="1">IFERROR(__xludf.DUMMYFUNCTION("""COMPUTED_VALUE"""),"")</f>
        <v/>
      </c>
      <c r="H149" s="134" t="str">
        <f ca="1">IFERROR(__xludf.DUMMYFUNCTION("""COMPUTED_VALUE"""),"")</f>
        <v/>
      </c>
      <c r="I149" s="134" t="str">
        <f ca="1">IFERROR(__xludf.DUMMYFUNCTION("""COMPUTED_VALUE"""),"")</f>
        <v/>
      </c>
      <c r="J149" s="134" t="str">
        <f ca="1">IFERROR(__xludf.DUMMYFUNCTION("""COMPUTED_VALUE"""),"")</f>
        <v/>
      </c>
      <c r="N149" s="31"/>
    </row>
    <row r="150" spans="1:14" customFormat="1">
      <c r="A150" s="134" t="str">
        <f ca="1">IFERROR(__xludf.DUMMYFUNCTION("""COMPUTED_VALUE"""),"")</f>
        <v/>
      </c>
      <c r="B150" s="134" t="str">
        <f ca="1">IFERROR(__xludf.DUMMYFUNCTION("""COMPUTED_VALUE"""),"")</f>
        <v/>
      </c>
      <c r="C150" s="134" t="str">
        <f ca="1">IFERROR(__xludf.DUMMYFUNCTION("""COMPUTED_VALUE"""),"")</f>
        <v/>
      </c>
      <c r="D150" s="134" t="str">
        <f ca="1">IFERROR(__xludf.DUMMYFUNCTION("""COMPUTED_VALUE"""),"")</f>
        <v/>
      </c>
      <c r="E150" s="134" t="str">
        <f ca="1">IFERROR(__xludf.DUMMYFUNCTION("""COMPUTED_VALUE"""),"")</f>
        <v/>
      </c>
      <c r="F150" s="134" t="str">
        <f ca="1">IFERROR(__xludf.DUMMYFUNCTION("""COMPUTED_VALUE"""),"")</f>
        <v/>
      </c>
      <c r="G150" s="134" t="str">
        <f ca="1">IFERROR(__xludf.DUMMYFUNCTION("""COMPUTED_VALUE"""),"")</f>
        <v/>
      </c>
      <c r="H150" s="134" t="str">
        <f ca="1">IFERROR(__xludf.DUMMYFUNCTION("""COMPUTED_VALUE"""),"")</f>
        <v/>
      </c>
      <c r="I150" s="134" t="str">
        <f ca="1">IFERROR(__xludf.DUMMYFUNCTION("""COMPUTED_VALUE"""),"")</f>
        <v/>
      </c>
      <c r="J150" s="134" t="str">
        <f ca="1">IFERROR(__xludf.DUMMYFUNCTION("""COMPUTED_VALUE"""),"")</f>
        <v/>
      </c>
      <c r="N150" s="31"/>
    </row>
    <row r="151" spans="1:14" customFormat="1">
      <c r="A151" s="134" t="str">
        <f ca="1">IFERROR(__xludf.DUMMYFUNCTION("""COMPUTED_VALUE"""),"")</f>
        <v/>
      </c>
      <c r="B151" s="134" t="str">
        <f ca="1">IFERROR(__xludf.DUMMYFUNCTION("""COMPUTED_VALUE"""),"")</f>
        <v/>
      </c>
      <c r="C151" s="134" t="str">
        <f ca="1">IFERROR(__xludf.DUMMYFUNCTION("""COMPUTED_VALUE"""),"")</f>
        <v/>
      </c>
      <c r="D151" s="134" t="str">
        <f ca="1">IFERROR(__xludf.DUMMYFUNCTION("""COMPUTED_VALUE"""),"")</f>
        <v/>
      </c>
      <c r="E151" s="134" t="str">
        <f ca="1">IFERROR(__xludf.DUMMYFUNCTION("""COMPUTED_VALUE"""),"")</f>
        <v/>
      </c>
      <c r="F151" s="134" t="str">
        <f ca="1">IFERROR(__xludf.DUMMYFUNCTION("""COMPUTED_VALUE"""),"")</f>
        <v/>
      </c>
      <c r="G151" s="134" t="str">
        <f ca="1">IFERROR(__xludf.DUMMYFUNCTION("""COMPUTED_VALUE"""),"")</f>
        <v/>
      </c>
      <c r="H151" s="134" t="str">
        <f ca="1">IFERROR(__xludf.DUMMYFUNCTION("""COMPUTED_VALUE"""),"")</f>
        <v/>
      </c>
      <c r="I151" s="134" t="str">
        <f ca="1">IFERROR(__xludf.DUMMYFUNCTION("""COMPUTED_VALUE"""),"")</f>
        <v/>
      </c>
      <c r="J151" s="134" t="str">
        <f ca="1">IFERROR(__xludf.DUMMYFUNCTION("""COMPUTED_VALUE"""),"")</f>
        <v/>
      </c>
      <c r="N151" s="31"/>
    </row>
    <row r="152" spans="1:14" customFormat="1">
      <c r="A152" s="134" t="str">
        <f ca="1">IFERROR(__xludf.DUMMYFUNCTION("""COMPUTED_VALUE"""),"")</f>
        <v/>
      </c>
      <c r="B152" s="134" t="str">
        <f ca="1">IFERROR(__xludf.DUMMYFUNCTION("""COMPUTED_VALUE"""),"")</f>
        <v/>
      </c>
      <c r="C152" s="134" t="str">
        <f ca="1">IFERROR(__xludf.DUMMYFUNCTION("""COMPUTED_VALUE"""),"")</f>
        <v/>
      </c>
      <c r="D152" s="134" t="str">
        <f ca="1">IFERROR(__xludf.DUMMYFUNCTION("""COMPUTED_VALUE"""),"")</f>
        <v/>
      </c>
      <c r="E152" s="134" t="str">
        <f ca="1">IFERROR(__xludf.DUMMYFUNCTION("""COMPUTED_VALUE"""),"")</f>
        <v/>
      </c>
      <c r="F152" s="134" t="str">
        <f ca="1">IFERROR(__xludf.DUMMYFUNCTION("""COMPUTED_VALUE"""),"")</f>
        <v/>
      </c>
      <c r="G152" s="134" t="str">
        <f ca="1">IFERROR(__xludf.DUMMYFUNCTION("""COMPUTED_VALUE"""),"")</f>
        <v/>
      </c>
      <c r="H152" s="134" t="str">
        <f ca="1">IFERROR(__xludf.DUMMYFUNCTION("""COMPUTED_VALUE"""),"")</f>
        <v/>
      </c>
      <c r="I152" s="134" t="str">
        <f ca="1">IFERROR(__xludf.DUMMYFUNCTION("""COMPUTED_VALUE"""),"")</f>
        <v/>
      </c>
      <c r="J152" s="134" t="str">
        <f ca="1">IFERROR(__xludf.DUMMYFUNCTION("""COMPUTED_VALUE"""),"")</f>
        <v/>
      </c>
      <c r="N152" s="31"/>
    </row>
    <row r="153" spans="1:14" customFormat="1">
      <c r="A153" s="134" t="str">
        <f ca="1">IFERROR(__xludf.DUMMYFUNCTION("""COMPUTED_VALUE"""),"")</f>
        <v/>
      </c>
      <c r="B153" s="134" t="str">
        <f ca="1">IFERROR(__xludf.DUMMYFUNCTION("""COMPUTED_VALUE"""),"")</f>
        <v/>
      </c>
      <c r="C153" s="134" t="str">
        <f ca="1">IFERROR(__xludf.DUMMYFUNCTION("""COMPUTED_VALUE"""),"")</f>
        <v/>
      </c>
      <c r="D153" s="134" t="str">
        <f ca="1">IFERROR(__xludf.DUMMYFUNCTION("""COMPUTED_VALUE"""),"")</f>
        <v/>
      </c>
      <c r="E153" s="134" t="str">
        <f ca="1">IFERROR(__xludf.DUMMYFUNCTION("""COMPUTED_VALUE"""),"")</f>
        <v/>
      </c>
      <c r="F153" s="134" t="str">
        <f ca="1">IFERROR(__xludf.DUMMYFUNCTION("""COMPUTED_VALUE"""),"")</f>
        <v/>
      </c>
      <c r="G153" s="134" t="str">
        <f ca="1">IFERROR(__xludf.DUMMYFUNCTION("""COMPUTED_VALUE"""),"")</f>
        <v/>
      </c>
      <c r="H153" s="134" t="str">
        <f ca="1">IFERROR(__xludf.DUMMYFUNCTION("""COMPUTED_VALUE"""),"")</f>
        <v/>
      </c>
      <c r="I153" s="134" t="str">
        <f ca="1">IFERROR(__xludf.DUMMYFUNCTION("""COMPUTED_VALUE"""),"")</f>
        <v/>
      </c>
      <c r="J153" s="134" t="str">
        <f ca="1">IFERROR(__xludf.DUMMYFUNCTION("""COMPUTED_VALUE"""),"")</f>
        <v/>
      </c>
      <c r="N153" s="31"/>
    </row>
    <row r="154" spans="1:14" customFormat="1">
      <c r="A154" s="134" t="str">
        <f ca="1">IFERROR(__xludf.DUMMYFUNCTION("""COMPUTED_VALUE"""),"")</f>
        <v/>
      </c>
      <c r="B154" s="134" t="str">
        <f ca="1">IFERROR(__xludf.DUMMYFUNCTION("""COMPUTED_VALUE"""),"")</f>
        <v/>
      </c>
      <c r="C154" s="134" t="str">
        <f ca="1">IFERROR(__xludf.DUMMYFUNCTION("""COMPUTED_VALUE"""),"")</f>
        <v/>
      </c>
      <c r="D154" s="134" t="str">
        <f ca="1">IFERROR(__xludf.DUMMYFUNCTION("""COMPUTED_VALUE"""),"")</f>
        <v/>
      </c>
      <c r="E154" s="134" t="str">
        <f ca="1">IFERROR(__xludf.DUMMYFUNCTION("""COMPUTED_VALUE"""),"")</f>
        <v/>
      </c>
      <c r="F154" s="134" t="str">
        <f ca="1">IFERROR(__xludf.DUMMYFUNCTION("""COMPUTED_VALUE"""),"")</f>
        <v/>
      </c>
      <c r="G154" s="134" t="str">
        <f ca="1">IFERROR(__xludf.DUMMYFUNCTION("""COMPUTED_VALUE"""),"")</f>
        <v/>
      </c>
      <c r="H154" s="134" t="str">
        <f ca="1">IFERROR(__xludf.DUMMYFUNCTION("""COMPUTED_VALUE"""),"")</f>
        <v/>
      </c>
      <c r="I154" s="134" t="str">
        <f ca="1">IFERROR(__xludf.DUMMYFUNCTION("""COMPUTED_VALUE"""),"")</f>
        <v/>
      </c>
      <c r="J154" s="134" t="str">
        <f ca="1">IFERROR(__xludf.DUMMYFUNCTION("""COMPUTED_VALUE"""),"")</f>
        <v/>
      </c>
      <c r="N154" s="31"/>
    </row>
    <row r="155" spans="1:14" customFormat="1">
      <c r="A155" s="134" t="str">
        <f ca="1">IFERROR(__xludf.DUMMYFUNCTION("""COMPUTED_VALUE"""),"")</f>
        <v/>
      </c>
      <c r="B155" s="134" t="str">
        <f ca="1">IFERROR(__xludf.DUMMYFUNCTION("""COMPUTED_VALUE"""),"")</f>
        <v/>
      </c>
      <c r="C155" s="134" t="str">
        <f ca="1">IFERROR(__xludf.DUMMYFUNCTION("""COMPUTED_VALUE"""),"")</f>
        <v/>
      </c>
      <c r="D155" s="134" t="str">
        <f ca="1">IFERROR(__xludf.DUMMYFUNCTION("""COMPUTED_VALUE"""),"")</f>
        <v/>
      </c>
      <c r="E155" s="134" t="str">
        <f ca="1">IFERROR(__xludf.DUMMYFUNCTION("""COMPUTED_VALUE"""),"")</f>
        <v/>
      </c>
      <c r="F155" s="134" t="str">
        <f ca="1">IFERROR(__xludf.DUMMYFUNCTION("""COMPUTED_VALUE"""),"")</f>
        <v/>
      </c>
      <c r="G155" s="134" t="str">
        <f ca="1">IFERROR(__xludf.DUMMYFUNCTION("""COMPUTED_VALUE"""),"")</f>
        <v/>
      </c>
      <c r="H155" s="134" t="str">
        <f ca="1">IFERROR(__xludf.DUMMYFUNCTION("""COMPUTED_VALUE"""),"")</f>
        <v/>
      </c>
      <c r="I155" s="134" t="str">
        <f ca="1">IFERROR(__xludf.DUMMYFUNCTION("""COMPUTED_VALUE"""),"")</f>
        <v/>
      </c>
      <c r="J155" s="134" t="str">
        <f ca="1">IFERROR(__xludf.DUMMYFUNCTION("""COMPUTED_VALUE"""),"")</f>
        <v/>
      </c>
      <c r="N155" s="31"/>
    </row>
    <row r="156" spans="1:14" customFormat="1">
      <c r="A156" s="134" t="str">
        <f ca="1">IFERROR(__xludf.DUMMYFUNCTION("""COMPUTED_VALUE"""),"")</f>
        <v/>
      </c>
      <c r="B156" s="134" t="str">
        <f ca="1">IFERROR(__xludf.DUMMYFUNCTION("""COMPUTED_VALUE"""),"")</f>
        <v/>
      </c>
      <c r="C156" s="134" t="str">
        <f ca="1">IFERROR(__xludf.DUMMYFUNCTION("""COMPUTED_VALUE"""),"")</f>
        <v/>
      </c>
      <c r="D156" s="134" t="str">
        <f ca="1">IFERROR(__xludf.DUMMYFUNCTION("""COMPUTED_VALUE"""),"")</f>
        <v/>
      </c>
      <c r="E156" s="134" t="str">
        <f ca="1">IFERROR(__xludf.DUMMYFUNCTION("""COMPUTED_VALUE"""),"")</f>
        <v/>
      </c>
      <c r="F156" s="134" t="str">
        <f ca="1">IFERROR(__xludf.DUMMYFUNCTION("""COMPUTED_VALUE"""),"")</f>
        <v/>
      </c>
      <c r="G156" s="134" t="str">
        <f ca="1">IFERROR(__xludf.DUMMYFUNCTION("""COMPUTED_VALUE"""),"")</f>
        <v/>
      </c>
      <c r="H156" s="134" t="str">
        <f ca="1">IFERROR(__xludf.DUMMYFUNCTION("""COMPUTED_VALUE"""),"")</f>
        <v/>
      </c>
      <c r="I156" s="134" t="str">
        <f ca="1">IFERROR(__xludf.DUMMYFUNCTION("""COMPUTED_VALUE"""),"")</f>
        <v/>
      </c>
      <c r="J156" s="134" t="str">
        <f ca="1">IFERROR(__xludf.DUMMYFUNCTION("""COMPUTED_VALUE"""),"")</f>
        <v/>
      </c>
      <c r="N156" s="31"/>
    </row>
    <row r="157" spans="1:14" customFormat="1">
      <c r="A157" s="134" t="str">
        <f ca="1">IFERROR(__xludf.DUMMYFUNCTION("""COMPUTED_VALUE"""),"")</f>
        <v/>
      </c>
      <c r="B157" s="134" t="str">
        <f ca="1">IFERROR(__xludf.DUMMYFUNCTION("""COMPUTED_VALUE"""),"")</f>
        <v/>
      </c>
      <c r="C157" s="134" t="str">
        <f ca="1">IFERROR(__xludf.DUMMYFUNCTION("""COMPUTED_VALUE"""),"")</f>
        <v/>
      </c>
      <c r="D157" s="134" t="str">
        <f ca="1">IFERROR(__xludf.DUMMYFUNCTION("""COMPUTED_VALUE"""),"")</f>
        <v/>
      </c>
      <c r="E157" s="134" t="str">
        <f ca="1">IFERROR(__xludf.DUMMYFUNCTION("""COMPUTED_VALUE"""),"")</f>
        <v/>
      </c>
      <c r="F157" s="134" t="str">
        <f ca="1">IFERROR(__xludf.DUMMYFUNCTION("""COMPUTED_VALUE"""),"")</f>
        <v/>
      </c>
      <c r="G157" s="134" t="str">
        <f ca="1">IFERROR(__xludf.DUMMYFUNCTION("""COMPUTED_VALUE"""),"")</f>
        <v/>
      </c>
      <c r="H157" s="134" t="str">
        <f ca="1">IFERROR(__xludf.DUMMYFUNCTION("""COMPUTED_VALUE"""),"")</f>
        <v/>
      </c>
      <c r="I157" s="134" t="str">
        <f ca="1">IFERROR(__xludf.DUMMYFUNCTION("""COMPUTED_VALUE"""),"")</f>
        <v/>
      </c>
      <c r="J157" s="134" t="str">
        <f ca="1">IFERROR(__xludf.DUMMYFUNCTION("""COMPUTED_VALUE"""),"")</f>
        <v/>
      </c>
      <c r="N157" s="31"/>
    </row>
    <row r="158" spans="1:14" customFormat="1">
      <c r="A158" s="134" t="str">
        <f ca="1">IFERROR(__xludf.DUMMYFUNCTION("""COMPUTED_VALUE"""),"")</f>
        <v/>
      </c>
      <c r="B158" s="134" t="str">
        <f ca="1">IFERROR(__xludf.DUMMYFUNCTION("""COMPUTED_VALUE"""),"")</f>
        <v/>
      </c>
      <c r="C158" s="134" t="str">
        <f ca="1">IFERROR(__xludf.DUMMYFUNCTION("""COMPUTED_VALUE"""),"")</f>
        <v/>
      </c>
      <c r="D158" s="134" t="str">
        <f ca="1">IFERROR(__xludf.DUMMYFUNCTION("""COMPUTED_VALUE"""),"")</f>
        <v/>
      </c>
      <c r="E158" s="134" t="str">
        <f ca="1">IFERROR(__xludf.DUMMYFUNCTION("""COMPUTED_VALUE"""),"")</f>
        <v/>
      </c>
      <c r="F158" s="134" t="str">
        <f ca="1">IFERROR(__xludf.DUMMYFUNCTION("""COMPUTED_VALUE"""),"")</f>
        <v/>
      </c>
      <c r="G158" s="134" t="str">
        <f ca="1">IFERROR(__xludf.DUMMYFUNCTION("""COMPUTED_VALUE"""),"")</f>
        <v/>
      </c>
      <c r="H158" s="134" t="str">
        <f ca="1">IFERROR(__xludf.DUMMYFUNCTION("""COMPUTED_VALUE"""),"")</f>
        <v/>
      </c>
      <c r="I158" s="134" t="str">
        <f ca="1">IFERROR(__xludf.DUMMYFUNCTION("""COMPUTED_VALUE"""),"")</f>
        <v/>
      </c>
      <c r="J158" s="134" t="str">
        <f ca="1">IFERROR(__xludf.DUMMYFUNCTION("""COMPUTED_VALUE"""),"")</f>
        <v/>
      </c>
      <c r="N158" s="31"/>
    </row>
    <row r="159" spans="1:14" customFormat="1">
      <c r="A159" s="134" t="str">
        <f ca="1">IFERROR(__xludf.DUMMYFUNCTION("""COMPUTED_VALUE"""),"")</f>
        <v/>
      </c>
      <c r="B159" s="134" t="str">
        <f ca="1">IFERROR(__xludf.DUMMYFUNCTION("""COMPUTED_VALUE"""),"")</f>
        <v/>
      </c>
      <c r="C159" s="134" t="str">
        <f ca="1">IFERROR(__xludf.DUMMYFUNCTION("""COMPUTED_VALUE"""),"")</f>
        <v/>
      </c>
      <c r="D159" s="134" t="str">
        <f ca="1">IFERROR(__xludf.DUMMYFUNCTION("""COMPUTED_VALUE"""),"")</f>
        <v/>
      </c>
      <c r="E159" s="134" t="str">
        <f ca="1">IFERROR(__xludf.DUMMYFUNCTION("""COMPUTED_VALUE"""),"")</f>
        <v/>
      </c>
      <c r="F159" s="134" t="str">
        <f ca="1">IFERROR(__xludf.DUMMYFUNCTION("""COMPUTED_VALUE"""),"")</f>
        <v/>
      </c>
      <c r="G159" s="134" t="str">
        <f ca="1">IFERROR(__xludf.DUMMYFUNCTION("""COMPUTED_VALUE"""),"")</f>
        <v/>
      </c>
      <c r="H159" s="134" t="str">
        <f ca="1">IFERROR(__xludf.DUMMYFUNCTION("""COMPUTED_VALUE"""),"")</f>
        <v/>
      </c>
      <c r="I159" s="134" t="str">
        <f ca="1">IFERROR(__xludf.DUMMYFUNCTION("""COMPUTED_VALUE"""),"")</f>
        <v/>
      </c>
      <c r="J159" s="134" t="str">
        <f ca="1">IFERROR(__xludf.DUMMYFUNCTION("""COMPUTED_VALUE"""),"")</f>
        <v/>
      </c>
      <c r="N159" s="31"/>
    </row>
    <row r="160" spans="1:14" customFormat="1">
      <c r="A160" s="134" t="str">
        <f ca="1">IFERROR(__xludf.DUMMYFUNCTION("""COMPUTED_VALUE"""),"")</f>
        <v/>
      </c>
      <c r="B160" s="134" t="str">
        <f ca="1">IFERROR(__xludf.DUMMYFUNCTION("""COMPUTED_VALUE"""),"")</f>
        <v/>
      </c>
      <c r="C160" s="134" t="str">
        <f ca="1">IFERROR(__xludf.DUMMYFUNCTION("""COMPUTED_VALUE"""),"")</f>
        <v/>
      </c>
      <c r="D160" s="134" t="str">
        <f ca="1">IFERROR(__xludf.DUMMYFUNCTION("""COMPUTED_VALUE"""),"")</f>
        <v/>
      </c>
      <c r="E160" s="134" t="str">
        <f ca="1">IFERROR(__xludf.DUMMYFUNCTION("""COMPUTED_VALUE"""),"")</f>
        <v/>
      </c>
      <c r="F160" s="134" t="str">
        <f ca="1">IFERROR(__xludf.DUMMYFUNCTION("""COMPUTED_VALUE"""),"")</f>
        <v/>
      </c>
      <c r="G160" s="134" t="str">
        <f ca="1">IFERROR(__xludf.DUMMYFUNCTION("""COMPUTED_VALUE"""),"")</f>
        <v/>
      </c>
      <c r="H160" s="134" t="str">
        <f ca="1">IFERROR(__xludf.DUMMYFUNCTION("""COMPUTED_VALUE"""),"")</f>
        <v/>
      </c>
      <c r="I160" s="134" t="str">
        <f ca="1">IFERROR(__xludf.DUMMYFUNCTION("""COMPUTED_VALUE"""),"")</f>
        <v/>
      </c>
      <c r="J160" s="134" t="str">
        <f ca="1">IFERROR(__xludf.DUMMYFUNCTION("""COMPUTED_VALUE"""),"")</f>
        <v/>
      </c>
      <c r="N160" s="31"/>
    </row>
    <row r="161" spans="1:14" customFormat="1">
      <c r="A161" s="134" t="str">
        <f ca="1">IFERROR(__xludf.DUMMYFUNCTION("""COMPUTED_VALUE"""),"")</f>
        <v/>
      </c>
      <c r="B161" s="134" t="str">
        <f ca="1">IFERROR(__xludf.DUMMYFUNCTION("""COMPUTED_VALUE"""),"")</f>
        <v/>
      </c>
      <c r="C161" s="134" t="str">
        <f ca="1">IFERROR(__xludf.DUMMYFUNCTION("""COMPUTED_VALUE"""),"")</f>
        <v/>
      </c>
      <c r="D161" s="134" t="str">
        <f ca="1">IFERROR(__xludf.DUMMYFUNCTION("""COMPUTED_VALUE"""),"")</f>
        <v/>
      </c>
      <c r="E161" s="134" t="str">
        <f ca="1">IFERROR(__xludf.DUMMYFUNCTION("""COMPUTED_VALUE"""),"")</f>
        <v/>
      </c>
      <c r="F161" s="134" t="str">
        <f ca="1">IFERROR(__xludf.DUMMYFUNCTION("""COMPUTED_VALUE"""),"")</f>
        <v/>
      </c>
      <c r="G161" s="134" t="str">
        <f ca="1">IFERROR(__xludf.DUMMYFUNCTION("""COMPUTED_VALUE"""),"")</f>
        <v/>
      </c>
      <c r="H161" s="134" t="str">
        <f ca="1">IFERROR(__xludf.DUMMYFUNCTION("""COMPUTED_VALUE"""),"")</f>
        <v/>
      </c>
      <c r="I161" s="134" t="str">
        <f ca="1">IFERROR(__xludf.DUMMYFUNCTION("""COMPUTED_VALUE"""),"")</f>
        <v/>
      </c>
      <c r="J161" s="134" t="str">
        <f ca="1">IFERROR(__xludf.DUMMYFUNCTION("""COMPUTED_VALUE"""),"")</f>
        <v/>
      </c>
      <c r="N161" s="31"/>
    </row>
    <row r="162" spans="1:14" customFormat="1">
      <c r="A162" s="134" t="str">
        <f ca="1">IFERROR(__xludf.DUMMYFUNCTION("""COMPUTED_VALUE"""),"")</f>
        <v/>
      </c>
      <c r="B162" s="134" t="str">
        <f ca="1">IFERROR(__xludf.DUMMYFUNCTION("""COMPUTED_VALUE"""),"")</f>
        <v/>
      </c>
      <c r="C162" s="134" t="str">
        <f ca="1">IFERROR(__xludf.DUMMYFUNCTION("""COMPUTED_VALUE"""),"")</f>
        <v/>
      </c>
      <c r="D162" s="134" t="str">
        <f ca="1">IFERROR(__xludf.DUMMYFUNCTION("""COMPUTED_VALUE"""),"")</f>
        <v/>
      </c>
      <c r="E162" s="134" t="str">
        <f ca="1">IFERROR(__xludf.DUMMYFUNCTION("""COMPUTED_VALUE"""),"")</f>
        <v/>
      </c>
      <c r="F162" s="134" t="str">
        <f ca="1">IFERROR(__xludf.DUMMYFUNCTION("""COMPUTED_VALUE"""),"")</f>
        <v/>
      </c>
      <c r="G162" s="134" t="str">
        <f ca="1">IFERROR(__xludf.DUMMYFUNCTION("""COMPUTED_VALUE"""),"")</f>
        <v/>
      </c>
      <c r="H162" s="134" t="str">
        <f ca="1">IFERROR(__xludf.DUMMYFUNCTION("""COMPUTED_VALUE"""),"")</f>
        <v/>
      </c>
      <c r="I162" s="134" t="str">
        <f ca="1">IFERROR(__xludf.DUMMYFUNCTION("""COMPUTED_VALUE"""),"")</f>
        <v/>
      </c>
      <c r="J162" s="134" t="str">
        <f ca="1">IFERROR(__xludf.DUMMYFUNCTION("""COMPUTED_VALUE"""),"")</f>
        <v/>
      </c>
      <c r="N162" s="31"/>
    </row>
    <row r="163" spans="1:14" customFormat="1">
      <c r="A163" s="134" t="str">
        <f ca="1">IFERROR(__xludf.DUMMYFUNCTION("""COMPUTED_VALUE"""),"")</f>
        <v/>
      </c>
      <c r="B163" s="134" t="str">
        <f ca="1">IFERROR(__xludf.DUMMYFUNCTION("""COMPUTED_VALUE"""),"")</f>
        <v/>
      </c>
      <c r="C163" s="134" t="str">
        <f ca="1">IFERROR(__xludf.DUMMYFUNCTION("""COMPUTED_VALUE"""),"")</f>
        <v/>
      </c>
      <c r="D163" s="134" t="str">
        <f ca="1">IFERROR(__xludf.DUMMYFUNCTION("""COMPUTED_VALUE"""),"")</f>
        <v/>
      </c>
      <c r="E163" s="134" t="str">
        <f ca="1">IFERROR(__xludf.DUMMYFUNCTION("""COMPUTED_VALUE"""),"")</f>
        <v/>
      </c>
      <c r="F163" s="134" t="str">
        <f ca="1">IFERROR(__xludf.DUMMYFUNCTION("""COMPUTED_VALUE"""),"")</f>
        <v/>
      </c>
      <c r="G163" s="134" t="str">
        <f ca="1">IFERROR(__xludf.DUMMYFUNCTION("""COMPUTED_VALUE"""),"")</f>
        <v/>
      </c>
      <c r="H163" s="134" t="str">
        <f ca="1">IFERROR(__xludf.DUMMYFUNCTION("""COMPUTED_VALUE"""),"")</f>
        <v/>
      </c>
      <c r="I163" s="134" t="str">
        <f ca="1">IFERROR(__xludf.DUMMYFUNCTION("""COMPUTED_VALUE"""),"")</f>
        <v/>
      </c>
      <c r="J163" s="134" t="str">
        <f ca="1">IFERROR(__xludf.DUMMYFUNCTION("""COMPUTED_VALUE"""),"")</f>
        <v/>
      </c>
      <c r="N163" s="31"/>
    </row>
    <row r="164" spans="1:14" customFormat="1">
      <c r="A164" s="134" t="str">
        <f ca="1">IFERROR(__xludf.DUMMYFUNCTION("""COMPUTED_VALUE"""),"")</f>
        <v/>
      </c>
      <c r="B164" s="134" t="str">
        <f ca="1">IFERROR(__xludf.DUMMYFUNCTION("""COMPUTED_VALUE"""),"")</f>
        <v/>
      </c>
      <c r="C164" s="134" t="str">
        <f ca="1">IFERROR(__xludf.DUMMYFUNCTION("""COMPUTED_VALUE"""),"")</f>
        <v/>
      </c>
      <c r="D164" s="134" t="str">
        <f ca="1">IFERROR(__xludf.DUMMYFUNCTION("""COMPUTED_VALUE"""),"")</f>
        <v/>
      </c>
      <c r="E164" s="134" t="str">
        <f ca="1">IFERROR(__xludf.DUMMYFUNCTION("""COMPUTED_VALUE"""),"")</f>
        <v/>
      </c>
      <c r="F164" s="134" t="str">
        <f ca="1">IFERROR(__xludf.DUMMYFUNCTION("""COMPUTED_VALUE"""),"")</f>
        <v/>
      </c>
      <c r="G164" s="134" t="str">
        <f ca="1">IFERROR(__xludf.DUMMYFUNCTION("""COMPUTED_VALUE"""),"")</f>
        <v/>
      </c>
      <c r="H164" s="134" t="str">
        <f ca="1">IFERROR(__xludf.DUMMYFUNCTION("""COMPUTED_VALUE"""),"")</f>
        <v/>
      </c>
      <c r="I164" s="134" t="str">
        <f ca="1">IFERROR(__xludf.DUMMYFUNCTION("""COMPUTED_VALUE"""),"")</f>
        <v/>
      </c>
      <c r="J164" s="134" t="str">
        <f ca="1">IFERROR(__xludf.DUMMYFUNCTION("""COMPUTED_VALUE"""),"")</f>
        <v/>
      </c>
      <c r="N164" s="31"/>
    </row>
    <row r="165" spans="1:14" customFormat="1">
      <c r="A165" s="134" t="str">
        <f ca="1">IFERROR(__xludf.DUMMYFUNCTION("""COMPUTED_VALUE"""),"")</f>
        <v/>
      </c>
      <c r="B165" s="134" t="str">
        <f ca="1">IFERROR(__xludf.DUMMYFUNCTION("""COMPUTED_VALUE"""),"")</f>
        <v/>
      </c>
      <c r="C165" s="134" t="str">
        <f ca="1">IFERROR(__xludf.DUMMYFUNCTION("""COMPUTED_VALUE"""),"")</f>
        <v/>
      </c>
      <c r="D165" s="134" t="str">
        <f ca="1">IFERROR(__xludf.DUMMYFUNCTION("""COMPUTED_VALUE"""),"")</f>
        <v/>
      </c>
      <c r="E165" s="134" t="str">
        <f ca="1">IFERROR(__xludf.DUMMYFUNCTION("""COMPUTED_VALUE"""),"")</f>
        <v/>
      </c>
      <c r="F165" s="134" t="str">
        <f ca="1">IFERROR(__xludf.DUMMYFUNCTION("""COMPUTED_VALUE"""),"")</f>
        <v/>
      </c>
      <c r="G165" s="134" t="str">
        <f ca="1">IFERROR(__xludf.DUMMYFUNCTION("""COMPUTED_VALUE"""),"")</f>
        <v/>
      </c>
      <c r="H165" s="134" t="str">
        <f ca="1">IFERROR(__xludf.DUMMYFUNCTION("""COMPUTED_VALUE"""),"")</f>
        <v/>
      </c>
      <c r="I165" s="134" t="str">
        <f ca="1">IFERROR(__xludf.DUMMYFUNCTION("""COMPUTED_VALUE"""),"")</f>
        <v/>
      </c>
      <c r="J165" s="134" t="str">
        <f ca="1">IFERROR(__xludf.DUMMYFUNCTION("""COMPUTED_VALUE"""),"")</f>
        <v/>
      </c>
      <c r="N165" s="31"/>
    </row>
    <row r="166" spans="1:14" customFormat="1">
      <c r="A166" s="134" t="str">
        <f ca="1">IFERROR(__xludf.DUMMYFUNCTION("""COMPUTED_VALUE"""),"")</f>
        <v/>
      </c>
      <c r="B166" s="134" t="str">
        <f ca="1">IFERROR(__xludf.DUMMYFUNCTION("""COMPUTED_VALUE"""),"")</f>
        <v/>
      </c>
      <c r="C166" s="134" t="str">
        <f ca="1">IFERROR(__xludf.DUMMYFUNCTION("""COMPUTED_VALUE"""),"")</f>
        <v/>
      </c>
      <c r="D166" s="134" t="str">
        <f ca="1">IFERROR(__xludf.DUMMYFUNCTION("""COMPUTED_VALUE"""),"")</f>
        <v/>
      </c>
      <c r="E166" s="134" t="str">
        <f ca="1">IFERROR(__xludf.DUMMYFUNCTION("""COMPUTED_VALUE"""),"")</f>
        <v/>
      </c>
      <c r="F166" s="134" t="str">
        <f ca="1">IFERROR(__xludf.DUMMYFUNCTION("""COMPUTED_VALUE"""),"")</f>
        <v/>
      </c>
      <c r="G166" s="134" t="str">
        <f ca="1">IFERROR(__xludf.DUMMYFUNCTION("""COMPUTED_VALUE"""),"")</f>
        <v/>
      </c>
      <c r="H166" s="134" t="str">
        <f ca="1">IFERROR(__xludf.DUMMYFUNCTION("""COMPUTED_VALUE"""),"")</f>
        <v/>
      </c>
      <c r="I166" s="134" t="str">
        <f ca="1">IFERROR(__xludf.DUMMYFUNCTION("""COMPUTED_VALUE"""),"")</f>
        <v/>
      </c>
      <c r="J166" s="134" t="str">
        <f ca="1">IFERROR(__xludf.DUMMYFUNCTION("""COMPUTED_VALUE"""),"")</f>
        <v/>
      </c>
      <c r="N166" s="31"/>
    </row>
    <row r="167" spans="1:14" customFormat="1">
      <c r="A167" s="134" t="str">
        <f ca="1">IFERROR(__xludf.DUMMYFUNCTION("""COMPUTED_VALUE"""),"")</f>
        <v/>
      </c>
      <c r="B167" s="134" t="str">
        <f ca="1">IFERROR(__xludf.DUMMYFUNCTION("""COMPUTED_VALUE"""),"")</f>
        <v/>
      </c>
      <c r="C167" s="134" t="str">
        <f ca="1">IFERROR(__xludf.DUMMYFUNCTION("""COMPUTED_VALUE"""),"")</f>
        <v/>
      </c>
      <c r="D167" s="134" t="str">
        <f ca="1">IFERROR(__xludf.DUMMYFUNCTION("""COMPUTED_VALUE"""),"")</f>
        <v/>
      </c>
      <c r="E167" s="134" t="str">
        <f ca="1">IFERROR(__xludf.DUMMYFUNCTION("""COMPUTED_VALUE"""),"")</f>
        <v/>
      </c>
      <c r="F167" s="134" t="str">
        <f ca="1">IFERROR(__xludf.DUMMYFUNCTION("""COMPUTED_VALUE"""),"")</f>
        <v/>
      </c>
      <c r="G167" s="134" t="str">
        <f ca="1">IFERROR(__xludf.DUMMYFUNCTION("""COMPUTED_VALUE"""),"")</f>
        <v/>
      </c>
      <c r="H167" s="134" t="str">
        <f ca="1">IFERROR(__xludf.DUMMYFUNCTION("""COMPUTED_VALUE"""),"")</f>
        <v/>
      </c>
      <c r="I167" s="134" t="str">
        <f ca="1">IFERROR(__xludf.DUMMYFUNCTION("""COMPUTED_VALUE"""),"")</f>
        <v/>
      </c>
      <c r="J167" s="134" t="str">
        <f ca="1">IFERROR(__xludf.DUMMYFUNCTION("""COMPUTED_VALUE"""),"")</f>
        <v/>
      </c>
      <c r="N167" s="31"/>
    </row>
    <row r="168" spans="1:14" customFormat="1">
      <c r="A168" s="134" t="str">
        <f ca="1">IFERROR(__xludf.DUMMYFUNCTION("""COMPUTED_VALUE"""),"")</f>
        <v/>
      </c>
      <c r="B168" s="134" t="str">
        <f ca="1">IFERROR(__xludf.DUMMYFUNCTION("""COMPUTED_VALUE"""),"")</f>
        <v/>
      </c>
      <c r="C168" s="134" t="str">
        <f ca="1">IFERROR(__xludf.DUMMYFUNCTION("""COMPUTED_VALUE"""),"")</f>
        <v/>
      </c>
      <c r="D168" s="134" t="str">
        <f ca="1">IFERROR(__xludf.DUMMYFUNCTION("""COMPUTED_VALUE"""),"")</f>
        <v/>
      </c>
      <c r="E168" s="134" t="str">
        <f ca="1">IFERROR(__xludf.DUMMYFUNCTION("""COMPUTED_VALUE"""),"")</f>
        <v/>
      </c>
      <c r="F168" s="134" t="str">
        <f ca="1">IFERROR(__xludf.DUMMYFUNCTION("""COMPUTED_VALUE"""),"")</f>
        <v/>
      </c>
      <c r="G168" s="134" t="str">
        <f ca="1">IFERROR(__xludf.DUMMYFUNCTION("""COMPUTED_VALUE"""),"")</f>
        <v/>
      </c>
      <c r="H168" s="134" t="str">
        <f ca="1">IFERROR(__xludf.DUMMYFUNCTION("""COMPUTED_VALUE"""),"")</f>
        <v/>
      </c>
      <c r="I168" s="134" t="str">
        <f ca="1">IFERROR(__xludf.DUMMYFUNCTION("""COMPUTED_VALUE"""),"")</f>
        <v/>
      </c>
      <c r="J168" s="134" t="str">
        <f ca="1">IFERROR(__xludf.DUMMYFUNCTION("""COMPUTED_VALUE"""),"")</f>
        <v/>
      </c>
      <c r="N168" s="31"/>
    </row>
    <row r="169" spans="1:14" customFormat="1">
      <c r="A169" s="134" t="str">
        <f ca="1">IFERROR(__xludf.DUMMYFUNCTION("""COMPUTED_VALUE"""),"")</f>
        <v/>
      </c>
      <c r="B169" s="134" t="str">
        <f ca="1">IFERROR(__xludf.DUMMYFUNCTION("""COMPUTED_VALUE"""),"")</f>
        <v/>
      </c>
      <c r="C169" s="134" t="str">
        <f ca="1">IFERROR(__xludf.DUMMYFUNCTION("""COMPUTED_VALUE"""),"")</f>
        <v/>
      </c>
      <c r="D169" s="134" t="str">
        <f ca="1">IFERROR(__xludf.DUMMYFUNCTION("""COMPUTED_VALUE"""),"")</f>
        <v/>
      </c>
      <c r="E169" s="134" t="str">
        <f ca="1">IFERROR(__xludf.DUMMYFUNCTION("""COMPUTED_VALUE"""),"")</f>
        <v/>
      </c>
      <c r="F169" s="134" t="str">
        <f ca="1">IFERROR(__xludf.DUMMYFUNCTION("""COMPUTED_VALUE"""),"")</f>
        <v/>
      </c>
      <c r="G169" s="134" t="str">
        <f ca="1">IFERROR(__xludf.DUMMYFUNCTION("""COMPUTED_VALUE"""),"")</f>
        <v/>
      </c>
      <c r="H169" s="134" t="str">
        <f ca="1">IFERROR(__xludf.DUMMYFUNCTION("""COMPUTED_VALUE"""),"")</f>
        <v/>
      </c>
      <c r="I169" s="134" t="str">
        <f ca="1">IFERROR(__xludf.DUMMYFUNCTION("""COMPUTED_VALUE"""),"")</f>
        <v/>
      </c>
      <c r="J169" s="134" t="str">
        <f ca="1">IFERROR(__xludf.DUMMYFUNCTION("""COMPUTED_VALUE"""),"")</f>
        <v/>
      </c>
      <c r="N169" s="31"/>
    </row>
    <row r="170" spans="1:14" customFormat="1">
      <c r="A170" s="134" t="str">
        <f ca="1">IFERROR(__xludf.DUMMYFUNCTION("""COMPUTED_VALUE"""),"")</f>
        <v/>
      </c>
      <c r="B170" s="134" t="str">
        <f ca="1">IFERROR(__xludf.DUMMYFUNCTION("""COMPUTED_VALUE"""),"")</f>
        <v/>
      </c>
      <c r="C170" s="134" t="str">
        <f ca="1">IFERROR(__xludf.DUMMYFUNCTION("""COMPUTED_VALUE"""),"")</f>
        <v/>
      </c>
      <c r="D170" s="134" t="str">
        <f ca="1">IFERROR(__xludf.DUMMYFUNCTION("""COMPUTED_VALUE"""),"")</f>
        <v/>
      </c>
      <c r="E170" s="134" t="str">
        <f ca="1">IFERROR(__xludf.DUMMYFUNCTION("""COMPUTED_VALUE"""),"")</f>
        <v/>
      </c>
      <c r="F170" s="134" t="str">
        <f ca="1">IFERROR(__xludf.DUMMYFUNCTION("""COMPUTED_VALUE"""),"")</f>
        <v/>
      </c>
      <c r="G170" s="134" t="str">
        <f ca="1">IFERROR(__xludf.DUMMYFUNCTION("""COMPUTED_VALUE"""),"")</f>
        <v/>
      </c>
      <c r="H170" s="134" t="str">
        <f ca="1">IFERROR(__xludf.DUMMYFUNCTION("""COMPUTED_VALUE"""),"")</f>
        <v/>
      </c>
      <c r="I170" s="134" t="str">
        <f ca="1">IFERROR(__xludf.DUMMYFUNCTION("""COMPUTED_VALUE"""),"")</f>
        <v/>
      </c>
      <c r="J170" s="134" t="str">
        <f ca="1">IFERROR(__xludf.DUMMYFUNCTION("""COMPUTED_VALUE"""),"")</f>
        <v/>
      </c>
      <c r="N170" s="31"/>
    </row>
    <row r="171" spans="1:14" customFormat="1">
      <c r="A171" s="134" t="str">
        <f ca="1">IFERROR(__xludf.DUMMYFUNCTION("""COMPUTED_VALUE"""),"")</f>
        <v/>
      </c>
      <c r="B171" s="134" t="str">
        <f ca="1">IFERROR(__xludf.DUMMYFUNCTION("""COMPUTED_VALUE"""),"")</f>
        <v/>
      </c>
      <c r="C171" s="134" t="str">
        <f ca="1">IFERROR(__xludf.DUMMYFUNCTION("""COMPUTED_VALUE"""),"")</f>
        <v/>
      </c>
      <c r="D171" s="134" t="str">
        <f ca="1">IFERROR(__xludf.DUMMYFUNCTION("""COMPUTED_VALUE"""),"")</f>
        <v/>
      </c>
      <c r="E171" s="134" t="str">
        <f ca="1">IFERROR(__xludf.DUMMYFUNCTION("""COMPUTED_VALUE"""),"")</f>
        <v/>
      </c>
      <c r="F171" s="134" t="str">
        <f ca="1">IFERROR(__xludf.DUMMYFUNCTION("""COMPUTED_VALUE"""),"")</f>
        <v/>
      </c>
      <c r="G171" s="134" t="str">
        <f ca="1">IFERROR(__xludf.DUMMYFUNCTION("""COMPUTED_VALUE"""),"")</f>
        <v/>
      </c>
      <c r="H171" s="134" t="str">
        <f ca="1">IFERROR(__xludf.DUMMYFUNCTION("""COMPUTED_VALUE"""),"")</f>
        <v/>
      </c>
      <c r="I171" s="134" t="str">
        <f ca="1">IFERROR(__xludf.DUMMYFUNCTION("""COMPUTED_VALUE"""),"")</f>
        <v/>
      </c>
      <c r="J171" s="134" t="str">
        <f ca="1">IFERROR(__xludf.DUMMYFUNCTION("""COMPUTED_VALUE"""),"")</f>
        <v/>
      </c>
      <c r="N171" s="31"/>
    </row>
    <row r="172" spans="1:14" customFormat="1">
      <c r="A172" s="134" t="str">
        <f ca="1">IFERROR(__xludf.DUMMYFUNCTION("""COMPUTED_VALUE"""),"")</f>
        <v/>
      </c>
      <c r="B172" s="134" t="str">
        <f ca="1">IFERROR(__xludf.DUMMYFUNCTION("""COMPUTED_VALUE"""),"")</f>
        <v/>
      </c>
      <c r="C172" s="134" t="str">
        <f ca="1">IFERROR(__xludf.DUMMYFUNCTION("""COMPUTED_VALUE"""),"")</f>
        <v/>
      </c>
      <c r="D172" s="134" t="str">
        <f ca="1">IFERROR(__xludf.DUMMYFUNCTION("""COMPUTED_VALUE"""),"")</f>
        <v/>
      </c>
      <c r="E172" s="134" t="str">
        <f ca="1">IFERROR(__xludf.DUMMYFUNCTION("""COMPUTED_VALUE"""),"")</f>
        <v/>
      </c>
      <c r="F172" s="134" t="str">
        <f ca="1">IFERROR(__xludf.DUMMYFUNCTION("""COMPUTED_VALUE"""),"")</f>
        <v/>
      </c>
      <c r="G172" s="134" t="str">
        <f ca="1">IFERROR(__xludf.DUMMYFUNCTION("""COMPUTED_VALUE"""),"")</f>
        <v/>
      </c>
      <c r="H172" s="134" t="str">
        <f ca="1">IFERROR(__xludf.DUMMYFUNCTION("""COMPUTED_VALUE"""),"")</f>
        <v/>
      </c>
      <c r="I172" s="134" t="str">
        <f ca="1">IFERROR(__xludf.DUMMYFUNCTION("""COMPUTED_VALUE"""),"")</f>
        <v/>
      </c>
      <c r="J172" s="134" t="str">
        <f ca="1">IFERROR(__xludf.DUMMYFUNCTION("""COMPUTED_VALUE"""),"")</f>
        <v/>
      </c>
      <c r="N172" s="31"/>
    </row>
    <row r="173" spans="1:14" customFormat="1">
      <c r="A173" s="134" t="str">
        <f ca="1">IFERROR(__xludf.DUMMYFUNCTION("""COMPUTED_VALUE"""),"")</f>
        <v/>
      </c>
      <c r="B173" s="134" t="str">
        <f ca="1">IFERROR(__xludf.DUMMYFUNCTION("""COMPUTED_VALUE"""),"")</f>
        <v/>
      </c>
      <c r="C173" s="134" t="str">
        <f ca="1">IFERROR(__xludf.DUMMYFUNCTION("""COMPUTED_VALUE"""),"")</f>
        <v/>
      </c>
      <c r="D173" s="134" t="str">
        <f ca="1">IFERROR(__xludf.DUMMYFUNCTION("""COMPUTED_VALUE"""),"")</f>
        <v/>
      </c>
      <c r="E173" s="134" t="str">
        <f ca="1">IFERROR(__xludf.DUMMYFUNCTION("""COMPUTED_VALUE"""),"")</f>
        <v/>
      </c>
      <c r="F173" s="134" t="str">
        <f ca="1">IFERROR(__xludf.DUMMYFUNCTION("""COMPUTED_VALUE"""),"")</f>
        <v/>
      </c>
      <c r="G173" s="134" t="str">
        <f ca="1">IFERROR(__xludf.DUMMYFUNCTION("""COMPUTED_VALUE"""),"")</f>
        <v/>
      </c>
      <c r="H173" s="134" t="str">
        <f ca="1">IFERROR(__xludf.DUMMYFUNCTION("""COMPUTED_VALUE"""),"")</f>
        <v/>
      </c>
      <c r="I173" s="134" t="str">
        <f ca="1">IFERROR(__xludf.DUMMYFUNCTION("""COMPUTED_VALUE"""),"")</f>
        <v/>
      </c>
      <c r="J173" s="134" t="str">
        <f ca="1">IFERROR(__xludf.DUMMYFUNCTION("""COMPUTED_VALUE"""),"")</f>
        <v/>
      </c>
      <c r="N173" s="31"/>
    </row>
    <row r="174" spans="1:14" customFormat="1">
      <c r="A174" s="134" t="str">
        <f ca="1">IFERROR(__xludf.DUMMYFUNCTION("""COMPUTED_VALUE"""),"")</f>
        <v/>
      </c>
      <c r="B174" s="134" t="str">
        <f ca="1">IFERROR(__xludf.DUMMYFUNCTION("""COMPUTED_VALUE"""),"")</f>
        <v/>
      </c>
      <c r="C174" s="134" t="str">
        <f ca="1">IFERROR(__xludf.DUMMYFUNCTION("""COMPUTED_VALUE"""),"")</f>
        <v/>
      </c>
      <c r="D174" s="134" t="str">
        <f ca="1">IFERROR(__xludf.DUMMYFUNCTION("""COMPUTED_VALUE"""),"")</f>
        <v/>
      </c>
      <c r="E174" s="134" t="str">
        <f ca="1">IFERROR(__xludf.DUMMYFUNCTION("""COMPUTED_VALUE"""),"")</f>
        <v/>
      </c>
      <c r="F174" s="134" t="str">
        <f ca="1">IFERROR(__xludf.DUMMYFUNCTION("""COMPUTED_VALUE"""),"")</f>
        <v/>
      </c>
      <c r="G174" s="134" t="str">
        <f ca="1">IFERROR(__xludf.DUMMYFUNCTION("""COMPUTED_VALUE"""),"")</f>
        <v/>
      </c>
      <c r="H174" s="134" t="str">
        <f ca="1">IFERROR(__xludf.DUMMYFUNCTION("""COMPUTED_VALUE"""),"")</f>
        <v/>
      </c>
      <c r="I174" s="134" t="str">
        <f ca="1">IFERROR(__xludf.DUMMYFUNCTION("""COMPUTED_VALUE"""),"")</f>
        <v/>
      </c>
      <c r="J174" s="134" t="str">
        <f ca="1">IFERROR(__xludf.DUMMYFUNCTION("""COMPUTED_VALUE"""),"")</f>
        <v/>
      </c>
      <c r="N174" s="31"/>
    </row>
    <row r="175" spans="1:14" customFormat="1">
      <c r="A175" s="134" t="str">
        <f ca="1">IFERROR(__xludf.DUMMYFUNCTION("""COMPUTED_VALUE"""),"")</f>
        <v/>
      </c>
      <c r="B175" s="134" t="str">
        <f ca="1">IFERROR(__xludf.DUMMYFUNCTION("""COMPUTED_VALUE"""),"")</f>
        <v/>
      </c>
      <c r="C175" s="134" t="str">
        <f ca="1">IFERROR(__xludf.DUMMYFUNCTION("""COMPUTED_VALUE"""),"")</f>
        <v/>
      </c>
      <c r="D175" s="134" t="str">
        <f ca="1">IFERROR(__xludf.DUMMYFUNCTION("""COMPUTED_VALUE"""),"")</f>
        <v/>
      </c>
      <c r="E175" s="134" t="str">
        <f ca="1">IFERROR(__xludf.DUMMYFUNCTION("""COMPUTED_VALUE"""),"")</f>
        <v/>
      </c>
      <c r="F175" s="134" t="str">
        <f ca="1">IFERROR(__xludf.DUMMYFUNCTION("""COMPUTED_VALUE"""),"")</f>
        <v/>
      </c>
      <c r="G175" s="134" t="str">
        <f ca="1">IFERROR(__xludf.DUMMYFUNCTION("""COMPUTED_VALUE"""),"")</f>
        <v/>
      </c>
      <c r="H175" s="134" t="str">
        <f ca="1">IFERROR(__xludf.DUMMYFUNCTION("""COMPUTED_VALUE"""),"")</f>
        <v/>
      </c>
      <c r="I175" s="134" t="str">
        <f ca="1">IFERROR(__xludf.DUMMYFUNCTION("""COMPUTED_VALUE"""),"")</f>
        <v/>
      </c>
      <c r="J175" s="134" t="str">
        <f ca="1">IFERROR(__xludf.DUMMYFUNCTION("""COMPUTED_VALUE"""),"")</f>
        <v/>
      </c>
      <c r="N175" s="31"/>
    </row>
    <row r="176" spans="1:14" customFormat="1">
      <c r="A176" s="134" t="str">
        <f ca="1">IFERROR(__xludf.DUMMYFUNCTION("""COMPUTED_VALUE"""),"")</f>
        <v/>
      </c>
      <c r="B176" s="134" t="str">
        <f ca="1">IFERROR(__xludf.DUMMYFUNCTION("""COMPUTED_VALUE"""),"")</f>
        <v/>
      </c>
      <c r="C176" s="134" t="str">
        <f ca="1">IFERROR(__xludf.DUMMYFUNCTION("""COMPUTED_VALUE"""),"")</f>
        <v/>
      </c>
      <c r="D176" s="134" t="str">
        <f ca="1">IFERROR(__xludf.DUMMYFUNCTION("""COMPUTED_VALUE"""),"")</f>
        <v/>
      </c>
      <c r="E176" s="134" t="str">
        <f ca="1">IFERROR(__xludf.DUMMYFUNCTION("""COMPUTED_VALUE"""),"")</f>
        <v/>
      </c>
      <c r="F176" s="134" t="str">
        <f ca="1">IFERROR(__xludf.DUMMYFUNCTION("""COMPUTED_VALUE"""),"")</f>
        <v/>
      </c>
      <c r="G176" s="134" t="str">
        <f ca="1">IFERROR(__xludf.DUMMYFUNCTION("""COMPUTED_VALUE"""),"")</f>
        <v/>
      </c>
      <c r="H176" s="134" t="str">
        <f ca="1">IFERROR(__xludf.DUMMYFUNCTION("""COMPUTED_VALUE"""),"")</f>
        <v/>
      </c>
      <c r="I176" s="134" t="str">
        <f ca="1">IFERROR(__xludf.DUMMYFUNCTION("""COMPUTED_VALUE"""),"")</f>
        <v/>
      </c>
      <c r="J176" s="134" t="str">
        <f ca="1">IFERROR(__xludf.DUMMYFUNCTION("""COMPUTED_VALUE"""),"")</f>
        <v/>
      </c>
      <c r="N176" s="31"/>
    </row>
    <row r="177" spans="1:14" customFormat="1">
      <c r="A177" s="134" t="str">
        <f ca="1">IFERROR(__xludf.DUMMYFUNCTION("""COMPUTED_VALUE"""),"")</f>
        <v/>
      </c>
      <c r="B177" s="134" t="str">
        <f ca="1">IFERROR(__xludf.DUMMYFUNCTION("""COMPUTED_VALUE"""),"")</f>
        <v/>
      </c>
      <c r="C177" s="134" t="str">
        <f ca="1">IFERROR(__xludf.DUMMYFUNCTION("""COMPUTED_VALUE"""),"")</f>
        <v/>
      </c>
      <c r="D177" s="134" t="str">
        <f ca="1">IFERROR(__xludf.DUMMYFUNCTION("""COMPUTED_VALUE"""),"")</f>
        <v/>
      </c>
      <c r="E177" s="134" t="str">
        <f ca="1">IFERROR(__xludf.DUMMYFUNCTION("""COMPUTED_VALUE"""),"")</f>
        <v/>
      </c>
      <c r="F177" s="134" t="str">
        <f ca="1">IFERROR(__xludf.DUMMYFUNCTION("""COMPUTED_VALUE"""),"")</f>
        <v/>
      </c>
      <c r="G177" s="134" t="str">
        <f ca="1">IFERROR(__xludf.DUMMYFUNCTION("""COMPUTED_VALUE"""),"")</f>
        <v/>
      </c>
      <c r="H177" s="134" t="str">
        <f ca="1">IFERROR(__xludf.DUMMYFUNCTION("""COMPUTED_VALUE"""),"")</f>
        <v/>
      </c>
      <c r="I177" s="134" t="str">
        <f ca="1">IFERROR(__xludf.DUMMYFUNCTION("""COMPUTED_VALUE"""),"")</f>
        <v/>
      </c>
      <c r="J177" s="134" t="str">
        <f ca="1">IFERROR(__xludf.DUMMYFUNCTION("""COMPUTED_VALUE"""),"")</f>
        <v/>
      </c>
      <c r="N177" s="31"/>
    </row>
    <row r="178" spans="1:14" customFormat="1">
      <c r="A178" s="134" t="str">
        <f ca="1">IFERROR(__xludf.DUMMYFUNCTION("""COMPUTED_VALUE"""),"")</f>
        <v/>
      </c>
      <c r="B178" s="134" t="str">
        <f ca="1">IFERROR(__xludf.DUMMYFUNCTION("""COMPUTED_VALUE"""),"")</f>
        <v/>
      </c>
      <c r="C178" s="134" t="str">
        <f ca="1">IFERROR(__xludf.DUMMYFUNCTION("""COMPUTED_VALUE"""),"")</f>
        <v/>
      </c>
      <c r="D178" s="134" t="str">
        <f ca="1">IFERROR(__xludf.DUMMYFUNCTION("""COMPUTED_VALUE"""),"")</f>
        <v/>
      </c>
      <c r="E178" s="134" t="str">
        <f ca="1">IFERROR(__xludf.DUMMYFUNCTION("""COMPUTED_VALUE"""),"")</f>
        <v/>
      </c>
      <c r="F178" s="134" t="str">
        <f ca="1">IFERROR(__xludf.DUMMYFUNCTION("""COMPUTED_VALUE"""),"")</f>
        <v/>
      </c>
      <c r="G178" s="134" t="str">
        <f ca="1">IFERROR(__xludf.DUMMYFUNCTION("""COMPUTED_VALUE"""),"")</f>
        <v/>
      </c>
      <c r="H178" s="134" t="str">
        <f ca="1">IFERROR(__xludf.DUMMYFUNCTION("""COMPUTED_VALUE"""),"")</f>
        <v/>
      </c>
      <c r="I178" s="134" t="str">
        <f ca="1">IFERROR(__xludf.DUMMYFUNCTION("""COMPUTED_VALUE"""),"")</f>
        <v/>
      </c>
      <c r="J178" s="134" t="str">
        <f ca="1">IFERROR(__xludf.DUMMYFUNCTION("""COMPUTED_VALUE"""),"")</f>
        <v/>
      </c>
      <c r="N178" s="31"/>
    </row>
    <row r="179" spans="1:14" customFormat="1">
      <c r="A179" s="134" t="str">
        <f ca="1">IFERROR(__xludf.DUMMYFUNCTION("""COMPUTED_VALUE"""),"")</f>
        <v/>
      </c>
      <c r="B179" s="134" t="str">
        <f ca="1">IFERROR(__xludf.DUMMYFUNCTION("""COMPUTED_VALUE"""),"")</f>
        <v/>
      </c>
      <c r="C179" s="134" t="str">
        <f ca="1">IFERROR(__xludf.DUMMYFUNCTION("""COMPUTED_VALUE"""),"")</f>
        <v/>
      </c>
      <c r="D179" s="134" t="str">
        <f ca="1">IFERROR(__xludf.DUMMYFUNCTION("""COMPUTED_VALUE"""),"")</f>
        <v/>
      </c>
      <c r="E179" s="134" t="str">
        <f ca="1">IFERROR(__xludf.DUMMYFUNCTION("""COMPUTED_VALUE"""),"")</f>
        <v/>
      </c>
      <c r="F179" s="134" t="str">
        <f ca="1">IFERROR(__xludf.DUMMYFUNCTION("""COMPUTED_VALUE"""),"")</f>
        <v/>
      </c>
      <c r="G179" s="134" t="str">
        <f ca="1">IFERROR(__xludf.DUMMYFUNCTION("""COMPUTED_VALUE"""),"")</f>
        <v/>
      </c>
      <c r="H179" s="134" t="str">
        <f ca="1">IFERROR(__xludf.DUMMYFUNCTION("""COMPUTED_VALUE"""),"")</f>
        <v/>
      </c>
      <c r="I179" s="134" t="str">
        <f ca="1">IFERROR(__xludf.DUMMYFUNCTION("""COMPUTED_VALUE"""),"")</f>
        <v/>
      </c>
      <c r="J179" s="134" t="str">
        <f ca="1">IFERROR(__xludf.DUMMYFUNCTION("""COMPUTED_VALUE"""),"")</f>
        <v/>
      </c>
      <c r="N179" s="31"/>
    </row>
    <row r="180" spans="1:14" customFormat="1">
      <c r="A180" s="134" t="str">
        <f ca="1">IFERROR(__xludf.DUMMYFUNCTION("""COMPUTED_VALUE"""),"")</f>
        <v/>
      </c>
      <c r="B180" s="134" t="str">
        <f ca="1">IFERROR(__xludf.DUMMYFUNCTION("""COMPUTED_VALUE"""),"")</f>
        <v/>
      </c>
      <c r="C180" s="134" t="str">
        <f ca="1">IFERROR(__xludf.DUMMYFUNCTION("""COMPUTED_VALUE"""),"")</f>
        <v/>
      </c>
      <c r="D180" s="134" t="str">
        <f ca="1">IFERROR(__xludf.DUMMYFUNCTION("""COMPUTED_VALUE"""),"")</f>
        <v/>
      </c>
      <c r="E180" s="134" t="str">
        <f ca="1">IFERROR(__xludf.DUMMYFUNCTION("""COMPUTED_VALUE"""),"")</f>
        <v/>
      </c>
      <c r="F180" s="134" t="str">
        <f ca="1">IFERROR(__xludf.DUMMYFUNCTION("""COMPUTED_VALUE"""),"")</f>
        <v/>
      </c>
      <c r="G180" s="134" t="str">
        <f ca="1">IFERROR(__xludf.DUMMYFUNCTION("""COMPUTED_VALUE"""),"")</f>
        <v/>
      </c>
      <c r="H180" s="134" t="str">
        <f ca="1">IFERROR(__xludf.DUMMYFUNCTION("""COMPUTED_VALUE"""),"")</f>
        <v/>
      </c>
      <c r="I180" s="134" t="str">
        <f ca="1">IFERROR(__xludf.DUMMYFUNCTION("""COMPUTED_VALUE"""),"")</f>
        <v/>
      </c>
      <c r="J180" s="134" t="str">
        <f ca="1">IFERROR(__xludf.DUMMYFUNCTION("""COMPUTED_VALUE"""),"")</f>
        <v/>
      </c>
      <c r="N180" s="31"/>
    </row>
    <row r="181" spans="1:14" customFormat="1">
      <c r="A181" s="134" t="str">
        <f ca="1">IFERROR(__xludf.DUMMYFUNCTION("""COMPUTED_VALUE"""),"")</f>
        <v/>
      </c>
      <c r="B181" s="134" t="str">
        <f ca="1">IFERROR(__xludf.DUMMYFUNCTION("""COMPUTED_VALUE"""),"")</f>
        <v/>
      </c>
      <c r="C181" s="134" t="str">
        <f ca="1">IFERROR(__xludf.DUMMYFUNCTION("""COMPUTED_VALUE"""),"")</f>
        <v/>
      </c>
      <c r="D181" s="134" t="str">
        <f ca="1">IFERROR(__xludf.DUMMYFUNCTION("""COMPUTED_VALUE"""),"")</f>
        <v/>
      </c>
      <c r="E181" s="134" t="str">
        <f ca="1">IFERROR(__xludf.DUMMYFUNCTION("""COMPUTED_VALUE"""),"")</f>
        <v/>
      </c>
      <c r="F181" s="134" t="str">
        <f ca="1">IFERROR(__xludf.DUMMYFUNCTION("""COMPUTED_VALUE"""),"")</f>
        <v/>
      </c>
      <c r="G181" s="134" t="str">
        <f ca="1">IFERROR(__xludf.DUMMYFUNCTION("""COMPUTED_VALUE"""),"")</f>
        <v/>
      </c>
      <c r="H181" s="134" t="str">
        <f ca="1">IFERROR(__xludf.DUMMYFUNCTION("""COMPUTED_VALUE"""),"")</f>
        <v/>
      </c>
      <c r="I181" s="134" t="str">
        <f ca="1">IFERROR(__xludf.DUMMYFUNCTION("""COMPUTED_VALUE"""),"")</f>
        <v/>
      </c>
      <c r="J181" s="134" t="str">
        <f ca="1">IFERROR(__xludf.DUMMYFUNCTION("""COMPUTED_VALUE"""),"")</f>
        <v/>
      </c>
      <c r="N181" s="31"/>
    </row>
    <row r="182" spans="1:14" customFormat="1">
      <c r="A182" s="134" t="str">
        <f ca="1">IFERROR(__xludf.DUMMYFUNCTION("""COMPUTED_VALUE"""),"")</f>
        <v/>
      </c>
      <c r="B182" s="134" t="str">
        <f ca="1">IFERROR(__xludf.DUMMYFUNCTION("""COMPUTED_VALUE"""),"")</f>
        <v/>
      </c>
      <c r="C182" s="134" t="str">
        <f ca="1">IFERROR(__xludf.DUMMYFUNCTION("""COMPUTED_VALUE"""),"")</f>
        <v/>
      </c>
      <c r="D182" s="134" t="str">
        <f ca="1">IFERROR(__xludf.DUMMYFUNCTION("""COMPUTED_VALUE"""),"")</f>
        <v/>
      </c>
      <c r="E182" s="134" t="str">
        <f ca="1">IFERROR(__xludf.DUMMYFUNCTION("""COMPUTED_VALUE"""),"")</f>
        <v/>
      </c>
      <c r="F182" s="134" t="str">
        <f ca="1">IFERROR(__xludf.DUMMYFUNCTION("""COMPUTED_VALUE"""),"")</f>
        <v/>
      </c>
      <c r="G182" s="134" t="str">
        <f ca="1">IFERROR(__xludf.DUMMYFUNCTION("""COMPUTED_VALUE"""),"")</f>
        <v/>
      </c>
      <c r="H182" s="134" t="str">
        <f ca="1">IFERROR(__xludf.DUMMYFUNCTION("""COMPUTED_VALUE"""),"")</f>
        <v/>
      </c>
      <c r="I182" s="134" t="str">
        <f ca="1">IFERROR(__xludf.DUMMYFUNCTION("""COMPUTED_VALUE"""),"")</f>
        <v/>
      </c>
      <c r="J182" s="134" t="str">
        <f ca="1">IFERROR(__xludf.DUMMYFUNCTION("""COMPUTED_VALUE"""),"")</f>
        <v/>
      </c>
      <c r="N182" s="31"/>
    </row>
    <row r="183" spans="1:14" customFormat="1">
      <c r="A183" s="134" t="str">
        <f ca="1">IFERROR(__xludf.DUMMYFUNCTION("""COMPUTED_VALUE"""),"")</f>
        <v/>
      </c>
      <c r="B183" s="134" t="str">
        <f ca="1">IFERROR(__xludf.DUMMYFUNCTION("""COMPUTED_VALUE"""),"")</f>
        <v/>
      </c>
      <c r="C183" s="134" t="str">
        <f ca="1">IFERROR(__xludf.DUMMYFUNCTION("""COMPUTED_VALUE"""),"")</f>
        <v/>
      </c>
      <c r="D183" s="134" t="str">
        <f ca="1">IFERROR(__xludf.DUMMYFUNCTION("""COMPUTED_VALUE"""),"")</f>
        <v/>
      </c>
      <c r="E183" s="134" t="str">
        <f ca="1">IFERROR(__xludf.DUMMYFUNCTION("""COMPUTED_VALUE"""),"")</f>
        <v/>
      </c>
      <c r="F183" s="134" t="str">
        <f ca="1">IFERROR(__xludf.DUMMYFUNCTION("""COMPUTED_VALUE"""),"")</f>
        <v/>
      </c>
      <c r="G183" s="134" t="str">
        <f ca="1">IFERROR(__xludf.DUMMYFUNCTION("""COMPUTED_VALUE"""),"")</f>
        <v/>
      </c>
      <c r="H183" s="134" t="str">
        <f ca="1">IFERROR(__xludf.DUMMYFUNCTION("""COMPUTED_VALUE"""),"")</f>
        <v/>
      </c>
      <c r="I183" s="134" t="str">
        <f ca="1">IFERROR(__xludf.DUMMYFUNCTION("""COMPUTED_VALUE"""),"")</f>
        <v/>
      </c>
      <c r="J183" s="134" t="str">
        <f ca="1">IFERROR(__xludf.DUMMYFUNCTION("""COMPUTED_VALUE"""),"")</f>
        <v/>
      </c>
      <c r="N183" s="31"/>
    </row>
    <row r="184" spans="1:14" customFormat="1">
      <c r="A184" s="134" t="str">
        <f ca="1">IFERROR(__xludf.DUMMYFUNCTION("""COMPUTED_VALUE"""),"")</f>
        <v/>
      </c>
      <c r="B184" s="134" t="str">
        <f ca="1">IFERROR(__xludf.DUMMYFUNCTION("""COMPUTED_VALUE"""),"")</f>
        <v/>
      </c>
      <c r="C184" s="134" t="str">
        <f ca="1">IFERROR(__xludf.DUMMYFUNCTION("""COMPUTED_VALUE"""),"")</f>
        <v/>
      </c>
      <c r="D184" s="134" t="str">
        <f ca="1">IFERROR(__xludf.DUMMYFUNCTION("""COMPUTED_VALUE"""),"")</f>
        <v/>
      </c>
      <c r="E184" s="134" t="str">
        <f ca="1">IFERROR(__xludf.DUMMYFUNCTION("""COMPUTED_VALUE"""),"")</f>
        <v/>
      </c>
      <c r="F184" s="134" t="str">
        <f ca="1">IFERROR(__xludf.DUMMYFUNCTION("""COMPUTED_VALUE"""),"")</f>
        <v/>
      </c>
      <c r="G184" s="134" t="str">
        <f ca="1">IFERROR(__xludf.DUMMYFUNCTION("""COMPUTED_VALUE"""),"")</f>
        <v/>
      </c>
      <c r="H184" s="134" t="str">
        <f ca="1">IFERROR(__xludf.DUMMYFUNCTION("""COMPUTED_VALUE"""),"")</f>
        <v/>
      </c>
      <c r="I184" s="134" t="str">
        <f ca="1">IFERROR(__xludf.DUMMYFUNCTION("""COMPUTED_VALUE"""),"")</f>
        <v/>
      </c>
      <c r="J184" s="134" t="str">
        <f ca="1">IFERROR(__xludf.DUMMYFUNCTION("""COMPUTED_VALUE"""),"")</f>
        <v/>
      </c>
      <c r="N184" s="31"/>
    </row>
    <row r="185" spans="1:14" customFormat="1">
      <c r="A185" s="134" t="str">
        <f ca="1">IFERROR(__xludf.DUMMYFUNCTION("""COMPUTED_VALUE"""),"")</f>
        <v/>
      </c>
      <c r="B185" s="134" t="str">
        <f ca="1">IFERROR(__xludf.DUMMYFUNCTION("""COMPUTED_VALUE"""),"")</f>
        <v/>
      </c>
      <c r="C185" s="134" t="str">
        <f ca="1">IFERROR(__xludf.DUMMYFUNCTION("""COMPUTED_VALUE"""),"")</f>
        <v/>
      </c>
      <c r="D185" s="134" t="str">
        <f ca="1">IFERROR(__xludf.DUMMYFUNCTION("""COMPUTED_VALUE"""),"")</f>
        <v/>
      </c>
      <c r="E185" s="134" t="str">
        <f ca="1">IFERROR(__xludf.DUMMYFUNCTION("""COMPUTED_VALUE"""),"")</f>
        <v/>
      </c>
      <c r="F185" s="134" t="str">
        <f ca="1">IFERROR(__xludf.DUMMYFUNCTION("""COMPUTED_VALUE"""),"")</f>
        <v/>
      </c>
      <c r="G185" s="134" t="str">
        <f ca="1">IFERROR(__xludf.DUMMYFUNCTION("""COMPUTED_VALUE"""),"")</f>
        <v/>
      </c>
      <c r="H185" s="134" t="str">
        <f ca="1">IFERROR(__xludf.DUMMYFUNCTION("""COMPUTED_VALUE"""),"")</f>
        <v/>
      </c>
      <c r="I185" s="134" t="str">
        <f ca="1">IFERROR(__xludf.DUMMYFUNCTION("""COMPUTED_VALUE"""),"")</f>
        <v/>
      </c>
      <c r="J185" s="134" t="str">
        <f ca="1">IFERROR(__xludf.DUMMYFUNCTION("""COMPUTED_VALUE"""),"")</f>
        <v/>
      </c>
      <c r="N185" s="31"/>
    </row>
    <row r="186" spans="1:14" customFormat="1">
      <c r="A186" s="134" t="str">
        <f ca="1">IFERROR(__xludf.DUMMYFUNCTION("""COMPUTED_VALUE"""),"")</f>
        <v/>
      </c>
      <c r="B186" s="134" t="str">
        <f ca="1">IFERROR(__xludf.DUMMYFUNCTION("""COMPUTED_VALUE"""),"")</f>
        <v/>
      </c>
      <c r="C186" s="134" t="str">
        <f ca="1">IFERROR(__xludf.DUMMYFUNCTION("""COMPUTED_VALUE"""),"")</f>
        <v/>
      </c>
      <c r="D186" s="134" t="str">
        <f ca="1">IFERROR(__xludf.DUMMYFUNCTION("""COMPUTED_VALUE"""),"")</f>
        <v/>
      </c>
      <c r="E186" s="134" t="str">
        <f ca="1">IFERROR(__xludf.DUMMYFUNCTION("""COMPUTED_VALUE"""),"")</f>
        <v/>
      </c>
      <c r="F186" s="134" t="str">
        <f ca="1">IFERROR(__xludf.DUMMYFUNCTION("""COMPUTED_VALUE"""),"")</f>
        <v/>
      </c>
      <c r="G186" s="134" t="str">
        <f ca="1">IFERROR(__xludf.DUMMYFUNCTION("""COMPUTED_VALUE"""),"")</f>
        <v/>
      </c>
      <c r="H186" s="134" t="str">
        <f ca="1">IFERROR(__xludf.DUMMYFUNCTION("""COMPUTED_VALUE"""),"")</f>
        <v/>
      </c>
      <c r="I186" s="134" t="str">
        <f ca="1">IFERROR(__xludf.DUMMYFUNCTION("""COMPUTED_VALUE"""),"")</f>
        <v/>
      </c>
      <c r="J186" s="134" t="str">
        <f ca="1">IFERROR(__xludf.DUMMYFUNCTION("""COMPUTED_VALUE"""),"")</f>
        <v/>
      </c>
      <c r="N186" s="31"/>
    </row>
    <row r="187" spans="1:14" customFormat="1">
      <c r="A187" s="134" t="str">
        <f ca="1">IFERROR(__xludf.DUMMYFUNCTION("""COMPUTED_VALUE"""),"")</f>
        <v/>
      </c>
      <c r="B187" s="134" t="str">
        <f ca="1">IFERROR(__xludf.DUMMYFUNCTION("""COMPUTED_VALUE"""),"")</f>
        <v/>
      </c>
      <c r="C187" s="134" t="str">
        <f ca="1">IFERROR(__xludf.DUMMYFUNCTION("""COMPUTED_VALUE"""),"")</f>
        <v/>
      </c>
      <c r="D187" s="134" t="str">
        <f ca="1">IFERROR(__xludf.DUMMYFUNCTION("""COMPUTED_VALUE"""),"")</f>
        <v/>
      </c>
      <c r="E187" s="134" t="str">
        <f ca="1">IFERROR(__xludf.DUMMYFUNCTION("""COMPUTED_VALUE"""),"")</f>
        <v/>
      </c>
      <c r="F187" s="134" t="str">
        <f ca="1">IFERROR(__xludf.DUMMYFUNCTION("""COMPUTED_VALUE"""),"")</f>
        <v/>
      </c>
      <c r="G187" s="134" t="str">
        <f ca="1">IFERROR(__xludf.DUMMYFUNCTION("""COMPUTED_VALUE"""),"")</f>
        <v/>
      </c>
      <c r="H187" s="134" t="str">
        <f ca="1">IFERROR(__xludf.DUMMYFUNCTION("""COMPUTED_VALUE"""),"")</f>
        <v/>
      </c>
      <c r="I187" s="134" t="str">
        <f ca="1">IFERROR(__xludf.DUMMYFUNCTION("""COMPUTED_VALUE"""),"")</f>
        <v/>
      </c>
      <c r="J187" s="134" t="str">
        <f ca="1">IFERROR(__xludf.DUMMYFUNCTION("""COMPUTED_VALUE"""),"")</f>
        <v/>
      </c>
      <c r="N187" s="31"/>
    </row>
    <row r="188" spans="1:14" customFormat="1">
      <c r="A188" s="134" t="str">
        <f ca="1">IFERROR(__xludf.DUMMYFUNCTION("""COMPUTED_VALUE"""),"")</f>
        <v/>
      </c>
      <c r="B188" s="134" t="str">
        <f ca="1">IFERROR(__xludf.DUMMYFUNCTION("""COMPUTED_VALUE"""),"")</f>
        <v/>
      </c>
      <c r="C188" s="134" t="str">
        <f ca="1">IFERROR(__xludf.DUMMYFUNCTION("""COMPUTED_VALUE"""),"")</f>
        <v/>
      </c>
      <c r="D188" s="134" t="str">
        <f ca="1">IFERROR(__xludf.DUMMYFUNCTION("""COMPUTED_VALUE"""),"")</f>
        <v/>
      </c>
      <c r="E188" s="134" t="str">
        <f ca="1">IFERROR(__xludf.DUMMYFUNCTION("""COMPUTED_VALUE"""),"")</f>
        <v/>
      </c>
      <c r="F188" s="134" t="str">
        <f ca="1">IFERROR(__xludf.DUMMYFUNCTION("""COMPUTED_VALUE"""),"")</f>
        <v/>
      </c>
      <c r="G188" s="134" t="str">
        <f ca="1">IFERROR(__xludf.DUMMYFUNCTION("""COMPUTED_VALUE"""),"")</f>
        <v/>
      </c>
      <c r="H188" s="134" t="str">
        <f ca="1">IFERROR(__xludf.DUMMYFUNCTION("""COMPUTED_VALUE"""),"")</f>
        <v/>
      </c>
      <c r="I188" s="134" t="str">
        <f ca="1">IFERROR(__xludf.DUMMYFUNCTION("""COMPUTED_VALUE"""),"")</f>
        <v/>
      </c>
      <c r="J188" s="134" t="str">
        <f ca="1">IFERROR(__xludf.DUMMYFUNCTION("""COMPUTED_VALUE"""),"")</f>
        <v/>
      </c>
      <c r="N188" s="31"/>
    </row>
    <row r="189" spans="1:14" customFormat="1">
      <c r="A189" s="134" t="str">
        <f ca="1">IFERROR(__xludf.DUMMYFUNCTION("""COMPUTED_VALUE"""),"")</f>
        <v/>
      </c>
      <c r="B189" s="134" t="str">
        <f ca="1">IFERROR(__xludf.DUMMYFUNCTION("""COMPUTED_VALUE"""),"")</f>
        <v/>
      </c>
      <c r="C189" s="134" t="str">
        <f ca="1">IFERROR(__xludf.DUMMYFUNCTION("""COMPUTED_VALUE"""),"")</f>
        <v/>
      </c>
      <c r="D189" s="134" t="str">
        <f ca="1">IFERROR(__xludf.DUMMYFUNCTION("""COMPUTED_VALUE"""),"")</f>
        <v/>
      </c>
      <c r="E189" s="134" t="str">
        <f ca="1">IFERROR(__xludf.DUMMYFUNCTION("""COMPUTED_VALUE"""),"")</f>
        <v/>
      </c>
      <c r="F189" s="134" t="str">
        <f ca="1">IFERROR(__xludf.DUMMYFUNCTION("""COMPUTED_VALUE"""),"")</f>
        <v/>
      </c>
      <c r="G189" s="134" t="str">
        <f ca="1">IFERROR(__xludf.DUMMYFUNCTION("""COMPUTED_VALUE"""),"")</f>
        <v/>
      </c>
      <c r="H189" s="134" t="str">
        <f ca="1">IFERROR(__xludf.DUMMYFUNCTION("""COMPUTED_VALUE"""),"")</f>
        <v/>
      </c>
      <c r="I189" s="134" t="str">
        <f ca="1">IFERROR(__xludf.DUMMYFUNCTION("""COMPUTED_VALUE"""),"")</f>
        <v/>
      </c>
      <c r="J189" s="134" t="str">
        <f ca="1">IFERROR(__xludf.DUMMYFUNCTION("""COMPUTED_VALUE"""),"")</f>
        <v/>
      </c>
      <c r="N189" s="31"/>
    </row>
    <row r="190" spans="1:14" customFormat="1">
      <c r="A190" s="134" t="str">
        <f ca="1">IFERROR(__xludf.DUMMYFUNCTION("""COMPUTED_VALUE"""),"")</f>
        <v/>
      </c>
      <c r="B190" s="134" t="str">
        <f ca="1">IFERROR(__xludf.DUMMYFUNCTION("""COMPUTED_VALUE"""),"")</f>
        <v/>
      </c>
      <c r="C190" s="134" t="str">
        <f ca="1">IFERROR(__xludf.DUMMYFUNCTION("""COMPUTED_VALUE"""),"")</f>
        <v/>
      </c>
      <c r="D190" s="134" t="str">
        <f ca="1">IFERROR(__xludf.DUMMYFUNCTION("""COMPUTED_VALUE"""),"")</f>
        <v/>
      </c>
      <c r="E190" s="134" t="str">
        <f ca="1">IFERROR(__xludf.DUMMYFUNCTION("""COMPUTED_VALUE"""),"")</f>
        <v/>
      </c>
      <c r="F190" s="134" t="str">
        <f ca="1">IFERROR(__xludf.DUMMYFUNCTION("""COMPUTED_VALUE"""),"")</f>
        <v/>
      </c>
      <c r="G190" s="134" t="str">
        <f ca="1">IFERROR(__xludf.DUMMYFUNCTION("""COMPUTED_VALUE"""),"")</f>
        <v/>
      </c>
      <c r="H190" s="134" t="str">
        <f ca="1">IFERROR(__xludf.DUMMYFUNCTION("""COMPUTED_VALUE"""),"")</f>
        <v/>
      </c>
      <c r="I190" s="134" t="str">
        <f ca="1">IFERROR(__xludf.DUMMYFUNCTION("""COMPUTED_VALUE"""),"")</f>
        <v/>
      </c>
      <c r="J190" s="134" t="str">
        <f ca="1">IFERROR(__xludf.DUMMYFUNCTION("""COMPUTED_VALUE"""),"")</f>
        <v/>
      </c>
      <c r="N190" s="31"/>
    </row>
    <row r="191" spans="1:14" customFormat="1">
      <c r="A191" s="134" t="str">
        <f ca="1">IFERROR(__xludf.DUMMYFUNCTION("""COMPUTED_VALUE"""),"")</f>
        <v/>
      </c>
      <c r="B191" s="134" t="str">
        <f ca="1">IFERROR(__xludf.DUMMYFUNCTION("""COMPUTED_VALUE"""),"")</f>
        <v/>
      </c>
      <c r="C191" s="134" t="str">
        <f ca="1">IFERROR(__xludf.DUMMYFUNCTION("""COMPUTED_VALUE"""),"")</f>
        <v/>
      </c>
      <c r="D191" s="134" t="str">
        <f ca="1">IFERROR(__xludf.DUMMYFUNCTION("""COMPUTED_VALUE"""),"")</f>
        <v/>
      </c>
      <c r="E191" s="134" t="str">
        <f ca="1">IFERROR(__xludf.DUMMYFUNCTION("""COMPUTED_VALUE"""),"")</f>
        <v/>
      </c>
      <c r="F191" s="134" t="str">
        <f ca="1">IFERROR(__xludf.DUMMYFUNCTION("""COMPUTED_VALUE"""),"")</f>
        <v/>
      </c>
      <c r="G191" s="134" t="str">
        <f ca="1">IFERROR(__xludf.DUMMYFUNCTION("""COMPUTED_VALUE"""),"")</f>
        <v/>
      </c>
      <c r="H191" s="134" t="str">
        <f ca="1">IFERROR(__xludf.DUMMYFUNCTION("""COMPUTED_VALUE"""),"")</f>
        <v/>
      </c>
      <c r="I191" s="134" t="str">
        <f ca="1">IFERROR(__xludf.DUMMYFUNCTION("""COMPUTED_VALUE"""),"")</f>
        <v/>
      </c>
      <c r="J191" s="134" t="str">
        <f ca="1">IFERROR(__xludf.DUMMYFUNCTION("""COMPUTED_VALUE"""),"")</f>
        <v/>
      </c>
      <c r="N191" s="31"/>
    </row>
    <row r="192" spans="1:14" customFormat="1">
      <c r="A192" s="134" t="str">
        <f ca="1">IFERROR(__xludf.DUMMYFUNCTION("""COMPUTED_VALUE"""),"")</f>
        <v/>
      </c>
      <c r="B192" s="134" t="str">
        <f ca="1">IFERROR(__xludf.DUMMYFUNCTION("""COMPUTED_VALUE"""),"")</f>
        <v/>
      </c>
      <c r="C192" s="134" t="str">
        <f ca="1">IFERROR(__xludf.DUMMYFUNCTION("""COMPUTED_VALUE"""),"")</f>
        <v/>
      </c>
      <c r="D192" s="134" t="str">
        <f ca="1">IFERROR(__xludf.DUMMYFUNCTION("""COMPUTED_VALUE"""),"")</f>
        <v/>
      </c>
      <c r="E192" s="134" t="str">
        <f ca="1">IFERROR(__xludf.DUMMYFUNCTION("""COMPUTED_VALUE"""),"")</f>
        <v/>
      </c>
      <c r="F192" s="134" t="str">
        <f ca="1">IFERROR(__xludf.DUMMYFUNCTION("""COMPUTED_VALUE"""),"")</f>
        <v/>
      </c>
      <c r="G192" s="134" t="str">
        <f ca="1">IFERROR(__xludf.DUMMYFUNCTION("""COMPUTED_VALUE"""),"")</f>
        <v/>
      </c>
      <c r="H192" s="134" t="str">
        <f ca="1">IFERROR(__xludf.DUMMYFUNCTION("""COMPUTED_VALUE"""),"")</f>
        <v/>
      </c>
      <c r="I192" s="134" t="str">
        <f ca="1">IFERROR(__xludf.DUMMYFUNCTION("""COMPUTED_VALUE"""),"")</f>
        <v/>
      </c>
      <c r="J192" s="134" t="str">
        <f ca="1">IFERROR(__xludf.DUMMYFUNCTION("""COMPUTED_VALUE"""),"")</f>
        <v/>
      </c>
      <c r="N192" s="31"/>
    </row>
    <row r="193" spans="1:14" customFormat="1">
      <c r="A193" s="134" t="str">
        <f ca="1">IFERROR(__xludf.DUMMYFUNCTION("""COMPUTED_VALUE"""),"")</f>
        <v/>
      </c>
      <c r="B193" s="134" t="str">
        <f ca="1">IFERROR(__xludf.DUMMYFUNCTION("""COMPUTED_VALUE"""),"")</f>
        <v/>
      </c>
      <c r="C193" s="134" t="str">
        <f ca="1">IFERROR(__xludf.DUMMYFUNCTION("""COMPUTED_VALUE"""),"")</f>
        <v/>
      </c>
      <c r="D193" s="134" t="str">
        <f ca="1">IFERROR(__xludf.DUMMYFUNCTION("""COMPUTED_VALUE"""),"")</f>
        <v/>
      </c>
      <c r="E193" s="134" t="str">
        <f ca="1">IFERROR(__xludf.DUMMYFUNCTION("""COMPUTED_VALUE"""),"")</f>
        <v/>
      </c>
      <c r="F193" s="134" t="str">
        <f ca="1">IFERROR(__xludf.DUMMYFUNCTION("""COMPUTED_VALUE"""),"")</f>
        <v/>
      </c>
      <c r="G193" s="134" t="str">
        <f ca="1">IFERROR(__xludf.DUMMYFUNCTION("""COMPUTED_VALUE"""),"")</f>
        <v/>
      </c>
      <c r="H193" s="134" t="str">
        <f ca="1">IFERROR(__xludf.DUMMYFUNCTION("""COMPUTED_VALUE"""),"")</f>
        <v/>
      </c>
      <c r="I193" s="134" t="str">
        <f ca="1">IFERROR(__xludf.DUMMYFUNCTION("""COMPUTED_VALUE"""),"")</f>
        <v/>
      </c>
      <c r="J193" s="134" t="str">
        <f ca="1">IFERROR(__xludf.DUMMYFUNCTION("""COMPUTED_VALUE"""),"")</f>
        <v/>
      </c>
      <c r="N193" s="31"/>
    </row>
    <row r="194" spans="1:14" customFormat="1">
      <c r="A194" s="134" t="str">
        <f ca="1">IFERROR(__xludf.DUMMYFUNCTION("""COMPUTED_VALUE"""),"")</f>
        <v/>
      </c>
      <c r="B194" s="134" t="str">
        <f ca="1">IFERROR(__xludf.DUMMYFUNCTION("""COMPUTED_VALUE"""),"")</f>
        <v/>
      </c>
      <c r="C194" s="134" t="str">
        <f ca="1">IFERROR(__xludf.DUMMYFUNCTION("""COMPUTED_VALUE"""),"")</f>
        <v/>
      </c>
      <c r="D194" s="134" t="str">
        <f ca="1">IFERROR(__xludf.DUMMYFUNCTION("""COMPUTED_VALUE"""),"")</f>
        <v/>
      </c>
      <c r="E194" s="134" t="str">
        <f ca="1">IFERROR(__xludf.DUMMYFUNCTION("""COMPUTED_VALUE"""),"")</f>
        <v/>
      </c>
      <c r="F194" s="134" t="str">
        <f ca="1">IFERROR(__xludf.DUMMYFUNCTION("""COMPUTED_VALUE"""),"")</f>
        <v/>
      </c>
      <c r="G194" s="134" t="str">
        <f ca="1">IFERROR(__xludf.DUMMYFUNCTION("""COMPUTED_VALUE"""),"")</f>
        <v/>
      </c>
      <c r="H194" s="134" t="str">
        <f ca="1">IFERROR(__xludf.DUMMYFUNCTION("""COMPUTED_VALUE"""),"")</f>
        <v/>
      </c>
      <c r="I194" s="134" t="str">
        <f ca="1">IFERROR(__xludf.DUMMYFUNCTION("""COMPUTED_VALUE"""),"")</f>
        <v/>
      </c>
      <c r="J194" s="134" t="str">
        <f ca="1">IFERROR(__xludf.DUMMYFUNCTION("""COMPUTED_VALUE"""),"")</f>
        <v/>
      </c>
      <c r="N194" s="31"/>
    </row>
    <row r="195" spans="1:14" customFormat="1">
      <c r="A195" s="134" t="str">
        <f ca="1">IFERROR(__xludf.DUMMYFUNCTION("""COMPUTED_VALUE"""),"")</f>
        <v/>
      </c>
      <c r="B195" s="134" t="str">
        <f ca="1">IFERROR(__xludf.DUMMYFUNCTION("""COMPUTED_VALUE"""),"")</f>
        <v/>
      </c>
      <c r="C195" s="134" t="str">
        <f ca="1">IFERROR(__xludf.DUMMYFUNCTION("""COMPUTED_VALUE"""),"")</f>
        <v/>
      </c>
      <c r="D195" s="134" t="str">
        <f ca="1">IFERROR(__xludf.DUMMYFUNCTION("""COMPUTED_VALUE"""),"")</f>
        <v/>
      </c>
      <c r="E195" s="134" t="str">
        <f ca="1">IFERROR(__xludf.DUMMYFUNCTION("""COMPUTED_VALUE"""),"")</f>
        <v/>
      </c>
      <c r="F195" s="134" t="str">
        <f ca="1">IFERROR(__xludf.DUMMYFUNCTION("""COMPUTED_VALUE"""),"")</f>
        <v/>
      </c>
      <c r="G195" s="134" t="str">
        <f ca="1">IFERROR(__xludf.DUMMYFUNCTION("""COMPUTED_VALUE"""),"")</f>
        <v/>
      </c>
      <c r="H195" s="134" t="str">
        <f ca="1">IFERROR(__xludf.DUMMYFUNCTION("""COMPUTED_VALUE"""),"")</f>
        <v/>
      </c>
      <c r="I195" s="134" t="str">
        <f ca="1">IFERROR(__xludf.DUMMYFUNCTION("""COMPUTED_VALUE"""),"")</f>
        <v/>
      </c>
      <c r="J195" s="134" t="str">
        <f ca="1">IFERROR(__xludf.DUMMYFUNCTION("""COMPUTED_VALUE"""),"")</f>
        <v/>
      </c>
      <c r="N195" s="31"/>
    </row>
    <row r="196" spans="1:14" customFormat="1">
      <c r="A196" s="134" t="str">
        <f ca="1">IFERROR(__xludf.DUMMYFUNCTION("""COMPUTED_VALUE"""),"")</f>
        <v/>
      </c>
      <c r="B196" s="134" t="str">
        <f ca="1">IFERROR(__xludf.DUMMYFUNCTION("""COMPUTED_VALUE"""),"")</f>
        <v/>
      </c>
      <c r="C196" s="134" t="str">
        <f ca="1">IFERROR(__xludf.DUMMYFUNCTION("""COMPUTED_VALUE"""),"")</f>
        <v/>
      </c>
      <c r="D196" s="134" t="str">
        <f ca="1">IFERROR(__xludf.DUMMYFUNCTION("""COMPUTED_VALUE"""),"")</f>
        <v/>
      </c>
      <c r="E196" s="134" t="str">
        <f ca="1">IFERROR(__xludf.DUMMYFUNCTION("""COMPUTED_VALUE"""),"")</f>
        <v/>
      </c>
      <c r="F196" s="134" t="str">
        <f ca="1">IFERROR(__xludf.DUMMYFUNCTION("""COMPUTED_VALUE"""),"")</f>
        <v/>
      </c>
      <c r="G196" s="134" t="str">
        <f ca="1">IFERROR(__xludf.DUMMYFUNCTION("""COMPUTED_VALUE"""),"")</f>
        <v/>
      </c>
      <c r="H196" s="134" t="str">
        <f ca="1">IFERROR(__xludf.DUMMYFUNCTION("""COMPUTED_VALUE"""),"")</f>
        <v/>
      </c>
      <c r="I196" s="134" t="str">
        <f ca="1">IFERROR(__xludf.DUMMYFUNCTION("""COMPUTED_VALUE"""),"")</f>
        <v/>
      </c>
      <c r="J196" s="134" t="str">
        <f ca="1">IFERROR(__xludf.DUMMYFUNCTION("""COMPUTED_VALUE"""),"")</f>
        <v/>
      </c>
      <c r="N196" s="31"/>
    </row>
    <row r="197" spans="1:14" customFormat="1">
      <c r="A197" s="134" t="str">
        <f ca="1">IFERROR(__xludf.DUMMYFUNCTION("""COMPUTED_VALUE"""),"")</f>
        <v/>
      </c>
      <c r="B197" s="134" t="str">
        <f ca="1">IFERROR(__xludf.DUMMYFUNCTION("""COMPUTED_VALUE"""),"")</f>
        <v/>
      </c>
      <c r="C197" s="134" t="str">
        <f ca="1">IFERROR(__xludf.DUMMYFUNCTION("""COMPUTED_VALUE"""),"")</f>
        <v/>
      </c>
      <c r="D197" s="134" t="str">
        <f ca="1">IFERROR(__xludf.DUMMYFUNCTION("""COMPUTED_VALUE"""),"")</f>
        <v/>
      </c>
      <c r="E197" s="134" t="str">
        <f ca="1">IFERROR(__xludf.DUMMYFUNCTION("""COMPUTED_VALUE"""),"")</f>
        <v/>
      </c>
      <c r="F197" s="134" t="str">
        <f ca="1">IFERROR(__xludf.DUMMYFUNCTION("""COMPUTED_VALUE"""),"")</f>
        <v/>
      </c>
      <c r="G197" s="134" t="str">
        <f ca="1">IFERROR(__xludf.DUMMYFUNCTION("""COMPUTED_VALUE"""),"")</f>
        <v/>
      </c>
      <c r="H197" s="134" t="str">
        <f ca="1">IFERROR(__xludf.DUMMYFUNCTION("""COMPUTED_VALUE"""),"")</f>
        <v/>
      </c>
      <c r="I197" s="134" t="str">
        <f ca="1">IFERROR(__xludf.DUMMYFUNCTION("""COMPUTED_VALUE"""),"")</f>
        <v/>
      </c>
      <c r="J197" s="134" t="str">
        <f ca="1">IFERROR(__xludf.DUMMYFUNCTION("""COMPUTED_VALUE"""),"")</f>
        <v/>
      </c>
      <c r="N197" s="31"/>
    </row>
    <row r="198" spans="1:14" customFormat="1">
      <c r="A198" s="134" t="str">
        <f ca="1">IFERROR(__xludf.DUMMYFUNCTION("""COMPUTED_VALUE"""),"")</f>
        <v/>
      </c>
      <c r="B198" s="134" t="str">
        <f ca="1">IFERROR(__xludf.DUMMYFUNCTION("""COMPUTED_VALUE"""),"")</f>
        <v/>
      </c>
      <c r="C198" s="134" t="str">
        <f ca="1">IFERROR(__xludf.DUMMYFUNCTION("""COMPUTED_VALUE"""),"")</f>
        <v/>
      </c>
      <c r="D198" s="134" t="str">
        <f ca="1">IFERROR(__xludf.DUMMYFUNCTION("""COMPUTED_VALUE"""),"")</f>
        <v/>
      </c>
      <c r="E198" s="134" t="str">
        <f ca="1">IFERROR(__xludf.DUMMYFUNCTION("""COMPUTED_VALUE"""),"")</f>
        <v/>
      </c>
      <c r="F198" s="134" t="str">
        <f ca="1">IFERROR(__xludf.DUMMYFUNCTION("""COMPUTED_VALUE"""),"")</f>
        <v/>
      </c>
      <c r="G198" s="134" t="str">
        <f ca="1">IFERROR(__xludf.DUMMYFUNCTION("""COMPUTED_VALUE"""),"")</f>
        <v/>
      </c>
      <c r="H198" s="134" t="str">
        <f ca="1">IFERROR(__xludf.DUMMYFUNCTION("""COMPUTED_VALUE"""),"")</f>
        <v/>
      </c>
      <c r="I198" s="134" t="str">
        <f ca="1">IFERROR(__xludf.DUMMYFUNCTION("""COMPUTED_VALUE"""),"")</f>
        <v/>
      </c>
      <c r="J198" s="134" t="str">
        <f ca="1">IFERROR(__xludf.DUMMYFUNCTION("""COMPUTED_VALUE"""),"")</f>
        <v/>
      </c>
      <c r="N198" s="31"/>
    </row>
    <row r="199" spans="1:14" customFormat="1">
      <c r="A199" s="134" t="str">
        <f ca="1">IFERROR(__xludf.DUMMYFUNCTION("""COMPUTED_VALUE"""),"")</f>
        <v/>
      </c>
      <c r="B199" s="134" t="str">
        <f ca="1">IFERROR(__xludf.DUMMYFUNCTION("""COMPUTED_VALUE"""),"")</f>
        <v/>
      </c>
      <c r="C199" s="134" t="str">
        <f ca="1">IFERROR(__xludf.DUMMYFUNCTION("""COMPUTED_VALUE"""),"")</f>
        <v/>
      </c>
      <c r="D199" s="134" t="str">
        <f ca="1">IFERROR(__xludf.DUMMYFUNCTION("""COMPUTED_VALUE"""),"")</f>
        <v/>
      </c>
      <c r="E199" s="134" t="str">
        <f ca="1">IFERROR(__xludf.DUMMYFUNCTION("""COMPUTED_VALUE"""),"")</f>
        <v/>
      </c>
      <c r="F199" s="134" t="str">
        <f ca="1">IFERROR(__xludf.DUMMYFUNCTION("""COMPUTED_VALUE"""),"")</f>
        <v/>
      </c>
      <c r="G199" s="134" t="str">
        <f ca="1">IFERROR(__xludf.DUMMYFUNCTION("""COMPUTED_VALUE"""),"")</f>
        <v/>
      </c>
      <c r="H199" s="134" t="str">
        <f ca="1">IFERROR(__xludf.DUMMYFUNCTION("""COMPUTED_VALUE"""),"")</f>
        <v/>
      </c>
      <c r="I199" s="134" t="str">
        <f ca="1">IFERROR(__xludf.DUMMYFUNCTION("""COMPUTED_VALUE"""),"")</f>
        <v/>
      </c>
      <c r="J199" s="134" t="str">
        <f ca="1">IFERROR(__xludf.DUMMYFUNCTION("""COMPUTED_VALUE"""),"")</f>
        <v/>
      </c>
      <c r="N199" s="31"/>
    </row>
    <row r="200" spans="1:14" customFormat="1">
      <c r="A200" s="134" t="str">
        <f ca="1">IFERROR(__xludf.DUMMYFUNCTION("""COMPUTED_VALUE"""),"")</f>
        <v/>
      </c>
      <c r="B200" s="134" t="str">
        <f ca="1">IFERROR(__xludf.DUMMYFUNCTION("""COMPUTED_VALUE"""),"")</f>
        <v/>
      </c>
      <c r="C200" s="134" t="str">
        <f ca="1">IFERROR(__xludf.DUMMYFUNCTION("""COMPUTED_VALUE"""),"")</f>
        <v/>
      </c>
      <c r="D200" s="134" t="str">
        <f ca="1">IFERROR(__xludf.DUMMYFUNCTION("""COMPUTED_VALUE"""),"")</f>
        <v/>
      </c>
      <c r="E200" s="134" t="str">
        <f ca="1">IFERROR(__xludf.DUMMYFUNCTION("""COMPUTED_VALUE"""),"")</f>
        <v/>
      </c>
      <c r="F200" s="134" t="str">
        <f ca="1">IFERROR(__xludf.DUMMYFUNCTION("""COMPUTED_VALUE"""),"")</f>
        <v/>
      </c>
      <c r="G200" s="134" t="str">
        <f ca="1">IFERROR(__xludf.DUMMYFUNCTION("""COMPUTED_VALUE"""),"")</f>
        <v/>
      </c>
      <c r="H200" s="134" t="str">
        <f ca="1">IFERROR(__xludf.DUMMYFUNCTION("""COMPUTED_VALUE"""),"")</f>
        <v/>
      </c>
      <c r="I200" s="134" t="str">
        <f ca="1">IFERROR(__xludf.DUMMYFUNCTION("""COMPUTED_VALUE"""),"")</f>
        <v/>
      </c>
      <c r="J200" s="134" t="str">
        <f ca="1">IFERROR(__xludf.DUMMYFUNCTION("""COMPUTED_VALUE"""),"")</f>
        <v/>
      </c>
      <c r="N200" s="31"/>
    </row>
    <row r="201" spans="1:14" customFormat="1">
      <c r="A201" s="134" t="str">
        <f ca="1">IFERROR(__xludf.DUMMYFUNCTION("""COMPUTED_VALUE"""),"")</f>
        <v/>
      </c>
      <c r="B201" s="134" t="str">
        <f ca="1">IFERROR(__xludf.DUMMYFUNCTION("""COMPUTED_VALUE"""),"")</f>
        <v/>
      </c>
      <c r="C201" s="134" t="str">
        <f ca="1">IFERROR(__xludf.DUMMYFUNCTION("""COMPUTED_VALUE"""),"")</f>
        <v/>
      </c>
      <c r="D201" s="134" t="str">
        <f ca="1">IFERROR(__xludf.DUMMYFUNCTION("""COMPUTED_VALUE"""),"")</f>
        <v/>
      </c>
      <c r="E201" s="134" t="str">
        <f ca="1">IFERROR(__xludf.DUMMYFUNCTION("""COMPUTED_VALUE"""),"")</f>
        <v/>
      </c>
      <c r="F201" s="134" t="str">
        <f ca="1">IFERROR(__xludf.DUMMYFUNCTION("""COMPUTED_VALUE"""),"")</f>
        <v/>
      </c>
      <c r="G201" s="134" t="str">
        <f ca="1">IFERROR(__xludf.DUMMYFUNCTION("""COMPUTED_VALUE"""),"")</f>
        <v/>
      </c>
      <c r="H201" s="134" t="str">
        <f ca="1">IFERROR(__xludf.DUMMYFUNCTION("""COMPUTED_VALUE"""),"")</f>
        <v/>
      </c>
      <c r="I201" s="134" t="str">
        <f ca="1">IFERROR(__xludf.DUMMYFUNCTION("""COMPUTED_VALUE"""),"")</f>
        <v/>
      </c>
      <c r="J201" s="134" t="str">
        <f ca="1">IFERROR(__xludf.DUMMYFUNCTION("""COMPUTED_VALUE"""),"")</f>
        <v/>
      </c>
      <c r="N201" s="31"/>
    </row>
    <row r="202" spans="1:14" customFormat="1">
      <c r="A202" s="134" t="str">
        <f ca="1">IFERROR(__xludf.DUMMYFUNCTION("""COMPUTED_VALUE"""),"")</f>
        <v/>
      </c>
      <c r="B202" s="134" t="str">
        <f ca="1">IFERROR(__xludf.DUMMYFUNCTION("""COMPUTED_VALUE"""),"")</f>
        <v/>
      </c>
      <c r="C202" s="134" t="str">
        <f ca="1">IFERROR(__xludf.DUMMYFUNCTION("""COMPUTED_VALUE"""),"")</f>
        <v/>
      </c>
      <c r="D202" s="134" t="str">
        <f ca="1">IFERROR(__xludf.DUMMYFUNCTION("""COMPUTED_VALUE"""),"")</f>
        <v/>
      </c>
      <c r="E202" s="134" t="str">
        <f ca="1">IFERROR(__xludf.DUMMYFUNCTION("""COMPUTED_VALUE"""),"")</f>
        <v/>
      </c>
      <c r="F202" s="134" t="str">
        <f ca="1">IFERROR(__xludf.DUMMYFUNCTION("""COMPUTED_VALUE"""),"")</f>
        <v/>
      </c>
      <c r="G202" s="134" t="str">
        <f ca="1">IFERROR(__xludf.DUMMYFUNCTION("""COMPUTED_VALUE"""),"")</f>
        <v/>
      </c>
      <c r="H202" s="134" t="str">
        <f ca="1">IFERROR(__xludf.DUMMYFUNCTION("""COMPUTED_VALUE"""),"")</f>
        <v/>
      </c>
      <c r="I202" s="134" t="str">
        <f ca="1">IFERROR(__xludf.DUMMYFUNCTION("""COMPUTED_VALUE"""),"")</f>
        <v/>
      </c>
      <c r="J202" s="134" t="str">
        <f ca="1">IFERROR(__xludf.DUMMYFUNCTION("""COMPUTED_VALUE"""),"")</f>
        <v/>
      </c>
      <c r="N202" s="31"/>
    </row>
    <row r="203" spans="1:14" customFormat="1">
      <c r="A203" s="134" t="str">
        <f ca="1">IFERROR(__xludf.DUMMYFUNCTION("""COMPUTED_VALUE"""),"")</f>
        <v/>
      </c>
      <c r="B203" s="134" t="str">
        <f ca="1">IFERROR(__xludf.DUMMYFUNCTION("""COMPUTED_VALUE"""),"")</f>
        <v/>
      </c>
      <c r="C203" s="134" t="str">
        <f ca="1">IFERROR(__xludf.DUMMYFUNCTION("""COMPUTED_VALUE"""),"")</f>
        <v/>
      </c>
      <c r="D203" s="134" t="str">
        <f ca="1">IFERROR(__xludf.DUMMYFUNCTION("""COMPUTED_VALUE"""),"")</f>
        <v/>
      </c>
      <c r="E203" s="134" t="str">
        <f ca="1">IFERROR(__xludf.DUMMYFUNCTION("""COMPUTED_VALUE"""),"")</f>
        <v/>
      </c>
      <c r="F203" s="134" t="str">
        <f ca="1">IFERROR(__xludf.DUMMYFUNCTION("""COMPUTED_VALUE"""),"")</f>
        <v/>
      </c>
      <c r="G203" s="134" t="str">
        <f ca="1">IFERROR(__xludf.DUMMYFUNCTION("""COMPUTED_VALUE"""),"")</f>
        <v/>
      </c>
      <c r="H203" s="134" t="str">
        <f ca="1">IFERROR(__xludf.DUMMYFUNCTION("""COMPUTED_VALUE"""),"")</f>
        <v/>
      </c>
      <c r="I203" s="134" t="str">
        <f ca="1">IFERROR(__xludf.DUMMYFUNCTION("""COMPUTED_VALUE"""),"")</f>
        <v/>
      </c>
      <c r="J203" s="134" t="str">
        <f ca="1">IFERROR(__xludf.DUMMYFUNCTION("""COMPUTED_VALUE"""),"")</f>
        <v/>
      </c>
      <c r="N203" s="31"/>
    </row>
    <row r="204" spans="1:14" customFormat="1">
      <c r="A204" s="134" t="str">
        <f ca="1">IFERROR(__xludf.DUMMYFUNCTION("""COMPUTED_VALUE"""),"")</f>
        <v/>
      </c>
      <c r="B204" s="134" t="str">
        <f ca="1">IFERROR(__xludf.DUMMYFUNCTION("""COMPUTED_VALUE"""),"")</f>
        <v/>
      </c>
      <c r="C204" s="134" t="str">
        <f ca="1">IFERROR(__xludf.DUMMYFUNCTION("""COMPUTED_VALUE"""),"")</f>
        <v/>
      </c>
      <c r="D204" s="134" t="str">
        <f ca="1">IFERROR(__xludf.DUMMYFUNCTION("""COMPUTED_VALUE"""),"")</f>
        <v/>
      </c>
      <c r="E204" s="134" t="str">
        <f ca="1">IFERROR(__xludf.DUMMYFUNCTION("""COMPUTED_VALUE"""),"")</f>
        <v/>
      </c>
      <c r="F204" s="134" t="str">
        <f ca="1">IFERROR(__xludf.DUMMYFUNCTION("""COMPUTED_VALUE"""),"")</f>
        <v/>
      </c>
      <c r="G204" s="134" t="str">
        <f ca="1">IFERROR(__xludf.DUMMYFUNCTION("""COMPUTED_VALUE"""),"")</f>
        <v/>
      </c>
      <c r="H204" s="134" t="str">
        <f ca="1">IFERROR(__xludf.DUMMYFUNCTION("""COMPUTED_VALUE"""),"")</f>
        <v/>
      </c>
      <c r="I204" s="134" t="str">
        <f ca="1">IFERROR(__xludf.DUMMYFUNCTION("""COMPUTED_VALUE"""),"")</f>
        <v/>
      </c>
      <c r="J204" s="134" t="str">
        <f ca="1">IFERROR(__xludf.DUMMYFUNCTION("""COMPUTED_VALUE"""),"")</f>
        <v/>
      </c>
      <c r="N204" s="31"/>
    </row>
    <row r="205" spans="1:14" customFormat="1">
      <c r="A205" s="134" t="str">
        <f ca="1">IFERROR(__xludf.DUMMYFUNCTION("""COMPUTED_VALUE"""),"")</f>
        <v/>
      </c>
      <c r="B205" s="134" t="str">
        <f ca="1">IFERROR(__xludf.DUMMYFUNCTION("""COMPUTED_VALUE"""),"")</f>
        <v/>
      </c>
      <c r="C205" s="134" t="str">
        <f ca="1">IFERROR(__xludf.DUMMYFUNCTION("""COMPUTED_VALUE"""),"")</f>
        <v/>
      </c>
      <c r="D205" s="134" t="str">
        <f ca="1">IFERROR(__xludf.DUMMYFUNCTION("""COMPUTED_VALUE"""),"")</f>
        <v/>
      </c>
      <c r="E205" s="134" t="str">
        <f ca="1">IFERROR(__xludf.DUMMYFUNCTION("""COMPUTED_VALUE"""),"")</f>
        <v/>
      </c>
      <c r="F205" s="134" t="str">
        <f ca="1">IFERROR(__xludf.DUMMYFUNCTION("""COMPUTED_VALUE"""),"")</f>
        <v/>
      </c>
      <c r="G205" s="134" t="str">
        <f ca="1">IFERROR(__xludf.DUMMYFUNCTION("""COMPUTED_VALUE"""),"")</f>
        <v/>
      </c>
      <c r="H205" s="134" t="str">
        <f ca="1">IFERROR(__xludf.DUMMYFUNCTION("""COMPUTED_VALUE"""),"")</f>
        <v/>
      </c>
      <c r="I205" s="134" t="str">
        <f ca="1">IFERROR(__xludf.DUMMYFUNCTION("""COMPUTED_VALUE"""),"")</f>
        <v/>
      </c>
      <c r="J205" s="134" t="str">
        <f ca="1">IFERROR(__xludf.DUMMYFUNCTION("""COMPUTED_VALUE"""),"")</f>
        <v/>
      </c>
      <c r="N205" s="31"/>
    </row>
    <row r="206" spans="1:14" customFormat="1">
      <c r="A206" s="134" t="str">
        <f ca="1">IFERROR(__xludf.DUMMYFUNCTION("""COMPUTED_VALUE"""),"")</f>
        <v/>
      </c>
      <c r="B206" s="134" t="str">
        <f ca="1">IFERROR(__xludf.DUMMYFUNCTION("""COMPUTED_VALUE"""),"")</f>
        <v/>
      </c>
      <c r="C206" s="134" t="str">
        <f ca="1">IFERROR(__xludf.DUMMYFUNCTION("""COMPUTED_VALUE"""),"")</f>
        <v/>
      </c>
      <c r="D206" s="134" t="str">
        <f ca="1">IFERROR(__xludf.DUMMYFUNCTION("""COMPUTED_VALUE"""),"")</f>
        <v/>
      </c>
      <c r="E206" s="134" t="str">
        <f ca="1">IFERROR(__xludf.DUMMYFUNCTION("""COMPUTED_VALUE"""),"")</f>
        <v/>
      </c>
      <c r="F206" s="134" t="str">
        <f ca="1">IFERROR(__xludf.DUMMYFUNCTION("""COMPUTED_VALUE"""),"")</f>
        <v/>
      </c>
      <c r="G206" s="134" t="str">
        <f ca="1">IFERROR(__xludf.DUMMYFUNCTION("""COMPUTED_VALUE"""),"")</f>
        <v/>
      </c>
      <c r="H206" s="134" t="str">
        <f ca="1">IFERROR(__xludf.DUMMYFUNCTION("""COMPUTED_VALUE"""),"")</f>
        <v/>
      </c>
      <c r="I206" s="134" t="str">
        <f ca="1">IFERROR(__xludf.DUMMYFUNCTION("""COMPUTED_VALUE"""),"")</f>
        <v/>
      </c>
      <c r="J206" s="134" t="str">
        <f ca="1">IFERROR(__xludf.DUMMYFUNCTION("""COMPUTED_VALUE"""),"")</f>
        <v/>
      </c>
      <c r="N206" s="31"/>
    </row>
    <row r="207" spans="1:14" customFormat="1">
      <c r="A207" s="134" t="str">
        <f ca="1">IFERROR(__xludf.DUMMYFUNCTION("""COMPUTED_VALUE"""),"")</f>
        <v/>
      </c>
      <c r="B207" s="134" t="str">
        <f ca="1">IFERROR(__xludf.DUMMYFUNCTION("""COMPUTED_VALUE"""),"")</f>
        <v/>
      </c>
      <c r="C207" s="134" t="str">
        <f ca="1">IFERROR(__xludf.DUMMYFUNCTION("""COMPUTED_VALUE"""),"")</f>
        <v/>
      </c>
      <c r="D207" s="134" t="str">
        <f ca="1">IFERROR(__xludf.DUMMYFUNCTION("""COMPUTED_VALUE"""),"")</f>
        <v/>
      </c>
      <c r="E207" s="134" t="str">
        <f ca="1">IFERROR(__xludf.DUMMYFUNCTION("""COMPUTED_VALUE"""),"")</f>
        <v/>
      </c>
      <c r="F207" s="134" t="str">
        <f ca="1">IFERROR(__xludf.DUMMYFUNCTION("""COMPUTED_VALUE"""),"")</f>
        <v/>
      </c>
      <c r="G207" s="134" t="str">
        <f ca="1">IFERROR(__xludf.DUMMYFUNCTION("""COMPUTED_VALUE"""),"")</f>
        <v/>
      </c>
      <c r="H207" s="134" t="str">
        <f ca="1">IFERROR(__xludf.DUMMYFUNCTION("""COMPUTED_VALUE"""),"")</f>
        <v/>
      </c>
      <c r="I207" s="134" t="str">
        <f ca="1">IFERROR(__xludf.DUMMYFUNCTION("""COMPUTED_VALUE"""),"")</f>
        <v/>
      </c>
      <c r="J207" s="134" t="str">
        <f ca="1">IFERROR(__xludf.DUMMYFUNCTION("""COMPUTED_VALUE"""),"")</f>
        <v/>
      </c>
      <c r="N207" s="31"/>
    </row>
    <row r="208" spans="1:14" customFormat="1">
      <c r="A208" s="134" t="str">
        <f ca="1">IFERROR(__xludf.DUMMYFUNCTION("""COMPUTED_VALUE"""),"")</f>
        <v/>
      </c>
      <c r="B208" s="134" t="str">
        <f ca="1">IFERROR(__xludf.DUMMYFUNCTION("""COMPUTED_VALUE"""),"")</f>
        <v/>
      </c>
      <c r="C208" s="134" t="str">
        <f ca="1">IFERROR(__xludf.DUMMYFUNCTION("""COMPUTED_VALUE"""),"")</f>
        <v/>
      </c>
      <c r="D208" s="134" t="str">
        <f ca="1">IFERROR(__xludf.DUMMYFUNCTION("""COMPUTED_VALUE"""),"")</f>
        <v/>
      </c>
      <c r="E208" s="134" t="str">
        <f ca="1">IFERROR(__xludf.DUMMYFUNCTION("""COMPUTED_VALUE"""),"")</f>
        <v/>
      </c>
      <c r="F208" s="134" t="str">
        <f ca="1">IFERROR(__xludf.DUMMYFUNCTION("""COMPUTED_VALUE"""),"")</f>
        <v/>
      </c>
      <c r="G208" s="134" t="str">
        <f ca="1">IFERROR(__xludf.DUMMYFUNCTION("""COMPUTED_VALUE"""),"")</f>
        <v/>
      </c>
      <c r="H208" s="134" t="str">
        <f ca="1">IFERROR(__xludf.DUMMYFUNCTION("""COMPUTED_VALUE"""),"")</f>
        <v/>
      </c>
      <c r="I208" s="134" t="str">
        <f ca="1">IFERROR(__xludf.DUMMYFUNCTION("""COMPUTED_VALUE"""),"")</f>
        <v/>
      </c>
      <c r="J208" s="134" t="str">
        <f ca="1">IFERROR(__xludf.DUMMYFUNCTION("""COMPUTED_VALUE"""),"")</f>
        <v/>
      </c>
      <c r="N208" s="31"/>
    </row>
    <row r="209" spans="1:14" customFormat="1">
      <c r="A209" s="134" t="str">
        <f ca="1">IFERROR(__xludf.DUMMYFUNCTION("""COMPUTED_VALUE"""),"")</f>
        <v/>
      </c>
      <c r="B209" s="134" t="str">
        <f ca="1">IFERROR(__xludf.DUMMYFUNCTION("""COMPUTED_VALUE"""),"")</f>
        <v/>
      </c>
      <c r="C209" s="134" t="str">
        <f ca="1">IFERROR(__xludf.DUMMYFUNCTION("""COMPUTED_VALUE"""),"")</f>
        <v/>
      </c>
      <c r="D209" s="134" t="str">
        <f ca="1">IFERROR(__xludf.DUMMYFUNCTION("""COMPUTED_VALUE"""),"")</f>
        <v/>
      </c>
      <c r="E209" s="134" t="str">
        <f ca="1">IFERROR(__xludf.DUMMYFUNCTION("""COMPUTED_VALUE"""),"")</f>
        <v/>
      </c>
      <c r="F209" s="134" t="str">
        <f ca="1">IFERROR(__xludf.DUMMYFUNCTION("""COMPUTED_VALUE"""),"")</f>
        <v/>
      </c>
      <c r="G209" s="134" t="str">
        <f ca="1">IFERROR(__xludf.DUMMYFUNCTION("""COMPUTED_VALUE"""),"")</f>
        <v/>
      </c>
      <c r="H209" s="134" t="str">
        <f ca="1">IFERROR(__xludf.DUMMYFUNCTION("""COMPUTED_VALUE"""),"")</f>
        <v/>
      </c>
      <c r="I209" s="134" t="str">
        <f ca="1">IFERROR(__xludf.DUMMYFUNCTION("""COMPUTED_VALUE"""),"")</f>
        <v/>
      </c>
      <c r="J209" s="134" t="str">
        <f ca="1">IFERROR(__xludf.DUMMYFUNCTION("""COMPUTED_VALUE"""),"")</f>
        <v/>
      </c>
      <c r="N209" s="31"/>
    </row>
    <row r="210" spans="1:14" customFormat="1">
      <c r="A210" s="134" t="str">
        <f ca="1">IFERROR(__xludf.DUMMYFUNCTION("""COMPUTED_VALUE"""),"")</f>
        <v/>
      </c>
      <c r="B210" s="134" t="str">
        <f ca="1">IFERROR(__xludf.DUMMYFUNCTION("""COMPUTED_VALUE"""),"")</f>
        <v/>
      </c>
      <c r="C210" s="134" t="str">
        <f ca="1">IFERROR(__xludf.DUMMYFUNCTION("""COMPUTED_VALUE"""),"")</f>
        <v/>
      </c>
      <c r="D210" s="134" t="str">
        <f ca="1">IFERROR(__xludf.DUMMYFUNCTION("""COMPUTED_VALUE"""),"")</f>
        <v/>
      </c>
      <c r="E210" s="134" t="str">
        <f ca="1">IFERROR(__xludf.DUMMYFUNCTION("""COMPUTED_VALUE"""),"")</f>
        <v/>
      </c>
      <c r="F210" s="134" t="str">
        <f ca="1">IFERROR(__xludf.DUMMYFUNCTION("""COMPUTED_VALUE"""),"")</f>
        <v/>
      </c>
      <c r="G210" s="134" t="str">
        <f ca="1">IFERROR(__xludf.DUMMYFUNCTION("""COMPUTED_VALUE"""),"")</f>
        <v/>
      </c>
      <c r="H210" s="134" t="str">
        <f ca="1">IFERROR(__xludf.DUMMYFUNCTION("""COMPUTED_VALUE"""),"")</f>
        <v/>
      </c>
      <c r="I210" s="134" t="str">
        <f ca="1">IFERROR(__xludf.DUMMYFUNCTION("""COMPUTED_VALUE"""),"")</f>
        <v/>
      </c>
      <c r="J210" s="134" t="str">
        <f ca="1">IFERROR(__xludf.DUMMYFUNCTION("""COMPUTED_VALUE"""),"")</f>
        <v/>
      </c>
      <c r="N210" s="31"/>
    </row>
    <row r="211" spans="1:14" customFormat="1">
      <c r="A211" s="134" t="str">
        <f ca="1">IFERROR(__xludf.DUMMYFUNCTION("""COMPUTED_VALUE"""),"")</f>
        <v/>
      </c>
      <c r="B211" s="134" t="str">
        <f ca="1">IFERROR(__xludf.DUMMYFUNCTION("""COMPUTED_VALUE"""),"")</f>
        <v/>
      </c>
      <c r="C211" s="134" t="str">
        <f ca="1">IFERROR(__xludf.DUMMYFUNCTION("""COMPUTED_VALUE"""),"")</f>
        <v/>
      </c>
      <c r="D211" s="134" t="str">
        <f ca="1">IFERROR(__xludf.DUMMYFUNCTION("""COMPUTED_VALUE"""),"")</f>
        <v/>
      </c>
      <c r="E211" s="134" t="str">
        <f ca="1">IFERROR(__xludf.DUMMYFUNCTION("""COMPUTED_VALUE"""),"")</f>
        <v/>
      </c>
      <c r="F211" s="134" t="str">
        <f ca="1">IFERROR(__xludf.DUMMYFUNCTION("""COMPUTED_VALUE"""),"")</f>
        <v/>
      </c>
      <c r="G211" s="134" t="str">
        <f ca="1">IFERROR(__xludf.DUMMYFUNCTION("""COMPUTED_VALUE"""),"")</f>
        <v/>
      </c>
      <c r="H211" s="134" t="str">
        <f ca="1">IFERROR(__xludf.DUMMYFUNCTION("""COMPUTED_VALUE"""),"")</f>
        <v/>
      </c>
      <c r="I211" s="134" t="str">
        <f ca="1">IFERROR(__xludf.DUMMYFUNCTION("""COMPUTED_VALUE"""),"")</f>
        <v/>
      </c>
      <c r="J211" s="134" t="str">
        <f ca="1">IFERROR(__xludf.DUMMYFUNCTION("""COMPUTED_VALUE"""),"")</f>
        <v/>
      </c>
      <c r="N211" s="31"/>
    </row>
    <row r="212" spans="1:14" customFormat="1">
      <c r="A212" s="134" t="str">
        <f ca="1">IFERROR(__xludf.DUMMYFUNCTION("""COMPUTED_VALUE"""),"")</f>
        <v/>
      </c>
      <c r="B212" s="134" t="str">
        <f ca="1">IFERROR(__xludf.DUMMYFUNCTION("""COMPUTED_VALUE"""),"")</f>
        <v/>
      </c>
      <c r="C212" s="134" t="str">
        <f ca="1">IFERROR(__xludf.DUMMYFUNCTION("""COMPUTED_VALUE"""),"")</f>
        <v/>
      </c>
      <c r="D212" s="134" t="str">
        <f ca="1">IFERROR(__xludf.DUMMYFUNCTION("""COMPUTED_VALUE"""),"")</f>
        <v/>
      </c>
      <c r="E212" s="134" t="str">
        <f ca="1">IFERROR(__xludf.DUMMYFUNCTION("""COMPUTED_VALUE"""),"")</f>
        <v/>
      </c>
      <c r="F212" s="134" t="str">
        <f ca="1">IFERROR(__xludf.DUMMYFUNCTION("""COMPUTED_VALUE"""),"")</f>
        <v/>
      </c>
      <c r="G212" s="134" t="str">
        <f ca="1">IFERROR(__xludf.DUMMYFUNCTION("""COMPUTED_VALUE"""),"")</f>
        <v/>
      </c>
      <c r="H212" s="134" t="str">
        <f ca="1">IFERROR(__xludf.DUMMYFUNCTION("""COMPUTED_VALUE"""),"")</f>
        <v/>
      </c>
      <c r="I212" s="134" t="str">
        <f ca="1">IFERROR(__xludf.DUMMYFUNCTION("""COMPUTED_VALUE"""),"")</f>
        <v/>
      </c>
      <c r="J212" s="134" t="str">
        <f ca="1">IFERROR(__xludf.DUMMYFUNCTION("""COMPUTED_VALUE"""),"")</f>
        <v/>
      </c>
      <c r="N212" s="31"/>
    </row>
    <row r="213" spans="1:14" customFormat="1">
      <c r="A213" s="134" t="str">
        <f ca="1">IFERROR(__xludf.DUMMYFUNCTION("""COMPUTED_VALUE"""),"")</f>
        <v/>
      </c>
      <c r="B213" s="134" t="str">
        <f ca="1">IFERROR(__xludf.DUMMYFUNCTION("""COMPUTED_VALUE"""),"")</f>
        <v/>
      </c>
      <c r="C213" s="134" t="str">
        <f ca="1">IFERROR(__xludf.DUMMYFUNCTION("""COMPUTED_VALUE"""),"")</f>
        <v/>
      </c>
      <c r="D213" s="134" t="str">
        <f ca="1">IFERROR(__xludf.DUMMYFUNCTION("""COMPUTED_VALUE"""),"")</f>
        <v/>
      </c>
      <c r="E213" s="134" t="str">
        <f ca="1">IFERROR(__xludf.DUMMYFUNCTION("""COMPUTED_VALUE"""),"")</f>
        <v/>
      </c>
      <c r="F213" s="134" t="str">
        <f ca="1">IFERROR(__xludf.DUMMYFUNCTION("""COMPUTED_VALUE"""),"")</f>
        <v/>
      </c>
      <c r="G213" s="134" t="str">
        <f ca="1">IFERROR(__xludf.DUMMYFUNCTION("""COMPUTED_VALUE"""),"")</f>
        <v/>
      </c>
      <c r="H213" s="134" t="str">
        <f ca="1">IFERROR(__xludf.DUMMYFUNCTION("""COMPUTED_VALUE"""),"")</f>
        <v/>
      </c>
      <c r="I213" s="134" t="str">
        <f ca="1">IFERROR(__xludf.DUMMYFUNCTION("""COMPUTED_VALUE"""),"")</f>
        <v/>
      </c>
      <c r="J213" s="134" t="str">
        <f ca="1">IFERROR(__xludf.DUMMYFUNCTION("""COMPUTED_VALUE"""),"")</f>
        <v/>
      </c>
      <c r="N213" s="31"/>
    </row>
    <row r="214" spans="1:14" customFormat="1">
      <c r="A214" s="134" t="str">
        <f ca="1">IFERROR(__xludf.DUMMYFUNCTION("""COMPUTED_VALUE"""),"")</f>
        <v/>
      </c>
      <c r="B214" s="134" t="str">
        <f ca="1">IFERROR(__xludf.DUMMYFUNCTION("""COMPUTED_VALUE"""),"")</f>
        <v/>
      </c>
      <c r="C214" s="134" t="str">
        <f ca="1">IFERROR(__xludf.DUMMYFUNCTION("""COMPUTED_VALUE"""),"")</f>
        <v/>
      </c>
      <c r="D214" s="134" t="str">
        <f ca="1">IFERROR(__xludf.DUMMYFUNCTION("""COMPUTED_VALUE"""),"")</f>
        <v/>
      </c>
      <c r="E214" s="134" t="str">
        <f ca="1">IFERROR(__xludf.DUMMYFUNCTION("""COMPUTED_VALUE"""),"")</f>
        <v/>
      </c>
      <c r="F214" s="134" t="str">
        <f ca="1">IFERROR(__xludf.DUMMYFUNCTION("""COMPUTED_VALUE"""),"")</f>
        <v/>
      </c>
      <c r="G214" s="134" t="str">
        <f ca="1">IFERROR(__xludf.DUMMYFUNCTION("""COMPUTED_VALUE"""),"")</f>
        <v/>
      </c>
      <c r="H214" s="134" t="str">
        <f ca="1">IFERROR(__xludf.DUMMYFUNCTION("""COMPUTED_VALUE"""),"")</f>
        <v/>
      </c>
      <c r="I214" s="134" t="str">
        <f ca="1">IFERROR(__xludf.DUMMYFUNCTION("""COMPUTED_VALUE"""),"")</f>
        <v/>
      </c>
      <c r="J214" s="134" t="str">
        <f ca="1">IFERROR(__xludf.DUMMYFUNCTION("""COMPUTED_VALUE"""),"")</f>
        <v/>
      </c>
      <c r="N214" s="31"/>
    </row>
    <row r="215" spans="1:14" customFormat="1">
      <c r="A215" s="134" t="str">
        <f ca="1">IFERROR(__xludf.DUMMYFUNCTION("""COMPUTED_VALUE"""),"")</f>
        <v/>
      </c>
      <c r="B215" s="134" t="str">
        <f ca="1">IFERROR(__xludf.DUMMYFUNCTION("""COMPUTED_VALUE"""),"")</f>
        <v/>
      </c>
      <c r="C215" s="134" t="str">
        <f ca="1">IFERROR(__xludf.DUMMYFUNCTION("""COMPUTED_VALUE"""),"")</f>
        <v/>
      </c>
      <c r="D215" s="134" t="str">
        <f ca="1">IFERROR(__xludf.DUMMYFUNCTION("""COMPUTED_VALUE"""),"")</f>
        <v/>
      </c>
      <c r="E215" s="134" t="str">
        <f ca="1">IFERROR(__xludf.DUMMYFUNCTION("""COMPUTED_VALUE"""),"")</f>
        <v/>
      </c>
      <c r="F215" s="134" t="str">
        <f ca="1">IFERROR(__xludf.DUMMYFUNCTION("""COMPUTED_VALUE"""),"")</f>
        <v/>
      </c>
      <c r="G215" s="134" t="str">
        <f ca="1">IFERROR(__xludf.DUMMYFUNCTION("""COMPUTED_VALUE"""),"")</f>
        <v/>
      </c>
      <c r="H215" s="134" t="str">
        <f ca="1">IFERROR(__xludf.DUMMYFUNCTION("""COMPUTED_VALUE"""),"")</f>
        <v/>
      </c>
      <c r="I215" s="134" t="str">
        <f ca="1">IFERROR(__xludf.DUMMYFUNCTION("""COMPUTED_VALUE"""),"")</f>
        <v/>
      </c>
      <c r="J215" s="134" t="str">
        <f ca="1">IFERROR(__xludf.DUMMYFUNCTION("""COMPUTED_VALUE"""),"")</f>
        <v/>
      </c>
      <c r="N215" s="31"/>
    </row>
    <row r="216" spans="1:14" customFormat="1">
      <c r="A216" s="134" t="str">
        <f ca="1">IFERROR(__xludf.DUMMYFUNCTION("""COMPUTED_VALUE"""),"")</f>
        <v/>
      </c>
      <c r="B216" s="134" t="str">
        <f ca="1">IFERROR(__xludf.DUMMYFUNCTION("""COMPUTED_VALUE"""),"")</f>
        <v/>
      </c>
      <c r="C216" s="134" t="str">
        <f ca="1">IFERROR(__xludf.DUMMYFUNCTION("""COMPUTED_VALUE"""),"")</f>
        <v/>
      </c>
      <c r="D216" s="134" t="str">
        <f ca="1">IFERROR(__xludf.DUMMYFUNCTION("""COMPUTED_VALUE"""),"")</f>
        <v/>
      </c>
      <c r="E216" s="134" t="str">
        <f ca="1">IFERROR(__xludf.DUMMYFUNCTION("""COMPUTED_VALUE"""),"")</f>
        <v/>
      </c>
      <c r="F216" s="134" t="str">
        <f ca="1">IFERROR(__xludf.DUMMYFUNCTION("""COMPUTED_VALUE"""),"")</f>
        <v/>
      </c>
      <c r="G216" s="134" t="str">
        <f ca="1">IFERROR(__xludf.DUMMYFUNCTION("""COMPUTED_VALUE"""),"")</f>
        <v/>
      </c>
      <c r="H216" s="134" t="str">
        <f ca="1">IFERROR(__xludf.DUMMYFUNCTION("""COMPUTED_VALUE"""),"")</f>
        <v/>
      </c>
      <c r="I216" s="134" t="str">
        <f ca="1">IFERROR(__xludf.DUMMYFUNCTION("""COMPUTED_VALUE"""),"")</f>
        <v/>
      </c>
      <c r="J216" s="134" t="str">
        <f ca="1">IFERROR(__xludf.DUMMYFUNCTION("""COMPUTED_VALUE"""),"")</f>
        <v/>
      </c>
      <c r="N216" s="31"/>
    </row>
    <row r="217" spans="1:14" customFormat="1">
      <c r="A217" s="134" t="str">
        <f ca="1">IFERROR(__xludf.DUMMYFUNCTION("""COMPUTED_VALUE"""),"")</f>
        <v/>
      </c>
      <c r="B217" s="134" t="str">
        <f ca="1">IFERROR(__xludf.DUMMYFUNCTION("""COMPUTED_VALUE"""),"")</f>
        <v/>
      </c>
      <c r="C217" s="134" t="str">
        <f ca="1">IFERROR(__xludf.DUMMYFUNCTION("""COMPUTED_VALUE"""),"")</f>
        <v/>
      </c>
      <c r="D217" s="134" t="str">
        <f ca="1">IFERROR(__xludf.DUMMYFUNCTION("""COMPUTED_VALUE"""),"")</f>
        <v/>
      </c>
      <c r="E217" s="134" t="str">
        <f ca="1">IFERROR(__xludf.DUMMYFUNCTION("""COMPUTED_VALUE"""),"")</f>
        <v/>
      </c>
      <c r="F217" s="134" t="str">
        <f ca="1">IFERROR(__xludf.DUMMYFUNCTION("""COMPUTED_VALUE"""),"")</f>
        <v/>
      </c>
      <c r="G217" s="134" t="str">
        <f ca="1">IFERROR(__xludf.DUMMYFUNCTION("""COMPUTED_VALUE"""),"")</f>
        <v/>
      </c>
      <c r="H217" s="134" t="str">
        <f ca="1">IFERROR(__xludf.DUMMYFUNCTION("""COMPUTED_VALUE"""),"")</f>
        <v/>
      </c>
      <c r="I217" s="134" t="str">
        <f ca="1">IFERROR(__xludf.DUMMYFUNCTION("""COMPUTED_VALUE"""),"")</f>
        <v/>
      </c>
      <c r="J217" s="134" t="str">
        <f ca="1">IFERROR(__xludf.DUMMYFUNCTION("""COMPUTED_VALUE"""),"")</f>
        <v/>
      </c>
      <c r="N217" s="31"/>
    </row>
    <row r="218" spans="1:14" customFormat="1">
      <c r="A218" s="134" t="str">
        <f ca="1">IFERROR(__xludf.DUMMYFUNCTION("""COMPUTED_VALUE"""),"")</f>
        <v/>
      </c>
      <c r="B218" s="134" t="str">
        <f ca="1">IFERROR(__xludf.DUMMYFUNCTION("""COMPUTED_VALUE"""),"")</f>
        <v/>
      </c>
      <c r="C218" s="134" t="str">
        <f ca="1">IFERROR(__xludf.DUMMYFUNCTION("""COMPUTED_VALUE"""),"")</f>
        <v/>
      </c>
      <c r="D218" s="134" t="str">
        <f ca="1">IFERROR(__xludf.DUMMYFUNCTION("""COMPUTED_VALUE"""),"")</f>
        <v/>
      </c>
      <c r="E218" s="134" t="str">
        <f ca="1">IFERROR(__xludf.DUMMYFUNCTION("""COMPUTED_VALUE"""),"")</f>
        <v/>
      </c>
      <c r="F218" s="134" t="str">
        <f ca="1">IFERROR(__xludf.DUMMYFUNCTION("""COMPUTED_VALUE"""),"")</f>
        <v/>
      </c>
      <c r="G218" s="134" t="str">
        <f ca="1">IFERROR(__xludf.DUMMYFUNCTION("""COMPUTED_VALUE"""),"")</f>
        <v/>
      </c>
      <c r="H218" s="134" t="str">
        <f ca="1">IFERROR(__xludf.DUMMYFUNCTION("""COMPUTED_VALUE"""),"")</f>
        <v/>
      </c>
      <c r="I218" s="134" t="str">
        <f ca="1">IFERROR(__xludf.DUMMYFUNCTION("""COMPUTED_VALUE"""),"")</f>
        <v/>
      </c>
      <c r="J218" s="134" t="str">
        <f ca="1">IFERROR(__xludf.DUMMYFUNCTION("""COMPUTED_VALUE"""),"")</f>
        <v/>
      </c>
      <c r="N218" s="31"/>
    </row>
    <row r="219" spans="1:14" customFormat="1">
      <c r="A219" s="134" t="str">
        <f ca="1">IFERROR(__xludf.DUMMYFUNCTION("""COMPUTED_VALUE"""),"")</f>
        <v/>
      </c>
      <c r="B219" s="134" t="str">
        <f ca="1">IFERROR(__xludf.DUMMYFUNCTION("""COMPUTED_VALUE"""),"")</f>
        <v/>
      </c>
      <c r="C219" s="134" t="str">
        <f ca="1">IFERROR(__xludf.DUMMYFUNCTION("""COMPUTED_VALUE"""),"")</f>
        <v/>
      </c>
      <c r="D219" s="134" t="str">
        <f ca="1">IFERROR(__xludf.DUMMYFUNCTION("""COMPUTED_VALUE"""),"")</f>
        <v/>
      </c>
      <c r="E219" s="134" t="str">
        <f ca="1">IFERROR(__xludf.DUMMYFUNCTION("""COMPUTED_VALUE"""),"")</f>
        <v/>
      </c>
      <c r="F219" s="134" t="str">
        <f ca="1">IFERROR(__xludf.DUMMYFUNCTION("""COMPUTED_VALUE"""),"")</f>
        <v/>
      </c>
      <c r="G219" s="134" t="str">
        <f ca="1">IFERROR(__xludf.DUMMYFUNCTION("""COMPUTED_VALUE"""),"")</f>
        <v/>
      </c>
      <c r="H219" s="134" t="str">
        <f ca="1">IFERROR(__xludf.DUMMYFUNCTION("""COMPUTED_VALUE"""),"")</f>
        <v/>
      </c>
      <c r="I219" s="134" t="str">
        <f ca="1">IFERROR(__xludf.DUMMYFUNCTION("""COMPUTED_VALUE"""),"")</f>
        <v/>
      </c>
      <c r="J219" s="134" t="str">
        <f ca="1">IFERROR(__xludf.DUMMYFUNCTION("""COMPUTED_VALUE"""),"")</f>
        <v/>
      </c>
      <c r="N219" s="31"/>
    </row>
    <row r="220" spans="1:14" customFormat="1">
      <c r="A220" s="134" t="str">
        <f ca="1">IFERROR(__xludf.DUMMYFUNCTION("""COMPUTED_VALUE"""),"")</f>
        <v/>
      </c>
      <c r="B220" s="134" t="str">
        <f ca="1">IFERROR(__xludf.DUMMYFUNCTION("""COMPUTED_VALUE"""),"")</f>
        <v/>
      </c>
      <c r="C220" s="134" t="str">
        <f ca="1">IFERROR(__xludf.DUMMYFUNCTION("""COMPUTED_VALUE"""),"")</f>
        <v/>
      </c>
      <c r="D220" s="134" t="str">
        <f ca="1">IFERROR(__xludf.DUMMYFUNCTION("""COMPUTED_VALUE"""),"")</f>
        <v/>
      </c>
      <c r="E220" s="134" t="str">
        <f ca="1">IFERROR(__xludf.DUMMYFUNCTION("""COMPUTED_VALUE"""),"")</f>
        <v/>
      </c>
      <c r="F220" s="134" t="str">
        <f ca="1">IFERROR(__xludf.DUMMYFUNCTION("""COMPUTED_VALUE"""),"")</f>
        <v/>
      </c>
      <c r="G220" s="134" t="str">
        <f ca="1">IFERROR(__xludf.DUMMYFUNCTION("""COMPUTED_VALUE"""),"")</f>
        <v/>
      </c>
      <c r="H220" s="134" t="str">
        <f ca="1">IFERROR(__xludf.DUMMYFUNCTION("""COMPUTED_VALUE"""),"")</f>
        <v/>
      </c>
      <c r="I220" s="134" t="str">
        <f ca="1">IFERROR(__xludf.DUMMYFUNCTION("""COMPUTED_VALUE"""),"")</f>
        <v/>
      </c>
      <c r="J220" s="134" t="str">
        <f ca="1">IFERROR(__xludf.DUMMYFUNCTION("""COMPUTED_VALUE"""),"")</f>
        <v/>
      </c>
      <c r="N220" s="31"/>
    </row>
    <row r="221" spans="1:14" customFormat="1">
      <c r="A221" s="134" t="str">
        <f ca="1">IFERROR(__xludf.DUMMYFUNCTION("""COMPUTED_VALUE"""),"")</f>
        <v/>
      </c>
      <c r="B221" s="134" t="str">
        <f ca="1">IFERROR(__xludf.DUMMYFUNCTION("""COMPUTED_VALUE"""),"")</f>
        <v/>
      </c>
      <c r="C221" s="134" t="str">
        <f ca="1">IFERROR(__xludf.DUMMYFUNCTION("""COMPUTED_VALUE"""),"")</f>
        <v/>
      </c>
      <c r="D221" s="134" t="str">
        <f ca="1">IFERROR(__xludf.DUMMYFUNCTION("""COMPUTED_VALUE"""),"")</f>
        <v/>
      </c>
      <c r="E221" s="134" t="str">
        <f ca="1">IFERROR(__xludf.DUMMYFUNCTION("""COMPUTED_VALUE"""),"")</f>
        <v/>
      </c>
      <c r="F221" s="134" t="str">
        <f ca="1">IFERROR(__xludf.DUMMYFUNCTION("""COMPUTED_VALUE"""),"")</f>
        <v/>
      </c>
      <c r="G221" s="134" t="str">
        <f ca="1">IFERROR(__xludf.DUMMYFUNCTION("""COMPUTED_VALUE"""),"")</f>
        <v/>
      </c>
      <c r="H221" s="134" t="str">
        <f ca="1">IFERROR(__xludf.DUMMYFUNCTION("""COMPUTED_VALUE"""),"")</f>
        <v/>
      </c>
      <c r="I221" s="134" t="str">
        <f ca="1">IFERROR(__xludf.DUMMYFUNCTION("""COMPUTED_VALUE"""),"")</f>
        <v/>
      </c>
      <c r="J221" s="134" t="str">
        <f ca="1">IFERROR(__xludf.DUMMYFUNCTION("""COMPUTED_VALUE"""),"")</f>
        <v/>
      </c>
      <c r="N221" s="31"/>
    </row>
    <row r="222" spans="1:14" customFormat="1">
      <c r="A222" s="134" t="str">
        <f ca="1">IFERROR(__xludf.DUMMYFUNCTION("""COMPUTED_VALUE"""),"")</f>
        <v/>
      </c>
      <c r="B222" s="134" t="str">
        <f ca="1">IFERROR(__xludf.DUMMYFUNCTION("""COMPUTED_VALUE"""),"")</f>
        <v/>
      </c>
      <c r="C222" s="134" t="str">
        <f ca="1">IFERROR(__xludf.DUMMYFUNCTION("""COMPUTED_VALUE"""),"")</f>
        <v/>
      </c>
      <c r="D222" s="134" t="str">
        <f ca="1">IFERROR(__xludf.DUMMYFUNCTION("""COMPUTED_VALUE"""),"")</f>
        <v/>
      </c>
      <c r="E222" s="134" t="str">
        <f ca="1">IFERROR(__xludf.DUMMYFUNCTION("""COMPUTED_VALUE"""),"")</f>
        <v/>
      </c>
      <c r="F222" s="134" t="str">
        <f ca="1">IFERROR(__xludf.DUMMYFUNCTION("""COMPUTED_VALUE"""),"")</f>
        <v/>
      </c>
      <c r="G222" s="134" t="str">
        <f ca="1">IFERROR(__xludf.DUMMYFUNCTION("""COMPUTED_VALUE"""),"")</f>
        <v/>
      </c>
      <c r="H222" s="134" t="str">
        <f ca="1">IFERROR(__xludf.DUMMYFUNCTION("""COMPUTED_VALUE"""),"")</f>
        <v/>
      </c>
      <c r="I222" s="134" t="str">
        <f ca="1">IFERROR(__xludf.DUMMYFUNCTION("""COMPUTED_VALUE"""),"")</f>
        <v/>
      </c>
      <c r="J222" s="134" t="str">
        <f ca="1">IFERROR(__xludf.DUMMYFUNCTION("""COMPUTED_VALUE"""),"")</f>
        <v/>
      </c>
      <c r="N222" s="31"/>
    </row>
    <row r="223" spans="1:14" customFormat="1">
      <c r="A223" s="134" t="str">
        <f ca="1">IFERROR(__xludf.DUMMYFUNCTION("""COMPUTED_VALUE"""),"")</f>
        <v/>
      </c>
      <c r="B223" s="134" t="str">
        <f ca="1">IFERROR(__xludf.DUMMYFUNCTION("""COMPUTED_VALUE"""),"")</f>
        <v/>
      </c>
      <c r="C223" s="134" t="str">
        <f ca="1">IFERROR(__xludf.DUMMYFUNCTION("""COMPUTED_VALUE"""),"")</f>
        <v/>
      </c>
      <c r="D223" s="134" t="str">
        <f ca="1">IFERROR(__xludf.DUMMYFUNCTION("""COMPUTED_VALUE"""),"")</f>
        <v/>
      </c>
      <c r="E223" s="134" t="str">
        <f ca="1">IFERROR(__xludf.DUMMYFUNCTION("""COMPUTED_VALUE"""),"")</f>
        <v/>
      </c>
      <c r="F223" s="134" t="str">
        <f ca="1">IFERROR(__xludf.DUMMYFUNCTION("""COMPUTED_VALUE"""),"")</f>
        <v/>
      </c>
      <c r="G223" s="134" t="str">
        <f ca="1">IFERROR(__xludf.DUMMYFUNCTION("""COMPUTED_VALUE"""),"")</f>
        <v/>
      </c>
      <c r="H223" s="134" t="str">
        <f ca="1">IFERROR(__xludf.DUMMYFUNCTION("""COMPUTED_VALUE"""),"")</f>
        <v/>
      </c>
      <c r="I223" s="134" t="str">
        <f ca="1">IFERROR(__xludf.DUMMYFUNCTION("""COMPUTED_VALUE"""),"")</f>
        <v/>
      </c>
      <c r="J223" s="134" t="str">
        <f ca="1">IFERROR(__xludf.DUMMYFUNCTION("""COMPUTED_VALUE"""),"")</f>
        <v/>
      </c>
      <c r="N223" s="31"/>
    </row>
    <row r="224" spans="1:14" customFormat="1">
      <c r="A224" s="134" t="str">
        <f ca="1">IFERROR(__xludf.DUMMYFUNCTION("""COMPUTED_VALUE"""),"")</f>
        <v/>
      </c>
      <c r="B224" s="134" t="str">
        <f ca="1">IFERROR(__xludf.DUMMYFUNCTION("""COMPUTED_VALUE"""),"")</f>
        <v/>
      </c>
      <c r="C224" s="134" t="str">
        <f ca="1">IFERROR(__xludf.DUMMYFUNCTION("""COMPUTED_VALUE"""),"")</f>
        <v/>
      </c>
      <c r="D224" s="134" t="str">
        <f ca="1">IFERROR(__xludf.DUMMYFUNCTION("""COMPUTED_VALUE"""),"")</f>
        <v/>
      </c>
      <c r="E224" s="134" t="str">
        <f ca="1">IFERROR(__xludf.DUMMYFUNCTION("""COMPUTED_VALUE"""),"")</f>
        <v/>
      </c>
      <c r="F224" s="134" t="str">
        <f ca="1">IFERROR(__xludf.DUMMYFUNCTION("""COMPUTED_VALUE"""),"")</f>
        <v/>
      </c>
      <c r="G224" s="134" t="str">
        <f ca="1">IFERROR(__xludf.DUMMYFUNCTION("""COMPUTED_VALUE"""),"")</f>
        <v/>
      </c>
      <c r="H224" s="134" t="str">
        <f ca="1">IFERROR(__xludf.DUMMYFUNCTION("""COMPUTED_VALUE"""),"")</f>
        <v/>
      </c>
      <c r="I224" s="134" t="str">
        <f ca="1">IFERROR(__xludf.DUMMYFUNCTION("""COMPUTED_VALUE"""),"")</f>
        <v/>
      </c>
      <c r="J224" s="134" t="str">
        <f ca="1">IFERROR(__xludf.DUMMYFUNCTION("""COMPUTED_VALUE"""),"")</f>
        <v/>
      </c>
      <c r="N224" s="31"/>
    </row>
    <row r="225" spans="1:14" customFormat="1">
      <c r="A225" s="134" t="str">
        <f ca="1">IFERROR(__xludf.DUMMYFUNCTION("""COMPUTED_VALUE"""),"")</f>
        <v/>
      </c>
      <c r="B225" s="134" t="str">
        <f ca="1">IFERROR(__xludf.DUMMYFUNCTION("""COMPUTED_VALUE"""),"")</f>
        <v/>
      </c>
      <c r="C225" s="134" t="str">
        <f ca="1">IFERROR(__xludf.DUMMYFUNCTION("""COMPUTED_VALUE"""),"")</f>
        <v/>
      </c>
      <c r="D225" s="134" t="str">
        <f ca="1">IFERROR(__xludf.DUMMYFUNCTION("""COMPUTED_VALUE"""),"")</f>
        <v/>
      </c>
      <c r="E225" s="134" t="str">
        <f ca="1">IFERROR(__xludf.DUMMYFUNCTION("""COMPUTED_VALUE"""),"")</f>
        <v/>
      </c>
      <c r="F225" s="134" t="str">
        <f ca="1">IFERROR(__xludf.DUMMYFUNCTION("""COMPUTED_VALUE"""),"")</f>
        <v/>
      </c>
      <c r="G225" s="134" t="str">
        <f ca="1">IFERROR(__xludf.DUMMYFUNCTION("""COMPUTED_VALUE"""),"")</f>
        <v/>
      </c>
      <c r="H225" s="134" t="str">
        <f ca="1">IFERROR(__xludf.DUMMYFUNCTION("""COMPUTED_VALUE"""),"")</f>
        <v/>
      </c>
      <c r="I225" s="134" t="str">
        <f ca="1">IFERROR(__xludf.DUMMYFUNCTION("""COMPUTED_VALUE"""),"")</f>
        <v/>
      </c>
      <c r="J225" s="134" t="str">
        <f ca="1">IFERROR(__xludf.DUMMYFUNCTION("""COMPUTED_VALUE"""),"")</f>
        <v/>
      </c>
      <c r="N225" s="31"/>
    </row>
    <row r="226" spans="1:14" customFormat="1">
      <c r="A226" s="134" t="str">
        <f ca="1">IFERROR(__xludf.DUMMYFUNCTION("""COMPUTED_VALUE"""),"")</f>
        <v/>
      </c>
      <c r="B226" s="134" t="str">
        <f ca="1">IFERROR(__xludf.DUMMYFUNCTION("""COMPUTED_VALUE"""),"")</f>
        <v/>
      </c>
      <c r="C226" s="134" t="str">
        <f ca="1">IFERROR(__xludf.DUMMYFUNCTION("""COMPUTED_VALUE"""),"")</f>
        <v/>
      </c>
      <c r="D226" s="134" t="str">
        <f ca="1">IFERROR(__xludf.DUMMYFUNCTION("""COMPUTED_VALUE"""),"")</f>
        <v/>
      </c>
      <c r="E226" s="134" t="str">
        <f ca="1">IFERROR(__xludf.DUMMYFUNCTION("""COMPUTED_VALUE"""),"")</f>
        <v/>
      </c>
      <c r="F226" s="134" t="str">
        <f ca="1">IFERROR(__xludf.DUMMYFUNCTION("""COMPUTED_VALUE"""),"")</f>
        <v/>
      </c>
      <c r="G226" s="134" t="str">
        <f ca="1">IFERROR(__xludf.DUMMYFUNCTION("""COMPUTED_VALUE"""),"")</f>
        <v/>
      </c>
      <c r="H226" s="134" t="str">
        <f ca="1">IFERROR(__xludf.DUMMYFUNCTION("""COMPUTED_VALUE"""),"")</f>
        <v/>
      </c>
      <c r="I226" s="134" t="str">
        <f ca="1">IFERROR(__xludf.DUMMYFUNCTION("""COMPUTED_VALUE"""),"")</f>
        <v/>
      </c>
      <c r="J226" s="134" t="str">
        <f ca="1">IFERROR(__xludf.DUMMYFUNCTION("""COMPUTED_VALUE"""),"")</f>
        <v/>
      </c>
      <c r="N226" s="31"/>
    </row>
    <row r="227" spans="1:14" customFormat="1">
      <c r="A227" s="134" t="str">
        <f ca="1">IFERROR(__xludf.DUMMYFUNCTION("""COMPUTED_VALUE"""),"")</f>
        <v/>
      </c>
      <c r="B227" s="134" t="str">
        <f ca="1">IFERROR(__xludf.DUMMYFUNCTION("""COMPUTED_VALUE"""),"")</f>
        <v/>
      </c>
      <c r="C227" s="134" t="str">
        <f ca="1">IFERROR(__xludf.DUMMYFUNCTION("""COMPUTED_VALUE"""),"")</f>
        <v/>
      </c>
      <c r="D227" s="134" t="str">
        <f ca="1">IFERROR(__xludf.DUMMYFUNCTION("""COMPUTED_VALUE"""),"")</f>
        <v/>
      </c>
      <c r="E227" s="134" t="str">
        <f ca="1">IFERROR(__xludf.DUMMYFUNCTION("""COMPUTED_VALUE"""),"")</f>
        <v/>
      </c>
      <c r="F227" s="134" t="str">
        <f ca="1">IFERROR(__xludf.DUMMYFUNCTION("""COMPUTED_VALUE"""),"")</f>
        <v/>
      </c>
      <c r="G227" s="134" t="str">
        <f ca="1">IFERROR(__xludf.DUMMYFUNCTION("""COMPUTED_VALUE"""),"")</f>
        <v/>
      </c>
      <c r="H227" s="134" t="str">
        <f ca="1">IFERROR(__xludf.DUMMYFUNCTION("""COMPUTED_VALUE"""),"")</f>
        <v/>
      </c>
      <c r="I227" s="134" t="str">
        <f ca="1">IFERROR(__xludf.DUMMYFUNCTION("""COMPUTED_VALUE"""),"")</f>
        <v/>
      </c>
      <c r="J227" s="134" t="str">
        <f ca="1">IFERROR(__xludf.DUMMYFUNCTION("""COMPUTED_VALUE"""),"")</f>
        <v/>
      </c>
      <c r="N227" s="31"/>
    </row>
    <row r="228" spans="1:14" customFormat="1">
      <c r="A228" s="134" t="str">
        <f ca="1">IFERROR(__xludf.DUMMYFUNCTION("""COMPUTED_VALUE"""),"")</f>
        <v/>
      </c>
      <c r="B228" s="134" t="str">
        <f ca="1">IFERROR(__xludf.DUMMYFUNCTION("""COMPUTED_VALUE"""),"")</f>
        <v/>
      </c>
      <c r="C228" s="134" t="str">
        <f ca="1">IFERROR(__xludf.DUMMYFUNCTION("""COMPUTED_VALUE"""),"")</f>
        <v/>
      </c>
      <c r="D228" s="134" t="str">
        <f ca="1">IFERROR(__xludf.DUMMYFUNCTION("""COMPUTED_VALUE"""),"")</f>
        <v/>
      </c>
      <c r="E228" s="134" t="str">
        <f ca="1">IFERROR(__xludf.DUMMYFUNCTION("""COMPUTED_VALUE"""),"")</f>
        <v/>
      </c>
      <c r="F228" s="134" t="str">
        <f ca="1">IFERROR(__xludf.DUMMYFUNCTION("""COMPUTED_VALUE"""),"")</f>
        <v/>
      </c>
      <c r="G228" s="134" t="str">
        <f ca="1">IFERROR(__xludf.DUMMYFUNCTION("""COMPUTED_VALUE"""),"")</f>
        <v/>
      </c>
      <c r="H228" s="134" t="str">
        <f ca="1">IFERROR(__xludf.DUMMYFUNCTION("""COMPUTED_VALUE"""),"")</f>
        <v/>
      </c>
      <c r="I228" s="134" t="str">
        <f ca="1">IFERROR(__xludf.DUMMYFUNCTION("""COMPUTED_VALUE"""),"")</f>
        <v/>
      </c>
      <c r="J228" s="134" t="str">
        <f ca="1">IFERROR(__xludf.DUMMYFUNCTION("""COMPUTED_VALUE"""),"")</f>
        <v/>
      </c>
      <c r="N228" s="31"/>
    </row>
    <row r="229" spans="1:14" customFormat="1">
      <c r="A229" s="134" t="str">
        <f ca="1">IFERROR(__xludf.DUMMYFUNCTION("""COMPUTED_VALUE"""),"")</f>
        <v/>
      </c>
      <c r="B229" s="134" t="str">
        <f ca="1">IFERROR(__xludf.DUMMYFUNCTION("""COMPUTED_VALUE"""),"")</f>
        <v/>
      </c>
      <c r="C229" s="134" t="str">
        <f ca="1">IFERROR(__xludf.DUMMYFUNCTION("""COMPUTED_VALUE"""),"")</f>
        <v/>
      </c>
      <c r="D229" s="134" t="str">
        <f ca="1">IFERROR(__xludf.DUMMYFUNCTION("""COMPUTED_VALUE"""),"")</f>
        <v/>
      </c>
      <c r="E229" s="134" t="str">
        <f ca="1">IFERROR(__xludf.DUMMYFUNCTION("""COMPUTED_VALUE"""),"")</f>
        <v/>
      </c>
      <c r="F229" s="134" t="str">
        <f ca="1">IFERROR(__xludf.DUMMYFUNCTION("""COMPUTED_VALUE"""),"")</f>
        <v/>
      </c>
      <c r="G229" s="134" t="str">
        <f ca="1">IFERROR(__xludf.DUMMYFUNCTION("""COMPUTED_VALUE"""),"")</f>
        <v/>
      </c>
      <c r="H229" s="134" t="str">
        <f ca="1">IFERROR(__xludf.DUMMYFUNCTION("""COMPUTED_VALUE"""),"")</f>
        <v/>
      </c>
      <c r="I229" s="134" t="str">
        <f ca="1">IFERROR(__xludf.DUMMYFUNCTION("""COMPUTED_VALUE"""),"")</f>
        <v/>
      </c>
      <c r="J229" s="134" t="str">
        <f ca="1">IFERROR(__xludf.DUMMYFUNCTION("""COMPUTED_VALUE"""),"")</f>
        <v/>
      </c>
      <c r="N229" s="31"/>
    </row>
    <row r="230" spans="1:14" customFormat="1">
      <c r="A230" s="134" t="str">
        <f ca="1">IFERROR(__xludf.DUMMYFUNCTION("""COMPUTED_VALUE"""),"")</f>
        <v/>
      </c>
      <c r="B230" s="134" t="str">
        <f ca="1">IFERROR(__xludf.DUMMYFUNCTION("""COMPUTED_VALUE"""),"")</f>
        <v/>
      </c>
      <c r="C230" s="134" t="str">
        <f ca="1">IFERROR(__xludf.DUMMYFUNCTION("""COMPUTED_VALUE"""),"")</f>
        <v/>
      </c>
      <c r="D230" s="134" t="str">
        <f ca="1">IFERROR(__xludf.DUMMYFUNCTION("""COMPUTED_VALUE"""),"")</f>
        <v/>
      </c>
      <c r="E230" s="134" t="str">
        <f ca="1">IFERROR(__xludf.DUMMYFUNCTION("""COMPUTED_VALUE"""),"")</f>
        <v/>
      </c>
      <c r="F230" s="134" t="str">
        <f ca="1">IFERROR(__xludf.DUMMYFUNCTION("""COMPUTED_VALUE"""),"")</f>
        <v/>
      </c>
      <c r="G230" s="134" t="str">
        <f ca="1">IFERROR(__xludf.DUMMYFUNCTION("""COMPUTED_VALUE"""),"")</f>
        <v/>
      </c>
      <c r="H230" s="134" t="str">
        <f ca="1">IFERROR(__xludf.DUMMYFUNCTION("""COMPUTED_VALUE"""),"")</f>
        <v/>
      </c>
      <c r="I230" s="134" t="str">
        <f ca="1">IFERROR(__xludf.DUMMYFUNCTION("""COMPUTED_VALUE"""),"")</f>
        <v/>
      </c>
      <c r="J230" s="134" t="str">
        <f ca="1">IFERROR(__xludf.DUMMYFUNCTION("""COMPUTED_VALUE"""),"")</f>
        <v/>
      </c>
      <c r="N230" s="31"/>
    </row>
    <row r="231" spans="1:14" customFormat="1">
      <c r="A231" s="134" t="str">
        <f ca="1">IFERROR(__xludf.DUMMYFUNCTION("""COMPUTED_VALUE"""),"")</f>
        <v/>
      </c>
      <c r="B231" s="134" t="str">
        <f ca="1">IFERROR(__xludf.DUMMYFUNCTION("""COMPUTED_VALUE"""),"")</f>
        <v/>
      </c>
      <c r="C231" s="134" t="str">
        <f ca="1">IFERROR(__xludf.DUMMYFUNCTION("""COMPUTED_VALUE"""),"")</f>
        <v/>
      </c>
      <c r="D231" s="134" t="str">
        <f ca="1">IFERROR(__xludf.DUMMYFUNCTION("""COMPUTED_VALUE"""),"")</f>
        <v/>
      </c>
      <c r="E231" s="134" t="str">
        <f ca="1">IFERROR(__xludf.DUMMYFUNCTION("""COMPUTED_VALUE"""),"")</f>
        <v/>
      </c>
      <c r="F231" s="134" t="str">
        <f ca="1">IFERROR(__xludf.DUMMYFUNCTION("""COMPUTED_VALUE"""),"")</f>
        <v/>
      </c>
      <c r="G231" s="134" t="str">
        <f ca="1">IFERROR(__xludf.DUMMYFUNCTION("""COMPUTED_VALUE"""),"")</f>
        <v/>
      </c>
      <c r="H231" s="134" t="str">
        <f ca="1">IFERROR(__xludf.DUMMYFUNCTION("""COMPUTED_VALUE"""),"")</f>
        <v/>
      </c>
      <c r="I231" s="134" t="str">
        <f ca="1">IFERROR(__xludf.DUMMYFUNCTION("""COMPUTED_VALUE"""),"")</f>
        <v/>
      </c>
      <c r="J231" s="134" t="str">
        <f ca="1">IFERROR(__xludf.DUMMYFUNCTION("""COMPUTED_VALUE"""),"")</f>
        <v/>
      </c>
      <c r="N231" s="31"/>
    </row>
    <row r="232" spans="1:14" customFormat="1">
      <c r="A232" s="134" t="str">
        <f ca="1">IFERROR(__xludf.DUMMYFUNCTION("""COMPUTED_VALUE"""),"")</f>
        <v/>
      </c>
      <c r="B232" s="134" t="str">
        <f ca="1">IFERROR(__xludf.DUMMYFUNCTION("""COMPUTED_VALUE"""),"")</f>
        <v/>
      </c>
      <c r="C232" s="134" t="str">
        <f ca="1">IFERROR(__xludf.DUMMYFUNCTION("""COMPUTED_VALUE"""),"")</f>
        <v/>
      </c>
      <c r="D232" s="134" t="str">
        <f ca="1">IFERROR(__xludf.DUMMYFUNCTION("""COMPUTED_VALUE"""),"")</f>
        <v/>
      </c>
      <c r="E232" s="134" t="str">
        <f ca="1">IFERROR(__xludf.DUMMYFUNCTION("""COMPUTED_VALUE"""),"")</f>
        <v/>
      </c>
      <c r="F232" s="134" t="str">
        <f ca="1">IFERROR(__xludf.DUMMYFUNCTION("""COMPUTED_VALUE"""),"")</f>
        <v/>
      </c>
      <c r="G232" s="134" t="str">
        <f ca="1">IFERROR(__xludf.DUMMYFUNCTION("""COMPUTED_VALUE"""),"")</f>
        <v/>
      </c>
      <c r="H232" s="134" t="str">
        <f ca="1">IFERROR(__xludf.DUMMYFUNCTION("""COMPUTED_VALUE"""),"")</f>
        <v/>
      </c>
      <c r="I232" s="134" t="str">
        <f ca="1">IFERROR(__xludf.DUMMYFUNCTION("""COMPUTED_VALUE"""),"")</f>
        <v/>
      </c>
      <c r="J232" s="134" t="str">
        <f ca="1">IFERROR(__xludf.DUMMYFUNCTION("""COMPUTED_VALUE"""),"")</f>
        <v/>
      </c>
      <c r="N232" s="31"/>
    </row>
    <row r="233" spans="1:14" customFormat="1">
      <c r="A233" s="134" t="str">
        <f ca="1">IFERROR(__xludf.DUMMYFUNCTION("""COMPUTED_VALUE"""),"")</f>
        <v/>
      </c>
      <c r="B233" s="134" t="str">
        <f ca="1">IFERROR(__xludf.DUMMYFUNCTION("""COMPUTED_VALUE"""),"")</f>
        <v/>
      </c>
      <c r="C233" s="134" t="str">
        <f ca="1">IFERROR(__xludf.DUMMYFUNCTION("""COMPUTED_VALUE"""),"")</f>
        <v/>
      </c>
      <c r="D233" s="134" t="str">
        <f ca="1">IFERROR(__xludf.DUMMYFUNCTION("""COMPUTED_VALUE"""),"")</f>
        <v/>
      </c>
      <c r="E233" s="134" t="str">
        <f ca="1">IFERROR(__xludf.DUMMYFUNCTION("""COMPUTED_VALUE"""),"")</f>
        <v/>
      </c>
      <c r="F233" s="134" t="str">
        <f ca="1">IFERROR(__xludf.DUMMYFUNCTION("""COMPUTED_VALUE"""),"")</f>
        <v/>
      </c>
      <c r="G233" s="134" t="str">
        <f ca="1">IFERROR(__xludf.DUMMYFUNCTION("""COMPUTED_VALUE"""),"")</f>
        <v/>
      </c>
      <c r="H233" s="134" t="str">
        <f ca="1">IFERROR(__xludf.DUMMYFUNCTION("""COMPUTED_VALUE"""),"")</f>
        <v/>
      </c>
      <c r="I233" s="134" t="str">
        <f ca="1">IFERROR(__xludf.DUMMYFUNCTION("""COMPUTED_VALUE"""),"")</f>
        <v/>
      </c>
      <c r="J233" s="134" t="str">
        <f ca="1">IFERROR(__xludf.DUMMYFUNCTION("""COMPUTED_VALUE"""),"")</f>
        <v/>
      </c>
      <c r="N233" s="31"/>
    </row>
    <row r="234" spans="1:14" customFormat="1">
      <c r="A234" s="134" t="str">
        <f ca="1">IFERROR(__xludf.DUMMYFUNCTION("""COMPUTED_VALUE"""),"")</f>
        <v/>
      </c>
      <c r="B234" s="134" t="str">
        <f ca="1">IFERROR(__xludf.DUMMYFUNCTION("""COMPUTED_VALUE"""),"")</f>
        <v/>
      </c>
      <c r="C234" s="134" t="str">
        <f ca="1">IFERROR(__xludf.DUMMYFUNCTION("""COMPUTED_VALUE"""),"")</f>
        <v/>
      </c>
      <c r="D234" s="134" t="str">
        <f ca="1">IFERROR(__xludf.DUMMYFUNCTION("""COMPUTED_VALUE"""),"")</f>
        <v/>
      </c>
      <c r="E234" s="134" t="str">
        <f ca="1">IFERROR(__xludf.DUMMYFUNCTION("""COMPUTED_VALUE"""),"")</f>
        <v/>
      </c>
      <c r="F234" s="134" t="str">
        <f ca="1">IFERROR(__xludf.DUMMYFUNCTION("""COMPUTED_VALUE"""),"")</f>
        <v/>
      </c>
      <c r="G234" s="134" t="str">
        <f ca="1">IFERROR(__xludf.DUMMYFUNCTION("""COMPUTED_VALUE"""),"")</f>
        <v/>
      </c>
      <c r="H234" s="134" t="str">
        <f ca="1">IFERROR(__xludf.DUMMYFUNCTION("""COMPUTED_VALUE"""),"")</f>
        <v/>
      </c>
      <c r="I234" s="134" t="str">
        <f ca="1">IFERROR(__xludf.DUMMYFUNCTION("""COMPUTED_VALUE"""),"")</f>
        <v/>
      </c>
      <c r="J234" s="134" t="str">
        <f ca="1">IFERROR(__xludf.DUMMYFUNCTION("""COMPUTED_VALUE"""),"")</f>
        <v/>
      </c>
      <c r="N234" s="31"/>
    </row>
    <row r="235" spans="1:14" customFormat="1">
      <c r="A235" s="134" t="str">
        <f ca="1">IFERROR(__xludf.DUMMYFUNCTION("""COMPUTED_VALUE"""),"")</f>
        <v/>
      </c>
      <c r="B235" s="134" t="str">
        <f ca="1">IFERROR(__xludf.DUMMYFUNCTION("""COMPUTED_VALUE"""),"")</f>
        <v/>
      </c>
      <c r="C235" s="134" t="str">
        <f ca="1">IFERROR(__xludf.DUMMYFUNCTION("""COMPUTED_VALUE"""),"")</f>
        <v/>
      </c>
      <c r="D235" s="134" t="str">
        <f ca="1">IFERROR(__xludf.DUMMYFUNCTION("""COMPUTED_VALUE"""),"")</f>
        <v/>
      </c>
      <c r="E235" s="134" t="str">
        <f ca="1">IFERROR(__xludf.DUMMYFUNCTION("""COMPUTED_VALUE"""),"")</f>
        <v/>
      </c>
      <c r="F235" s="134" t="str">
        <f ca="1">IFERROR(__xludf.DUMMYFUNCTION("""COMPUTED_VALUE"""),"")</f>
        <v/>
      </c>
      <c r="G235" s="134" t="str">
        <f ca="1">IFERROR(__xludf.DUMMYFUNCTION("""COMPUTED_VALUE"""),"")</f>
        <v/>
      </c>
      <c r="H235" s="134" t="str">
        <f ca="1">IFERROR(__xludf.DUMMYFUNCTION("""COMPUTED_VALUE"""),"")</f>
        <v/>
      </c>
      <c r="I235" s="134" t="str">
        <f ca="1">IFERROR(__xludf.DUMMYFUNCTION("""COMPUTED_VALUE"""),"")</f>
        <v/>
      </c>
      <c r="J235" s="134" t="str">
        <f ca="1">IFERROR(__xludf.DUMMYFUNCTION("""COMPUTED_VALUE"""),"")</f>
        <v/>
      </c>
      <c r="N235" s="31"/>
    </row>
    <row r="236" spans="1:14" customFormat="1">
      <c r="A236" s="134" t="str">
        <f ca="1">IFERROR(__xludf.DUMMYFUNCTION("""COMPUTED_VALUE"""),"")</f>
        <v/>
      </c>
      <c r="B236" s="134" t="str">
        <f ca="1">IFERROR(__xludf.DUMMYFUNCTION("""COMPUTED_VALUE"""),"")</f>
        <v/>
      </c>
      <c r="C236" s="134" t="str">
        <f ca="1">IFERROR(__xludf.DUMMYFUNCTION("""COMPUTED_VALUE"""),"")</f>
        <v/>
      </c>
      <c r="D236" s="134" t="str">
        <f ca="1">IFERROR(__xludf.DUMMYFUNCTION("""COMPUTED_VALUE"""),"")</f>
        <v/>
      </c>
      <c r="E236" s="134" t="str">
        <f ca="1">IFERROR(__xludf.DUMMYFUNCTION("""COMPUTED_VALUE"""),"")</f>
        <v/>
      </c>
      <c r="F236" s="134" t="str">
        <f ca="1">IFERROR(__xludf.DUMMYFUNCTION("""COMPUTED_VALUE"""),"")</f>
        <v/>
      </c>
      <c r="G236" s="134" t="str">
        <f ca="1">IFERROR(__xludf.DUMMYFUNCTION("""COMPUTED_VALUE"""),"")</f>
        <v/>
      </c>
      <c r="H236" s="134" t="str">
        <f ca="1">IFERROR(__xludf.DUMMYFUNCTION("""COMPUTED_VALUE"""),"")</f>
        <v/>
      </c>
      <c r="I236" s="134" t="str">
        <f ca="1">IFERROR(__xludf.DUMMYFUNCTION("""COMPUTED_VALUE"""),"")</f>
        <v/>
      </c>
      <c r="J236" s="134" t="str">
        <f ca="1">IFERROR(__xludf.DUMMYFUNCTION("""COMPUTED_VALUE"""),"")</f>
        <v/>
      </c>
      <c r="N236" s="31"/>
    </row>
    <row r="237" spans="1:14" customFormat="1">
      <c r="A237" s="134" t="str">
        <f ca="1">IFERROR(__xludf.DUMMYFUNCTION("""COMPUTED_VALUE"""),"")</f>
        <v/>
      </c>
      <c r="B237" s="134" t="str">
        <f ca="1">IFERROR(__xludf.DUMMYFUNCTION("""COMPUTED_VALUE"""),"")</f>
        <v/>
      </c>
      <c r="C237" s="134" t="str">
        <f ca="1">IFERROR(__xludf.DUMMYFUNCTION("""COMPUTED_VALUE"""),"")</f>
        <v/>
      </c>
      <c r="D237" s="134" t="str">
        <f ca="1">IFERROR(__xludf.DUMMYFUNCTION("""COMPUTED_VALUE"""),"")</f>
        <v/>
      </c>
      <c r="E237" s="134" t="str">
        <f ca="1">IFERROR(__xludf.DUMMYFUNCTION("""COMPUTED_VALUE"""),"")</f>
        <v/>
      </c>
      <c r="F237" s="134" t="str">
        <f ca="1">IFERROR(__xludf.DUMMYFUNCTION("""COMPUTED_VALUE"""),"")</f>
        <v/>
      </c>
      <c r="G237" s="134" t="str">
        <f ca="1">IFERROR(__xludf.DUMMYFUNCTION("""COMPUTED_VALUE"""),"")</f>
        <v/>
      </c>
      <c r="H237" s="134" t="str">
        <f ca="1">IFERROR(__xludf.DUMMYFUNCTION("""COMPUTED_VALUE"""),"")</f>
        <v/>
      </c>
      <c r="I237" s="134" t="str">
        <f ca="1">IFERROR(__xludf.DUMMYFUNCTION("""COMPUTED_VALUE"""),"")</f>
        <v/>
      </c>
      <c r="J237" s="134" t="str">
        <f ca="1">IFERROR(__xludf.DUMMYFUNCTION("""COMPUTED_VALUE"""),"")</f>
        <v/>
      </c>
      <c r="N237" s="31"/>
    </row>
    <row r="238" spans="1:14" customFormat="1">
      <c r="A238" s="134" t="str">
        <f ca="1">IFERROR(__xludf.DUMMYFUNCTION("""COMPUTED_VALUE"""),"")</f>
        <v/>
      </c>
      <c r="B238" s="134" t="str">
        <f ca="1">IFERROR(__xludf.DUMMYFUNCTION("""COMPUTED_VALUE"""),"")</f>
        <v/>
      </c>
      <c r="C238" s="134" t="str">
        <f ca="1">IFERROR(__xludf.DUMMYFUNCTION("""COMPUTED_VALUE"""),"")</f>
        <v/>
      </c>
      <c r="D238" s="134" t="str">
        <f ca="1">IFERROR(__xludf.DUMMYFUNCTION("""COMPUTED_VALUE"""),"")</f>
        <v/>
      </c>
      <c r="E238" s="134" t="str">
        <f ca="1">IFERROR(__xludf.DUMMYFUNCTION("""COMPUTED_VALUE"""),"")</f>
        <v/>
      </c>
      <c r="F238" s="134" t="str">
        <f ca="1">IFERROR(__xludf.DUMMYFUNCTION("""COMPUTED_VALUE"""),"")</f>
        <v/>
      </c>
      <c r="G238" s="134" t="str">
        <f ca="1">IFERROR(__xludf.DUMMYFUNCTION("""COMPUTED_VALUE"""),"")</f>
        <v/>
      </c>
      <c r="H238" s="134" t="str">
        <f ca="1">IFERROR(__xludf.DUMMYFUNCTION("""COMPUTED_VALUE"""),"")</f>
        <v/>
      </c>
      <c r="I238" s="134" t="str">
        <f ca="1">IFERROR(__xludf.DUMMYFUNCTION("""COMPUTED_VALUE"""),"")</f>
        <v/>
      </c>
      <c r="J238" s="134" t="str">
        <f ca="1">IFERROR(__xludf.DUMMYFUNCTION("""COMPUTED_VALUE"""),"")</f>
        <v/>
      </c>
      <c r="N238" s="31"/>
    </row>
    <row r="239" spans="1:14" customFormat="1">
      <c r="A239" s="134" t="str">
        <f ca="1">IFERROR(__xludf.DUMMYFUNCTION("""COMPUTED_VALUE"""),"")</f>
        <v/>
      </c>
      <c r="B239" s="134" t="str">
        <f ca="1">IFERROR(__xludf.DUMMYFUNCTION("""COMPUTED_VALUE"""),"")</f>
        <v/>
      </c>
      <c r="C239" s="134" t="str">
        <f ca="1">IFERROR(__xludf.DUMMYFUNCTION("""COMPUTED_VALUE"""),"")</f>
        <v/>
      </c>
      <c r="D239" s="134" t="str">
        <f ca="1">IFERROR(__xludf.DUMMYFUNCTION("""COMPUTED_VALUE"""),"")</f>
        <v/>
      </c>
      <c r="E239" s="134" t="str">
        <f ca="1">IFERROR(__xludf.DUMMYFUNCTION("""COMPUTED_VALUE"""),"")</f>
        <v/>
      </c>
      <c r="F239" s="134" t="str">
        <f ca="1">IFERROR(__xludf.DUMMYFUNCTION("""COMPUTED_VALUE"""),"")</f>
        <v/>
      </c>
      <c r="G239" s="134" t="str">
        <f ca="1">IFERROR(__xludf.DUMMYFUNCTION("""COMPUTED_VALUE"""),"")</f>
        <v/>
      </c>
      <c r="H239" s="134" t="str">
        <f ca="1">IFERROR(__xludf.DUMMYFUNCTION("""COMPUTED_VALUE"""),"")</f>
        <v/>
      </c>
      <c r="I239" s="134" t="str">
        <f ca="1">IFERROR(__xludf.DUMMYFUNCTION("""COMPUTED_VALUE"""),"")</f>
        <v/>
      </c>
      <c r="J239" s="134" t="str">
        <f ca="1">IFERROR(__xludf.DUMMYFUNCTION("""COMPUTED_VALUE"""),"")</f>
        <v/>
      </c>
      <c r="N239" s="31"/>
    </row>
    <row r="240" spans="1:14" customFormat="1">
      <c r="A240" s="134" t="str">
        <f ca="1">IFERROR(__xludf.DUMMYFUNCTION("""COMPUTED_VALUE"""),"")</f>
        <v/>
      </c>
      <c r="B240" s="134" t="str">
        <f ca="1">IFERROR(__xludf.DUMMYFUNCTION("""COMPUTED_VALUE"""),"")</f>
        <v/>
      </c>
      <c r="C240" s="134" t="str">
        <f ca="1">IFERROR(__xludf.DUMMYFUNCTION("""COMPUTED_VALUE"""),"")</f>
        <v/>
      </c>
      <c r="D240" s="134" t="str">
        <f ca="1">IFERROR(__xludf.DUMMYFUNCTION("""COMPUTED_VALUE"""),"")</f>
        <v/>
      </c>
      <c r="E240" s="134" t="str">
        <f ca="1">IFERROR(__xludf.DUMMYFUNCTION("""COMPUTED_VALUE"""),"")</f>
        <v/>
      </c>
      <c r="F240" s="134" t="str">
        <f ca="1">IFERROR(__xludf.DUMMYFUNCTION("""COMPUTED_VALUE"""),"")</f>
        <v/>
      </c>
      <c r="G240" s="134" t="str">
        <f ca="1">IFERROR(__xludf.DUMMYFUNCTION("""COMPUTED_VALUE"""),"")</f>
        <v/>
      </c>
      <c r="H240" s="134" t="str">
        <f ca="1">IFERROR(__xludf.DUMMYFUNCTION("""COMPUTED_VALUE"""),"")</f>
        <v/>
      </c>
      <c r="I240" s="134" t="str">
        <f ca="1">IFERROR(__xludf.DUMMYFUNCTION("""COMPUTED_VALUE"""),"")</f>
        <v/>
      </c>
      <c r="J240" s="134" t="str">
        <f ca="1">IFERROR(__xludf.DUMMYFUNCTION("""COMPUTED_VALUE"""),"")</f>
        <v/>
      </c>
      <c r="N240" s="31"/>
    </row>
    <row r="241" spans="1:14" customFormat="1">
      <c r="A241" s="134" t="str">
        <f ca="1">IFERROR(__xludf.DUMMYFUNCTION("""COMPUTED_VALUE"""),"")</f>
        <v/>
      </c>
      <c r="B241" s="134" t="str">
        <f ca="1">IFERROR(__xludf.DUMMYFUNCTION("""COMPUTED_VALUE"""),"")</f>
        <v/>
      </c>
      <c r="C241" s="134" t="str">
        <f ca="1">IFERROR(__xludf.DUMMYFUNCTION("""COMPUTED_VALUE"""),"")</f>
        <v/>
      </c>
      <c r="D241" s="134" t="str">
        <f ca="1">IFERROR(__xludf.DUMMYFUNCTION("""COMPUTED_VALUE"""),"")</f>
        <v/>
      </c>
      <c r="E241" s="134" t="str">
        <f ca="1">IFERROR(__xludf.DUMMYFUNCTION("""COMPUTED_VALUE"""),"")</f>
        <v/>
      </c>
      <c r="F241" s="134" t="str">
        <f ca="1">IFERROR(__xludf.DUMMYFUNCTION("""COMPUTED_VALUE"""),"")</f>
        <v/>
      </c>
      <c r="G241" s="134" t="str">
        <f ca="1">IFERROR(__xludf.DUMMYFUNCTION("""COMPUTED_VALUE"""),"")</f>
        <v/>
      </c>
      <c r="H241" s="134" t="str">
        <f ca="1">IFERROR(__xludf.DUMMYFUNCTION("""COMPUTED_VALUE"""),"")</f>
        <v/>
      </c>
      <c r="I241" s="134" t="str">
        <f ca="1">IFERROR(__xludf.DUMMYFUNCTION("""COMPUTED_VALUE"""),"")</f>
        <v/>
      </c>
      <c r="J241" s="134" t="str">
        <f ca="1">IFERROR(__xludf.DUMMYFUNCTION("""COMPUTED_VALUE"""),"")</f>
        <v/>
      </c>
      <c r="N241" s="31"/>
    </row>
    <row r="242" spans="1:14" customFormat="1">
      <c r="A242" s="134" t="str">
        <f ca="1">IFERROR(__xludf.DUMMYFUNCTION("""COMPUTED_VALUE"""),"")</f>
        <v/>
      </c>
      <c r="B242" s="134" t="str">
        <f ca="1">IFERROR(__xludf.DUMMYFUNCTION("""COMPUTED_VALUE"""),"")</f>
        <v/>
      </c>
      <c r="C242" s="134" t="str">
        <f ca="1">IFERROR(__xludf.DUMMYFUNCTION("""COMPUTED_VALUE"""),"")</f>
        <v/>
      </c>
      <c r="D242" s="134" t="str">
        <f ca="1">IFERROR(__xludf.DUMMYFUNCTION("""COMPUTED_VALUE"""),"")</f>
        <v/>
      </c>
      <c r="E242" s="134" t="str">
        <f ca="1">IFERROR(__xludf.DUMMYFUNCTION("""COMPUTED_VALUE"""),"")</f>
        <v/>
      </c>
      <c r="F242" s="134" t="str">
        <f ca="1">IFERROR(__xludf.DUMMYFUNCTION("""COMPUTED_VALUE"""),"")</f>
        <v/>
      </c>
      <c r="G242" s="134" t="str">
        <f ca="1">IFERROR(__xludf.DUMMYFUNCTION("""COMPUTED_VALUE"""),"")</f>
        <v/>
      </c>
      <c r="H242" s="134" t="str">
        <f ca="1">IFERROR(__xludf.DUMMYFUNCTION("""COMPUTED_VALUE"""),"")</f>
        <v/>
      </c>
      <c r="I242" s="134" t="str">
        <f ca="1">IFERROR(__xludf.DUMMYFUNCTION("""COMPUTED_VALUE"""),"")</f>
        <v/>
      </c>
      <c r="J242" s="134" t="str">
        <f ca="1">IFERROR(__xludf.DUMMYFUNCTION("""COMPUTED_VALUE"""),"")</f>
        <v/>
      </c>
      <c r="N242" s="31"/>
    </row>
    <row r="243" spans="1:14" customFormat="1">
      <c r="A243" s="134" t="str">
        <f ca="1">IFERROR(__xludf.DUMMYFUNCTION("""COMPUTED_VALUE"""),"")</f>
        <v/>
      </c>
      <c r="B243" s="134" t="str">
        <f ca="1">IFERROR(__xludf.DUMMYFUNCTION("""COMPUTED_VALUE"""),"")</f>
        <v/>
      </c>
      <c r="C243" s="134" t="str">
        <f ca="1">IFERROR(__xludf.DUMMYFUNCTION("""COMPUTED_VALUE"""),"")</f>
        <v/>
      </c>
      <c r="D243" s="134" t="str">
        <f ca="1">IFERROR(__xludf.DUMMYFUNCTION("""COMPUTED_VALUE"""),"")</f>
        <v/>
      </c>
      <c r="E243" s="134" t="str">
        <f ca="1">IFERROR(__xludf.DUMMYFUNCTION("""COMPUTED_VALUE"""),"")</f>
        <v/>
      </c>
      <c r="F243" s="134" t="str">
        <f ca="1">IFERROR(__xludf.DUMMYFUNCTION("""COMPUTED_VALUE"""),"")</f>
        <v/>
      </c>
      <c r="G243" s="134" t="str">
        <f ca="1">IFERROR(__xludf.DUMMYFUNCTION("""COMPUTED_VALUE"""),"")</f>
        <v/>
      </c>
      <c r="H243" s="134" t="str">
        <f ca="1">IFERROR(__xludf.DUMMYFUNCTION("""COMPUTED_VALUE"""),"")</f>
        <v/>
      </c>
      <c r="I243" s="134" t="str">
        <f ca="1">IFERROR(__xludf.DUMMYFUNCTION("""COMPUTED_VALUE"""),"")</f>
        <v/>
      </c>
      <c r="J243" s="134" t="str">
        <f ca="1">IFERROR(__xludf.DUMMYFUNCTION("""COMPUTED_VALUE"""),"")</f>
        <v/>
      </c>
      <c r="N243" s="31"/>
    </row>
    <row r="244" spans="1:14" customFormat="1">
      <c r="A244" s="134" t="str">
        <f ca="1">IFERROR(__xludf.DUMMYFUNCTION("""COMPUTED_VALUE"""),"")</f>
        <v/>
      </c>
      <c r="B244" s="134" t="str">
        <f ca="1">IFERROR(__xludf.DUMMYFUNCTION("""COMPUTED_VALUE"""),"")</f>
        <v/>
      </c>
      <c r="C244" s="134" t="str">
        <f ca="1">IFERROR(__xludf.DUMMYFUNCTION("""COMPUTED_VALUE"""),"")</f>
        <v/>
      </c>
      <c r="D244" s="134" t="str">
        <f ca="1">IFERROR(__xludf.DUMMYFUNCTION("""COMPUTED_VALUE"""),"")</f>
        <v/>
      </c>
      <c r="E244" s="134" t="str">
        <f ca="1">IFERROR(__xludf.DUMMYFUNCTION("""COMPUTED_VALUE"""),"")</f>
        <v/>
      </c>
      <c r="F244" s="134" t="str">
        <f ca="1">IFERROR(__xludf.DUMMYFUNCTION("""COMPUTED_VALUE"""),"")</f>
        <v/>
      </c>
      <c r="G244" s="134" t="str">
        <f ca="1">IFERROR(__xludf.DUMMYFUNCTION("""COMPUTED_VALUE"""),"")</f>
        <v/>
      </c>
      <c r="H244" s="134" t="str">
        <f ca="1">IFERROR(__xludf.DUMMYFUNCTION("""COMPUTED_VALUE"""),"")</f>
        <v/>
      </c>
      <c r="I244" s="134" t="str">
        <f ca="1">IFERROR(__xludf.DUMMYFUNCTION("""COMPUTED_VALUE"""),"")</f>
        <v/>
      </c>
      <c r="J244" s="134" t="str">
        <f ca="1">IFERROR(__xludf.DUMMYFUNCTION("""COMPUTED_VALUE"""),"")</f>
        <v/>
      </c>
      <c r="N244" s="31"/>
    </row>
    <row r="245" spans="1:14" customFormat="1">
      <c r="A245" s="134" t="str">
        <f ca="1">IFERROR(__xludf.DUMMYFUNCTION("""COMPUTED_VALUE"""),"")</f>
        <v/>
      </c>
      <c r="B245" s="134" t="str">
        <f ca="1">IFERROR(__xludf.DUMMYFUNCTION("""COMPUTED_VALUE"""),"")</f>
        <v/>
      </c>
      <c r="C245" s="134" t="str">
        <f ca="1">IFERROR(__xludf.DUMMYFUNCTION("""COMPUTED_VALUE"""),"")</f>
        <v/>
      </c>
      <c r="D245" s="134" t="str">
        <f ca="1">IFERROR(__xludf.DUMMYFUNCTION("""COMPUTED_VALUE"""),"")</f>
        <v/>
      </c>
      <c r="E245" s="134" t="str">
        <f ca="1">IFERROR(__xludf.DUMMYFUNCTION("""COMPUTED_VALUE"""),"")</f>
        <v/>
      </c>
      <c r="F245" s="134" t="str">
        <f ca="1">IFERROR(__xludf.DUMMYFUNCTION("""COMPUTED_VALUE"""),"")</f>
        <v/>
      </c>
      <c r="G245" s="134" t="str">
        <f ca="1">IFERROR(__xludf.DUMMYFUNCTION("""COMPUTED_VALUE"""),"")</f>
        <v/>
      </c>
      <c r="H245" s="134" t="str">
        <f ca="1">IFERROR(__xludf.DUMMYFUNCTION("""COMPUTED_VALUE"""),"")</f>
        <v/>
      </c>
      <c r="I245" s="134" t="str">
        <f ca="1">IFERROR(__xludf.DUMMYFUNCTION("""COMPUTED_VALUE"""),"")</f>
        <v/>
      </c>
      <c r="J245" s="134" t="str">
        <f ca="1">IFERROR(__xludf.DUMMYFUNCTION("""COMPUTED_VALUE"""),"")</f>
        <v/>
      </c>
      <c r="N245" s="31"/>
    </row>
    <row r="246" spans="1:14" customFormat="1">
      <c r="A246" s="134" t="str">
        <f ca="1">IFERROR(__xludf.DUMMYFUNCTION("""COMPUTED_VALUE"""),"")</f>
        <v/>
      </c>
      <c r="B246" s="134" t="str">
        <f ca="1">IFERROR(__xludf.DUMMYFUNCTION("""COMPUTED_VALUE"""),"")</f>
        <v/>
      </c>
      <c r="C246" s="134" t="str">
        <f ca="1">IFERROR(__xludf.DUMMYFUNCTION("""COMPUTED_VALUE"""),"")</f>
        <v/>
      </c>
      <c r="D246" s="134" t="str">
        <f ca="1">IFERROR(__xludf.DUMMYFUNCTION("""COMPUTED_VALUE"""),"")</f>
        <v/>
      </c>
      <c r="E246" s="134" t="str">
        <f ca="1">IFERROR(__xludf.DUMMYFUNCTION("""COMPUTED_VALUE"""),"")</f>
        <v/>
      </c>
      <c r="F246" s="134" t="str">
        <f ca="1">IFERROR(__xludf.DUMMYFUNCTION("""COMPUTED_VALUE"""),"")</f>
        <v/>
      </c>
      <c r="G246" s="134" t="str">
        <f ca="1">IFERROR(__xludf.DUMMYFUNCTION("""COMPUTED_VALUE"""),"")</f>
        <v/>
      </c>
      <c r="H246" s="134" t="str">
        <f ca="1">IFERROR(__xludf.DUMMYFUNCTION("""COMPUTED_VALUE"""),"")</f>
        <v/>
      </c>
      <c r="I246" s="134" t="str">
        <f ca="1">IFERROR(__xludf.DUMMYFUNCTION("""COMPUTED_VALUE"""),"")</f>
        <v/>
      </c>
      <c r="J246" s="134" t="str">
        <f ca="1">IFERROR(__xludf.DUMMYFUNCTION("""COMPUTED_VALUE"""),"")</f>
        <v/>
      </c>
      <c r="N246" s="31"/>
    </row>
    <row r="247" spans="1:14" customFormat="1">
      <c r="A247" s="134" t="str">
        <f ca="1">IFERROR(__xludf.DUMMYFUNCTION("""COMPUTED_VALUE"""),"")</f>
        <v/>
      </c>
      <c r="B247" s="134" t="str">
        <f ca="1">IFERROR(__xludf.DUMMYFUNCTION("""COMPUTED_VALUE"""),"")</f>
        <v/>
      </c>
      <c r="C247" s="134" t="str">
        <f ca="1">IFERROR(__xludf.DUMMYFUNCTION("""COMPUTED_VALUE"""),"")</f>
        <v/>
      </c>
      <c r="D247" s="134" t="str">
        <f ca="1">IFERROR(__xludf.DUMMYFUNCTION("""COMPUTED_VALUE"""),"")</f>
        <v/>
      </c>
      <c r="E247" s="134" t="str">
        <f ca="1">IFERROR(__xludf.DUMMYFUNCTION("""COMPUTED_VALUE"""),"")</f>
        <v/>
      </c>
      <c r="F247" s="134" t="str">
        <f ca="1">IFERROR(__xludf.DUMMYFUNCTION("""COMPUTED_VALUE"""),"")</f>
        <v/>
      </c>
      <c r="G247" s="134" t="str">
        <f ca="1">IFERROR(__xludf.DUMMYFUNCTION("""COMPUTED_VALUE"""),"")</f>
        <v/>
      </c>
      <c r="H247" s="134" t="str">
        <f ca="1">IFERROR(__xludf.DUMMYFUNCTION("""COMPUTED_VALUE"""),"")</f>
        <v/>
      </c>
      <c r="I247" s="134" t="str">
        <f ca="1">IFERROR(__xludf.DUMMYFUNCTION("""COMPUTED_VALUE"""),"")</f>
        <v/>
      </c>
      <c r="J247" s="134" t="str">
        <f ca="1">IFERROR(__xludf.DUMMYFUNCTION("""COMPUTED_VALUE"""),"")</f>
        <v/>
      </c>
      <c r="N247" s="31"/>
    </row>
    <row r="248" spans="1:14" customFormat="1">
      <c r="A248" s="134" t="str">
        <f ca="1">IFERROR(__xludf.DUMMYFUNCTION("""COMPUTED_VALUE"""),"")</f>
        <v/>
      </c>
      <c r="B248" s="134" t="str">
        <f ca="1">IFERROR(__xludf.DUMMYFUNCTION("""COMPUTED_VALUE"""),"")</f>
        <v/>
      </c>
      <c r="C248" s="134" t="str">
        <f ca="1">IFERROR(__xludf.DUMMYFUNCTION("""COMPUTED_VALUE"""),"")</f>
        <v/>
      </c>
      <c r="D248" s="134" t="str">
        <f ca="1">IFERROR(__xludf.DUMMYFUNCTION("""COMPUTED_VALUE"""),"")</f>
        <v/>
      </c>
      <c r="E248" s="134" t="str">
        <f ca="1">IFERROR(__xludf.DUMMYFUNCTION("""COMPUTED_VALUE"""),"")</f>
        <v/>
      </c>
      <c r="F248" s="134" t="str">
        <f ca="1">IFERROR(__xludf.DUMMYFUNCTION("""COMPUTED_VALUE"""),"")</f>
        <v/>
      </c>
      <c r="G248" s="134" t="str">
        <f ca="1">IFERROR(__xludf.DUMMYFUNCTION("""COMPUTED_VALUE"""),"")</f>
        <v/>
      </c>
      <c r="H248" s="134" t="str">
        <f ca="1">IFERROR(__xludf.DUMMYFUNCTION("""COMPUTED_VALUE"""),"")</f>
        <v/>
      </c>
      <c r="I248" s="134" t="str">
        <f ca="1">IFERROR(__xludf.DUMMYFUNCTION("""COMPUTED_VALUE"""),"")</f>
        <v/>
      </c>
      <c r="J248" s="134" t="str">
        <f ca="1">IFERROR(__xludf.DUMMYFUNCTION("""COMPUTED_VALUE"""),"")</f>
        <v/>
      </c>
      <c r="N248" s="31"/>
    </row>
    <row r="249" spans="1:14" customFormat="1">
      <c r="A249" s="134" t="str">
        <f ca="1">IFERROR(__xludf.DUMMYFUNCTION("""COMPUTED_VALUE"""),"")</f>
        <v/>
      </c>
      <c r="B249" s="134" t="str">
        <f ca="1">IFERROR(__xludf.DUMMYFUNCTION("""COMPUTED_VALUE"""),"")</f>
        <v/>
      </c>
      <c r="C249" s="134" t="str">
        <f ca="1">IFERROR(__xludf.DUMMYFUNCTION("""COMPUTED_VALUE"""),"")</f>
        <v/>
      </c>
      <c r="D249" s="134" t="str">
        <f ca="1">IFERROR(__xludf.DUMMYFUNCTION("""COMPUTED_VALUE"""),"")</f>
        <v/>
      </c>
      <c r="E249" s="134" t="str">
        <f ca="1">IFERROR(__xludf.DUMMYFUNCTION("""COMPUTED_VALUE"""),"")</f>
        <v/>
      </c>
      <c r="F249" s="134" t="str">
        <f ca="1">IFERROR(__xludf.DUMMYFUNCTION("""COMPUTED_VALUE"""),"")</f>
        <v/>
      </c>
      <c r="G249" s="134" t="str">
        <f ca="1">IFERROR(__xludf.DUMMYFUNCTION("""COMPUTED_VALUE"""),"")</f>
        <v/>
      </c>
      <c r="H249" s="134" t="str">
        <f ca="1">IFERROR(__xludf.DUMMYFUNCTION("""COMPUTED_VALUE"""),"")</f>
        <v/>
      </c>
      <c r="I249" s="134" t="str">
        <f ca="1">IFERROR(__xludf.DUMMYFUNCTION("""COMPUTED_VALUE"""),"")</f>
        <v/>
      </c>
      <c r="J249" s="134" t="str">
        <f ca="1">IFERROR(__xludf.DUMMYFUNCTION("""COMPUTED_VALUE"""),"")</f>
        <v/>
      </c>
      <c r="N249" s="31"/>
    </row>
    <row r="250" spans="1:14" customFormat="1">
      <c r="A250" s="134" t="str">
        <f ca="1">IFERROR(__xludf.DUMMYFUNCTION("""COMPUTED_VALUE"""),"")</f>
        <v/>
      </c>
      <c r="B250" s="134" t="str">
        <f ca="1">IFERROR(__xludf.DUMMYFUNCTION("""COMPUTED_VALUE"""),"")</f>
        <v/>
      </c>
      <c r="C250" s="134" t="str">
        <f ca="1">IFERROR(__xludf.DUMMYFUNCTION("""COMPUTED_VALUE"""),"")</f>
        <v/>
      </c>
      <c r="D250" s="134" t="str">
        <f ca="1">IFERROR(__xludf.DUMMYFUNCTION("""COMPUTED_VALUE"""),"")</f>
        <v/>
      </c>
      <c r="E250" s="134" t="str">
        <f ca="1">IFERROR(__xludf.DUMMYFUNCTION("""COMPUTED_VALUE"""),"")</f>
        <v/>
      </c>
      <c r="F250" s="134" t="str">
        <f ca="1">IFERROR(__xludf.DUMMYFUNCTION("""COMPUTED_VALUE"""),"")</f>
        <v/>
      </c>
      <c r="G250" s="134" t="str">
        <f ca="1">IFERROR(__xludf.DUMMYFUNCTION("""COMPUTED_VALUE"""),"")</f>
        <v/>
      </c>
      <c r="H250" s="134" t="str">
        <f ca="1">IFERROR(__xludf.DUMMYFUNCTION("""COMPUTED_VALUE"""),"")</f>
        <v/>
      </c>
      <c r="I250" s="134" t="str">
        <f ca="1">IFERROR(__xludf.DUMMYFUNCTION("""COMPUTED_VALUE"""),"")</f>
        <v/>
      </c>
      <c r="J250" s="134" t="str">
        <f ca="1">IFERROR(__xludf.DUMMYFUNCTION("""COMPUTED_VALUE"""),"")</f>
        <v/>
      </c>
      <c r="N250" s="31"/>
    </row>
    <row r="251" spans="1:14" customFormat="1">
      <c r="A251" s="134" t="str">
        <f ca="1">IFERROR(__xludf.DUMMYFUNCTION("""COMPUTED_VALUE"""),"")</f>
        <v/>
      </c>
      <c r="B251" s="134" t="str">
        <f ca="1">IFERROR(__xludf.DUMMYFUNCTION("""COMPUTED_VALUE"""),"")</f>
        <v/>
      </c>
      <c r="C251" s="134" t="str">
        <f ca="1">IFERROR(__xludf.DUMMYFUNCTION("""COMPUTED_VALUE"""),"")</f>
        <v/>
      </c>
      <c r="D251" s="134" t="str">
        <f ca="1">IFERROR(__xludf.DUMMYFUNCTION("""COMPUTED_VALUE"""),"")</f>
        <v/>
      </c>
      <c r="E251" s="134" t="str">
        <f ca="1">IFERROR(__xludf.DUMMYFUNCTION("""COMPUTED_VALUE"""),"")</f>
        <v/>
      </c>
      <c r="F251" s="134" t="str">
        <f ca="1">IFERROR(__xludf.DUMMYFUNCTION("""COMPUTED_VALUE"""),"")</f>
        <v/>
      </c>
      <c r="G251" s="134" t="str">
        <f ca="1">IFERROR(__xludf.DUMMYFUNCTION("""COMPUTED_VALUE"""),"")</f>
        <v/>
      </c>
      <c r="H251" s="134" t="str">
        <f ca="1">IFERROR(__xludf.DUMMYFUNCTION("""COMPUTED_VALUE"""),"")</f>
        <v/>
      </c>
      <c r="I251" s="134" t="str">
        <f ca="1">IFERROR(__xludf.DUMMYFUNCTION("""COMPUTED_VALUE"""),"")</f>
        <v/>
      </c>
      <c r="J251" s="134" t="str">
        <f ca="1">IFERROR(__xludf.DUMMYFUNCTION("""COMPUTED_VALUE"""),"")</f>
        <v/>
      </c>
      <c r="N251" s="31"/>
    </row>
    <row r="252" spans="1:14" customFormat="1">
      <c r="A252" s="134" t="str">
        <f ca="1">IFERROR(__xludf.DUMMYFUNCTION("""COMPUTED_VALUE"""),"")</f>
        <v/>
      </c>
      <c r="B252" s="134" t="str">
        <f ca="1">IFERROR(__xludf.DUMMYFUNCTION("""COMPUTED_VALUE"""),"")</f>
        <v/>
      </c>
      <c r="C252" s="134" t="str">
        <f ca="1">IFERROR(__xludf.DUMMYFUNCTION("""COMPUTED_VALUE"""),"")</f>
        <v/>
      </c>
      <c r="D252" s="134" t="str">
        <f ca="1">IFERROR(__xludf.DUMMYFUNCTION("""COMPUTED_VALUE"""),"")</f>
        <v/>
      </c>
      <c r="E252" s="134" t="str">
        <f ca="1">IFERROR(__xludf.DUMMYFUNCTION("""COMPUTED_VALUE"""),"")</f>
        <v/>
      </c>
      <c r="F252" s="134" t="str">
        <f ca="1">IFERROR(__xludf.DUMMYFUNCTION("""COMPUTED_VALUE"""),"")</f>
        <v/>
      </c>
      <c r="G252" s="134" t="str">
        <f ca="1">IFERROR(__xludf.DUMMYFUNCTION("""COMPUTED_VALUE"""),"")</f>
        <v/>
      </c>
      <c r="H252" s="134" t="str">
        <f ca="1">IFERROR(__xludf.DUMMYFUNCTION("""COMPUTED_VALUE"""),"")</f>
        <v/>
      </c>
      <c r="I252" s="134" t="str">
        <f ca="1">IFERROR(__xludf.DUMMYFUNCTION("""COMPUTED_VALUE"""),"")</f>
        <v/>
      </c>
      <c r="J252" s="134" t="str">
        <f ca="1">IFERROR(__xludf.DUMMYFUNCTION("""COMPUTED_VALUE"""),"")</f>
        <v/>
      </c>
      <c r="N252" s="31"/>
    </row>
    <row r="253" spans="1:14" customFormat="1">
      <c r="A253" s="134" t="str">
        <f ca="1">IFERROR(__xludf.DUMMYFUNCTION("""COMPUTED_VALUE"""),"")</f>
        <v/>
      </c>
      <c r="B253" s="134" t="str">
        <f ca="1">IFERROR(__xludf.DUMMYFUNCTION("""COMPUTED_VALUE"""),"")</f>
        <v/>
      </c>
      <c r="C253" s="134" t="str">
        <f ca="1">IFERROR(__xludf.DUMMYFUNCTION("""COMPUTED_VALUE"""),"")</f>
        <v/>
      </c>
      <c r="D253" s="134" t="str">
        <f ca="1">IFERROR(__xludf.DUMMYFUNCTION("""COMPUTED_VALUE"""),"")</f>
        <v/>
      </c>
      <c r="E253" s="134" t="str">
        <f ca="1">IFERROR(__xludf.DUMMYFUNCTION("""COMPUTED_VALUE"""),"")</f>
        <v/>
      </c>
      <c r="F253" s="134" t="str">
        <f ca="1">IFERROR(__xludf.DUMMYFUNCTION("""COMPUTED_VALUE"""),"")</f>
        <v/>
      </c>
      <c r="G253" s="134" t="str">
        <f ca="1">IFERROR(__xludf.DUMMYFUNCTION("""COMPUTED_VALUE"""),"")</f>
        <v/>
      </c>
      <c r="H253" s="134" t="str">
        <f ca="1">IFERROR(__xludf.DUMMYFUNCTION("""COMPUTED_VALUE"""),"")</f>
        <v/>
      </c>
      <c r="I253" s="134" t="str">
        <f ca="1">IFERROR(__xludf.DUMMYFUNCTION("""COMPUTED_VALUE"""),"")</f>
        <v/>
      </c>
      <c r="J253" s="134" t="str">
        <f ca="1">IFERROR(__xludf.DUMMYFUNCTION("""COMPUTED_VALUE"""),"")</f>
        <v/>
      </c>
      <c r="N253" s="31"/>
    </row>
    <row r="254" spans="1:14" customFormat="1">
      <c r="A254" s="134" t="str">
        <f ca="1">IFERROR(__xludf.DUMMYFUNCTION("""COMPUTED_VALUE"""),"")</f>
        <v/>
      </c>
      <c r="B254" s="134" t="str">
        <f ca="1">IFERROR(__xludf.DUMMYFUNCTION("""COMPUTED_VALUE"""),"")</f>
        <v/>
      </c>
      <c r="C254" s="134" t="str">
        <f ca="1">IFERROR(__xludf.DUMMYFUNCTION("""COMPUTED_VALUE"""),"")</f>
        <v/>
      </c>
      <c r="D254" s="134" t="str">
        <f ca="1">IFERROR(__xludf.DUMMYFUNCTION("""COMPUTED_VALUE"""),"")</f>
        <v/>
      </c>
      <c r="E254" s="134" t="str">
        <f ca="1">IFERROR(__xludf.DUMMYFUNCTION("""COMPUTED_VALUE"""),"")</f>
        <v/>
      </c>
      <c r="F254" s="134" t="str">
        <f ca="1">IFERROR(__xludf.DUMMYFUNCTION("""COMPUTED_VALUE"""),"")</f>
        <v/>
      </c>
      <c r="G254" s="134" t="str">
        <f ca="1">IFERROR(__xludf.DUMMYFUNCTION("""COMPUTED_VALUE"""),"")</f>
        <v/>
      </c>
      <c r="H254" s="134" t="str">
        <f ca="1">IFERROR(__xludf.DUMMYFUNCTION("""COMPUTED_VALUE"""),"")</f>
        <v/>
      </c>
      <c r="I254" s="134" t="str">
        <f ca="1">IFERROR(__xludf.DUMMYFUNCTION("""COMPUTED_VALUE"""),"")</f>
        <v/>
      </c>
      <c r="J254" s="134" t="str">
        <f ca="1">IFERROR(__xludf.DUMMYFUNCTION("""COMPUTED_VALUE"""),"")</f>
        <v/>
      </c>
      <c r="N254" s="31"/>
    </row>
    <row r="255" spans="1:14" customFormat="1">
      <c r="A255" s="134" t="str">
        <f ca="1">IFERROR(__xludf.DUMMYFUNCTION("""COMPUTED_VALUE"""),"")</f>
        <v/>
      </c>
      <c r="B255" s="134" t="str">
        <f ca="1">IFERROR(__xludf.DUMMYFUNCTION("""COMPUTED_VALUE"""),"")</f>
        <v/>
      </c>
      <c r="C255" s="134" t="str">
        <f ca="1">IFERROR(__xludf.DUMMYFUNCTION("""COMPUTED_VALUE"""),"")</f>
        <v/>
      </c>
      <c r="D255" s="134" t="str">
        <f ca="1">IFERROR(__xludf.DUMMYFUNCTION("""COMPUTED_VALUE"""),"")</f>
        <v/>
      </c>
      <c r="E255" s="134" t="str">
        <f ca="1">IFERROR(__xludf.DUMMYFUNCTION("""COMPUTED_VALUE"""),"")</f>
        <v/>
      </c>
      <c r="F255" s="134" t="str">
        <f ca="1">IFERROR(__xludf.DUMMYFUNCTION("""COMPUTED_VALUE"""),"")</f>
        <v/>
      </c>
      <c r="G255" s="134" t="str">
        <f ca="1">IFERROR(__xludf.DUMMYFUNCTION("""COMPUTED_VALUE"""),"")</f>
        <v/>
      </c>
      <c r="H255" s="134" t="str">
        <f ca="1">IFERROR(__xludf.DUMMYFUNCTION("""COMPUTED_VALUE"""),"")</f>
        <v/>
      </c>
      <c r="I255" s="134" t="str">
        <f ca="1">IFERROR(__xludf.DUMMYFUNCTION("""COMPUTED_VALUE"""),"")</f>
        <v/>
      </c>
      <c r="J255" s="134" t="str">
        <f ca="1">IFERROR(__xludf.DUMMYFUNCTION("""COMPUTED_VALUE"""),"")</f>
        <v/>
      </c>
      <c r="N255" s="31"/>
    </row>
    <row r="256" spans="1:14" customFormat="1">
      <c r="A256" s="134" t="str">
        <f ca="1">IFERROR(__xludf.DUMMYFUNCTION("""COMPUTED_VALUE"""),"")</f>
        <v/>
      </c>
      <c r="B256" s="134" t="str">
        <f ca="1">IFERROR(__xludf.DUMMYFUNCTION("""COMPUTED_VALUE"""),"")</f>
        <v/>
      </c>
      <c r="C256" s="134" t="str">
        <f ca="1">IFERROR(__xludf.DUMMYFUNCTION("""COMPUTED_VALUE"""),"")</f>
        <v/>
      </c>
      <c r="D256" s="134" t="str">
        <f ca="1">IFERROR(__xludf.DUMMYFUNCTION("""COMPUTED_VALUE"""),"")</f>
        <v/>
      </c>
      <c r="E256" s="134" t="str">
        <f ca="1">IFERROR(__xludf.DUMMYFUNCTION("""COMPUTED_VALUE"""),"")</f>
        <v/>
      </c>
      <c r="F256" s="134" t="str">
        <f ca="1">IFERROR(__xludf.DUMMYFUNCTION("""COMPUTED_VALUE"""),"")</f>
        <v/>
      </c>
      <c r="G256" s="134" t="str">
        <f ca="1">IFERROR(__xludf.DUMMYFUNCTION("""COMPUTED_VALUE"""),"")</f>
        <v/>
      </c>
      <c r="H256" s="134" t="str">
        <f ca="1">IFERROR(__xludf.DUMMYFUNCTION("""COMPUTED_VALUE"""),"")</f>
        <v/>
      </c>
      <c r="I256" s="134" t="str">
        <f ca="1">IFERROR(__xludf.DUMMYFUNCTION("""COMPUTED_VALUE"""),"")</f>
        <v/>
      </c>
      <c r="J256" s="134" t="str">
        <f ca="1">IFERROR(__xludf.DUMMYFUNCTION("""COMPUTED_VALUE"""),"")</f>
        <v/>
      </c>
      <c r="N256" s="31"/>
    </row>
    <row r="257" spans="1:14" customFormat="1">
      <c r="A257" s="134" t="str">
        <f ca="1">IFERROR(__xludf.DUMMYFUNCTION("""COMPUTED_VALUE"""),"")</f>
        <v/>
      </c>
      <c r="B257" s="134" t="str">
        <f ca="1">IFERROR(__xludf.DUMMYFUNCTION("""COMPUTED_VALUE"""),"")</f>
        <v/>
      </c>
      <c r="C257" s="134" t="str">
        <f ca="1">IFERROR(__xludf.DUMMYFUNCTION("""COMPUTED_VALUE"""),"")</f>
        <v/>
      </c>
      <c r="D257" s="134" t="str">
        <f ca="1">IFERROR(__xludf.DUMMYFUNCTION("""COMPUTED_VALUE"""),"")</f>
        <v/>
      </c>
      <c r="E257" s="134" t="str">
        <f ca="1">IFERROR(__xludf.DUMMYFUNCTION("""COMPUTED_VALUE"""),"")</f>
        <v/>
      </c>
      <c r="F257" s="134" t="str">
        <f ca="1">IFERROR(__xludf.DUMMYFUNCTION("""COMPUTED_VALUE"""),"")</f>
        <v/>
      </c>
      <c r="G257" s="134" t="str">
        <f ca="1">IFERROR(__xludf.DUMMYFUNCTION("""COMPUTED_VALUE"""),"")</f>
        <v/>
      </c>
      <c r="H257" s="134" t="str">
        <f ca="1">IFERROR(__xludf.DUMMYFUNCTION("""COMPUTED_VALUE"""),"")</f>
        <v/>
      </c>
      <c r="I257" s="134" t="str">
        <f ca="1">IFERROR(__xludf.DUMMYFUNCTION("""COMPUTED_VALUE"""),"")</f>
        <v/>
      </c>
      <c r="J257" s="134" t="str">
        <f ca="1">IFERROR(__xludf.DUMMYFUNCTION("""COMPUTED_VALUE"""),"")</f>
        <v/>
      </c>
      <c r="N257" s="31"/>
    </row>
    <row r="258" spans="1:14" customFormat="1">
      <c r="A258" s="134" t="str">
        <f ca="1">IFERROR(__xludf.DUMMYFUNCTION("""COMPUTED_VALUE"""),"")</f>
        <v/>
      </c>
      <c r="B258" s="134" t="str">
        <f ca="1">IFERROR(__xludf.DUMMYFUNCTION("""COMPUTED_VALUE"""),"")</f>
        <v/>
      </c>
      <c r="C258" s="134" t="str">
        <f ca="1">IFERROR(__xludf.DUMMYFUNCTION("""COMPUTED_VALUE"""),"")</f>
        <v/>
      </c>
      <c r="D258" s="134" t="str">
        <f ca="1">IFERROR(__xludf.DUMMYFUNCTION("""COMPUTED_VALUE"""),"")</f>
        <v/>
      </c>
      <c r="E258" s="134" t="str">
        <f ca="1">IFERROR(__xludf.DUMMYFUNCTION("""COMPUTED_VALUE"""),"")</f>
        <v/>
      </c>
      <c r="F258" s="134" t="str">
        <f ca="1">IFERROR(__xludf.DUMMYFUNCTION("""COMPUTED_VALUE"""),"")</f>
        <v/>
      </c>
      <c r="G258" s="134" t="str">
        <f ca="1">IFERROR(__xludf.DUMMYFUNCTION("""COMPUTED_VALUE"""),"")</f>
        <v/>
      </c>
      <c r="H258" s="134" t="str">
        <f ca="1">IFERROR(__xludf.DUMMYFUNCTION("""COMPUTED_VALUE"""),"")</f>
        <v/>
      </c>
      <c r="I258" s="134" t="str">
        <f ca="1">IFERROR(__xludf.DUMMYFUNCTION("""COMPUTED_VALUE"""),"")</f>
        <v/>
      </c>
      <c r="J258" s="134" t="str">
        <f ca="1">IFERROR(__xludf.DUMMYFUNCTION("""COMPUTED_VALUE"""),"")</f>
        <v/>
      </c>
      <c r="N258" s="31"/>
    </row>
    <row r="259" spans="1:14" customFormat="1">
      <c r="A259" s="134" t="str">
        <f ca="1">IFERROR(__xludf.DUMMYFUNCTION("""COMPUTED_VALUE"""),"")</f>
        <v/>
      </c>
      <c r="B259" s="134" t="str">
        <f ca="1">IFERROR(__xludf.DUMMYFUNCTION("""COMPUTED_VALUE"""),"")</f>
        <v/>
      </c>
      <c r="C259" s="134" t="str">
        <f ca="1">IFERROR(__xludf.DUMMYFUNCTION("""COMPUTED_VALUE"""),"")</f>
        <v/>
      </c>
      <c r="D259" s="134" t="str">
        <f ca="1">IFERROR(__xludf.DUMMYFUNCTION("""COMPUTED_VALUE"""),"")</f>
        <v/>
      </c>
      <c r="E259" s="134" t="str">
        <f ca="1">IFERROR(__xludf.DUMMYFUNCTION("""COMPUTED_VALUE"""),"")</f>
        <v/>
      </c>
      <c r="F259" s="134" t="str">
        <f ca="1">IFERROR(__xludf.DUMMYFUNCTION("""COMPUTED_VALUE"""),"")</f>
        <v/>
      </c>
      <c r="G259" s="134" t="str">
        <f ca="1">IFERROR(__xludf.DUMMYFUNCTION("""COMPUTED_VALUE"""),"")</f>
        <v/>
      </c>
      <c r="H259" s="134" t="str">
        <f ca="1">IFERROR(__xludf.DUMMYFUNCTION("""COMPUTED_VALUE"""),"")</f>
        <v/>
      </c>
      <c r="I259" s="134" t="str">
        <f ca="1">IFERROR(__xludf.DUMMYFUNCTION("""COMPUTED_VALUE"""),"")</f>
        <v/>
      </c>
      <c r="J259" s="134" t="str">
        <f ca="1">IFERROR(__xludf.DUMMYFUNCTION("""COMPUTED_VALUE"""),"")</f>
        <v/>
      </c>
      <c r="N259" s="31"/>
    </row>
    <row r="260" spans="1:14" customFormat="1">
      <c r="A260" s="134" t="str">
        <f ca="1">IFERROR(__xludf.DUMMYFUNCTION("""COMPUTED_VALUE"""),"")</f>
        <v/>
      </c>
      <c r="B260" s="134" t="str">
        <f ca="1">IFERROR(__xludf.DUMMYFUNCTION("""COMPUTED_VALUE"""),"")</f>
        <v/>
      </c>
      <c r="C260" s="134" t="str">
        <f ca="1">IFERROR(__xludf.DUMMYFUNCTION("""COMPUTED_VALUE"""),"")</f>
        <v/>
      </c>
      <c r="D260" s="134" t="str">
        <f ca="1">IFERROR(__xludf.DUMMYFUNCTION("""COMPUTED_VALUE"""),"")</f>
        <v/>
      </c>
      <c r="E260" s="134" t="str">
        <f ca="1">IFERROR(__xludf.DUMMYFUNCTION("""COMPUTED_VALUE"""),"")</f>
        <v/>
      </c>
      <c r="F260" s="134" t="str">
        <f ca="1">IFERROR(__xludf.DUMMYFUNCTION("""COMPUTED_VALUE"""),"")</f>
        <v/>
      </c>
      <c r="G260" s="134" t="str">
        <f ca="1">IFERROR(__xludf.DUMMYFUNCTION("""COMPUTED_VALUE"""),"")</f>
        <v/>
      </c>
      <c r="H260" s="134" t="str">
        <f ca="1">IFERROR(__xludf.DUMMYFUNCTION("""COMPUTED_VALUE"""),"")</f>
        <v/>
      </c>
      <c r="I260" s="134" t="str">
        <f ca="1">IFERROR(__xludf.DUMMYFUNCTION("""COMPUTED_VALUE"""),"")</f>
        <v/>
      </c>
      <c r="J260" s="134" t="str">
        <f ca="1">IFERROR(__xludf.DUMMYFUNCTION("""COMPUTED_VALUE"""),"")</f>
        <v/>
      </c>
      <c r="N260" s="31"/>
    </row>
    <row r="261" spans="1:14" customFormat="1">
      <c r="A261" s="134" t="str">
        <f ca="1">IFERROR(__xludf.DUMMYFUNCTION("""COMPUTED_VALUE"""),"")</f>
        <v/>
      </c>
      <c r="B261" s="134" t="str">
        <f ca="1">IFERROR(__xludf.DUMMYFUNCTION("""COMPUTED_VALUE"""),"")</f>
        <v/>
      </c>
      <c r="C261" s="134" t="str">
        <f ca="1">IFERROR(__xludf.DUMMYFUNCTION("""COMPUTED_VALUE"""),"")</f>
        <v/>
      </c>
      <c r="D261" s="134" t="str">
        <f ca="1">IFERROR(__xludf.DUMMYFUNCTION("""COMPUTED_VALUE"""),"")</f>
        <v/>
      </c>
      <c r="E261" s="134" t="str">
        <f ca="1">IFERROR(__xludf.DUMMYFUNCTION("""COMPUTED_VALUE"""),"")</f>
        <v/>
      </c>
      <c r="F261" s="134" t="str">
        <f ca="1">IFERROR(__xludf.DUMMYFUNCTION("""COMPUTED_VALUE"""),"")</f>
        <v/>
      </c>
      <c r="G261" s="134" t="str">
        <f ca="1">IFERROR(__xludf.DUMMYFUNCTION("""COMPUTED_VALUE"""),"")</f>
        <v/>
      </c>
      <c r="H261" s="134" t="str">
        <f ca="1">IFERROR(__xludf.DUMMYFUNCTION("""COMPUTED_VALUE"""),"")</f>
        <v/>
      </c>
      <c r="I261" s="134" t="str">
        <f ca="1">IFERROR(__xludf.DUMMYFUNCTION("""COMPUTED_VALUE"""),"")</f>
        <v/>
      </c>
      <c r="J261" s="134" t="str">
        <f ca="1">IFERROR(__xludf.DUMMYFUNCTION("""COMPUTED_VALUE"""),"")</f>
        <v/>
      </c>
      <c r="N261" s="31"/>
    </row>
    <row r="262" spans="1:14" customFormat="1">
      <c r="A262" s="134" t="str">
        <f ca="1">IFERROR(__xludf.DUMMYFUNCTION("""COMPUTED_VALUE"""),"")</f>
        <v/>
      </c>
      <c r="B262" s="134" t="str">
        <f ca="1">IFERROR(__xludf.DUMMYFUNCTION("""COMPUTED_VALUE"""),"")</f>
        <v/>
      </c>
      <c r="C262" s="134" t="str">
        <f ca="1">IFERROR(__xludf.DUMMYFUNCTION("""COMPUTED_VALUE"""),"")</f>
        <v/>
      </c>
      <c r="D262" s="134" t="str">
        <f ca="1">IFERROR(__xludf.DUMMYFUNCTION("""COMPUTED_VALUE"""),"")</f>
        <v/>
      </c>
      <c r="E262" s="134" t="str">
        <f ca="1">IFERROR(__xludf.DUMMYFUNCTION("""COMPUTED_VALUE"""),"")</f>
        <v/>
      </c>
      <c r="F262" s="134" t="str">
        <f ca="1">IFERROR(__xludf.DUMMYFUNCTION("""COMPUTED_VALUE"""),"")</f>
        <v/>
      </c>
      <c r="G262" s="134" t="str">
        <f ca="1">IFERROR(__xludf.DUMMYFUNCTION("""COMPUTED_VALUE"""),"")</f>
        <v/>
      </c>
      <c r="H262" s="134" t="str">
        <f ca="1">IFERROR(__xludf.DUMMYFUNCTION("""COMPUTED_VALUE"""),"")</f>
        <v/>
      </c>
      <c r="I262" s="134" t="str">
        <f ca="1">IFERROR(__xludf.DUMMYFUNCTION("""COMPUTED_VALUE"""),"")</f>
        <v/>
      </c>
      <c r="J262" s="134" t="str">
        <f ca="1">IFERROR(__xludf.DUMMYFUNCTION("""COMPUTED_VALUE"""),"")</f>
        <v/>
      </c>
      <c r="N262" s="31"/>
    </row>
    <row r="263" spans="1:14" customFormat="1">
      <c r="A263" s="134" t="str">
        <f ca="1">IFERROR(__xludf.DUMMYFUNCTION("""COMPUTED_VALUE"""),"")</f>
        <v/>
      </c>
      <c r="B263" s="134" t="str">
        <f ca="1">IFERROR(__xludf.DUMMYFUNCTION("""COMPUTED_VALUE"""),"")</f>
        <v/>
      </c>
      <c r="C263" s="134" t="str">
        <f ca="1">IFERROR(__xludf.DUMMYFUNCTION("""COMPUTED_VALUE"""),"")</f>
        <v/>
      </c>
      <c r="D263" s="134" t="str">
        <f ca="1">IFERROR(__xludf.DUMMYFUNCTION("""COMPUTED_VALUE"""),"")</f>
        <v/>
      </c>
      <c r="E263" s="134" t="str">
        <f ca="1">IFERROR(__xludf.DUMMYFUNCTION("""COMPUTED_VALUE"""),"")</f>
        <v/>
      </c>
      <c r="F263" s="134" t="str">
        <f ca="1">IFERROR(__xludf.DUMMYFUNCTION("""COMPUTED_VALUE"""),"")</f>
        <v/>
      </c>
      <c r="G263" s="134" t="str">
        <f ca="1">IFERROR(__xludf.DUMMYFUNCTION("""COMPUTED_VALUE"""),"")</f>
        <v/>
      </c>
      <c r="H263" s="134" t="str">
        <f ca="1">IFERROR(__xludf.DUMMYFUNCTION("""COMPUTED_VALUE"""),"")</f>
        <v/>
      </c>
      <c r="I263" s="134" t="str">
        <f ca="1">IFERROR(__xludf.DUMMYFUNCTION("""COMPUTED_VALUE"""),"")</f>
        <v/>
      </c>
      <c r="J263" s="134" t="str">
        <f ca="1">IFERROR(__xludf.DUMMYFUNCTION("""COMPUTED_VALUE"""),"")</f>
        <v/>
      </c>
      <c r="N263" s="31"/>
    </row>
    <row r="264" spans="1:14" customFormat="1">
      <c r="A264" s="134" t="str">
        <f ca="1">IFERROR(__xludf.DUMMYFUNCTION("""COMPUTED_VALUE"""),"")</f>
        <v/>
      </c>
      <c r="B264" s="134" t="str">
        <f ca="1">IFERROR(__xludf.DUMMYFUNCTION("""COMPUTED_VALUE"""),"")</f>
        <v/>
      </c>
      <c r="C264" s="134" t="str">
        <f ca="1">IFERROR(__xludf.DUMMYFUNCTION("""COMPUTED_VALUE"""),"")</f>
        <v/>
      </c>
      <c r="D264" s="134" t="str">
        <f ca="1">IFERROR(__xludf.DUMMYFUNCTION("""COMPUTED_VALUE"""),"")</f>
        <v/>
      </c>
      <c r="E264" s="134" t="str">
        <f ca="1">IFERROR(__xludf.DUMMYFUNCTION("""COMPUTED_VALUE"""),"")</f>
        <v/>
      </c>
      <c r="F264" s="134" t="str">
        <f ca="1">IFERROR(__xludf.DUMMYFUNCTION("""COMPUTED_VALUE"""),"")</f>
        <v/>
      </c>
      <c r="G264" s="134" t="str">
        <f ca="1">IFERROR(__xludf.DUMMYFUNCTION("""COMPUTED_VALUE"""),"")</f>
        <v/>
      </c>
      <c r="H264" s="134" t="str">
        <f ca="1">IFERROR(__xludf.DUMMYFUNCTION("""COMPUTED_VALUE"""),"")</f>
        <v/>
      </c>
      <c r="I264" s="134" t="str">
        <f ca="1">IFERROR(__xludf.DUMMYFUNCTION("""COMPUTED_VALUE"""),"")</f>
        <v/>
      </c>
      <c r="J264" s="134" t="str">
        <f ca="1">IFERROR(__xludf.DUMMYFUNCTION("""COMPUTED_VALUE"""),"")</f>
        <v/>
      </c>
      <c r="N264" s="31"/>
    </row>
    <row r="265" spans="1:14" customFormat="1">
      <c r="A265" s="134" t="str">
        <f ca="1">IFERROR(__xludf.DUMMYFUNCTION("""COMPUTED_VALUE"""),"")</f>
        <v/>
      </c>
      <c r="B265" s="134" t="str">
        <f ca="1">IFERROR(__xludf.DUMMYFUNCTION("""COMPUTED_VALUE"""),"")</f>
        <v/>
      </c>
      <c r="C265" s="134" t="str">
        <f ca="1">IFERROR(__xludf.DUMMYFUNCTION("""COMPUTED_VALUE"""),"")</f>
        <v/>
      </c>
      <c r="D265" s="134" t="str">
        <f ca="1">IFERROR(__xludf.DUMMYFUNCTION("""COMPUTED_VALUE"""),"")</f>
        <v/>
      </c>
      <c r="E265" s="134" t="str">
        <f ca="1">IFERROR(__xludf.DUMMYFUNCTION("""COMPUTED_VALUE"""),"")</f>
        <v/>
      </c>
      <c r="F265" s="134" t="str">
        <f ca="1">IFERROR(__xludf.DUMMYFUNCTION("""COMPUTED_VALUE"""),"")</f>
        <v/>
      </c>
      <c r="G265" s="134" t="str">
        <f ca="1">IFERROR(__xludf.DUMMYFUNCTION("""COMPUTED_VALUE"""),"")</f>
        <v/>
      </c>
      <c r="H265" s="134" t="str">
        <f ca="1">IFERROR(__xludf.DUMMYFUNCTION("""COMPUTED_VALUE"""),"")</f>
        <v/>
      </c>
      <c r="I265" s="134" t="str">
        <f ca="1">IFERROR(__xludf.DUMMYFUNCTION("""COMPUTED_VALUE"""),"")</f>
        <v/>
      </c>
      <c r="J265" s="134" t="str">
        <f ca="1">IFERROR(__xludf.DUMMYFUNCTION("""COMPUTED_VALUE"""),"")</f>
        <v/>
      </c>
      <c r="N265" s="31"/>
    </row>
    <row r="266" spans="1:14" customFormat="1">
      <c r="A266" s="134" t="str">
        <f ca="1">IFERROR(__xludf.DUMMYFUNCTION("""COMPUTED_VALUE"""),"")</f>
        <v/>
      </c>
      <c r="B266" s="134" t="str">
        <f ca="1">IFERROR(__xludf.DUMMYFUNCTION("""COMPUTED_VALUE"""),"")</f>
        <v/>
      </c>
      <c r="C266" s="134" t="str">
        <f ca="1">IFERROR(__xludf.DUMMYFUNCTION("""COMPUTED_VALUE"""),"")</f>
        <v/>
      </c>
      <c r="D266" s="134" t="str">
        <f ca="1">IFERROR(__xludf.DUMMYFUNCTION("""COMPUTED_VALUE"""),"")</f>
        <v/>
      </c>
      <c r="E266" s="134" t="str">
        <f ca="1">IFERROR(__xludf.DUMMYFUNCTION("""COMPUTED_VALUE"""),"")</f>
        <v/>
      </c>
      <c r="F266" s="134" t="str">
        <f ca="1">IFERROR(__xludf.DUMMYFUNCTION("""COMPUTED_VALUE"""),"")</f>
        <v/>
      </c>
      <c r="G266" s="134" t="str">
        <f ca="1">IFERROR(__xludf.DUMMYFUNCTION("""COMPUTED_VALUE"""),"")</f>
        <v/>
      </c>
      <c r="H266" s="134" t="str">
        <f ca="1">IFERROR(__xludf.DUMMYFUNCTION("""COMPUTED_VALUE"""),"")</f>
        <v/>
      </c>
      <c r="I266" s="134" t="str">
        <f ca="1">IFERROR(__xludf.DUMMYFUNCTION("""COMPUTED_VALUE"""),"")</f>
        <v/>
      </c>
      <c r="J266" s="134" t="str">
        <f ca="1">IFERROR(__xludf.DUMMYFUNCTION("""COMPUTED_VALUE"""),"")</f>
        <v/>
      </c>
      <c r="N266" s="31"/>
    </row>
    <row r="267" spans="1:14" customFormat="1">
      <c r="A267" s="134" t="str">
        <f ca="1">IFERROR(__xludf.DUMMYFUNCTION("""COMPUTED_VALUE"""),"")</f>
        <v/>
      </c>
      <c r="B267" s="134" t="str">
        <f ca="1">IFERROR(__xludf.DUMMYFUNCTION("""COMPUTED_VALUE"""),"")</f>
        <v/>
      </c>
      <c r="C267" s="134" t="str">
        <f ca="1">IFERROR(__xludf.DUMMYFUNCTION("""COMPUTED_VALUE"""),"")</f>
        <v/>
      </c>
      <c r="D267" s="134" t="str">
        <f ca="1">IFERROR(__xludf.DUMMYFUNCTION("""COMPUTED_VALUE"""),"")</f>
        <v/>
      </c>
      <c r="E267" s="134" t="str">
        <f ca="1">IFERROR(__xludf.DUMMYFUNCTION("""COMPUTED_VALUE"""),"")</f>
        <v/>
      </c>
      <c r="F267" s="134" t="str">
        <f ca="1">IFERROR(__xludf.DUMMYFUNCTION("""COMPUTED_VALUE"""),"")</f>
        <v/>
      </c>
      <c r="G267" s="134" t="str">
        <f ca="1">IFERROR(__xludf.DUMMYFUNCTION("""COMPUTED_VALUE"""),"")</f>
        <v/>
      </c>
      <c r="H267" s="134" t="str">
        <f ca="1">IFERROR(__xludf.DUMMYFUNCTION("""COMPUTED_VALUE"""),"")</f>
        <v/>
      </c>
      <c r="I267" s="134" t="str">
        <f ca="1">IFERROR(__xludf.DUMMYFUNCTION("""COMPUTED_VALUE"""),"")</f>
        <v/>
      </c>
      <c r="J267" s="134" t="str">
        <f ca="1">IFERROR(__xludf.DUMMYFUNCTION("""COMPUTED_VALUE"""),"")</f>
        <v/>
      </c>
      <c r="N267" s="31"/>
    </row>
    <row r="268" spans="1:14" customFormat="1">
      <c r="A268" s="134" t="str">
        <f ca="1">IFERROR(__xludf.DUMMYFUNCTION("""COMPUTED_VALUE"""),"")</f>
        <v/>
      </c>
      <c r="B268" s="134" t="str">
        <f ca="1">IFERROR(__xludf.DUMMYFUNCTION("""COMPUTED_VALUE"""),"")</f>
        <v/>
      </c>
      <c r="C268" s="134" t="str">
        <f ca="1">IFERROR(__xludf.DUMMYFUNCTION("""COMPUTED_VALUE"""),"")</f>
        <v/>
      </c>
      <c r="D268" s="134" t="str">
        <f ca="1">IFERROR(__xludf.DUMMYFUNCTION("""COMPUTED_VALUE"""),"")</f>
        <v/>
      </c>
      <c r="E268" s="134" t="str">
        <f ca="1">IFERROR(__xludf.DUMMYFUNCTION("""COMPUTED_VALUE"""),"")</f>
        <v/>
      </c>
      <c r="F268" s="134" t="str">
        <f ca="1">IFERROR(__xludf.DUMMYFUNCTION("""COMPUTED_VALUE"""),"")</f>
        <v/>
      </c>
      <c r="G268" s="134" t="str">
        <f ca="1">IFERROR(__xludf.DUMMYFUNCTION("""COMPUTED_VALUE"""),"")</f>
        <v/>
      </c>
      <c r="H268" s="134" t="str">
        <f ca="1">IFERROR(__xludf.DUMMYFUNCTION("""COMPUTED_VALUE"""),"")</f>
        <v/>
      </c>
      <c r="I268" s="134" t="str">
        <f ca="1">IFERROR(__xludf.DUMMYFUNCTION("""COMPUTED_VALUE"""),"")</f>
        <v/>
      </c>
      <c r="J268" s="134" t="str">
        <f ca="1">IFERROR(__xludf.DUMMYFUNCTION("""COMPUTED_VALUE"""),"")</f>
        <v/>
      </c>
      <c r="N268" s="31"/>
    </row>
    <row r="269" spans="1:14" customFormat="1">
      <c r="A269" s="134" t="str">
        <f ca="1">IFERROR(__xludf.DUMMYFUNCTION("""COMPUTED_VALUE"""),"")</f>
        <v/>
      </c>
      <c r="B269" s="134" t="str">
        <f ca="1">IFERROR(__xludf.DUMMYFUNCTION("""COMPUTED_VALUE"""),"")</f>
        <v/>
      </c>
      <c r="C269" s="134" t="str">
        <f ca="1">IFERROR(__xludf.DUMMYFUNCTION("""COMPUTED_VALUE"""),"")</f>
        <v/>
      </c>
      <c r="D269" s="134" t="str">
        <f ca="1">IFERROR(__xludf.DUMMYFUNCTION("""COMPUTED_VALUE"""),"")</f>
        <v/>
      </c>
      <c r="E269" s="134" t="str">
        <f ca="1">IFERROR(__xludf.DUMMYFUNCTION("""COMPUTED_VALUE"""),"")</f>
        <v/>
      </c>
      <c r="F269" s="134" t="str">
        <f ca="1">IFERROR(__xludf.DUMMYFUNCTION("""COMPUTED_VALUE"""),"")</f>
        <v/>
      </c>
      <c r="G269" s="134" t="str">
        <f ca="1">IFERROR(__xludf.DUMMYFUNCTION("""COMPUTED_VALUE"""),"")</f>
        <v/>
      </c>
      <c r="H269" s="134" t="str">
        <f ca="1">IFERROR(__xludf.DUMMYFUNCTION("""COMPUTED_VALUE"""),"")</f>
        <v/>
      </c>
      <c r="I269" s="134" t="str">
        <f ca="1">IFERROR(__xludf.DUMMYFUNCTION("""COMPUTED_VALUE"""),"")</f>
        <v/>
      </c>
      <c r="J269" s="134" t="str">
        <f ca="1">IFERROR(__xludf.DUMMYFUNCTION("""COMPUTED_VALUE"""),"")</f>
        <v/>
      </c>
      <c r="N269" s="31"/>
    </row>
    <row r="270" spans="1:14" customFormat="1">
      <c r="A270" s="134" t="str">
        <f ca="1">IFERROR(__xludf.DUMMYFUNCTION("""COMPUTED_VALUE"""),"")</f>
        <v/>
      </c>
      <c r="B270" s="134" t="str">
        <f ca="1">IFERROR(__xludf.DUMMYFUNCTION("""COMPUTED_VALUE"""),"")</f>
        <v/>
      </c>
      <c r="C270" s="134" t="str">
        <f ca="1">IFERROR(__xludf.DUMMYFUNCTION("""COMPUTED_VALUE"""),"")</f>
        <v/>
      </c>
      <c r="D270" s="134" t="str">
        <f ca="1">IFERROR(__xludf.DUMMYFUNCTION("""COMPUTED_VALUE"""),"")</f>
        <v/>
      </c>
      <c r="E270" s="134" t="str">
        <f ca="1">IFERROR(__xludf.DUMMYFUNCTION("""COMPUTED_VALUE"""),"")</f>
        <v/>
      </c>
      <c r="F270" s="134" t="str">
        <f ca="1">IFERROR(__xludf.DUMMYFUNCTION("""COMPUTED_VALUE"""),"")</f>
        <v/>
      </c>
      <c r="G270" s="134" t="str">
        <f ca="1">IFERROR(__xludf.DUMMYFUNCTION("""COMPUTED_VALUE"""),"")</f>
        <v/>
      </c>
      <c r="H270" s="134" t="str">
        <f ca="1">IFERROR(__xludf.DUMMYFUNCTION("""COMPUTED_VALUE"""),"")</f>
        <v/>
      </c>
      <c r="I270" s="134" t="str">
        <f ca="1">IFERROR(__xludf.DUMMYFUNCTION("""COMPUTED_VALUE"""),"")</f>
        <v/>
      </c>
      <c r="J270" s="134" t="str">
        <f ca="1">IFERROR(__xludf.DUMMYFUNCTION("""COMPUTED_VALUE"""),"")</f>
        <v/>
      </c>
      <c r="N270" s="31"/>
    </row>
    <row r="271" spans="1:14" customFormat="1">
      <c r="A271" s="134" t="str">
        <f ca="1">IFERROR(__xludf.DUMMYFUNCTION("""COMPUTED_VALUE"""),"")</f>
        <v/>
      </c>
      <c r="B271" s="134" t="str">
        <f ca="1">IFERROR(__xludf.DUMMYFUNCTION("""COMPUTED_VALUE"""),"")</f>
        <v/>
      </c>
      <c r="C271" s="134" t="str">
        <f ca="1">IFERROR(__xludf.DUMMYFUNCTION("""COMPUTED_VALUE"""),"")</f>
        <v/>
      </c>
      <c r="D271" s="134" t="str">
        <f ca="1">IFERROR(__xludf.DUMMYFUNCTION("""COMPUTED_VALUE"""),"")</f>
        <v/>
      </c>
      <c r="E271" s="134" t="str">
        <f ca="1">IFERROR(__xludf.DUMMYFUNCTION("""COMPUTED_VALUE"""),"")</f>
        <v/>
      </c>
      <c r="F271" s="134" t="str">
        <f ca="1">IFERROR(__xludf.DUMMYFUNCTION("""COMPUTED_VALUE"""),"")</f>
        <v/>
      </c>
      <c r="G271" s="134" t="str">
        <f ca="1">IFERROR(__xludf.DUMMYFUNCTION("""COMPUTED_VALUE"""),"")</f>
        <v/>
      </c>
      <c r="H271" s="134" t="str">
        <f ca="1">IFERROR(__xludf.DUMMYFUNCTION("""COMPUTED_VALUE"""),"")</f>
        <v/>
      </c>
      <c r="I271" s="134" t="str">
        <f ca="1">IFERROR(__xludf.DUMMYFUNCTION("""COMPUTED_VALUE"""),"")</f>
        <v/>
      </c>
      <c r="J271" s="134" t="str">
        <f ca="1">IFERROR(__xludf.DUMMYFUNCTION("""COMPUTED_VALUE"""),"")</f>
        <v/>
      </c>
      <c r="N271" s="31"/>
    </row>
    <row r="272" spans="1:14" customFormat="1">
      <c r="A272" s="134" t="str">
        <f ca="1">IFERROR(__xludf.DUMMYFUNCTION("""COMPUTED_VALUE"""),"")</f>
        <v/>
      </c>
      <c r="B272" s="134" t="str">
        <f ca="1">IFERROR(__xludf.DUMMYFUNCTION("""COMPUTED_VALUE"""),"")</f>
        <v/>
      </c>
      <c r="C272" s="134" t="str">
        <f ca="1">IFERROR(__xludf.DUMMYFUNCTION("""COMPUTED_VALUE"""),"")</f>
        <v/>
      </c>
      <c r="D272" s="134" t="str">
        <f ca="1">IFERROR(__xludf.DUMMYFUNCTION("""COMPUTED_VALUE"""),"")</f>
        <v/>
      </c>
      <c r="E272" s="134" t="str">
        <f ca="1">IFERROR(__xludf.DUMMYFUNCTION("""COMPUTED_VALUE"""),"")</f>
        <v/>
      </c>
      <c r="F272" s="134" t="str">
        <f ca="1">IFERROR(__xludf.DUMMYFUNCTION("""COMPUTED_VALUE"""),"")</f>
        <v/>
      </c>
      <c r="G272" s="134" t="str">
        <f ca="1">IFERROR(__xludf.DUMMYFUNCTION("""COMPUTED_VALUE"""),"")</f>
        <v/>
      </c>
      <c r="H272" s="134" t="str">
        <f ca="1">IFERROR(__xludf.DUMMYFUNCTION("""COMPUTED_VALUE"""),"")</f>
        <v/>
      </c>
      <c r="I272" s="134" t="str">
        <f ca="1">IFERROR(__xludf.DUMMYFUNCTION("""COMPUTED_VALUE"""),"")</f>
        <v/>
      </c>
      <c r="J272" s="134" t="str">
        <f ca="1">IFERROR(__xludf.DUMMYFUNCTION("""COMPUTED_VALUE"""),"")</f>
        <v/>
      </c>
      <c r="N272" s="31"/>
    </row>
    <row r="273" spans="1:14" customFormat="1">
      <c r="A273" s="134" t="str">
        <f ca="1">IFERROR(__xludf.DUMMYFUNCTION("""COMPUTED_VALUE"""),"")</f>
        <v/>
      </c>
      <c r="B273" s="134" t="str">
        <f ca="1">IFERROR(__xludf.DUMMYFUNCTION("""COMPUTED_VALUE"""),"")</f>
        <v/>
      </c>
      <c r="C273" s="134" t="str">
        <f ca="1">IFERROR(__xludf.DUMMYFUNCTION("""COMPUTED_VALUE"""),"")</f>
        <v/>
      </c>
      <c r="D273" s="134" t="str">
        <f ca="1">IFERROR(__xludf.DUMMYFUNCTION("""COMPUTED_VALUE"""),"")</f>
        <v/>
      </c>
      <c r="E273" s="134" t="str">
        <f ca="1">IFERROR(__xludf.DUMMYFUNCTION("""COMPUTED_VALUE"""),"")</f>
        <v/>
      </c>
      <c r="F273" s="134" t="str">
        <f ca="1">IFERROR(__xludf.DUMMYFUNCTION("""COMPUTED_VALUE"""),"")</f>
        <v/>
      </c>
      <c r="G273" s="134" t="str">
        <f ca="1">IFERROR(__xludf.DUMMYFUNCTION("""COMPUTED_VALUE"""),"")</f>
        <v/>
      </c>
      <c r="H273" s="134" t="str">
        <f ca="1">IFERROR(__xludf.DUMMYFUNCTION("""COMPUTED_VALUE"""),"")</f>
        <v/>
      </c>
      <c r="I273" s="134" t="str">
        <f ca="1">IFERROR(__xludf.DUMMYFUNCTION("""COMPUTED_VALUE"""),"")</f>
        <v/>
      </c>
      <c r="J273" s="134" t="str">
        <f ca="1">IFERROR(__xludf.DUMMYFUNCTION("""COMPUTED_VALUE"""),"")</f>
        <v/>
      </c>
      <c r="N273" s="31"/>
    </row>
    <row r="274" spans="1:14" customFormat="1">
      <c r="A274" s="134" t="str">
        <f ca="1">IFERROR(__xludf.DUMMYFUNCTION("""COMPUTED_VALUE"""),"")</f>
        <v/>
      </c>
      <c r="B274" s="134" t="str">
        <f ca="1">IFERROR(__xludf.DUMMYFUNCTION("""COMPUTED_VALUE"""),"")</f>
        <v/>
      </c>
      <c r="C274" s="134" t="str">
        <f ca="1">IFERROR(__xludf.DUMMYFUNCTION("""COMPUTED_VALUE"""),"")</f>
        <v/>
      </c>
      <c r="D274" s="134" t="str">
        <f ca="1">IFERROR(__xludf.DUMMYFUNCTION("""COMPUTED_VALUE"""),"")</f>
        <v/>
      </c>
      <c r="E274" s="134" t="str">
        <f ca="1">IFERROR(__xludf.DUMMYFUNCTION("""COMPUTED_VALUE"""),"")</f>
        <v/>
      </c>
      <c r="F274" s="134" t="str">
        <f ca="1">IFERROR(__xludf.DUMMYFUNCTION("""COMPUTED_VALUE"""),"")</f>
        <v/>
      </c>
      <c r="G274" s="134" t="str">
        <f ca="1">IFERROR(__xludf.DUMMYFUNCTION("""COMPUTED_VALUE"""),"")</f>
        <v/>
      </c>
      <c r="H274" s="134" t="str">
        <f ca="1">IFERROR(__xludf.DUMMYFUNCTION("""COMPUTED_VALUE"""),"")</f>
        <v/>
      </c>
      <c r="I274" s="134" t="str">
        <f ca="1">IFERROR(__xludf.DUMMYFUNCTION("""COMPUTED_VALUE"""),"")</f>
        <v/>
      </c>
      <c r="J274" s="134" t="str">
        <f ca="1">IFERROR(__xludf.DUMMYFUNCTION("""COMPUTED_VALUE"""),"")</f>
        <v/>
      </c>
      <c r="N274" s="31"/>
    </row>
    <row r="275" spans="1:14" customFormat="1">
      <c r="A275" s="134" t="str">
        <f ca="1">IFERROR(__xludf.DUMMYFUNCTION("""COMPUTED_VALUE"""),"")</f>
        <v/>
      </c>
      <c r="B275" s="134" t="str">
        <f ca="1">IFERROR(__xludf.DUMMYFUNCTION("""COMPUTED_VALUE"""),"")</f>
        <v/>
      </c>
      <c r="C275" s="134" t="str">
        <f ca="1">IFERROR(__xludf.DUMMYFUNCTION("""COMPUTED_VALUE"""),"")</f>
        <v/>
      </c>
      <c r="D275" s="134" t="str">
        <f ca="1">IFERROR(__xludf.DUMMYFUNCTION("""COMPUTED_VALUE"""),"")</f>
        <v/>
      </c>
      <c r="E275" s="134" t="str">
        <f ca="1">IFERROR(__xludf.DUMMYFUNCTION("""COMPUTED_VALUE"""),"")</f>
        <v/>
      </c>
      <c r="F275" s="134" t="str">
        <f ca="1">IFERROR(__xludf.DUMMYFUNCTION("""COMPUTED_VALUE"""),"")</f>
        <v/>
      </c>
      <c r="G275" s="134" t="str">
        <f ca="1">IFERROR(__xludf.DUMMYFUNCTION("""COMPUTED_VALUE"""),"")</f>
        <v/>
      </c>
      <c r="H275" s="134" t="str">
        <f ca="1">IFERROR(__xludf.DUMMYFUNCTION("""COMPUTED_VALUE"""),"")</f>
        <v/>
      </c>
      <c r="I275" s="134" t="str">
        <f ca="1">IFERROR(__xludf.DUMMYFUNCTION("""COMPUTED_VALUE"""),"")</f>
        <v/>
      </c>
      <c r="J275" s="134" t="str">
        <f ca="1">IFERROR(__xludf.DUMMYFUNCTION("""COMPUTED_VALUE"""),"")</f>
        <v/>
      </c>
      <c r="N275" s="31"/>
    </row>
    <row r="276" spans="1:14" customFormat="1">
      <c r="A276" s="134" t="str">
        <f ca="1">IFERROR(__xludf.DUMMYFUNCTION("""COMPUTED_VALUE"""),"")</f>
        <v/>
      </c>
      <c r="B276" s="134" t="str">
        <f ca="1">IFERROR(__xludf.DUMMYFUNCTION("""COMPUTED_VALUE"""),"")</f>
        <v/>
      </c>
      <c r="C276" s="134" t="str">
        <f ca="1">IFERROR(__xludf.DUMMYFUNCTION("""COMPUTED_VALUE"""),"")</f>
        <v/>
      </c>
      <c r="D276" s="134" t="str">
        <f ca="1">IFERROR(__xludf.DUMMYFUNCTION("""COMPUTED_VALUE"""),"")</f>
        <v/>
      </c>
      <c r="E276" s="134" t="str">
        <f ca="1">IFERROR(__xludf.DUMMYFUNCTION("""COMPUTED_VALUE"""),"")</f>
        <v/>
      </c>
      <c r="F276" s="134" t="str">
        <f ca="1">IFERROR(__xludf.DUMMYFUNCTION("""COMPUTED_VALUE"""),"")</f>
        <v/>
      </c>
      <c r="G276" s="134" t="str">
        <f ca="1">IFERROR(__xludf.DUMMYFUNCTION("""COMPUTED_VALUE"""),"")</f>
        <v/>
      </c>
      <c r="H276" s="134" t="str">
        <f ca="1">IFERROR(__xludf.DUMMYFUNCTION("""COMPUTED_VALUE"""),"")</f>
        <v/>
      </c>
      <c r="I276" s="134" t="str">
        <f ca="1">IFERROR(__xludf.DUMMYFUNCTION("""COMPUTED_VALUE"""),"")</f>
        <v/>
      </c>
      <c r="J276" s="134" t="str">
        <f ca="1">IFERROR(__xludf.DUMMYFUNCTION("""COMPUTED_VALUE"""),"")</f>
        <v/>
      </c>
      <c r="N276" s="31"/>
    </row>
    <row r="277" spans="1:14" customFormat="1">
      <c r="A277" s="134" t="str">
        <f ca="1">IFERROR(__xludf.DUMMYFUNCTION("""COMPUTED_VALUE"""),"")</f>
        <v/>
      </c>
      <c r="B277" s="134" t="str">
        <f ca="1">IFERROR(__xludf.DUMMYFUNCTION("""COMPUTED_VALUE"""),"")</f>
        <v/>
      </c>
      <c r="C277" s="134" t="str">
        <f ca="1">IFERROR(__xludf.DUMMYFUNCTION("""COMPUTED_VALUE"""),"")</f>
        <v/>
      </c>
      <c r="D277" s="134" t="str">
        <f ca="1">IFERROR(__xludf.DUMMYFUNCTION("""COMPUTED_VALUE"""),"")</f>
        <v/>
      </c>
      <c r="E277" s="134" t="str">
        <f ca="1">IFERROR(__xludf.DUMMYFUNCTION("""COMPUTED_VALUE"""),"")</f>
        <v/>
      </c>
      <c r="F277" s="134" t="str">
        <f ca="1">IFERROR(__xludf.DUMMYFUNCTION("""COMPUTED_VALUE"""),"")</f>
        <v/>
      </c>
      <c r="G277" s="134" t="str">
        <f ca="1">IFERROR(__xludf.DUMMYFUNCTION("""COMPUTED_VALUE"""),"")</f>
        <v/>
      </c>
      <c r="H277" s="134" t="str">
        <f ca="1">IFERROR(__xludf.DUMMYFUNCTION("""COMPUTED_VALUE"""),"")</f>
        <v/>
      </c>
      <c r="I277" s="134" t="str">
        <f ca="1">IFERROR(__xludf.DUMMYFUNCTION("""COMPUTED_VALUE"""),"")</f>
        <v/>
      </c>
      <c r="J277" s="134" t="str">
        <f ca="1">IFERROR(__xludf.DUMMYFUNCTION("""COMPUTED_VALUE"""),"")</f>
        <v/>
      </c>
      <c r="N277" s="31"/>
    </row>
    <row r="278" spans="1:14" customFormat="1">
      <c r="A278" s="134" t="str">
        <f ca="1">IFERROR(__xludf.DUMMYFUNCTION("""COMPUTED_VALUE"""),"")</f>
        <v/>
      </c>
      <c r="B278" s="134" t="str">
        <f ca="1">IFERROR(__xludf.DUMMYFUNCTION("""COMPUTED_VALUE"""),"")</f>
        <v/>
      </c>
      <c r="C278" s="134" t="str">
        <f ca="1">IFERROR(__xludf.DUMMYFUNCTION("""COMPUTED_VALUE"""),"")</f>
        <v/>
      </c>
      <c r="D278" s="134" t="str">
        <f ca="1">IFERROR(__xludf.DUMMYFUNCTION("""COMPUTED_VALUE"""),"")</f>
        <v/>
      </c>
      <c r="E278" s="134" t="str">
        <f ca="1">IFERROR(__xludf.DUMMYFUNCTION("""COMPUTED_VALUE"""),"")</f>
        <v/>
      </c>
      <c r="F278" s="134" t="str">
        <f ca="1">IFERROR(__xludf.DUMMYFUNCTION("""COMPUTED_VALUE"""),"")</f>
        <v/>
      </c>
      <c r="G278" s="134" t="str">
        <f ca="1">IFERROR(__xludf.DUMMYFUNCTION("""COMPUTED_VALUE"""),"")</f>
        <v/>
      </c>
      <c r="H278" s="134" t="str">
        <f ca="1">IFERROR(__xludf.DUMMYFUNCTION("""COMPUTED_VALUE"""),"")</f>
        <v/>
      </c>
      <c r="I278" s="134" t="str">
        <f ca="1">IFERROR(__xludf.DUMMYFUNCTION("""COMPUTED_VALUE"""),"")</f>
        <v/>
      </c>
      <c r="J278" s="134" t="str">
        <f ca="1">IFERROR(__xludf.DUMMYFUNCTION("""COMPUTED_VALUE"""),"")</f>
        <v/>
      </c>
      <c r="N278" s="31"/>
    </row>
    <row r="279" spans="1:14" customFormat="1">
      <c r="A279" s="134" t="str">
        <f ca="1">IFERROR(__xludf.DUMMYFUNCTION("""COMPUTED_VALUE"""),"")</f>
        <v/>
      </c>
      <c r="B279" s="134" t="str">
        <f ca="1">IFERROR(__xludf.DUMMYFUNCTION("""COMPUTED_VALUE"""),"")</f>
        <v/>
      </c>
      <c r="C279" s="134" t="str">
        <f ca="1">IFERROR(__xludf.DUMMYFUNCTION("""COMPUTED_VALUE"""),"")</f>
        <v/>
      </c>
      <c r="D279" s="134" t="str">
        <f ca="1">IFERROR(__xludf.DUMMYFUNCTION("""COMPUTED_VALUE"""),"")</f>
        <v/>
      </c>
      <c r="E279" s="134" t="str">
        <f ca="1">IFERROR(__xludf.DUMMYFUNCTION("""COMPUTED_VALUE"""),"")</f>
        <v/>
      </c>
      <c r="F279" s="134" t="str">
        <f ca="1">IFERROR(__xludf.DUMMYFUNCTION("""COMPUTED_VALUE"""),"")</f>
        <v/>
      </c>
      <c r="G279" s="134" t="str">
        <f ca="1">IFERROR(__xludf.DUMMYFUNCTION("""COMPUTED_VALUE"""),"")</f>
        <v/>
      </c>
      <c r="H279" s="134" t="str">
        <f ca="1">IFERROR(__xludf.DUMMYFUNCTION("""COMPUTED_VALUE"""),"")</f>
        <v/>
      </c>
      <c r="I279" s="134" t="str">
        <f ca="1">IFERROR(__xludf.DUMMYFUNCTION("""COMPUTED_VALUE"""),"")</f>
        <v/>
      </c>
      <c r="J279" s="134" t="str">
        <f ca="1">IFERROR(__xludf.DUMMYFUNCTION("""COMPUTED_VALUE"""),"")</f>
        <v/>
      </c>
      <c r="N279" s="31"/>
    </row>
    <row r="280" spans="1:14" customFormat="1">
      <c r="A280" s="134" t="str">
        <f ca="1">IFERROR(__xludf.DUMMYFUNCTION("""COMPUTED_VALUE"""),"")</f>
        <v/>
      </c>
      <c r="B280" s="134" t="str">
        <f ca="1">IFERROR(__xludf.DUMMYFUNCTION("""COMPUTED_VALUE"""),"")</f>
        <v/>
      </c>
      <c r="C280" s="134" t="str">
        <f ca="1">IFERROR(__xludf.DUMMYFUNCTION("""COMPUTED_VALUE"""),"")</f>
        <v/>
      </c>
      <c r="D280" s="134" t="str">
        <f ca="1">IFERROR(__xludf.DUMMYFUNCTION("""COMPUTED_VALUE"""),"")</f>
        <v/>
      </c>
      <c r="E280" s="134" t="str">
        <f ca="1">IFERROR(__xludf.DUMMYFUNCTION("""COMPUTED_VALUE"""),"")</f>
        <v/>
      </c>
      <c r="F280" s="134" t="str">
        <f ca="1">IFERROR(__xludf.DUMMYFUNCTION("""COMPUTED_VALUE"""),"")</f>
        <v/>
      </c>
      <c r="G280" s="134" t="str">
        <f ca="1">IFERROR(__xludf.DUMMYFUNCTION("""COMPUTED_VALUE"""),"")</f>
        <v/>
      </c>
      <c r="H280" s="134" t="str">
        <f ca="1">IFERROR(__xludf.DUMMYFUNCTION("""COMPUTED_VALUE"""),"")</f>
        <v/>
      </c>
      <c r="I280" s="134" t="str">
        <f ca="1">IFERROR(__xludf.DUMMYFUNCTION("""COMPUTED_VALUE"""),"")</f>
        <v/>
      </c>
      <c r="J280" s="134" t="str">
        <f ca="1">IFERROR(__xludf.DUMMYFUNCTION("""COMPUTED_VALUE"""),"")</f>
        <v/>
      </c>
      <c r="N280" s="31"/>
    </row>
    <row r="281" spans="1:14" customFormat="1">
      <c r="A281" s="134" t="str">
        <f ca="1">IFERROR(__xludf.DUMMYFUNCTION("""COMPUTED_VALUE"""),"")</f>
        <v/>
      </c>
      <c r="B281" s="134" t="str">
        <f ca="1">IFERROR(__xludf.DUMMYFUNCTION("""COMPUTED_VALUE"""),"")</f>
        <v/>
      </c>
      <c r="C281" s="134" t="str">
        <f ca="1">IFERROR(__xludf.DUMMYFUNCTION("""COMPUTED_VALUE"""),"")</f>
        <v/>
      </c>
      <c r="D281" s="134" t="str">
        <f ca="1">IFERROR(__xludf.DUMMYFUNCTION("""COMPUTED_VALUE"""),"")</f>
        <v/>
      </c>
      <c r="E281" s="134" t="str">
        <f ca="1">IFERROR(__xludf.DUMMYFUNCTION("""COMPUTED_VALUE"""),"")</f>
        <v/>
      </c>
      <c r="F281" s="134" t="str">
        <f ca="1">IFERROR(__xludf.DUMMYFUNCTION("""COMPUTED_VALUE"""),"")</f>
        <v/>
      </c>
      <c r="G281" s="134" t="str">
        <f ca="1">IFERROR(__xludf.DUMMYFUNCTION("""COMPUTED_VALUE"""),"")</f>
        <v/>
      </c>
      <c r="H281" s="134" t="str">
        <f ca="1">IFERROR(__xludf.DUMMYFUNCTION("""COMPUTED_VALUE"""),"")</f>
        <v/>
      </c>
      <c r="I281" s="134" t="str">
        <f ca="1">IFERROR(__xludf.DUMMYFUNCTION("""COMPUTED_VALUE"""),"")</f>
        <v/>
      </c>
      <c r="J281" s="134" t="str">
        <f ca="1">IFERROR(__xludf.DUMMYFUNCTION("""COMPUTED_VALUE"""),"")</f>
        <v/>
      </c>
      <c r="N281" s="31"/>
    </row>
    <row r="282" spans="1:14" customFormat="1">
      <c r="A282" s="134" t="str">
        <f ca="1">IFERROR(__xludf.DUMMYFUNCTION("""COMPUTED_VALUE"""),"")</f>
        <v/>
      </c>
      <c r="B282" s="134" t="str">
        <f ca="1">IFERROR(__xludf.DUMMYFUNCTION("""COMPUTED_VALUE"""),"")</f>
        <v/>
      </c>
      <c r="C282" s="134" t="str">
        <f ca="1">IFERROR(__xludf.DUMMYFUNCTION("""COMPUTED_VALUE"""),"")</f>
        <v/>
      </c>
      <c r="D282" s="134" t="str">
        <f ca="1">IFERROR(__xludf.DUMMYFUNCTION("""COMPUTED_VALUE"""),"")</f>
        <v/>
      </c>
      <c r="E282" s="134" t="str">
        <f ca="1">IFERROR(__xludf.DUMMYFUNCTION("""COMPUTED_VALUE"""),"")</f>
        <v/>
      </c>
      <c r="F282" s="134" t="str">
        <f ca="1">IFERROR(__xludf.DUMMYFUNCTION("""COMPUTED_VALUE"""),"")</f>
        <v/>
      </c>
      <c r="G282" s="134" t="str">
        <f ca="1">IFERROR(__xludf.DUMMYFUNCTION("""COMPUTED_VALUE"""),"")</f>
        <v/>
      </c>
      <c r="H282" s="134" t="str">
        <f ca="1">IFERROR(__xludf.DUMMYFUNCTION("""COMPUTED_VALUE"""),"")</f>
        <v/>
      </c>
      <c r="I282" s="134" t="str">
        <f ca="1">IFERROR(__xludf.DUMMYFUNCTION("""COMPUTED_VALUE"""),"")</f>
        <v/>
      </c>
      <c r="J282" s="134" t="str">
        <f ca="1">IFERROR(__xludf.DUMMYFUNCTION("""COMPUTED_VALUE"""),"")</f>
        <v/>
      </c>
      <c r="N282" s="31"/>
    </row>
    <row r="283" spans="1:14" customFormat="1">
      <c r="A283" s="134" t="str">
        <f ca="1">IFERROR(__xludf.DUMMYFUNCTION("""COMPUTED_VALUE"""),"")</f>
        <v/>
      </c>
      <c r="B283" s="134" t="str">
        <f ca="1">IFERROR(__xludf.DUMMYFUNCTION("""COMPUTED_VALUE"""),"")</f>
        <v/>
      </c>
      <c r="C283" s="134" t="str">
        <f ca="1">IFERROR(__xludf.DUMMYFUNCTION("""COMPUTED_VALUE"""),"")</f>
        <v/>
      </c>
      <c r="D283" s="134" t="str">
        <f ca="1">IFERROR(__xludf.DUMMYFUNCTION("""COMPUTED_VALUE"""),"")</f>
        <v/>
      </c>
      <c r="E283" s="134" t="str">
        <f ca="1">IFERROR(__xludf.DUMMYFUNCTION("""COMPUTED_VALUE"""),"")</f>
        <v/>
      </c>
      <c r="F283" s="134" t="str">
        <f ca="1">IFERROR(__xludf.DUMMYFUNCTION("""COMPUTED_VALUE"""),"")</f>
        <v/>
      </c>
      <c r="G283" s="134" t="str">
        <f ca="1">IFERROR(__xludf.DUMMYFUNCTION("""COMPUTED_VALUE"""),"")</f>
        <v/>
      </c>
      <c r="H283" s="134" t="str">
        <f ca="1">IFERROR(__xludf.DUMMYFUNCTION("""COMPUTED_VALUE"""),"")</f>
        <v/>
      </c>
      <c r="I283" s="134" t="str">
        <f ca="1">IFERROR(__xludf.DUMMYFUNCTION("""COMPUTED_VALUE"""),"")</f>
        <v/>
      </c>
      <c r="J283" s="134" t="str">
        <f ca="1">IFERROR(__xludf.DUMMYFUNCTION("""COMPUTED_VALUE"""),"")</f>
        <v/>
      </c>
      <c r="N283" s="31"/>
    </row>
    <row r="284" spans="1:14" customFormat="1">
      <c r="A284" s="134" t="str">
        <f ca="1">IFERROR(__xludf.DUMMYFUNCTION("""COMPUTED_VALUE"""),"")</f>
        <v/>
      </c>
      <c r="B284" s="134" t="str">
        <f ca="1">IFERROR(__xludf.DUMMYFUNCTION("""COMPUTED_VALUE"""),"")</f>
        <v/>
      </c>
      <c r="C284" s="134" t="str">
        <f ca="1">IFERROR(__xludf.DUMMYFUNCTION("""COMPUTED_VALUE"""),"")</f>
        <v/>
      </c>
      <c r="D284" s="134" t="str">
        <f ca="1">IFERROR(__xludf.DUMMYFUNCTION("""COMPUTED_VALUE"""),"")</f>
        <v/>
      </c>
      <c r="E284" s="134" t="str">
        <f ca="1">IFERROR(__xludf.DUMMYFUNCTION("""COMPUTED_VALUE"""),"")</f>
        <v/>
      </c>
      <c r="F284" s="134" t="str">
        <f ca="1">IFERROR(__xludf.DUMMYFUNCTION("""COMPUTED_VALUE"""),"")</f>
        <v/>
      </c>
      <c r="G284" s="134" t="str">
        <f ca="1">IFERROR(__xludf.DUMMYFUNCTION("""COMPUTED_VALUE"""),"")</f>
        <v/>
      </c>
      <c r="H284" s="134" t="str">
        <f ca="1">IFERROR(__xludf.DUMMYFUNCTION("""COMPUTED_VALUE"""),"")</f>
        <v/>
      </c>
      <c r="I284" s="134" t="str">
        <f ca="1">IFERROR(__xludf.DUMMYFUNCTION("""COMPUTED_VALUE"""),"")</f>
        <v/>
      </c>
      <c r="J284" s="134" t="str">
        <f ca="1">IFERROR(__xludf.DUMMYFUNCTION("""COMPUTED_VALUE"""),"")</f>
        <v/>
      </c>
      <c r="N284" s="31"/>
    </row>
    <row r="285" spans="1:14" customFormat="1">
      <c r="A285" s="134" t="str">
        <f ca="1">IFERROR(__xludf.DUMMYFUNCTION("""COMPUTED_VALUE"""),"")</f>
        <v/>
      </c>
      <c r="B285" s="134" t="str">
        <f ca="1">IFERROR(__xludf.DUMMYFUNCTION("""COMPUTED_VALUE"""),"")</f>
        <v/>
      </c>
      <c r="C285" s="134" t="str">
        <f ca="1">IFERROR(__xludf.DUMMYFUNCTION("""COMPUTED_VALUE"""),"")</f>
        <v/>
      </c>
      <c r="D285" s="134" t="str">
        <f ca="1">IFERROR(__xludf.DUMMYFUNCTION("""COMPUTED_VALUE"""),"")</f>
        <v/>
      </c>
      <c r="E285" s="134" t="str">
        <f ca="1">IFERROR(__xludf.DUMMYFUNCTION("""COMPUTED_VALUE"""),"")</f>
        <v/>
      </c>
      <c r="F285" s="134" t="str">
        <f ca="1">IFERROR(__xludf.DUMMYFUNCTION("""COMPUTED_VALUE"""),"")</f>
        <v/>
      </c>
      <c r="G285" s="134" t="str">
        <f ca="1">IFERROR(__xludf.DUMMYFUNCTION("""COMPUTED_VALUE"""),"")</f>
        <v/>
      </c>
      <c r="H285" s="134" t="str">
        <f ca="1">IFERROR(__xludf.DUMMYFUNCTION("""COMPUTED_VALUE"""),"")</f>
        <v/>
      </c>
      <c r="I285" s="134" t="str">
        <f ca="1">IFERROR(__xludf.DUMMYFUNCTION("""COMPUTED_VALUE"""),"")</f>
        <v/>
      </c>
      <c r="J285" s="134" t="str">
        <f ca="1">IFERROR(__xludf.DUMMYFUNCTION("""COMPUTED_VALUE"""),"")</f>
        <v/>
      </c>
      <c r="N285" s="31"/>
    </row>
    <row r="286" spans="1:14" customFormat="1">
      <c r="A286" s="134" t="str">
        <f ca="1">IFERROR(__xludf.DUMMYFUNCTION("""COMPUTED_VALUE"""),"")</f>
        <v/>
      </c>
      <c r="B286" s="134" t="str">
        <f ca="1">IFERROR(__xludf.DUMMYFUNCTION("""COMPUTED_VALUE"""),"")</f>
        <v/>
      </c>
      <c r="C286" s="134" t="str">
        <f ca="1">IFERROR(__xludf.DUMMYFUNCTION("""COMPUTED_VALUE"""),"")</f>
        <v/>
      </c>
      <c r="D286" s="134" t="str">
        <f ca="1">IFERROR(__xludf.DUMMYFUNCTION("""COMPUTED_VALUE"""),"")</f>
        <v/>
      </c>
      <c r="E286" s="134" t="str">
        <f ca="1">IFERROR(__xludf.DUMMYFUNCTION("""COMPUTED_VALUE"""),"")</f>
        <v/>
      </c>
      <c r="F286" s="134" t="str">
        <f ca="1">IFERROR(__xludf.DUMMYFUNCTION("""COMPUTED_VALUE"""),"")</f>
        <v/>
      </c>
      <c r="G286" s="134" t="str">
        <f ca="1">IFERROR(__xludf.DUMMYFUNCTION("""COMPUTED_VALUE"""),"")</f>
        <v/>
      </c>
      <c r="H286" s="134" t="str">
        <f ca="1">IFERROR(__xludf.DUMMYFUNCTION("""COMPUTED_VALUE"""),"")</f>
        <v/>
      </c>
      <c r="I286" s="134" t="str">
        <f ca="1">IFERROR(__xludf.DUMMYFUNCTION("""COMPUTED_VALUE"""),"")</f>
        <v/>
      </c>
      <c r="J286" s="134" t="str">
        <f ca="1">IFERROR(__xludf.DUMMYFUNCTION("""COMPUTED_VALUE"""),"")</f>
        <v/>
      </c>
      <c r="N286" s="31"/>
    </row>
    <row r="287" spans="1:14" customFormat="1">
      <c r="A287" s="134" t="str">
        <f ca="1">IFERROR(__xludf.DUMMYFUNCTION("""COMPUTED_VALUE"""),"")</f>
        <v/>
      </c>
      <c r="B287" s="134" t="str">
        <f ca="1">IFERROR(__xludf.DUMMYFUNCTION("""COMPUTED_VALUE"""),"")</f>
        <v/>
      </c>
      <c r="C287" s="134" t="str">
        <f ca="1">IFERROR(__xludf.DUMMYFUNCTION("""COMPUTED_VALUE"""),"")</f>
        <v/>
      </c>
      <c r="D287" s="134" t="str">
        <f ca="1">IFERROR(__xludf.DUMMYFUNCTION("""COMPUTED_VALUE"""),"")</f>
        <v/>
      </c>
      <c r="E287" s="134" t="str">
        <f ca="1">IFERROR(__xludf.DUMMYFUNCTION("""COMPUTED_VALUE"""),"")</f>
        <v/>
      </c>
      <c r="F287" s="134" t="str">
        <f ca="1">IFERROR(__xludf.DUMMYFUNCTION("""COMPUTED_VALUE"""),"")</f>
        <v/>
      </c>
      <c r="G287" s="134" t="str">
        <f ca="1">IFERROR(__xludf.DUMMYFUNCTION("""COMPUTED_VALUE"""),"")</f>
        <v/>
      </c>
      <c r="H287" s="134" t="str">
        <f ca="1">IFERROR(__xludf.DUMMYFUNCTION("""COMPUTED_VALUE"""),"")</f>
        <v/>
      </c>
      <c r="I287" s="134" t="str">
        <f ca="1">IFERROR(__xludf.DUMMYFUNCTION("""COMPUTED_VALUE"""),"")</f>
        <v/>
      </c>
      <c r="J287" s="134" t="str">
        <f ca="1">IFERROR(__xludf.DUMMYFUNCTION("""COMPUTED_VALUE"""),"")</f>
        <v/>
      </c>
      <c r="N287" s="31"/>
    </row>
    <row r="288" spans="1:14" customFormat="1">
      <c r="A288" s="134" t="str">
        <f ca="1">IFERROR(__xludf.DUMMYFUNCTION("""COMPUTED_VALUE"""),"")</f>
        <v/>
      </c>
      <c r="B288" s="134" t="str">
        <f ca="1">IFERROR(__xludf.DUMMYFUNCTION("""COMPUTED_VALUE"""),"")</f>
        <v/>
      </c>
      <c r="C288" s="134" t="str">
        <f ca="1">IFERROR(__xludf.DUMMYFUNCTION("""COMPUTED_VALUE"""),"")</f>
        <v/>
      </c>
      <c r="D288" s="134" t="str">
        <f ca="1">IFERROR(__xludf.DUMMYFUNCTION("""COMPUTED_VALUE"""),"")</f>
        <v/>
      </c>
      <c r="E288" s="134" t="str">
        <f ca="1">IFERROR(__xludf.DUMMYFUNCTION("""COMPUTED_VALUE"""),"")</f>
        <v/>
      </c>
      <c r="F288" s="134" t="str">
        <f ca="1">IFERROR(__xludf.DUMMYFUNCTION("""COMPUTED_VALUE"""),"")</f>
        <v/>
      </c>
      <c r="G288" s="134" t="str">
        <f ca="1">IFERROR(__xludf.DUMMYFUNCTION("""COMPUTED_VALUE"""),"")</f>
        <v/>
      </c>
      <c r="H288" s="134" t="str">
        <f ca="1">IFERROR(__xludf.DUMMYFUNCTION("""COMPUTED_VALUE"""),"")</f>
        <v/>
      </c>
      <c r="I288" s="134" t="str">
        <f ca="1">IFERROR(__xludf.DUMMYFUNCTION("""COMPUTED_VALUE"""),"")</f>
        <v/>
      </c>
      <c r="J288" s="134" t="str">
        <f ca="1">IFERROR(__xludf.DUMMYFUNCTION("""COMPUTED_VALUE"""),"")</f>
        <v/>
      </c>
      <c r="N288" s="31"/>
    </row>
    <row r="289" spans="1:14" customFormat="1">
      <c r="A289" s="134" t="str">
        <f ca="1">IFERROR(__xludf.DUMMYFUNCTION("""COMPUTED_VALUE"""),"")</f>
        <v/>
      </c>
      <c r="B289" s="134" t="str">
        <f ca="1">IFERROR(__xludf.DUMMYFUNCTION("""COMPUTED_VALUE"""),"")</f>
        <v/>
      </c>
      <c r="C289" s="134" t="str">
        <f ca="1">IFERROR(__xludf.DUMMYFUNCTION("""COMPUTED_VALUE"""),"")</f>
        <v/>
      </c>
      <c r="D289" s="134" t="str">
        <f ca="1">IFERROR(__xludf.DUMMYFUNCTION("""COMPUTED_VALUE"""),"")</f>
        <v/>
      </c>
      <c r="E289" s="134" t="str">
        <f ca="1">IFERROR(__xludf.DUMMYFUNCTION("""COMPUTED_VALUE"""),"")</f>
        <v/>
      </c>
      <c r="F289" s="134" t="str">
        <f ca="1">IFERROR(__xludf.DUMMYFUNCTION("""COMPUTED_VALUE"""),"")</f>
        <v/>
      </c>
      <c r="G289" s="134" t="str">
        <f ca="1">IFERROR(__xludf.DUMMYFUNCTION("""COMPUTED_VALUE"""),"")</f>
        <v/>
      </c>
      <c r="H289" s="134" t="str">
        <f ca="1">IFERROR(__xludf.DUMMYFUNCTION("""COMPUTED_VALUE"""),"")</f>
        <v/>
      </c>
      <c r="I289" s="134" t="str">
        <f ca="1">IFERROR(__xludf.DUMMYFUNCTION("""COMPUTED_VALUE"""),"")</f>
        <v/>
      </c>
      <c r="J289" s="134" t="str">
        <f ca="1">IFERROR(__xludf.DUMMYFUNCTION("""COMPUTED_VALUE"""),"")</f>
        <v/>
      </c>
      <c r="N289" s="31"/>
    </row>
    <row r="290" spans="1:14" customFormat="1">
      <c r="A290" s="134" t="str">
        <f ca="1">IFERROR(__xludf.DUMMYFUNCTION("""COMPUTED_VALUE"""),"")</f>
        <v/>
      </c>
      <c r="B290" s="134" t="str">
        <f ca="1">IFERROR(__xludf.DUMMYFUNCTION("""COMPUTED_VALUE"""),"")</f>
        <v/>
      </c>
      <c r="C290" s="134" t="str">
        <f ca="1">IFERROR(__xludf.DUMMYFUNCTION("""COMPUTED_VALUE"""),"")</f>
        <v/>
      </c>
      <c r="D290" s="134" t="str">
        <f ca="1">IFERROR(__xludf.DUMMYFUNCTION("""COMPUTED_VALUE"""),"")</f>
        <v/>
      </c>
      <c r="E290" s="134" t="str">
        <f ca="1">IFERROR(__xludf.DUMMYFUNCTION("""COMPUTED_VALUE"""),"")</f>
        <v/>
      </c>
      <c r="F290" s="134" t="str">
        <f ca="1">IFERROR(__xludf.DUMMYFUNCTION("""COMPUTED_VALUE"""),"")</f>
        <v/>
      </c>
      <c r="G290" s="134" t="str">
        <f ca="1">IFERROR(__xludf.DUMMYFUNCTION("""COMPUTED_VALUE"""),"")</f>
        <v/>
      </c>
      <c r="H290" s="134" t="str">
        <f ca="1">IFERROR(__xludf.DUMMYFUNCTION("""COMPUTED_VALUE"""),"")</f>
        <v/>
      </c>
      <c r="I290" s="134" t="str">
        <f ca="1">IFERROR(__xludf.DUMMYFUNCTION("""COMPUTED_VALUE"""),"")</f>
        <v/>
      </c>
      <c r="J290" s="134" t="str">
        <f ca="1">IFERROR(__xludf.DUMMYFUNCTION("""COMPUTED_VALUE"""),"")</f>
        <v/>
      </c>
      <c r="N290" s="31"/>
    </row>
    <row r="291" spans="1:14" customFormat="1">
      <c r="A291" s="134" t="str">
        <f ca="1">IFERROR(__xludf.DUMMYFUNCTION("""COMPUTED_VALUE"""),"")</f>
        <v/>
      </c>
      <c r="B291" s="134" t="str">
        <f ca="1">IFERROR(__xludf.DUMMYFUNCTION("""COMPUTED_VALUE"""),"")</f>
        <v/>
      </c>
      <c r="C291" s="134" t="str">
        <f ca="1">IFERROR(__xludf.DUMMYFUNCTION("""COMPUTED_VALUE"""),"")</f>
        <v/>
      </c>
      <c r="D291" s="134" t="str">
        <f ca="1">IFERROR(__xludf.DUMMYFUNCTION("""COMPUTED_VALUE"""),"")</f>
        <v/>
      </c>
      <c r="E291" s="134" t="str">
        <f ca="1">IFERROR(__xludf.DUMMYFUNCTION("""COMPUTED_VALUE"""),"")</f>
        <v/>
      </c>
      <c r="F291" s="134" t="str">
        <f ca="1">IFERROR(__xludf.DUMMYFUNCTION("""COMPUTED_VALUE"""),"")</f>
        <v/>
      </c>
      <c r="G291" s="134" t="str">
        <f ca="1">IFERROR(__xludf.DUMMYFUNCTION("""COMPUTED_VALUE"""),"")</f>
        <v/>
      </c>
      <c r="H291" s="134" t="str">
        <f ca="1">IFERROR(__xludf.DUMMYFUNCTION("""COMPUTED_VALUE"""),"")</f>
        <v/>
      </c>
      <c r="I291" s="134" t="str">
        <f ca="1">IFERROR(__xludf.DUMMYFUNCTION("""COMPUTED_VALUE"""),"")</f>
        <v/>
      </c>
      <c r="J291" s="134" t="str">
        <f ca="1">IFERROR(__xludf.DUMMYFUNCTION("""COMPUTED_VALUE"""),"")</f>
        <v/>
      </c>
      <c r="N291" s="31"/>
    </row>
    <row r="292" spans="1:14" customFormat="1">
      <c r="A292" s="134" t="str">
        <f ca="1">IFERROR(__xludf.DUMMYFUNCTION("""COMPUTED_VALUE"""),"")</f>
        <v/>
      </c>
      <c r="B292" s="134" t="str">
        <f ca="1">IFERROR(__xludf.DUMMYFUNCTION("""COMPUTED_VALUE"""),"")</f>
        <v/>
      </c>
      <c r="C292" s="134" t="str">
        <f ca="1">IFERROR(__xludf.DUMMYFUNCTION("""COMPUTED_VALUE"""),"")</f>
        <v/>
      </c>
      <c r="D292" s="134" t="str">
        <f ca="1">IFERROR(__xludf.DUMMYFUNCTION("""COMPUTED_VALUE"""),"")</f>
        <v/>
      </c>
      <c r="E292" s="134" t="str">
        <f ca="1">IFERROR(__xludf.DUMMYFUNCTION("""COMPUTED_VALUE"""),"")</f>
        <v/>
      </c>
      <c r="F292" s="134" t="str">
        <f ca="1">IFERROR(__xludf.DUMMYFUNCTION("""COMPUTED_VALUE"""),"")</f>
        <v/>
      </c>
      <c r="G292" s="134" t="str">
        <f ca="1">IFERROR(__xludf.DUMMYFUNCTION("""COMPUTED_VALUE"""),"")</f>
        <v/>
      </c>
      <c r="H292" s="134" t="str">
        <f ca="1">IFERROR(__xludf.DUMMYFUNCTION("""COMPUTED_VALUE"""),"")</f>
        <v/>
      </c>
      <c r="I292" s="134" t="str">
        <f ca="1">IFERROR(__xludf.DUMMYFUNCTION("""COMPUTED_VALUE"""),"")</f>
        <v/>
      </c>
      <c r="J292" s="134" t="str">
        <f ca="1">IFERROR(__xludf.DUMMYFUNCTION("""COMPUTED_VALUE"""),"")</f>
        <v/>
      </c>
      <c r="N292" s="31"/>
    </row>
    <row r="293" spans="1:14" customFormat="1">
      <c r="A293" s="134" t="str">
        <f ca="1">IFERROR(__xludf.DUMMYFUNCTION("""COMPUTED_VALUE"""),"")</f>
        <v/>
      </c>
      <c r="B293" s="134" t="str">
        <f ca="1">IFERROR(__xludf.DUMMYFUNCTION("""COMPUTED_VALUE"""),"")</f>
        <v/>
      </c>
      <c r="C293" s="134" t="str">
        <f ca="1">IFERROR(__xludf.DUMMYFUNCTION("""COMPUTED_VALUE"""),"")</f>
        <v/>
      </c>
      <c r="D293" s="134" t="str">
        <f ca="1">IFERROR(__xludf.DUMMYFUNCTION("""COMPUTED_VALUE"""),"")</f>
        <v/>
      </c>
      <c r="E293" s="134" t="str">
        <f ca="1">IFERROR(__xludf.DUMMYFUNCTION("""COMPUTED_VALUE"""),"")</f>
        <v/>
      </c>
      <c r="F293" s="134" t="str">
        <f ca="1">IFERROR(__xludf.DUMMYFUNCTION("""COMPUTED_VALUE"""),"")</f>
        <v/>
      </c>
      <c r="G293" s="134" t="str">
        <f ca="1">IFERROR(__xludf.DUMMYFUNCTION("""COMPUTED_VALUE"""),"")</f>
        <v/>
      </c>
      <c r="H293" s="134" t="str">
        <f ca="1">IFERROR(__xludf.DUMMYFUNCTION("""COMPUTED_VALUE"""),"")</f>
        <v/>
      </c>
      <c r="I293" s="134" t="str">
        <f ca="1">IFERROR(__xludf.DUMMYFUNCTION("""COMPUTED_VALUE"""),"")</f>
        <v/>
      </c>
      <c r="J293" s="134" t="str">
        <f ca="1">IFERROR(__xludf.DUMMYFUNCTION("""COMPUTED_VALUE"""),"")</f>
        <v/>
      </c>
      <c r="N293" s="31"/>
    </row>
    <row r="294" spans="1:14" customFormat="1">
      <c r="A294" s="134" t="str">
        <f ca="1">IFERROR(__xludf.DUMMYFUNCTION("""COMPUTED_VALUE"""),"")</f>
        <v/>
      </c>
      <c r="B294" s="134" t="str">
        <f ca="1">IFERROR(__xludf.DUMMYFUNCTION("""COMPUTED_VALUE"""),"")</f>
        <v/>
      </c>
      <c r="C294" s="134" t="str">
        <f ca="1">IFERROR(__xludf.DUMMYFUNCTION("""COMPUTED_VALUE"""),"")</f>
        <v/>
      </c>
      <c r="D294" s="134" t="str">
        <f ca="1">IFERROR(__xludf.DUMMYFUNCTION("""COMPUTED_VALUE"""),"")</f>
        <v/>
      </c>
      <c r="E294" s="134" t="str">
        <f ca="1">IFERROR(__xludf.DUMMYFUNCTION("""COMPUTED_VALUE"""),"")</f>
        <v/>
      </c>
      <c r="F294" s="134" t="str">
        <f ca="1">IFERROR(__xludf.DUMMYFUNCTION("""COMPUTED_VALUE"""),"")</f>
        <v/>
      </c>
      <c r="G294" s="134" t="str">
        <f ca="1">IFERROR(__xludf.DUMMYFUNCTION("""COMPUTED_VALUE"""),"")</f>
        <v/>
      </c>
      <c r="H294" s="134" t="str">
        <f ca="1">IFERROR(__xludf.DUMMYFUNCTION("""COMPUTED_VALUE"""),"")</f>
        <v/>
      </c>
      <c r="I294" s="134" t="str">
        <f ca="1">IFERROR(__xludf.DUMMYFUNCTION("""COMPUTED_VALUE"""),"")</f>
        <v/>
      </c>
      <c r="J294" s="134" t="str">
        <f ca="1">IFERROR(__xludf.DUMMYFUNCTION("""COMPUTED_VALUE"""),"")</f>
        <v/>
      </c>
      <c r="N294" s="31"/>
    </row>
    <row r="295" spans="1:14" customFormat="1">
      <c r="A295" s="134" t="str">
        <f ca="1">IFERROR(__xludf.DUMMYFUNCTION("""COMPUTED_VALUE"""),"")</f>
        <v/>
      </c>
      <c r="B295" s="134" t="str">
        <f ca="1">IFERROR(__xludf.DUMMYFUNCTION("""COMPUTED_VALUE"""),"")</f>
        <v/>
      </c>
      <c r="C295" s="134" t="str">
        <f ca="1">IFERROR(__xludf.DUMMYFUNCTION("""COMPUTED_VALUE"""),"")</f>
        <v/>
      </c>
      <c r="D295" s="134" t="str">
        <f ca="1">IFERROR(__xludf.DUMMYFUNCTION("""COMPUTED_VALUE"""),"")</f>
        <v/>
      </c>
      <c r="E295" s="134" t="str">
        <f ca="1">IFERROR(__xludf.DUMMYFUNCTION("""COMPUTED_VALUE"""),"")</f>
        <v/>
      </c>
      <c r="F295" s="134" t="str">
        <f ca="1">IFERROR(__xludf.DUMMYFUNCTION("""COMPUTED_VALUE"""),"")</f>
        <v/>
      </c>
      <c r="G295" s="134" t="str">
        <f ca="1">IFERROR(__xludf.DUMMYFUNCTION("""COMPUTED_VALUE"""),"")</f>
        <v/>
      </c>
      <c r="H295" s="134" t="str">
        <f ca="1">IFERROR(__xludf.DUMMYFUNCTION("""COMPUTED_VALUE"""),"")</f>
        <v/>
      </c>
      <c r="I295" s="134" t="str">
        <f ca="1">IFERROR(__xludf.DUMMYFUNCTION("""COMPUTED_VALUE"""),"")</f>
        <v/>
      </c>
      <c r="J295" s="134" t="str">
        <f ca="1">IFERROR(__xludf.DUMMYFUNCTION("""COMPUTED_VALUE"""),"")</f>
        <v/>
      </c>
      <c r="N295" s="31"/>
    </row>
    <row r="296" spans="1:14" customFormat="1">
      <c r="A296" s="134" t="str">
        <f ca="1">IFERROR(__xludf.DUMMYFUNCTION("""COMPUTED_VALUE"""),"")</f>
        <v/>
      </c>
      <c r="B296" s="134" t="str">
        <f ca="1">IFERROR(__xludf.DUMMYFUNCTION("""COMPUTED_VALUE"""),"")</f>
        <v/>
      </c>
      <c r="C296" s="134" t="str">
        <f ca="1">IFERROR(__xludf.DUMMYFUNCTION("""COMPUTED_VALUE"""),"")</f>
        <v/>
      </c>
      <c r="D296" s="134" t="str">
        <f ca="1">IFERROR(__xludf.DUMMYFUNCTION("""COMPUTED_VALUE"""),"")</f>
        <v/>
      </c>
      <c r="E296" s="134" t="str">
        <f ca="1">IFERROR(__xludf.DUMMYFUNCTION("""COMPUTED_VALUE"""),"")</f>
        <v/>
      </c>
      <c r="F296" s="134" t="str">
        <f ca="1">IFERROR(__xludf.DUMMYFUNCTION("""COMPUTED_VALUE"""),"")</f>
        <v/>
      </c>
      <c r="G296" s="134" t="str">
        <f ca="1">IFERROR(__xludf.DUMMYFUNCTION("""COMPUTED_VALUE"""),"")</f>
        <v/>
      </c>
      <c r="H296" s="134" t="str">
        <f ca="1">IFERROR(__xludf.DUMMYFUNCTION("""COMPUTED_VALUE"""),"")</f>
        <v/>
      </c>
      <c r="I296" s="134" t="str">
        <f ca="1">IFERROR(__xludf.DUMMYFUNCTION("""COMPUTED_VALUE"""),"")</f>
        <v/>
      </c>
      <c r="J296" s="134" t="str">
        <f ca="1">IFERROR(__xludf.DUMMYFUNCTION("""COMPUTED_VALUE"""),"")</f>
        <v/>
      </c>
      <c r="N296" s="31"/>
    </row>
    <row r="297" spans="1:14" customFormat="1">
      <c r="A297" s="134" t="str">
        <f ca="1">IFERROR(__xludf.DUMMYFUNCTION("""COMPUTED_VALUE"""),"")</f>
        <v/>
      </c>
      <c r="B297" s="134" t="str">
        <f ca="1">IFERROR(__xludf.DUMMYFUNCTION("""COMPUTED_VALUE"""),"")</f>
        <v/>
      </c>
      <c r="C297" s="134" t="str">
        <f ca="1">IFERROR(__xludf.DUMMYFUNCTION("""COMPUTED_VALUE"""),"")</f>
        <v/>
      </c>
      <c r="D297" s="134" t="str">
        <f ca="1">IFERROR(__xludf.DUMMYFUNCTION("""COMPUTED_VALUE"""),"")</f>
        <v/>
      </c>
      <c r="E297" s="134" t="str">
        <f ca="1">IFERROR(__xludf.DUMMYFUNCTION("""COMPUTED_VALUE"""),"")</f>
        <v/>
      </c>
      <c r="F297" s="134" t="str">
        <f ca="1">IFERROR(__xludf.DUMMYFUNCTION("""COMPUTED_VALUE"""),"")</f>
        <v/>
      </c>
      <c r="G297" s="134" t="str">
        <f ca="1">IFERROR(__xludf.DUMMYFUNCTION("""COMPUTED_VALUE"""),"")</f>
        <v/>
      </c>
      <c r="H297" s="134" t="str">
        <f ca="1">IFERROR(__xludf.DUMMYFUNCTION("""COMPUTED_VALUE"""),"")</f>
        <v/>
      </c>
      <c r="I297" s="134" t="str">
        <f ca="1">IFERROR(__xludf.DUMMYFUNCTION("""COMPUTED_VALUE"""),"")</f>
        <v/>
      </c>
      <c r="J297" s="134" t="str">
        <f ca="1">IFERROR(__xludf.DUMMYFUNCTION("""COMPUTED_VALUE"""),"")</f>
        <v/>
      </c>
      <c r="N297" s="31"/>
    </row>
    <row r="298" spans="1:14" customFormat="1">
      <c r="A298" s="134" t="str">
        <f ca="1">IFERROR(__xludf.DUMMYFUNCTION("""COMPUTED_VALUE"""),"")</f>
        <v/>
      </c>
      <c r="B298" s="134" t="str">
        <f ca="1">IFERROR(__xludf.DUMMYFUNCTION("""COMPUTED_VALUE"""),"")</f>
        <v/>
      </c>
      <c r="C298" s="134" t="str">
        <f ca="1">IFERROR(__xludf.DUMMYFUNCTION("""COMPUTED_VALUE"""),"")</f>
        <v/>
      </c>
      <c r="D298" s="134" t="str">
        <f ca="1">IFERROR(__xludf.DUMMYFUNCTION("""COMPUTED_VALUE"""),"")</f>
        <v/>
      </c>
      <c r="E298" s="134" t="str">
        <f ca="1">IFERROR(__xludf.DUMMYFUNCTION("""COMPUTED_VALUE"""),"")</f>
        <v/>
      </c>
      <c r="F298" s="134" t="str">
        <f ca="1">IFERROR(__xludf.DUMMYFUNCTION("""COMPUTED_VALUE"""),"")</f>
        <v/>
      </c>
      <c r="G298" s="134" t="str">
        <f ca="1">IFERROR(__xludf.DUMMYFUNCTION("""COMPUTED_VALUE"""),"")</f>
        <v/>
      </c>
      <c r="H298" s="134" t="str">
        <f ca="1">IFERROR(__xludf.DUMMYFUNCTION("""COMPUTED_VALUE"""),"")</f>
        <v/>
      </c>
      <c r="I298" s="134" t="str">
        <f ca="1">IFERROR(__xludf.DUMMYFUNCTION("""COMPUTED_VALUE"""),"")</f>
        <v/>
      </c>
      <c r="J298" s="134" t="str">
        <f ca="1">IFERROR(__xludf.DUMMYFUNCTION("""COMPUTED_VALUE"""),"")</f>
        <v/>
      </c>
      <c r="N298" s="31"/>
    </row>
    <row r="299" spans="1:14" customFormat="1">
      <c r="A299" s="134" t="str">
        <f ca="1">IFERROR(__xludf.DUMMYFUNCTION("""COMPUTED_VALUE"""),"")</f>
        <v/>
      </c>
      <c r="B299" s="134" t="str">
        <f ca="1">IFERROR(__xludf.DUMMYFUNCTION("""COMPUTED_VALUE"""),"")</f>
        <v/>
      </c>
      <c r="C299" s="134" t="str">
        <f ca="1">IFERROR(__xludf.DUMMYFUNCTION("""COMPUTED_VALUE"""),"")</f>
        <v/>
      </c>
      <c r="D299" s="134" t="str">
        <f ca="1">IFERROR(__xludf.DUMMYFUNCTION("""COMPUTED_VALUE"""),"")</f>
        <v/>
      </c>
      <c r="E299" s="134" t="str">
        <f ca="1">IFERROR(__xludf.DUMMYFUNCTION("""COMPUTED_VALUE"""),"")</f>
        <v/>
      </c>
      <c r="F299" s="134" t="str">
        <f ca="1">IFERROR(__xludf.DUMMYFUNCTION("""COMPUTED_VALUE"""),"")</f>
        <v/>
      </c>
      <c r="G299" s="134" t="str">
        <f ca="1">IFERROR(__xludf.DUMMYFUNCTION("""COMPUTED_VALUE"""),"")</f>
        <v/>
      </c>
      <c r="H299" s="134" t="str">
        <f ca="1">IFERROR(__xludf.DUMMYFUNCTION("""COMPUTED_VALUE"""),"")</f>
        <v/>
      </c>
      <c r="I299" s="134" t="str">
        <f ca="1">IFERROR(__xludf.DUMMYFUNCTION("""COMPUTED_VALUE"""),"")</f>
        <v/>
      </c>
      <c r="J299" s="134" t="str">
        <f ca="1">IFERROR(__xludf.DUMMYFUNCTION("""COMPUTED_VALUE"""),"")</f>
        <v/>
      </c>
      <c r="N299" s="31"/>
    </row>
    <row r="300" spans="1:14" customFormat="1">
      <c r="A300" s="134" t="str">
        <f ca="1">IFERROR(__xludf.DUMMYFUNCTION("""COMPUTED_VALUE"""),"")</f>
        <v/>
      </c>
      <c r="B300" s="134" t="str">
        <f ca="1">IFERROR(__xludf.DUMMYFUNCTION("""COMPUTED_VALUE"""),"")</f>
        <v/>
      </c>
      <c r="C300" s="134" t="str">
        <f ca="1">IFERROR(__xludf.DUMMYFUNCTION("""COMPUTED_VALUE"""),"")</f>
        <v/>
      </c>
      <c r="D300" s="134" t="str">
        <f ca="1">IFERROR(__xludf.DUMMYFUNCTION("""COMPUTED_VALUE"""),"")</f>
        <v/>
      </c>
      <c r="E300" s="134" t="str">
        <f ca="1">IFERROR(__xludf.DUMMYFUNCTION("""COMPUTED_VALUE"""),"")</f>
        <v/>
      </c>
      <c r="F300" s="134" t="str">
        <f ca="1">IFERROR(__xludf.DUMMYFUNCTION("""COMPUTED_VALUE"""),"")</f>
        <v/>
      </c>
      <c r="G300" s="134" t="str">
        <f ca="1">IFERROR(__xludf.DUMMYFUNCTION("""COMPUTED_VALUE"""),"")</f>
        <v/>
      </c>
      <c r="H300" s="134" t="str">
        <f ca="1">IFERROR(__xludf.DUMMYFUNCTION("""COMPUTED_VALUE"""),"")</f>
        <v/>
      </c>
      <c r="I300" s="134" t="str">
        <f ca="1">IFERROR(__xludf.DUMMYFUNCTION("""COMPUTED_VALUE"""),"")</f>
        <v/>
      </c>
      <c r="J300" s="134" t="str">
        <f ca="1">IFERROR(__xludf.DUMMYFUNCTION("""COMPUTED_VALUE"""),"")</f>
        <v/>
      </c>
      <c r="N300" s="31"/>
    </row>
    <row r="301" spans="1:14" customFormat="1">
      <c r="A301" s="134" t="str">
        <f ca="1">IFERROR(__xludf.DUMMYFUNCTION("""COMPUTED_VALUE"""),"")</f>
        <v/>
      </c>
      <c r="B301" s="134" t="str">
        <f ca="1">IFERROR(__xludf.DUMMYFUNCTION("""COMPUTED_VALUE"""),"")</f>
        <v/>
      </c>
      <c r="C301" s="134" t="str">
        <f ca="1">IFERROR(__xludf.DUMMYFUNCTION("""COMPUTED_VALUE"""),"")</f>
        <v/>
      </c>
      <c r="D301" s="134" t="str">
        <f ca="1">IFERROR(__xludf.DUMMYFUNCTION("""COMPUTED_VALUE"""),"")</f>
        <v/>
      </c>
      <c r="E301" s="134" t="str">
        <f ca="1">IFERROR(__xludf.DUMMYFUNCTION("""COMPUTED_VALUE"""),"")</f>
        <v/>
      </c>
      <c r="F301" s="134" t="str">
        <f ca="1">IFERROR(__xludf.DUMMYFUNCTION("""COMPUTED_VALUE"""),"")</f>
        <v/>
      </c>
      <c r="G301" s="134" t="str">
        <f ca="1">IFERROR(__xludf.DUMMYFUNCTION("""COMPUTED_VALUE"""),"")</f>
        <v/>
      </c>
      <c r="H301" s="134" t="str">
        <f ca="1">IFERROR(__xludf.DUMMYFUNCTION("""COMPUTED_VALUE"""),"")</f>
        <v/>
      </c>
      <c r="I301" s="134" t="str">
        <f ca="1">IFERROR(__xludf.DUMMYFUNCTION("""COMPUTED_VALUE"""),"")</f>
        <v/>
      </c>
      <c r="J301" s="134" t="str">
        <f ca="1">IFERROR(__xludf.DUMMYFUNCTION("""COMPUTED_VALUE"""),"")</f>
        <v/>
      </c>
      <c r="N301" s="31"/>
    </row>
    <row r="302" spans="1:14" customFormat="1">
      <c r="A302" s="134" t="str">
        <f ca="1">IFERROR(__xludf.DUMMYFUNCTION("""COMPUTED_VALUE"""),"")</f>
        <v/>
      </c>
      <c r="B302" s="134" t="str">
        <f ca="1">IFERROR(__xludf.DUMMYFUNCTION("""COMPUTED_VALUE"""),"")</f>
        <v/>
      </c>
      <c r="C302" s="134" t="str">
        <f ca="1">IFERROR(__xludf.DUMMYFUNCTION("""COMPUTED_VALUE"""),"")</f>
        <v/>
      </c>
      <c r="D302" s="134" t="str">
        <f ca="1">IFERROR(__xludf.DUMMYFUNCTION("""COMPUTED_VALUE"""),"")</f>
        <v/>
      </c>
      <c r="E302" s="134" t="str">
        <f ca="1">IFERROR(__xludf.DUMMYFUNCTION("""COMPUTED_VALUE"""),"")</f>
        <v/>
      </c>
      <c r="F302" s="134" t="str">
        <f ca="1">IFERROR(__xludf.DUMMYFUNCTION("""COMPUTED_VALUE"""),"")</f>
        <v/>
      </c>
      <c r="G302" s="134" t="str">
        <f ca="1">IFERROR(__xludf.DUMMYFUNCTION("""COMPUTED_VALUE"""),"")</f>
        <v/>
      </c>
      <c r="H302" s="134" t="str">
        <f ca="1">IFERROR(__xludf.DUMMYFUNCTION("""COMPUTED_VALUE"""),"")</f>
        <v/>
      </c>
      <c r="I302" s="134" t="str">
        <f ca="1">IFERROR(__xludf.DUMMYFUNCTION("""COMPUTED_VALUE"""),"")</f>
        <v/>
      </c>
      <c r="J302" s="134" t="str">
        <f ca="1">IFERROR(__xludf.DUMMYFUNCTION("""COMPUTED_VALUE"""),"")</f>
        <v/>
      </c>
      <c r="N302" s="31"/>
    </row>
    <row r="303" spans="1:14" customFormat="1">
      <c r="A303" s="134" t="str">
        <f ca="1">IFERROR(__xludf.DUMMYFUNCTION("""COMPUTED_VALUE"""),"")</f>
        <v/>
      </c>
      <c r="B303" s="134" t="str">
        <f ca="1">IFERROR(__xludf.DUMMYFUNCTION("""COMPUTED_VALUE"""),"")</f>
        <v/>
      </c>
      <c r="C303" s="134" t="str">
        <f ca="1">IFERROR(__xludf.DUMMYFUNCTION("""COMPUTED_VALUE"""),"")</f>
        <v/>
      </c>
      <c r="D303" s="134" t="str">
        <f ca="1">IFERROR(__xludf.DUMMYFUNCTION("""COMPUTED_VALUE"""),"")</f>
        <v/>
      </c>
      <c r="E303" s="134" t="str">
        <f ca="1">IFERROR(__xludf.DUMMYFUNCTION("""COMPUTED_VALUE"""),"")</f>
        <v/>
      </c>
      <c r="F303" s="134" t="str">
        <f ca="1">IFERROR(__xludf.DUMMYFUNCTION("""COMPUTED_VALUE"""),"")</f>
        <v/>
      </c>
      <c r="G303" s="134" t="str">
        <f ca="1">IFERROR(__xludf.DUMMYFUNCTION("""COMPUTED_VALUE"""),"")</f>
        <v/>
      </c>
      <c r="H303" s="134" t="str">
        <f ca="1">IFERROR(__xludf.DUMMYFUNCTION("""COMPUTED_VALUE"""),"")</f>
        <v/>
      </c>
      <c r="I303" s="134" t="str">
        <f ca="1">IFERROR(__xludf.DUMMYFUNCTION("""COMPUTED_VALUE"""),"")</f>
        <v/>
      </c>
      <c r="J303" s="134" t="str">
        <f ca="1">IFERROR(__xludf.DUMMYFUNCTION("""COMPUTED_VALUE"""),"")</f>
        <v/>
      </c>
      <c r="N303" s="31"/>
    </row>
    <row r="304" spans="1:14" customFormat="1">
      <c r="A304" s="134" t="str">
        <f ca="1">IFERROR(__xludf.DUMMYFUNCTION("""COMPUTED_VALUE"""),"")</f>
        <v/>
      </c>
      <c r="B304" s="134" t="str">
        <f ca="1">IFERROR(__xludf.DUMMYFUNCTION("""COMPUTED_VALUE"""),"")</f>
        <v/>
      </c>
      <c r="C304" s="134" t="str">
        <f ca="1">IFERROR(__xludf.DUMMYFUNCTION("""COMPUTED_VALUE"""),"")</f>
        <v/>
      </c>
      <c r="D304" s="134" t="str">
        <f ca="1">IFERROR(__xludf.DUMMYFUNCTION("""COMPUTED_VALUE"""),"")</f>
        <v/>
      </c>
      <c r="E304" s="134" t="str">
        <f ca="1">IFERROR(__xludf.DUMMYFUNCTION("""COMPUTED_VALUE"""),"")</f>
        <v/>
      </c>
      <c r="F304" s="134" t="str">
        <f ca="1">IFERROR(__xludf.DUMMYFUNCTION("""COMPUTED_VALUE"""),"")</f>
        <v/>
      </c>
      <c r="G304" s="134" t="str">
        <f ca="1">IFERROR(__xludf.DUMMYFUNCTION("""COMPUTED_VALUE"""),"")</f>
        <v/>
      </c>
      <c r="H304" s="134" t="str">
        <f ca="1">IFERROR(__xludf.DUMMYFUNCTION("""COMPUTED_VALUE"""),"")</f>
        <v/>
      </c>
      <c r="I304" s="134" t="str">
        <f ca="1">IFERROR(__xludf.DUMMYFUNCTION("""COMPUTED_VALUE"""),"")</f>
        <v/>
      </c>
      <c r="J304" s="134" t="str">
        <f ca="1">IFERROR(__xludf.DUMMYFUNCTION("""COMPUTED_VALUE"""),"")</f>
        <v/>
      </c>
      <c r="N304" s="31"/>
    </row>
    <row r="305" spans="1:14" customFormat="1">
      <c r="A305" s="134" t="str">
        <f ca="1">IFERROR(__xludf.DUMMYFUNCTION("""COMPUTED_VALUE"""),"")</f>
        <v/>
      </c>
      <c r="B305" s="134" t="str">
        <f ca="1">IFERROR(__xludf.DUMMYFUNCTION("""COMPUTED_VALUE"""),"")</f>
        <v/>
      </c>
      <c r="C305" s="134" t="str">
        <f ca="1">IFERROR(__xludf.DUMMYFUNCTION("""COMPUTED_VALUE"""),"")</f>
        <v/>
      </c>
      <c r="D305" s="134" t="str">
        <f ca="1">IFERROR(__xludf.DUMMYFUNCTION("""COMPUTED_VALUE"""),"")</f>
        <v/>
      </c>
      <c r="E305" s="134" t="str">
        <f ca="1">IFERROR(__xludf.DUMMYFUNCTION("""COMPUTED_VALUE"""),"")</f>
        <v/>
      </c>
      <c r="F305" s="134" t="str">
        <f ca="1">IFERROR(__xludf.DUMMYFUNCTION("""COMPUTED_VALUE"""),"")</f>
        <v/>
      </c>
      <c r="G305" s="134" t="str">
        <f ca="1">IFERROR(__xludf.DUMMYFUNCTION("""COMPUTED_VALUE"""),"")</f>
        <v/>
      </c>
      <c r="H305" s="134" t="str">
        <f ca="1">IFERROR(__xludf.DUMMYFUNCTION("""COMPUTED_VALUE"""),"")</f>
        <v/>
      </c>
      <c r="I305" s="134" t="str">
        <f ca="1">IFERROR(__xludf.DUMMYFUNCTION("""COMPUTED_VALUE"""),"")</f>
        <v/>
      </c>
      <c r="J305" s="134" t="str">
        <f ca="1">IFERROR(__xludf.DUMMYFUNCTION("""COMPUTED_VALUE"""),"")</f>
        <v/>
      </c>
      <c r="N305" s="31"/>
    </row>
    <row r="306" spans="1:14" customFormat="1">
      <c r="A306" s="134" t="str">
        <f ca="1">IFERROR(__xludf.DUMMYFUNCTION("""COMPUTED_VALUE"""),"")</f>
        <v/>
      </c>
      <c r="B306" s="134" t="str">
        <f ca="1">IFERROR(__xludf.DUMMYFUNCTION("""COMPUTED_VALUE"""),"")</f>
        <v/>
      </c>
      <c r="C306" s="134" t="str">
        <f ca="1">IFERROR(__xludf.DUMMYFUNCTION("""COMPUTED_VALUE"""),"")</f>
        <v/>
      </c>
      <c r="D306" s="134" t="str">
        <f ca="1">IFERROR(__xludf.DUMMYFUNCTION("""COMPUTED_VALUE"""),"")</f>
        <v/>
      </c>
      <c r="E306" s="134" t="str">
        <f ca="1">IFERROR(__xludf.DUMMYFUNCTION("""COMPUTED_VALUE"""),"")</f>
        <v/>
      </c>
      <c r="F306" s="134" t="str">
        <f ca="1">IFERROR(__xludf.DUMMYFUNCTION("""COMPUTED_VALUE"""),"")</f>
        <v/>
      </c>
      <c r="G306" s="134" t="str">
        <f ca="1">IFERROR(__xludf.DUMMYFUNCTION("""COMPUTED_VALUE"""),"")</f>
        <v/>
      </c>
      <c r="H306" s="134" t="str">
        <f ca="1">IFERROR(__xludf.DUMMYFUNCTION("""COMPUTED_VALUE"""),"")</f>
        <v/>
      </c>
      <c r="I306" s="134" t="str">
        <f ca="1">IFERROR(__xludf.DUMMYFUNCTION("""COMPUTED_VALUE"""),"")</f>
        <v/>
      </c>
      <c r="J306" s="134" t="str">
        <f ca="1">IFERROR(__xludf.DUMMYFUNCTION("""COMPUTED_VALUE"""),"")</f>
        <v/>
      </c>
      <c r="N306" s="31"/>
    </row>
    <row r="307" spans="1:14" customFormat="1">
      <c r="A307" s="134" t="str">
        <f ca="1">IFERROR(__xludf.DUMMYFUNCTION("""COMPUTED_VALUE"""),"")</f>
        <v/>
      </c>
      <c r="B307" s="134" t="str">
        <f ca="1">IFERROR(__xludf.DUMMYFUNCTION("""COMPUTED_VALUE"""),"")</f>
        <v/>
      </c>
      <c r="C307" s="134" t="str">
        <f ca="1">IFERROR(__xludf.DUMMYFUNCTION("""COMPUTED_VALUE"""),"")</f>
        <v/>
      </c>
      <c r="D307" s="134" t="str">
        <f ca="1">IFERROR(__xludf.DUMMYFUNCTION("""COMPUTED_VALUE"""),"")</f>
        <v/>
      </c>
      <c r="E307" s="134" t="str">
        <f ca="1">IFERROR(__xludf.DUMMYFUNCTION("""COMPUTED_VALUE"""),"")</f>
        <v/>
      </c>
      <c r="F307" s="134" t="str">
        <f ca="1">IFERROR(__xludf.DUMMYFUNCTION("""COMPUTED_VALUE"""),"")</f>
        <v/>
      </c>
      <c r="G307" s="134" t="str">
        <f ca="1">IFERROR(__xludf.DUMMYFUNCTION("""COMPUTED_VALUE"""),"")</f>
        <v/>
      </c>
      <c r="H307" s="134" t="str">
        <f ca="1">IFERROR(__xludf.DUMMYFUNCTION("""COMPUTED_VALUE"""),"")</f>
        <v/>
      </c>
      <c r="I307" s="134" t="str">
        <f ca="1">IFERROR(__xludf.DUMMYFUNCTION("""COMPUTED_VALUE"""),"")</f>
        <v/>
      </c>
      <c r="J307" s="134" t="str">
        <f ca="1">IFERROR(__xludf.DUMMYFUNCTION("""COMPUTED_VALUE"""),"")</f>
        <v/>
      </c>
      <c r="N307" s="31"/>
    </row>
    <row r="308" spans="1:14" customFormat="1">
      <c r="A308" s="134" t="str">
        <f ca="1">IFERROR(__xludf.DUMMYFUNCTION("""COMPUTED_VALUE"""),"")</f>
        <v/>
      </c>
      <c r="B308" s="134" t="str">
        <f ca="1">IFERROR(__xludf.DUMMYFUNCTION("""COMPUTED_VALUE"""),"")</f>
        <v/>
      </c>
      <c r="C308" s="134" t="str">
        <f ca="1">IFERROR(__xludf.DUMMYFUNCTION("""COMPUTED_VALUE"""),"")</f>
        <v/>
      </c>
      <c r="D308" s="134" t="str">
        <f ca="1">IFERROR(__xludf.DUMMYFUNCTION("""COMPUTED_VALUE"""),"")</f>
        <v/>
      </c>
      <c r="E308" s="134" t="str">
        <f ca="1">IFERROR(__xludf.DUMMYFUNCTION("""COMPUTED_VALUE"""),"")</f>
        <v/>
      </c>
      <c r="F308" s="134" t="str">
        <f ca="1">IFERROR(__xludf.DUMMYFUNCTION("""COMPUTED_VALUE"""),"")</f>
        <v/>
      </c>
      <c r="G308" s="134" t="str">
        <f ca="1">IFERROR(__xludf.DUMMYFUNCTION("""COMPUTED_VALUE"""),"")</f>
        <v/>
      </c>
      <c r="H308" s="134" t="str">
        <f ca="1">IFERROR(__xludf.DUMMYFUNCTION("""COMPUTED_VALUE"""),"")</f>
        <v/>
      </c>
      <c r="I308" s="134" t="str">
        <f ca="1">IFERROR(__xludf.DUMMYFUNCTION("""COMPUTED_VALUE"""),"")</f>
        <v/>
      </c>
      <c r="J308" s="134" t="str">
        <f ca="1">IFERROR(__xludf.DUMMYFUNCTION("""COMPUTED_VALUE"""),"")</f>
        <v/>
      </c>
      <c r="N308" s="31"/>
    </row>
    <row r="309" spans="1:14" customFormat="1">
      <c r="A309" s="134" t="str">
        <f ca="1">IFERROR(__xludf.DUMMYFUNCTION("""COMPUTED_VALUE"""),"")</f>
        <v/>
      </c>
      <c r="B309" s="134" t="str">
        <f ca="1">IFERROR(__xludf.DUMMYFUNCTION("""COMPUTED_VALUE"""),"")</f>
        <v/>
      </c>
      <c r="C309" s="134" t="str">
        <f ca="1">IFERROR(__xludf.DUMMYFUNCTION("""COMPUTED_VALUE"""),"")</f>
        <v/>
      </c>
      <c r="D309" s="134" t="str">
        <f ca="1">IFERROR(__xludf.DUMMYFUNCTION("""COMPUTED_VALUE"""),"")</f>
        <v/>
      </c>
      <c r="E309" s="134" t="str">
        <f ca="1">IFERROR(__xludf.DUMMYFUNCTION("""COMPUTED_VALUE"""),"")</f>
        <v/>
      </c>
      <c r="F309" s="134" t="str">
        <f ca="1">IFERROR(__xludf.DUMMYFUNCTION("""COMPUTED_VALUE"""),"")</f>
        <v/>
      </c>
      <c r="G309" s="134" t="str">
        <f ca="1">IFERROR(__xludf.DUMMYFUNCTION("""COMPUTED_VALUE"""),"")</f>
        <v/>
      </c>
      <c r="H309" s="134" t="str">
        <f ca="1">IFERROR(__xludf.DUMMYFUNCTION("""COMPUTED_VALUE"""),"")</f>
        <v/>
      </c>
      <c r="I309" s="134" t="str">
        <f ca="1">IFERROR(__xludf.DUMMYFUNCTION("""COMPUTED_VALUE"""),"")</f>
        <v/>
      </c>
      <c r="J309" s="134" t="str">
        <f ca="1">IFERROR(__xludf.DUMMYFUNCTION("""COMPUTED_VALUE"""),"")</f>
        <v/>
      </c>
      <c r="N309" s="31"/>
    </row>
    <row r="310" spans="1:14" customFormat="1">
      <c r="A310" s="134" t="str">
        <f ca="1">IFERROR(__xludf.DUMMYFUNCTION("""COMPUTED_VALUE"""),"")</f>
        <v/>
      </c>
      <c r="B310" s="134" t="str">
        <f ca="1">IFERROR(__xludf.DUMMYFUNCTION("""COMPUTED_VALUE"""),"")</f>
        <v/>
      </c>
      <c r="C310" s="134" t="str">
        <f ca="1">IFERROR(__xludf.DUMMYFUNCTION("""COMPUTED_VALUE"""),"")</f>
        <v/>
      </c>
      <c r="D310" s="134" t="str">
        <f ca="1">IFERROR(__xludf.DUMMYFUNCTION("""COMPUTED_VALUE"""),"")</f>
        <v/>
      </c>
      <c r="E310" s="134" t="str">
        <f ca="1">IFERROR(__xludf.DUMMYFUNCTION("""COMPUTED_VALUE"""),"")</f>
        <v/>
      </c>
      <c r="F310" s="134" t="str">
        <f ca="1">IFERROR(__xludf.DUMMYFUNCTION("""COMPUTED_VALUE"""),"")</f>
        <v/>
      </c>
      <c r="G310" s="134" t="str">
        <f ca="1">IFERROR(__xludf.DUMMYFUNCTION("""COMPUTED_VALUE"""),"")</f>
        <v/>
      </c>
      <c r="H310" s="134" t="str">
        <f ca="1">IFERROR(__xludf.DUMMYFUNCTION("""COMPUTED_VALUE"""),"")</f>
        <v/>
      </c>
      <c r="I310" s="134" t="str">
        <f ca="1">IFERROR(__xludf.DUMMYFUNCTION("""COMPUTED_VALUE"""),"")</f>
        <v/>
      </c>
      <c r="J310" s="134" t="str">
        <f ca="1">IFERROR(__xludf.DUMMYFUNCTION("""COMPUTED_VALUE"""),"")</f>
        <v/>
      </c>
      <c r="N310" s="31"/>
    </row>
    <row r="311" spans="1:14" customFormat="1">
      <c r="A311" s="134" t="str">
        <f ca="1">IFERROR(__xludf.DUMMYFUNCTION("""COMPUTED_VALUE"""),"")</f>
        <v/>
      </c>
      <c r="B311" s="134" t="str">
        <f ca="1">IFERROR(__xludf.DUMMYFUNCTION("""COMPUTED_VALUE"""),"")</f>
        <v/>
      </c>
      <c r="C311" s="134" t="str">
        <f ca="1">IFERROR(__xludf.DUMMYFUNCTION("""COMPUTED_VALUE"""),"")</f>
        <v/>
      </c>
      <c r="D311" s="134" t="str">
        <f ca="1">IFERROR(__xludf.DUMMYFUNCTION("""COMPUTED_VALUE"""),"")</f>
        <v/>
      </c>
      <c r="E311" s="134" t="str">
        <f ca="1">IFERROR(__xludf.DUMMYFUNCTION("""COMPUTED_VALUE"""),"")</f>
        <v/>
      </c>
      <c r="F311" s="134" t="str">
        <f ca="1">IFERROR(__xludf.DUMMYFUNCTION("""COMPUTED_VALUE"""),"")</f>
        <v/>
      </c>
      <c r="G311" s="134" t="str">
        <f ca="1">IFERROR(__xludf.DUMMYFUNCTION("""COMPUTED_VALUE"""),"")</f>
        <v/>
      </c>
      <c r="H311" s="134" t="str">
        <f ca="1">IFERROR(__xludf.DUMMYFUNCTION("""COMPUTED_VALUE"""),"")</f>
        <v/>
      </c>
      <c r="I311" s="134" t="str">
        <f ca="1">IFERROR(__xludf.DUMMYFUNCTION("""COMPUTED_VALUE"""),"")</f>
        <v/>
      </c>
      <c r="J311" s="134" t="str">
        <f ca="1">IFERROR(__xludf.DUMMYFUNCTION("""COMPUTED_VALUE"""),"")</f>
        <v/>
      </c>
      <c r="N311" s="31"/>
    </row>
    <row r="312" spans="1:14" customFormat="1">
      <c r="A312" s="134" t="str">
        <f ca="1">IFERROR(__xludf.DUMMYFUNCTION("""COMPUTED_VALUE"""),"")</f>
        <v/>
      </c>
      <c r="B312" s="134" t="str">
        <f ca="1">IFERROR(__xludf.DUMMYFUNCTION("""COMPUTED_VALUE"""),"")</f>
        <v/>
      </c>
      <c r="C312" s="134" t="str">
        <f ca="1">IFERROR(__xludf.DUMMYFUNCTION("""COMPUTED_VALUE"""),"")</f>
        <v/>
      </c>
      <c r="D312" s="134" t="str">
        <f ca="1">IFERROR(__xludf.DUMMYFUNCTION("""COMPUTED_VALUE"""),"")</f>
        <v/>
      </c>
      <c r="E312" s="134" t="str">
        <f ca="1">IFERROR(__xludf.DUMMYFUNCTION("""COMPUTED_VALUE"""),"")</f>
        <v/>
      </c>
      <c r="F312" s="134" t="str">
        <f ca="1">IFERROR(__xludf.DUMMYFUNCTION("""COMPUTED_VALUE"""),"")</f>
        <v/>
      </c>
      <c r="G312" s="134" t="str">
        <f ca="1">IFERROR(__xludf.DUMMYFUNCTION("""COMPUTED_VALUE"""),"")</f>
        <v/>
      </c>
      <c r="H312" s="134" t="str">
        <f ca="1">IFERROR(__xludf.DUMMYFUNCTION("""COMPUTED_VALUE"""),"")</f>
        <v/>
      </c>
      <c r="I312" s="134" t="str">
        <f ca="1">IFERROR(__xludf.DUMMYFUNCTION("""COMPUTED_VALUE"""),"")</f>
        <v/>
      </c>
      <c r="J312" s="134" t="str">
        <f ca="1">IFERROR(__xludf.DUMMYFUNCTION("""COMPUTED_VALUE"""),"")</f>
        <v/>
      </c>
      <c r="N312" s="31"/>
    </row>
    <row r="313" spans="1:14" customFormat="1">
      <c r="A313" s="134" t="str">
        <f ca="1">IFERROR(__xludf.DUMMYFUNCTION("""COMPUTED_VALUE"""),"")</f>
        <v/>
      </c>
      <c r="B313" s="134" t="str">
        <f ca="1">IFERROR(__xludf.DUMMYFUNCTION("""COMPUTED_VALUE"""),"")</f>
        <v/>
      </c>
      <c r="C313" s="134" t="str">
        <f ca="1">IFERROR(__xludf.DUMMYFUNCTION("""COMPUTED_VALUE"""),"")</f>
        <v/>
      </c>
      <c r="D313" s="134" t="str">
        <f ca="1">IFERROR(__xludf.DUMMYFUNCTION("""COMPUTED_VALUE"""),"")</f>
        <v/>
      </c>
      <c r="E313" s="134" t="str">
        <f ca="1">IFERROR(__xludf.DUMMYFUNCTION("""COMPUTED_VALUE"""),"")</f>
        <v/>
      </c>
      <c r="F313" s="134" t="str">
        <f ca="1">IFERROR(__xludf.DUMMYFUNCTION("""COMPUTED_VALUE"""),"")</f>
        <v/>
      </c>
      <c r="G313" s="134" t="str">
        <f ca="1">IFERROR(__xludf.DUMMYFUNCTION("""COMPUTED_VALUE"""),"")</f>
        <v/>
      </c>
      <c r="H313" s="134" t="str">
        <f ca="1">IFERROR(__xludf.DUMMYFUNCTION("""COMPUTED_VALUE"""),"")</f>
        <v/>
      </c>
      <c r="I313" s="134" t="str">
        <f ca="1">IFERROR(__xludf.DUMMYFUNCTION("""COMPUTED_VALUE"""),"")</f>
        <v/>
      </c>
      <c r="J313" s="134" t="str">
        <f ca="1">IFERROR(__xludf.DUMMYFUNCTION("""COMPUTED_VALUE"""),"")</f>
        <v/>
      </c>
      <c r="N313" s="31"/>
    </row>
    <row r="314" spans="1:14" customFormat="1">
      <c r="A314" s="134" t="str">
        <f ca="1">IFERROR(__xludf.DUMMYFUNCTION("""COMPUTED_VALUE"""),"")</f>
        <v/>
      </c>
      <c r="B314" s="134" t="str">
        <f ca="1">IFERROR(__xludf.DUMMYFUNCTION("""COMPUTED_VALUE"""),"")</f>
        <v/>
      </c>
      <c r="C314" s="134" t="str">
        <f ca="1">IFERROR(__xludf.DUMMYFUNCTION("""COMPUTED_VALUE"""),"")</f>
        <v/>
      </c>
      <c r="D314" s="134" t="str">
        <f ca="1">IFERROR(__xludf.DUMMYFUNCTION("""COMPUTED_VALUE"""),"")</f>
        <v/>
      </c>
      <c r="E314" s="134" t="str">
        <f ca="1">IFERROR(__xludf.DUMMYFUNCTION("""COMPUTED_VALUE"""),"")</f>
        <v/>
      </c>
      <c r="F314" s="134" t="str">
        <f ca="1">IFERROR(__xludf.DUMMYFUNCTION("""COMPUTED_VALUE"""),"")</f>
        <v/>
      </c>
      <c r="G314" s="134" t="str">
        <f ca="1">IFERROR(__xludf.DUMMYFUNCTION("""COMPUTED_VALUE"""),"")</f>
        <v/>
      </c>
      <c r="H314" s="134" t="str">
        <f ca="1">IFERROR(__xludf.DUMMYFUNCTION("""COMPUTED_VALUE"""),"")</f>
        <v/>
      </c>
      <c r="I314" s="134" t="str">
        <f ca="1">IFERROR(__xludf.DUMMYFUNCTION("""COMPUTED_VALUE"""),"")</f>
        <v/>
      </c>
      <c r="J314" s="134" t="str">
        <f ca="1">IFERROR(__xludf.DUMMYFUNCTION("""COMPUTED_VALUE"""),"")</f>
        <v/>
      </c>
      <c r="N314" s="31"/>
    </row>
    <row r="315" spans="1:14" customFormat="1">
      <c r="A315" s="134" t="str">
        <f ca="1">IFERROR(__xludf.DUMMYFUNCTION("""COMPUTED_VALUE"""),"")</f>
        <v/>
      </c>
      <c r="B315" s="134" t="str">
        <f ca="1">IFERROR(__xludf.DUMMYFUNCTION("""COMPUTED_VALUE"""),"")</f>
        <v/>
      </c>
      <c r="C315" s="134" t="str">
        <f ca="1">IFERROR(__xludf.DUMMYFUNCTION("""COMPUTED_VALUE"""),"")</f>
        <v/>
      </c>
      <c r="D315" s="134" t="str">
        <f ca="1">IFERROR(__xludf.DUMMYFUNCTION("""COMPUTED_VALUE"""),"")</f>
        <v/>
      </c>
      <c r="E315" s="134" t="str">
        <f ca="1">IFERROR(__xludf.DUMMYFUNCTION("""COMPUTED_VALUE"""),"")</f>
        <v/>
      </c>
      <c r="F315" s="134" t="str">
        <f ca="1">IFERROR(__xludf.DUMMYFUNCTION("""COMPUTED_VALUE"""),"")</f>
        <v/>
      </c>
      <c r="G315" s="134" t="str">
        <f ca="1">IFERROR(__xludf.DUMMYFUNCTION("""COMPUTED_VALUE"""),"")</f>
        <v/>
      </c>
      <c r="H315" s="134" t="str">
        <f ca="1">IFERROR(__xludf.DUMMYFUNCTION("""COMPUTED_VALUE"""),"")</f>
        <v/>
      </c>
      <c r="I315" s="134" t="str">
        <f ca="1">IFERROR(__xludf.DUMMYFUNCTION("""COMPUTED_VALUE"""),"")</f>
        <v/>
      </c>
      <c r="J315" s="134" t="str">
        <f ca="1">IFERROR(__xludf.DUMMYFUNCTION("""COMPUTED_VALUE"""),"")</f>
        <v/>
      </c>
      <c r="N315" s="31"/>
    </row>
    <row r="316" spans="1:14" customFormat="1">
      <c r="A316" s="134" t="str">
        <f ca="1">IFERROR(__xludf.DUMMYFUNCTION("""COMPUTED_VALUE"""),"")</f>
        <v/>
      </c>
      <c r="B316" s="134" t="str">
        <f ca="1">IFERROR(__xludf.DUMMYFUNCTION("""COMPUTED_VALUE"""),"")</f>
        <v/>
      </c>
      <c r="C316" s="134" t="str">
        <f ca="1">IFERROR(__xludf.DUMMYFUNCTION("""COMPUTED_VALUE"""),"")</f>
        <v/>
      </c>
      <c r="D316" s="134" t="str">
        <f ca="1">IFERROR(__xludf.DUMMYFUNCTION("""COMPUTED_VALUE"""),"")</f>
        <v/>
      </c>
      <c r="E316" s="134" t="str">
        <f ca="1">IFERROR(__xludf.DUMMYFUNCTION("""COMPUTED_VALUE"""),"")</f>
        <v/>
      </c>
      <c r="F316" s="134" t="str">
        <f ca="1">IFERROR(__xludf.DUMMYFUNCTION("""COMPUTED_VALUE"""),"")</f>
        <v/>
      </c>
      <c r="G316" s="134" t="str">
        <f ca="1">IFERROR(__xludf.DUMMYFUNCTION("""COMPUTED_VALUE"""),"")</f>
        <v/>
      </c>
      <c r="H316" s="134" t="str">
        <f ca="1">IFERROR(__xludf.DUMMYFUNCTION("""COMPUTED_VALUE"""),"")</f>
        <v/>
      </c>
      <c r="I316" s="134" t="str">
        <f ca="1">IFERROR(__xludf.DUMMYFUNCTION("""COMPUTED_VALUE"""),"")</f>
        <v/>
      </c>
      <c r="J316" s="134" t="str">
        <f ca="1">IFERROR(__xludf.DUMMYFUNCTION("""COMPUTED_VALUE"""),"")</f>
        <v/>
      </c>
      <c r="N316" s="31"/>
    </row>
    <row r="317" spans="1:14" customFormat="1">
      <c r="A317" s="134" t="str">
        <f ca="1">IFERROR(__xludf.DUMMYFUNCTION("""COMPUTED_VALUE"""),"")</f>
        <v/>
      </c>
      <c r="B317" s="134" t="str">
        <f ca="1">IFERROR(__xludf.DUMMYFUNCTION("""COMPUTED_VALUE"""),"")</f>
        <v/>
      </c>
      <c r="C317" s="134" t="str">
        <f ca="1">IFERROR(__xludf.DUMMYFUNCTION("""COMPUTED_VALUE"""),"")</f>
        <v/>
      </c>
      <c r="D317" s="134" t="str">
        <f ca="1">IFERROR(__xludf.DUMMYFUNCTION("""COMPUTED_VALUE"""),"")</f>
        <v/>
      </c>
      <c r="E317" s="134" t="str">
        <f ca="1">IFERROR(__xludf.DUMMYFUNCTION("""COMPUTED_VALUE"""),"")</f>
        <v/>
      </c>
      <c r="F317" s="134" t="str">
        <f ca="1">IFERROR(__xludf.DUMMYFUNCTION("""COMPUTED_VALUE"""),"")</f>
        <v/>
      </c>
      <c r="G317" s="134" t="str">
        <f ca="1">IFERROR(__xludf.DUMMYFUNCTION("""COMPUTED_VALUE"""),"")</f>
        <v/>
      </c>
      <c r="H317" s="134" t="str">
        <f ca="1">IFERROR(__xludf.DUMMYFUNCTION("""COMPUTED_VALUE"""),"")</f>
        <v/>
      </c>
      <c r="I317" s="134" t="str">
        <f ca="1">IFERROR(__xludf.DUMMYFUNCTION("""COMPUTED_VALUE"""),"")</f>
        <v/>
      </c>
      <c r="J317" s="134" t="str">
        <f ca="1">IFERROR(__xludf.DUMMYFUNCTION("""COMPUTED_VALUE"""),"")</f>
        <v/>
      </c>
      <c r="N317" s="31"/>
    </row>
    <row r="318" spans="1:14" customFormat="1">
      <c r="A318" s="134" t="str">
        <f ca="1">IFERROR(__xludf.DUMMYFUNCTION("""COMPUTED_VALUE"""),"")</f>
        <v/>
      </c>
      <c r="B318" s="134" t="str">
        <f ca="1">IFERROR(__xludf.DUMMYFUNCTION("""COMPUTED_VALUE"""),"")</f>
        <v/>
      </c>
      <c r="C318" s="134" t="str">
        <f ca="1">IFERROR(__xludf.DUMMYFUNCTION("""COMPUTED_VALUE"""),"")</f>
        <v/>
      </c>
      <c r="D318" s="134" t="str">
        <f ca="1">IFERROR(__xludf.DUMMYFUNCTION("""COMPUTED_VALUE"""),"")</f>
        <v/>
      </c>
      <c r="E318" s="134" t="str">
        <f ca="1">IFERROR(__xludf.DUMMYFUNCTION("""COMPUTED_VALUE"""),"")</f>
        <v/>
      </c>
      <c r="F318" s="134" t="str">
        <f ca="1">IFERROR(__xludf.DUMMYFUNCTION("""COMPUTED_VALUE"""),"")</f>
        <v/>
      </c>
      <c r="G318" s="134" t="str">
        <f ca="1">IFERROR(__xludf.DUMMYFUNCTION("""COMPUTED_VALUE"""),"")</f>
        <v/>
      </c>
      <c r="H318" s="134" t="str">
        <f ca="1">IFERROR(__xludf.DUMMYFUNCTION("""COMPUTED_VALUE"""),"")</f>
        <v/>
      </c>
      <c r="I318" s="134" t="str">
        <f ca="1">IFERROR(__xludf.DUMMYFUNCTION("""COMPUTED_VALUE"""),"")</f>
        <v/>
      </c>
      <c r="J318" s="134" t="str">
        <f ca="1">IFERROR(__xludf.DUMMYFUNCTION("""COMPUTED_VALUE"""),"")</f>
        <v/>
      </c>
      <c r="N318" s="31"/>
    </row>
    <row r="319" spans="1:14" customFormat="1">
      <c r="A319" s="134" t="str">
        <f ca="1">IFERROR(__xludf.DUMMYFUNCTION("""COMPUTED_VALUE"""),"")</f>
        <v/>
      </c>
      <c r="B319" s="134" t="str">
        <f ca="1">IFERROR(__xludf.DUMMYFUNCTION("""COMPUTED_VALUE"""),"")</f>
        <v/>
      </c>
      <c r="C319" s="134" t="str">
        <f ca="1">IFERROR(__xludf.DUMMYFUNCTION("""COMPUTED_VALUE"""),"")</f>
        <v/>
      </c>
      <c r="D319" s="134" t="str">
        <f ca="1">IFERROR(__xludf.DUMMYFUNCTION("""COMPUTED_VALUE"""),"")</f>
        <v/>
      </c>
      <c r="E319" s="134" t="str">
        <f ca="1">IFERROR(__xludf.DUMMYFUNCTION("""COMPUTED_VALUE"""),"")</f>
        <v/>
      </c>
      <c r="F319" s="134" t="str">
        <f ca="1">IFERROR(__xludf.DUMMYFUNCTION("""COMPUTED_VALUE"""),"")</f>
        <v/>
      </c>
      <c r="G319" s="134" t="str">
        <f ca="1">IFERROR(__xludf.DUMMYFUNCTION("""COMPUTED_VALUE"""),"")</f>
        <v/>
      </c>
      <c r="H319" s="134" t="str">
        <f ca="1">IFERROR(__xludf.DUMMYFUNCTION("""COMPUTED_VALUE"""),"")</f>
        <v/>
      </c>
      <c r="I319" s="134" t="str">
        <f ca="1">IFERROR(__xludf.DUMMYFUNCTION("""COMPUTED_VALUE"""),"")</f>
        <v/>
      </c>
      <c r="J319" s="134" t="str">
        <f ca="1">IFERROR(__xludf.DUMMYFUNCTION("""COMPUTED_VALUE"""),"")</f>
        <v/>
      </c>
      <c r="N319" s="31"/>
    </row>
    <row r="320" spans="1:14" customFormat="1">
      <c r="A320" s="134" t="str">
        <f ca="1">IFERROR(__xludf.DUMMYFUNCTION("""COMPUTED_VALUE"""),"")</f>
        <v/>
      </c>
      <c r="B320" s="134" t="str">
        <f ca="1">IFERROR(__xludf.DUMMYFUNCTION("""COMPUTED_VALUE"""),"")</f>
        <v/>
      </c>
      <c r="C320" s="134" t="str">
        <f ca="1">IFERROR(__xludf.DUMMYFUNCTION("""COMPUTED_VALUE"""),"")</f>
        <v/>
      </c>
      <c r="D320" s="134" t="str">
        <f ca="1">IFERROR(__xludf.DUMMYFUNCTION("""COMPUTED_VALUE"""),"")</f>
        <v/>
      </c>
      <c r="E320" s="134" t="str">
        <f ca="1">IFERROR(__xludf.DUMMYFUNCTION("""COMPUTED_VALUE"""),"")</f>
        <v/>
      </c>
      <c r="F320" s="134" t="str">
        <f ca="1">IFERROR(__xludf.DUMMYFUNCTION("""COMPUTED_VALUE"""),"")</f>
        <v/>
      </c>
      <c r="G320" s="134" t="str">
        <f ca="1">IFERROR(__xludf.DUMMYFUNCTION("""COMPUTED_VALUE"""),"")</f>
        <v/>
      </c>
      <c r="H320" s="134" t="str">
        <f ca="1">IFERROR(__xludf.DUMMYFUNCTION("""COMPUTED_VALUE"""),"")</f>
        <v/>
      </c>
      <c r="I320" s="134" t="str">
        <f ca="1">IFERROR(__xludf.DUMMYFUNCTION("""COMPUTED_VALUE"""),"")</f>
        <v/>
      </c>
      <c r="J320" s="134" t="str">
        <f ca="1">IFERROR(__xludf.DUMMYFUNCTION("""COMPUTED_VALUE"""),"")</f>
        <v/>
      </c>
      <c r="N320" s="31"/>
    </row>
    <row r="321" spans="1:14" customFormat="1">
      <c r="A321" s="134" t="str">
        <f ca="1">IFERROR(__xludf.DUMMYFUNCTION("""COMPUTED_VALUE"""),"")</f>
        <v/>
      </c>
      <c r="B321" s="134" t="str">
        <f ca="1">IFERROR(__xludf.DUMMYFUNCTION("""COMPUTED_VALUE"""),"")</f>
        <v/>
      </c>
      <c r="C321" s="134" t="str">
        <f ca="1">IFERROR(__xludf.DUMMYFUNCTION("""COMPUTED_VALUE"""),"")</f>
        <v/>
      </c>
      <c r="D321" s="134" t="str">
        <f ca="1">IFERROR(__xludf.DUMMYFUNCTION("""COMPUTED_VALUE"""),"")</f>
        <v/>
      </c>
      <c r="E321" s="134" t="str">
        <f ca="1">IFERROR(__xludf.DUMMYFUNCTION("""COMPUTED_VALUE"""),"")</f>
        <v/>
      </c>
      <c r="F321" s="134" t="str">
        <f ca="1">IFERROR(__xludf.DUMMYFUNCTION("""COMPUTED_VALUE"""),"")</f>
        <v/>
      </c>
      <c r="G321" s="134" t="str">
        <f ca="1">IFERROR(__xludf.DUMMYFUNCTION("""COMPUTED_VALUE"""),"")</f>
        <v/>
      </c>
      <c r="H321" s="134" t="str">
        <f ca="1">IFERROR(__xludf.DUMMYFUNCTION("""COMPUTED_VALUE"""),"")</f>
        <v/>
      </c>
      <c r="I321" s="134" t="str">
        <f ca="1">IFERROR(__xludf.DUMMYFUNCTION("""COMPUTED_VALUE"""),"")</f>
        <v/>
      </c>
      <c r="J321" s="134" t="str">
        <f ca="1">IFERROR(__xludf.DUMMYFUNCTION("""COMPUTED_VALUE"""),"")</f>
        <v/>
      </c>
      <c r="N321" s="31"/>
    </row>
    <row r="322" spans="1:14" customFormat="1">
      <c r="A322" s="134" t="str">
        <f ca="1">IFERROR(__xludf.DUMMYFUNCTION("""COMPUTED_VALUE"""),"")</f>
        <v/>
      </c>
      <c r="B322" s="134" t="str">
        <f ca="1">IFERROR(__xludf.DUMMYFUNCTION("""COMPUTED_VALUE"""),"")</f>
        <v/>
      </c>
      <c r="C322" s="134" t="str">
        <f ca="1">IFERROR(__xludf.DUMMYFUNCTION("""COMPUTED_VALUE"""),"")</f>
        <v/>
      </c>
      <c r="D322" s="134" t="str">
        <f ca="1">IFERROR(__xludf.DUMMYFUNCTION("""COMPUTED_VALUE"""),"")</f>
        <v/>
      </c>
      <c r="E322" s="134" t="str">
        <f ca="1">IFERROR(__xludf.DUMMYFUNCTION("""COMPUTED_VALUE"""),"")</f>
        <v/>
      </c>
      <c r="F322" s="134" t="str">
        <f ca="1">IFERROR(__xludf.DUMMYFUNCTION("""COMPUTED_VALUE"""),"")</f>
        <v/>
      </c>
      <c r="G322" s="134" t="str">
        <f ca="1">IFERROR(__xludf.DUMMYFUNCTION("""COMPUTED_VALUE"""),"")</f>
        <v/>
      </c>
      <c r="H322" s="134" t="str">
        <f ca="1">IFERROR(__xludf.DUMMYFUNCTION("""COMPUTED_VALUE"""),"")</f>
        <v/>
      </c>
      <c r="I322" s="134" t="str">
        <f ca="1">IFERROR(__xludf.DUMMYFUNCTION("""COMPUTED_VALUE"""),"")</f>
        <v/>
      </c>
      <c r="J322" s="134" t="str">
        <f ca="1">IFERROR(__xludf.DUMMYFUNCTION("""COMPUTED_VALUE"""),"")</f>
        <v/>
      </c>
      <c r="N322" s="31"/>
    </row>
    <row r="323" spans="1:14" customFormat="1">
      <c r="A323" s="134" t="str">
        <f ca="1">IFERROR(__xludf.DUMMYFUNCTION("""COMPUTED_VALUE"""),"")</f>
        <v/>
      </c>
      <c r="B323" s="134" t="str">
        <f ca="1">IFERROR(__xludf.DUMMYFUNCTION("""COMPUTED_VALUE"""),"")</f>
        <v/>
      </c>
      <c r="C323" s="134" t="str">
        <f ca="1">IFERROR(__xludf.DUMMYFUNCTION("""COMPUTED_VALUE"""),"")</f>
        <v/>
      </c>
      <c r="D323" s="134" t="str">
        <f ca="1">IFERROR(__xludf.DUMMYFUNCTION("""COMPUTED_VALUE"""),"")</f>
        <v/>
      </c>
      <c r="E323" s="134" t="str">
        <f ca="1">IFERROR(__xludf.DUMMYFUNCTION("""COMPUTED_VALUE"""),"")</f>
        <v/>
      </c>
      <c r="F323" s="134" t="str">
        <f ca="1">IFERROR(__xludf.DUMMYFUNCTION("""COMPUTED_VALUE"""),"")</f>
        <v/>
      </c>
      <c r="G323" s="134" t="str">
        <f ca="1">IFERROR(__xludf.DUMMYFUNCTION("""COMPUTED_VALUE"""),"")</f>
        <v/>
      </c>
      <c r="H323" s="134" t="str">
        <f ca="1">IFERROR(__xludf.DUMMYFUNCTION("""COMPUTED_VALUE"""),"")</f>
        <v/>
      </c>
      <c r="I323" s="134" t="str">
        <f ca="1">IFERROR(__xludf.DUMMYFUNCTION("""COMPUTED_VALUE"""),"")</f>
        <v/>
      </c>
      <c r="J323" s="134" t="str">
        <f ca="1">IFERROR(__xludf.DUMMYFUNCTION("""COMPUTED_VALUE"""),"")</f>
        <v/>
      </c>
      <c r="N323" s="31"/>
    </row>
    <row r="324" spans="1:14" customFormat="1">
      <c r="A324" s="134" t="str">
        <f ca="1">IFERROR(__xludf.DUMMYFUNCTION("""COMPUTED_VALUE"""),"")</f>
        <v/>
      </c>
      <c r="B324" s="134" t="str">
        <f ca="1">IFERROR(__xludf.DUMMYFUNCTION("""COMPUTED_VALUE"""),"")</f>
        <v/>
      </c>
      <c r="C324" s="134" t="str">
        <f ca="1">IFERROR(__xludf.DUMMYFUNCTION("""COMPUTED_VALUE"""),"")</f>
        <v/>
      </c>
      <c r="D324" s="134" t="str">
        <f ca="1">IFERROR(__xludf.DUMMYFUNCTION("""COMPUTED_VALUE"""),"")</f>
        <v/>
      </c>
      <c r="E324" s="134" t="str">
        <f ca="1">IFERROR(__xludf.DUMMYFUNCTION("""COMPUTED_VALUE"""),"")</f>
        <v/>
      </c>
      <c r="F324" s="134" t="str">
        <f ca="1">IFERROR(__xludf.DUMMYFUNCTION("""COMPUTED_VALUE"""),"")</f>
        <v/>
      </c>
      <c r="G324" s="134" t="str">
        <f ca="1">IFERROR(__xludf.DUMMYFUNCTION("""COMPUTED_VALUE"""),"")</f>
        <v/>
      </c>
      <c r="H324" s="134" t="str">
        <f ca="1">IFERROR(__xludf.DUMMYFUNCTION("""COMPUTED_VALUE"""),"")</f>
        <v/>
      </c>
      <c r="I324" s="134" t="str">
        <f ca="1">IFERROR(__xludf.DUMMYFUNCTION("""COMPUTED_VALUE"""),"")</f>
        <v/>
      </c>
      <c r="J324" s="134" t="str">
        <f ca="1">IFERROR(__xludf.DUMMYFUNCTION("""COMPUTED_VALUE"""),"")</f>
        <v/>
      </c>
      <c r="N324" s="31"/>
    </row>
    <row r="325" spans="1:14" customFormat="1">
      <c r="A325" s="134" t="str">
        <f ca="1">IFERROR(__xludf.DUMMYFUNCTION("""COMPUTED_VALUE"""),"")</f>
        <v/>
      </c>
      <c r="B325" s="134" t="str">
        <f ca="1">IFERROR(__xludf.DUMMYFUNCTION("""COMPUTED_VALUE"""),"")</f>
        <v/>
      </c>
      <c r="C325" s="134" t="str">
        <f ca="1">IFERROR(__xludf.DUMMYFUNCTION("""COMPUTED_VALUE"""),"")</f>
        <v/>
      </c>
      <c r="D325" s="134" t="str">
        <f ca="1">IFERROR(__xludf.DUMMYFUNCTION("""COMPUTED_VALUE"""),"")</f>
        <v/>
      </c>
      <c r="E325" s="134" t="str">
        <f ca="1">IFERROR(__xludf.DUMMYFUNCTION("""COMPUTED_VALUE"""),"")</f>
        <v/>
      </c>
      <c r="F325" s="134" t="str">
        <f ca="1">IFERROR(__xludf.DUMMYFUNCTION("""COMPUTED_VALUE"""),"")</f>
        <v/>
      </c>
      <c r="G325" s="134" t="str">
        <f ca="1">IFERROR(__xludf.DUMMYFUNCTION("""COMPUTED_VALUE"""),"")</f>
        <v/>
      </c>
      <c r="H325" s="134" t="str">
        <f ca="1">IFERROR(__xludf.DUMMYFUNCTION("""COMPUTED_VALUE"""),"")</f>
        <v/>
      </c>
      <c r="I325" s="134" t="str">
        <f ca="1">IFERROR(__xludf.DUMMYFUNCTION("""COMPUTED_VALUE"""),"")</f>
        <v/>
      </c>
      <c r="J325" s="134" t="str">
        <f ca="1">IFERROR(__xludf.DUMMYFUNCTION("""COMPUTED_VALUE"""),"")</f>
        <v/>
      </c>
      <c r="N325" s="31"/>
    </row>
    <row r="326" spans="1:14" customFormat="1">
      <c r="A326" s="134" t="str">
        <f ca="1">IFERROR(__xludf.DUMMYFUNCTION("""COMPUTED_VALUE"""),"")</f>
        <v/>
      </c>
      <c r="B326" s="134" t="str">
        <f ca="1">IFERROR(__xludf.DUMMYFUNCTION("""COMPUTED_VALUE"""),"")</f>
        <v/>
      </c>
      <c r="C326" s="134" t="str">
        <f ca="1">IFERROR(__xludf.DUMMYFUNCTION("""COMPUTED_VALUE"""),"")</f>
        <v/>
      </c>
      <c r="D326" s="134" t="str">
        <f ca="1">IFERROR(__xludf.DUMMYFUNCTION("""COMPUTED_VALUE"""),"")</f>
        <v/>
      </c>
      <c r="E326" s="134" t="str">
        <f ca="1">IFERROR(__xludf.DUMMYFUNCTION("""COMPUTED_VALUE"""),"")</f>
        <v/>
      </c>
      <c r="F326" s="134" t="str">
        <f ca="1">IFERROR(__xludf.DUMMYFUNCTION("""COMPUTED_VALUE"""),"")</f>
        <v/>
      </c>
      <c r="G326" s="134" t="str">
        <f ca="1">IFERROR(__xludf.DUMMYFUNCTION("""COMPUTED_VALUE"""),"")</f>
        <v/>
      </c>
      <c r="H326" s="134" t="str">
        <f ca="1">IFERROR(__xludf.DUMMYFUNCTION("""COMPUTED_VALUE"""),"")</f>
        <v/>
      </c>
      <c r="I326" s="134" t="str">
        <f ca="1">IFERROR(__xludf.DUMMYFUNCTION("""COMPUTED_VALUE"""),"")</f>
        <v/>
      </c>
      <c r="J326" s="134" t="str">
        <f ca="1">IFERROR(__xludf.DUMMYFUNCTION("""COMPUTED_VALUE"""),"")</f>
        <v/>
      </c>
      <c r="N326" s="31"/>
    </row>
    <row r="327" spans="1:14" customFormat="1">
      <c r="A327" s="134" t="str">
        <f ca="1">IFERROR(__xludf.DUMMYFUNCTION("""COMPUTED_VALUE"""),"")</f>
        <v/>
      </c>
      <c r="B327" s="134" t="str">
        <f ca="1">IFERROR(__xludf.DUMMYFUNCTION("""COMPUTED_VALUE"""),"")</f>
        <v/>
      </c>
      <c r="C327" s="134" t="str">
        <f ca="1">IFERROR(__xludf.DUMMYFUNCTION("""COMPUTED_VALUE"""),"")</f>
        <v/>
      </c>
      <c r="D327" s="134" t="str">
        <f ca="1">IFERROR(__xludf.DUMMYFUNCTION("""COMPUTED_VALUE"""),"")</f>
        <v/>
      </c>
      <c r="E327" s="134" t="str">
        <f ca="1">IFERROR(__xludf.DUMMYFUNCTION("""COMPUTED_VALUE"""),"")</f>
        <v/>
      </c>
      <c r="F327" s="134" t="str">
        <f ca="1">IFERROR(__xludf.DUMMYFUNCTION("""COMPUTED_VALUE"""),"")</f>
        <v/>
      </c>
      <c r="G327" s="134" t="str">
        <f ca="1">IFERROR(__xludf.DUMMYFUNCTION("""COMPUTED_VALUE"""),"")</f>
        <v/>
      </c>
      <c r="H327" s="134" t="str">
        <f ca="1">IFERROR(__xludf.DUMMYFUNCTION("""COMPUTED_VALUE"""),"")</f>
        <v/>
      </c>
      <c r="I327" s="134" t="str">
        <f ca="1">IFERROR(__xludf.DUMMYFUNCTION("""COMPUTED_VALUE"""),"")</f>
        <v/>
      </c>
      <c r="J327" s="134" t="str">
        <f ca="1">IFERROR(__xludf.DUMMYFUNCTION("""COMPUTED_VALUE"""),"")</f>
        <v/>
      </c>
      <c r="N327" s="31"/>
    </row>
    <row r="328" spans="1:14" customFormat="1">
      <c r="A328" s="134" t="str">
        <f ca="1">IFERROR(__xludf.DUMMYFUNCTION("""COMPUTED_VALUE"""),"")</f>
        <v/>
      </c>
      <c r="B328" s="134" t="str">
        <f ca="1">IFERROR(__xludf.DUMMYFUNCTION("""COMPUTED_VALUE"""),"")</f>
        <v/>
      </c>
      <c r="C328" s="134" t="str">
        <f ca="1">IFERROR(__xludf.DUMMYFUNCTION("""COMPUTED_VALUE"""),"")</f>
        <v/>
      </c>
      <c r="D328" s="134" t="str">
        <f ca="1">IFERROR(__xludf.DUMMYFUNCTION("""COMPUTED_VALUE"""),"")</f>
        <v/>
      </c>
      <c r="E328" s="134" t="str">
        <f ca="1">IFERROR(__xludf.DUMMYFUNCTION("""COMPUTED_VALUE"""),"")</f>
        <v/>
      </c>
      <c r="F328" s="134" t="str">
        <f ca="1">IFERROR(__xludf.DUMMYFUNCTION("""COMPUTED_VALUE"""),"")</f>
        <v/>
      </c>
      <c r="G328" s="134" t="str">
        <f ca="1">IFERROR(__xludf.DUMMYFUNCTION("""COMPUTED_VALUE"""),"")</f>
        <v/>
      </c>
      <c r="H328" s="134" t="str">
        <f ca="1">IFERROR(__xludf.DUMMYFUNCTION("""COMPUTED_VALUE"""),"")</f>
        <v/>
      </c>
      <c r="I328" s="134" t="str">
        <f ca="1">IFERROR(__xludf.DUMMYFUNCTION("""COMPUTED_VALUE"""),"")</f>
        <v/>
      </c>
      <c r="J328" s="134" t="str">
        <f ca="1">IFERROR(__xludf.DUMMYFUNCTION("""COMPUTED_VALUE"""),"")</f>
        <v/>
      </c>
      <c r="N328" s="31"/>
    </row>
    <row r="329" spans="1:14" customFormat="1">
      <c r="A329" s="134" t="str">
        <f ca="1">IFERROR(__xludf.DUMMYFUNCTION("""COMPUTED_VALUE"""),"")</f>
        <v/>
      </c>
      <c r="B329" s="134" t="str">
        <f ca="1">IFERROR(__xludf.DUMMYFUNCTION("""COMPUTED_VALUE"""),"")</f>
        <v/>
      </c>
      <c r="C329" s="134" t="str">
        <f ca="1">IFERROR(__xludf.DUMMYFUNCTION("""COMPUTED_VALUE"""),"")</f>
        <v/>
      </c>
      <c r="D329" s="134" t="str">
        <f ca="1">IFERROR(__xludf.DUMMYFUNCTION("""COMPUTED_VALUE"""),"")</f>
        <v/>
      </c>
      <c r="E329" s="134" t="str">
        <f ca="1">IFERROR(__xludf.DUMMYFUNCTION("""COMPUTED_VALUE"""),"")</f>
        <v/>
      </c>
      <c r="F329" s="134" t="str">
        <f ca="1">IFERROR(__xludf.DUMMYFUNCTION("""COMPUTED_VALUE"""),"")</f>
        <v/>
      </c>
      <c r="G329" s="134" t="str">
        <f ca="1">IFERROR(__xludf.DUMMYFUNCTION("""COMPUTED_VALUE"""),"")</f>
        <v/>
      </c>
      <c r="H329" s="134" t="str">
        <f ca="1">IFERROR(__xludf.DUMMYFUNCTION("""COMPUTED_VALUE"""),"")</f>
        <v/>
      </c>
      <c r="I329" s="134" t="str">
        <f ca="1">IFERROR(__xludf.DUMMYFUNCTION("""COMPUTED_VALUE"""),"")</f>
        <v/>
      </c>
      <c r="J329" s="134" t="str">
        <f ca="1">IFERROR(__xludf.DUMMYFUNCTION("""COMPUTED_VALUE"""),"")</f>
        <v/>
      </c>
      <c r="N329" s="31"/>
    </row>
    <row r="330" spans="1:14" customFormat="1">
      <c r="A330" s="134" t="str">
        <f ca="1">IFERROR(__xludf.DUMMYFUNCTION("""COMPUTED_VALUE"""),"")</f>
        <v/>
      </c>
      <c r="B330" s="134" t="str">
        <f ca="1">IFERROR(__xludf.DUMMYFUNCTION("""COMPUTED_VALUE"""),"")</f>
        <v/>
      </c>
      <c r="C330" s="134" t="str">
        <f ca="1">IFERROR(__xludf.DUMMYFUNCTION("""COMPUTED_VALUE"""),"")</f>
        <v/>
      </c>
      <c r="D330" s="134" t="str">
        <f ca="1">IFERROR(__xludf.DUMMYFUNCTION("""COMPUTED_VALUE"""),"")</f>
        <v/>
      </c>
      <c r="E330" s="134" t="str">
        <f ca="1">IFERROR(__xludf.DUMMYFUNCTION("""COMPUTED_VALUE"""),"")</f>
        <v/>
      </c>
      <c r="F330" s="134" t="str">
        <f ca="1">IFERROR(__xludf.DUMMYFUNCTION("""COMPUTED_VALUE"""),"")</f>
        <v/>
      </c>
      <c r="G330" s="134" t="str">
        <f ca="1">IFERROR(__xludf.DUMMYFUNCTION("""COMPUTED_VALUE"""),"")</f>
        <v/>
      </c>
      <c r="H330" s="134" t="str">
        <f ca="1">IFERROR(__xludf.DUMMYFUNCTION("""COMPUTED_VALUE"""),"")</f>
        <v/>
      </c>
      <c r="I330" s="134" t="str">
        <f ca="1">IFERROR(__xludf.DUMMYFUNCTION("""COMPUTED_VALUE"""),"")</f>
        <v/>
      </c>
      <c r="J330" s="134" t="str">
        <f ca="1">IFERROR(__xludf.DUMMYFUNCTION("""COMPUTED_VALUE"""),"")</f>
        <v/>
      </c>
      <c r="N330" s="31"/>
    </row>
    <row r="331" spans="1:14" customFormat="1">
      <c r="A331" s="134" t="str">
        <f ca="1">IFERROR(__xludf.DUMMYFUNCTION("""COMPUTED_VALUE"""),"")</f>
        <v/>
      </c>
      <c r="B331" s="134" t="str">
        <f ca="1">IFERROR(__xludf.DUMMYFUNCTION("""COMPUTED_VALUE"""),"")</f>
        <v/>
      </c>
      <c r="C331" s="134" t="str">
        <f ca="1">IFERROR(__xludf.DUMMYFUNCTION("""COMPUTED_VALUE"""),"")</f>
        <v/>
      </c>
      <c r="D331" s="134" t="str">
        <f ca="1">IFERROR(__xludf.DUMMYFUNCTION("""COMPUTED_VALUE"""),"")</f>
        <v/>
      </c>
      <c r="E331" s="134" t="str">
        <f ca="1">IFERROR(__xludf.DUMMYFUNCTION("""COMPUTED_VALUE"""),"")</f>
        <v/>
      </c>
      <c r="F331" s="134" t="str">
        <f ca="1">IFERROR(__xludf.DUMMYFUNCTION("""COMPUTED_VALUE"""),"")</f>
        <v/>
      </c>
      <c r="G331" s="134" t="str">
        <f ca="1">IFERROR(__xludf.DUMMYFUNCTION("""COMPUTED_VALUE"""),"")</f>
        <v/>
      </c>
      <c r="H331" s="134" t="str">
        <f ca="1">IFERROR(__xludf.DUMMYFUNCTION("""COMPUTED_VALUE"""),"")</f>
        <v/>
      </c>
      <c r="I331" s="134" t="str">
        <f ca="1">IFERROR(__xludf.DUMMYFUNCTION("""COMPUTED_VALUE"""),"")</f>
        <v/>
      </c>
      <c r="J331" s="134" t="str">
        <f ca="1">IFERROR(__xludf.DUMMYFUNCTION("""COMPUTED_VALUE"""),"")</f>
        <v/>
      </c>
      <c r="N331" s="31"/>
    </row>
    <row r="332" spans="1:14" customFormat="1">
      <c r="A332" s="134" t="str">
        <f ca="1">IFERROR(__xludf.DUMMYFUNCTION("""COMPUTED_VALUE"""),"")</f>
        <v/>
      </c>
      <c r="B332" s="134" t="str">
        <f ca="1">IFERROR(__xludf.DUMMYFUNCTION("""COMPUTED_VALUE"""),"")</f>
        <v/>
      </c>
      <c r="C332" s="134" t="str">
        <f ca="1">IFERROR(__xludf.DUMMYFUNCTION("""COMPUTED_VALUE"""),"")</f>
        <v/>
      </c>
      <c r="D332" s="134" t="str">
        <f ca="1">IFERROR(__xludf.DUMMYFUNCTION("""COMPUTED_VALUE"""),"")</f>
        <v/>
      </c>
      <c r="E332" s="134" t="str">
        <f ca="1">IFERROR(__xludf.DUMMYFUNCTION("""COMPUTED_VALUE"""),"")</f>
        <v/>
      </c>
      <c r="F332" s="134" t="str">
        <f ca="1">IFERROR(__xludf.DUMMYFUNCTION("""COMPUTED_VALUE"""),"")</f>
        <v/>
      </c>
      <c r="G332" s="134" t="str">
        <f ca="1">IFERROR(__xludf.DUMMYFUNCTION("""COMPUTED_VALUE"""),"")</f>
        <v/>
      </c>
      <c r="H332" s="134" t="str">
        <f ca="1">IFERROR(__xludf.DUMMYFUNCTION("""COMPUTED_VALUE"""),"")</f>
        <v/>
      </c>
      <c r="I332" s="134" t="str">
        <f ca="1">IFERROR(__xludf.DUMMYFUNCTION("""COMPUTED_VALUE"""),"")</f>
        <v/>
      </c>
      <c r="J332" s="134" t="str">
        <f ca="1">IFERROR(__xludf.DUMMYFUNCTION("""COMPUTED_VALUE"""),"")</f>
        <v/>
      </c>
      <c r="N332" s="31"/>
    </row>
    <row r="333" spans="1:14" customFormat="1">
      <c r="A333" s="134" t="str">
        <f ca="1">IFERROR(__xludf.DUMMYFUNCTION("""COMPUTED_VALUE"""),"")</f>
        <v/>
      </c>
      <c r="B333" s="134" t="str">
        <f ca="1">IFERROR(__xludf.DUMMYFUNCTION("""COMPUTED_VALUE"""),"")</f>
        <v/>
      </c>
      <c r="C333" s="134" t="str">
        <f ca="1">IFERROR(__xludf.DUMMYFUNCTION("""COMPUTED_VALUE"""),"")</f>
        <v/>
      </c>
      <c r="D333" s="134" t="str">
        <f ca="1">IFERROR(__xludf.DUMMYFUNCTION("""COMPUTED_VALUE"""),"")</f>
        <v/>
      </c>
      <c r="E333" s="134" t="str">
        <f ca="1">IFERROR(__xludf.DUMMYFUNCTION("""COMPUTED_VALUE"""),"")</f>
        <v/>
      </c>
      <c r="F333" s="134" t="str">
        <f ca="1">IFERROR(__xludf.DUMMYFUNCTION("""COMPUTED_VALUE"""),"")</f>
        <v/>
      </c>
      <c r="G333" s="134" t="str">
        <f ca="1">IFERROR(__xludf.DUMMYFUNCTION("""COMPUTED_VALUE"""),"")</f>
        <v/>
      </c>
      <c r="H333" s="134" t="str">
        <f ca="1">IFERROR(__xludf.DUMMYFUNCTION("""COMPUTED_VALUE"""),"")</f>
        <v/>
      </c>
      <c r="I333" s="134" t="str">
        <f ca="1">IFERROR(__xludf.DUMMYFUNCTION("""COMPUTED_VALUE"""),"")</f>
        <v/>
      </c>
      <c r="J333" s="134" t="str">
        <f ca="1">IFERROR(__xludf.DUMMYFUNCTION("""COMPUTED_VALUE"""),"")</f>
        <v/>
      </c>
      <c r="N333" s="31"/>
    </row>
    <row r="334" spans="1:14" customFormat="1">
      <c r="A334" s="134" t="str">
        <f ca="1">IFERROR(__xludf.DUMMYFUNCTION("""COMPUTED_VALUE"""),"")</f>
        <v/>
      </c>
      <c r="B334" s="134" t="str">
        <f ca="1">IFERROR(__xludf.DUMMYFUNCTION("""COMPUTED_VALUE"""),"")</f>
        <v/>
      </c>
      <c r="C334" s="134" t="str">
        <f ca="1">IFERROR(__xludf.DUMMYFUNCTION("""COMPUTED_VALUE"""),"")</f>
        <v/>
      </c>
      <c r="D334" s="134" t="str">
        <f ca="1">IFERROR(__xludf.DUMMYFUNCTION("""COMPUTED_VALUE"""),"")</f>
        <v/>
      </c>
      <c r="E334" s="134" t="str">
        <f ca="1">IFERROR(__xludf.DUMMYFUNCTION("""COMPUTED_VALUE"""),"")</f>
        <v/>
      </c>
      <c r="F334" s="134" t="str">
        <f ca="1">IFERROR(__xludf.DUMMYFUNCTION("""COMPUTED_VALUE"""),"")</f>
        <v/>
      </c>
      <c r="G334" s="134" t="str">
        <f ca="1">IFERROR(__xludf.DUMMYFUNCTION("""COMPUTED_VALUE"""),"")</f>
        <v/>
      </c>
      <c r="H334" s="134" t="str">
        <f ca="1">IFERROR(__xludf.DUMMYFUNCTION("""COMPUTED_VALUE"""),"")</f>
        <v/>
      </c>
      <c r="I334" s="134" t="str">
        <f ca="1">IFERROR(__xludf.DUMMYFUNCTION("""COMPUTED_VALUE"""),"")</f>
        <v/>
      </c>
      <c r="J334" s="134" t="str">
        <f ca="1">IFERROR(__xludf.DUMMYFUNCTION("""COMPUTED_VALUE"""),"")</f>
        <v/>
      </c>
      <c r="N334" s="31"/>
    </row>
    <row r="335" spans="1:14" customFormat="1">
      <c r="A335" s="134" t="str">
        <f ca="1">IFERROR(__xludf.DUMMYFUNCTION("""COMPUTED_VALUE"""),"")</f>
        <v/>
      </c>
      <c r="B335" s="134" t="str">
        <f ca="1">IFERROR(__xludf.DUMMYFUNCTION("""COMPUTED_VALUE"""),"")</f>
        <v/>
      </c>
      <c r="C335" s="134" t="str">
        <f ca="1">IFERROR(__xludf.DUMMYFUNCTION("""COMPUTED_VALUE"""),"")</f>
        <v/>
      </c>
      <c r="D335" s="134" t="str">
        <f ca="1">IFERROR(__xludf.DUMMYFUNCTION("""COMPUTED_VALUE"""),"")</f>
        <v/>
      </c>
      <c r="E335" s="134" t="str">
        <f ca="1">IFERROR(__xludf.DUMMYFUNCTION("""COMPUTED_VALUE"""),"")</f>
        <v/>
      </c>
      <c r="F335" s="134" t="str">
        <f ca="1">IFERROR(__xludf.DUMMYFUNCTION("""COMPUTED_VALUE"""),"")</f>
        <v/>
      </c>
      <c r="G335" s="134" t="str">
        <f ca="1">IFERROR(__xludf.DUMMYFUNCTION("""COMPUTED_VALUE"""),"")</f>
        <v/>
      </c>
      <c r="H335" s="134" t="str">
        <f ca="1">IFERROR(__xludf.DUMMYFUNCTION("""COMPUTED_VALUE"""),"")</f>
        <v/>
      </c>
      <c r="I335" s="134" t="str">
        <f ca="1">IFERROR(__xludf.DUMMYFUNCTION("""COMPUTED_VALUE"""),"")</f>
        <v/>
      </c>
      <c r="J335" s="134" t="str">
        <f ca="1">IFERROR(__xludf.DUMMYFUNCTION("""COMPUTED_VALUE"""),"")</f>
        <v/>
      </c>
      <c r="N335" s="31"/>
    </row>
    <row r="336" spans="1:14" customFormat="1">
      <c r="A336" s="134" t="str">
        <f ca="1">IFERROR(__xludf.DUMMYFUNCTION("""COMPUTED_VALUE"""),"")</f>
        <v/>
      </c>
      <c r="B336" s="134" t="str">
        <f ca="1">IFERROR(__xludf.DUMMYFUNCTION("""COMPUTED_VALUE"""),"")</f>
        <v/>
      </c>
      <c r="C336" s="134" t="str">
        <f ca="1">IFERROR(__xludf.DUMMYFUNCTION("""COMPUTED_VALUE"""),"")</f>
        <v/>
      </c>
      <c r="D336" s="134" t="str">
        <f ca="1">IFERROR(__xludf.DUMMYFUNCTION("""COMPUTED_VALUE"""),"")</f>
        <v/>
      </c>
      <c r="E336" s="134" t="str">
        <f ca="1">IFERROR(__xludf.DUMMYFUNCTION("""COMPUTED_VALUE"""),"")</f>
        <v/>
      </c>
      <c r="F336" s="134" t="str">
        <f ca="1">IFERROR(__xludf.DUMMYFUNCTION("""COMPUTED_VALUE"""),"")</f>
        <v/>
      </c>
      <c r="G336" s="134" t="str">
        <f ca="1">IFERROR(__xludf.DUMMYFUNCTION("""COMPUTED_VALUE"""),"")</f>
        <v/>
      </c>
      <c r="H336" s="134" t="str">
        <f ca="1">IFERROR(__xludf.DUMMYFUNCTION("""COMPUTED_VALUE"""),"")</f>
        <v/>
      </c>
      <c r="I336" s="134" t="str">
        <f ca="1">IFERROR(__xludf.DUMMYFUNCTION("""COMPUTED_VALUE"""),"")</f>
        <v/>
      </c>
      <c r="J336" s="134" t="str">
        <f ca="1">IFERROR(__xludf.DUMMYFUNCTION("""COMPUTED_VALUE"""),"")</f>
        <v/>
      </c>
      <c r="N336" s="31"/>
    </row>
    <row r="337" spans="1:14" customFormat="1">
      <c r="A337" s="134" t="str">
        <f ca="1">IFERROR(__xludf.DUMMYFUNCTION("""COMPUTED_VALUE"""),"")</f>
        <v/>
      </c>
      <c r="B337" s="134" t="str">
        <f ca="1">IFERROR(__xludf.DUMMYFUNCTION("""COMPUTED_VALUE"""),"")</f>
        <v/>
      </c>
      <c r="C337" s="134" t="str">
        <f ca="1">IFERROR(__xludf.DUMMYFUNCTION("""COMPUTED_VALUE"""),"")</f>
        <v/>
      </c>
      <c r="D337" s="134" t="str">
        <f ca="1">IFERROR(__xludf.DUMMYFUNCTION("""COMPUTED_VALUE"""),"")</f>
        <v/>
      </c>
      <c r="E337" s="134" t="str">
        <f ca="1">IFERROR(__xludf.DUMMYFUNCTION("""COMPUTED_VALUE"""),"")</f>
        <v/>
      </c>
      <c r="F337" s="134" t="str">
        <f ca="1">IFERROR(__xludf.DUMMYFUNCTION("""COMPUTED_VALUE"""),"")</f>
        <v/>
      </c>
      <c r="G337" s="134" t="str">
        <f ca="1">IFERROR(__xludf.DUMMYFUNCTION("""COMPUTED_VALUE"""),"")</f>
        <v/>
      </c>
      <c r="H337" s="134" t="str">
        <f ca="1">IFERROR(__xludf.DUMMYFUNCTION("""COMPUTED_VALUE"""),"")</f>
        <v/>
      </c>
      <c r="I337" s="134" t="str">
        <f ca="1">IFERROR(__xludf.DUMMYFUNCTION("""COMPUTED_VALUE"""),"")</f>
        <v/>
      </c>
      <c r="J337" s="134" t="str">
        <f ca="1">IFERROR(__xludf.DUMMYFUNCTION("""COMPUTED_VALUE"""),"")</f>
        <v/>
      </c>
      <c r="N337" s="31"/>
    </row>
    <row r="338" spans="1:14" customFormat="1">
      <c r="A338" s="134" t="str">
        <f ca="1">IFERROR(__xludf.DUMMYFUNCTION("""COMPUTED_VALUE"""),"")</f>
        <v/>
      </c>
      <c r="B338" s="134" t="str">
        <f ca="1">IFERROR(__xludf.DUMMYFUNCTION("""COMPUTED_VALUE"""),"")</f>
        <v/>
      </c>
      <c r="C338" s="134" t="str">
        <f ca="1">IFERROR(__xludf.DUMMYFUNCTION("""COMPUTED_VALUE"""),"")</f>
        <v/>
      </c>
      <c r="D338" s="134" t="str">
        <f ca="1">IFERROR(__xludf.DUMMYFUNCTION("""COMPUTED_VALUE"""),"")</f>
        <v/>
      </c>
      <c r="E338" s="134" t="str">
        <f ca="1">IFERROR(__xludf.DUMMYFUNCTION("""COMPUTED_VALUE"""),"")</f>
        <v/>
      </c>
      <c r="F338" s="134" t="str">
        <f ca="1">IFERROR(__xludf.DUMMYFUNCTION("""COMPUTED_VALUE"""),"")</f>
        <v/>
      </c>
      <c r="G338" s="134" t="str">
        <f ca="1">IFERROR(__xludf.DUMMYFUNCTION("""COMPUTED_VALUE"""),"")</f>
        <v/>
      </c>
      <c r="H338" s="134" t="str">
        <f ca="1">IFERROR(__xludf.DUMMYFUNCTION("""COMPUTED_VALUE"""),"")</f>
        <v/>
      </c>
      <c r="I338" s="134" t="str">
        <f ca="1">IFERROR(__xludf.DUMMYFUNCTION("""COMPUTED_VALUE"""),"")</f>
        <v/>
      </c>
      <c r="J338" s="134" t="str">
        <f ca="1">IFERROR(__xludf.DUMMYFUNCTION("""COMPUTED_VALUE"""),"")</f>
        <v/>
      </c>
      <c r="N338" s="31"/>
    </row>
    <row r="339" spans="1:14" customFormat="1">
      <c r="A339" s="134" t="str">
        <f ca="1">IFERROR(__xludf.DUMMYFUNCTION("""COMPUTED_VALUE"""),"")</f>
        <v/>
      </c>
      <c r="B339" s="134" t="str">
        <f ca="1">IFERROR(__xludf.DUMMYFUNCTION("""COMPUTED_VALUE"""),"")</f>
        <v/>
      </c>
      <c r="C339" s="134" t="str">
        <f ca="1">IFERROR(__xludf.DUMMYFUNCTION("""COMPUTED_VALUE"""),"")</f>
        <v/>
      </c>
      <c r="D339" s="134" t="str">
        <f ca="1">IFERROR(__xludf.DUMMYFUNCTION("""COMPUTED_VALUE"""),"")</f>
        <v/>
      </c>
      <c r="E339" s="134" t="str">
        <f ca="1">IFERROR(__xludf.DUMMYFUNCTION("""COMPUTED_VALUE"""),"")</f>
        <v/>
      </c>
      <c r="F339" s="134" t="str">
        <f ca="1">IFERROR(__xludf.DUMMYFUNCTION("""COMPUTED_VALUE"""),"")</f>
        <v/>
      </c>
      <c r="G339" s="134" t="str">
        <f ca="1">IFERROR(__xludf.DUMMYFUNCTION("""COMPUTED_VALUE"""),"")</f>
        <v/>
      </c>
      <c r="H339" s="134" t="str">
        <f ca="1">IFERROR(__xludf.DUMMYFUNCTION("""COMPUTED_VALUE"""),"")</f>
        <v/>
      </c>
      <c r="I339" s="134" t="str">
        <f ca="1">IFERROR(__xludf.DUMMYFUNCTION("""COMPUTED_VALUE"""),"")</f>
        <v/>
      </c>
      <c r="J339" s="134" t="str">
        <f ca="1">IFERROR(__xludf.DUMMYFUNCTION("""COMPUTED_VALUE"""),"")</f>
        <v/>
      </c>
      <c r="N339" s="31"/>
    </row>
    <row r="340" spans="1:14" customFormat="1">
      <c r="A340" s="134" t="str">
        <f ca="1">IFERROR(__xludf.DUMMYFUNCTION("""COMPUTED_VALUE"""),"")</f>
        <v/>
      </c>
      <c r="B340" s="134" t="str">
        <f ca="1">IFERROR(__xludf.DUMMYFUNCTION("""COMPUTED_VALUE"""),"")</f>
        <v/>
      </c>
      <c r="C340" s="134" t="str">
        <f ca="1">IFERROR(__xludf.DUMMYFUNCTION("""COMPUTED_VALUE"""),"")</f>
        <v/>
      </c>
      <c r="D340" s="134" t="str">
        <f ca="1">IFERROR(__xludf.DUMMYFUNCTION("""COMPUTED_VALUE"""),"")</f>
        <v/>
      </c>
      <c r="E340" s="134" t="str">
        <f ca="1">IFERROR(__xludf.DUMMYFUNCTION("""COMPUTED_VALUE"""),"")</f>
        <v/>
      </c>
      <c r="F340" s="134" t="str">
        <f ca="1">IFERROR(__xludf.DUMMYFUNCTION("""COMPUTED_VALUE"""),"")</f>
        <v/>
      </c>
      <c r="G340" s="134" t="str">
        <f ca="1">IFERROR(__xludf.DUMMYFUNCTION("""COMPUTED_VALUE"""),"")</f>
        <v/>
      </c>
      <c r="H340" s="134" t="str">
        <f ca="1">IFERROR(__xludf.DUMMYFUNCTION("""COMPUTED_VALUE"""),"")</f>
        <v/>
      </c>
      <c r="I340" s="134" t="str">
        <f ca="1">IFERROR(__xludf.DUMMYFUNCTION("""COMPUTED_VALUE"""),"")</f>
        <v/>
      </c>
      <c r="J340" s="134" t="str">
        <f ca="1">IFERROR(__xludf.DUMMYFUNCTION("""COMPUTED_VALUE"""),"")</f>
        <v/>
      </c>
      <c r="N340" s="31"/>
    </row>
    <row r="341" spans="1:14" customFormat="1">
      <c r="A341" s="134" t="str">
        <f ca="1">IFERROR(__xludf.DUMMYFUNCTION("""COMPUTED_VALUE"""),"")</f>
        <v/>
      </c>
      <c r="B341" s="134" t="str">
        <f ca="1">IFERROR(__xludf.DUMMYFUNCTION("""COMPUTED_VALUE"""),"")</f>
        <v/>
      </c>
      <c r="C341" s="134" t="str">
        <f ca="1">IFERROR(__xludf.DUMMYFUNCTION("""COMPUTED_VALUE"""),"")</f>
        <v/>
      </c>
      <c r="D341" s="134" t="str">
        <f ca="1">IFERROR(__xludf.DUMMYFUNCTION("""COMPUTED_VALUE"""),"")</f>
        <v/>
      </c>
      <c r="E341" s="134" t="str">
        <f ca="1">IFERROR(__xludf.DUMMYFUNCTION("""COMPUTED_VALUE"""),"")</f>
        <v/>
      </c>
      <c r="F341" s="134" t="str">
        <f ca="1">IFERROR(__xludf.DUMMYFUNCTION("""COMPUTED_VALUE"""),"")</f>
        <v/>
      </c>
      <c r="G341" s="134" t="str">
        <f ca="1">IFERROR(__xludf.DUMMYFUNCTION("""COMPUTED_VALUE"""),"")</f>
        <v/>
      </c>
      <c r="H341" s="134" t="str">
        <f ca="1">IFERROR(__xludf.DUMMYFUNCTION("""COMPUTED_VALUE"""),"")</f>
        <v/>
      </c>
      <c r="I341" s="134" t="str">
        <f ca="1">IFERROR(__xludf.DUMMYFUNCTION("""COMPUTED_VALUE"""),"")</f>
        <v/>
      </c>
      <c r="J341" s="134" t="str">
        <f ca="1">IFERROR(__xludf.DUMMYFUNCTION("""COMPUTED_VALUE"""),"")</f>
        <v/>
      </c>
      <c r="N341" s="31"/>
    </row>
    <row r="342" spans="1:14" customFormat="1">
      <c r="A342" s="134" t="str">
        <f ca="1">IFERROR(__xludf.DUMMYFUNCTION("""COMPUTED_VALUE"""),"")</f>
        <v/>
      </c>
      <c r="B342" s="134" t="str">
        <f ca="1">IFERROR(__xludf.DUMMYFUNCTION("""COMPUTED_VALUE"""),"")</f>
        <v/>
      </c>
      <c r="C342" s="134" t="str">
        <f ca="1">IFERROR(__xludf.DUMMYFUNCTION("""COMPUTED_VALUE"""),"")</f>
        <v/>
      </c>
      <c r="D342" s="134" t="str">
        <f ca="1">IFERROR(__xludf.DUMMYFUNCTION("""COMPUTED_VALUE"""),"")</f>
        <v/>
      </c>
      <c r="E342" s="134" t="str">
        <f ca="1">IFERROR(__xludf.DUMMYFUNCTION("""COMPUTED_VALUE"""),"")</f>
        <v/>
      </c>
      <c r="F342" s="134" t="str">
        <f ca="1">IFERROR(__xludf.DUMMYFUNCTION("""COMPUTED_VALUE"""),"")</f>
        <v/>
      </c>
      <c r="G342" s="134" t="str">
        <f ca="1">IFERROR(__xludf.DUMMYFUNCTION("""COMPUTED_VALUE"""),"")</f>
        <v/>
      </c>
      <c r="H342" s="134" t="str">
        <f ca="1">IFERROR(__xludf.DUMMYFUNCTION("""COMPUTED_VALUE"""),"")</f>
        <v/>
      </c>
      <c r="I342" s="134" t="str">
        <f ca="1">IFERROR(__xludf.DUMMYFUNCTION("""COMPUTED_VALUE"""),"")</f>
        <v/>
      </c>
      <c r="J342" s="134" t="str">
        <f ca="1">IFERROR(__xludf.DUMMYFUNCTION("""COMPUTED_VALUE"""),"")</f>
        <v/>
      </c>
      <c r="N342" s="31"/>
    </row>
    <row r="343" spans="1:14" customFormat="1">
      <c r="A343" s="134" t="str">
        <f ca="1">IFERROR(__xludf.DUMMYFUNCTION("""COMPUTED_VALUE"""),"")</f>
        <v/>
      </c>
      <c r="B343" s="134" t="str">
        <f ca="1">IFERROR(__xludf.DUMMYFUNCTION("""COMPUTED_VALUE"""),"")</f>
        <v/>
      </c>
      <c r="C343" s="134" t="str">
        <f ca="1">IFERROR(__xludf.DUMMYFUNCTION("""COMPUTED_VALUE"""),"")</f>
        <v/>
      </c>
      <c r="D343" s="134" t="str">
        <f ca="1">IFERROR(__xludf.DUMMYFUNCTION("""COMPUTED_VALUE"""),"")</f>
        <v/>
      </c>
      <c r="E343" s="134" t="str">
        <f ca="1">IFERROR(__xludf.DUMMYFUNCTION("""COMPUTED_VALUE"""),"")</f>
        <v/>
      </c>
      <c r="F343" s="134" t="str">
        <f ca="1">IFERROR(__xludf.DUMMYFUNCTION("""COMPUTED_VALUE"""),"")</f>
        <v/>
      </c>
      <c r="G343" s="134" t="str">
        <f ca="1">IFERROR(__xludf.DUMMYFUNCTION("""COMPUTED_VALUE"""),"")</f>
        <v/>
      </c>
      <c r="H343" s="134" t="str">
        <f ca="1">IFERROR(__xludf.DUMMYFUNCTION("""COMPUTED_VALUE"""),"")</f>
        <v/>
      </c>
      <c r="I343" s="134" t="str">
        <f ca="1">IFERROR(__xludf.DUMMYFUNCTION("""COMPUTED_VALUE"""),"")</f>
        <v/>
      </c>
      <c r="J343" s="134" t="str">
        <f ca="1">IFERROR(__xludf.DUMMYFUNCTION("""COMPUTED_VALUE"""),"")</f>
        <v/>
      </c>
      <c r="N343" s="31"/>
    </row>
    <row r="344" spans="1:14" customFormat="1">
      <c r="A344" s="134" t="str">
        <f ca="1">IFERROR(__xludf.DUMMYFUNCTION("""COMPUTED_VALUE"""),"")</f>
        <v/>
      </c>
      <c r="B344" s="134" t="str">
        <f ca="1">IFERROR(__xludf.DUMMYFUNCTION("""COMPUTED_VALUE"""),"")</f>
        <v/>
      </c>
      <c r="C344" s="134" t="str">
        <f ca="1">IFERROR(__xludf.DUMMYFUNCTION("""COMPUTED_VALUE"""),"")</f>
        <v/>
      </c>
      <c r="D344" s="134" t="str">
        <f ca="1">IFERROR(__xludf.DUMMYFUNCTION("""COMPUTED_VALUE"""),"")</f>
        <v/>
      </c>
      <c r="E344" s="134" t="str">
        <f ca="1">IFERROR(__xludf.DUMMYFUNCTION("""COMPUTED_VALUE"""),"")</f>
        <v/>
      </c>
      <c r="F344" s="134" t="str">
        <f ca="1">IFERROR(__xludf.DUMMYFUNCTION("""COMPUTED_VALUE"""),"")</f>
        <v/>
      </c>
      <c r="G344" s="134" t="str">
        <f ca="1">IFERROR(__xludf.DUMMYFUNCTION("""COMPUTED_VALUE"""),"")</f>
        <v/>
      </c>
      <c r="H344" s="134" t="str">
        <f ca="1">IFERROR(__xludf.DUMMYFUNCTION("""COMPUTED_VALUE"""),"")</f>
        <v/>
      </c>
      <c r="I344" s="134" t="str">
        <f ca="1">IFERROR(__xludf.DUMMYFUNCTION("""COMPUTED_VALUE"""),"")</f>
        <v/>
      </c>
      <c r="J344" s="134" t="str">
        <f ca="1">IFERROR(__xludf.DUMMYFUNCTION("""COMPUTED_VALUE"""),"")</f>
        <v/>
      </c>
      <c r="N344" s="31"/>
    </row>
    <row r="345" spans="1:14" customFormat="1">
      <c r="A345" s="134" t="str">
        <f ca="1">IFERROR(__xludf.DUMMYFUNCTION("""COMPUTED_VALUE"""),"")</f>
        <v/>
      </c>
      <c r="B345" s="134" t="str">
        <f ca="1">IFERROR(__xludf.DUMMYFUNCTION("""COMPUTED_VALUE"""),"")</f>
        <v/>
      </c>
      <c r="C345" s="134" t="str">
        <f ca="1">IFERROR(__xludf.DUMMYFUNCTION("""COMPUTED_VALUE"""),"")</f>
        <v/>
      </c>
      <c r="D345" s="134" t="str">
        <f ca="1">IFERROR(__xludf.DUMMYFUNCTION("""COMPUTED_VALUE"""),"")</f>
        <v/>
      </c>
      <c r="E345" s="134" t="str">
        <f ca="1">IFERROR(__xludf.DUMMYFUNCTION("""COMPUTED_VALUE"""),"")</f>
        <v/>
      </c>
      <c r="F345" s="134" t="str">
        <f ca="1">IFERROR(__xludf.DUMMYFUNCTION("""COMPUTED_VALUE"""),"")</f>
        <v/>
      </c>
      <c r="G345" s="134" t="str">
        <f ca="1">IFERROR(__xludf.DUMMYFUNCTION("""COMPUTED_VALUE"""),"")</f>
        <v/>
      </c>
      <c r="H345" s="134" t="str">
        <f ca="1">IFERROR(__xludf.DUMMYFUNCTION("""COMPUTED_VALUE"""),"")</f>
        <v/>
      </c>
      <c r="I345" s="134" t="str">
        <f ca="1">IFERROR(__xludf.DUMMYFUNCTION("""COMPUTED_VALUE"""),"")</f>
        <v/>
      </c>
      <c r="J345" s="134" t="str">
        <f ca="1">IFERROR(__xludf.DUMMYFUNCTION("""COMPUTED_VALUE"""),"")</f>
        <v/>
      </c>
      <c r="N345" s="31"/>
    </row>
    <row r="346" spans="1:14" customFormat="1">
      <c r="A346" s="134" t="str">
        <f ca="1">IFERROR(__xludf.DUMMYFUNCTION("""COMPUTED_VALUE"""),"")</f>
        <v/>
      </c>
      <c r="B346" s="134" t="str">
        <f ca="1">IFERROR(__xludf.DUMMYFUNCTION("""COMPUTED_VALUE"""),"")</f>
        <v/>
      </c>
      <c r="C346" s="134" t="str">
        <f ca="1">IFERROR(__xludf.DUMMYFUNCTION("""COMPUTED_VALUE"""),"")</f>
        <v/>
      </c>
      <c r="D346" s="134" t="str">
        <f ca="1">IFERROR(__xludf.DUMMYFUNCTION("""COMPUTED_VALUE"""),"")</f>
        <v/>
      </c>
      <c r="E346" s="134" t="str">
        <f ca="1">IFERROR(__xludf.DUMMYFUNCTION("""COMPUTED_VALUE"""),"")</f>
        <v/>
      </c>
      <c r="F346" s="134" t="str">
        <f ca="1">IFERROR(__xludf.DUMMYFUNCTION("""COMPUTED_VALUE"""),"")</f>
        <v/>
      </c>
      <c r="G346" s="134" t="str">
        <f ca="1">IFERROR(__xludf.DUMMYFUNCTION("""COMPUTED_VALUE"""),"")</f>
        <v/>
      </c>
      <c r="H346" s="134" t="str">
        <f ca="1">IFERROR(__xludf.DUMMYFUNCTION("""COMPUTED_VALUE"""),"")</f>
        <v/>
      </c>
      <c r="I346" s="134" t="str">
        <f ca="1">IFERROR(__xludf.DUMMYFUNCTION("""COMPUTED_VALUE"""),"")</f>
        <v/>
      </c>
      <c r="J346" s="134" t="str">
        <f ca="1">IFERROR(__xludf.DUMMYFUNCTION("""COMPUTED_VALUE"""),"")</f>
        <v/>
      </c>
      <c r="N346" s="31"/>
    </row>
    <row r="347" spans="1:14" customFormat="1">
      <c r="A347" s="134" t="str">
        <f ca="1">IFERROR(__xludf.DUMMYFUNCTION("""COMPUTED_VALUE"""),"")</f>
        <v/>
      </c>
      <c r="B347" s="134" t="str">
        <f ca="1">IFERROR(__xludf.DUMMYFUNCTION("""COMPUTED_VALUE"""),"")</f>
        <v/>
      </c>
      <c r="C347" s="134" t="str">
        <f ca="1">IFERROR(__xludf.DUMMYFUNCTION("""COMPUTED_VALUE"""),"")</f>
        <v/>
      </c>
      <c r="D347" s="134" t="str">
        <f ca="1">IFERROR(__xludf.DUMMYFUNCTION("""COMPUTED_VALUE"""),"")</f>
        <v/>
      </c>
      <c r="E347" s="134" t="str">
        <f ca="1">IFERROR(__xludf.DUMMYFUNCTION("""COMPUTED_VALUE"""),"")</f>
        <v/>
      </c>
      <c r="F347" s="134" t="str">
        <f ca="1">IFERROR(__xludf.DUMMYFUNCTION("""COMPUTED_VALUE"""),"")</f>
        <v/>
      </c>
      <c r="G347" s="134" t="str">
        <f ca="1">IFERROR(__xludf.DUMMYFUNCTION("""COMPUTED_VALUE"""),"")</f>
        <v/>
      </c>
      <c r="H347" s="134" t="str">
        <f ca="1">IFERROR(__xludf.DUMMYFUNCTION("""COMPUTED_VALUE"""),"")</f>
        <v/>
      </c>
      <c r="I347" s="134" t="str">
        <f ca="1">IFERROR(__xludf.DUMMYFUNCTION("""COMPUTED_VALUE"""),"")</f>
        <v/>
      </c>
      <c r="J347" s="134" t="str">
        <f ca="1">IFERROR(__xludf.DUMMYFUNCTION("""COMPUTED_VALUE"""),"")</f>
        <v/>
      </c>
      <c r="N347" s="31"/>
    </row>
    <row r="348" spans="1:14" customFormat="1">
      <c r="A348" s="134" t="str">
        <f ca="1">IFERROR(__xludf.DUMMYFUNCTION("""COMPUTED_VALUE"""),"")</f>
        <v/>
      </c>
      <c r="B348" s="134" t="str">
        <f ca="1">IFERROR(__xludf.DUMMYFUNCTION("""COMPUTED_VALUE"""),"")</f>
        <v/>
      </c>
      <c r="C348" s="134" t="str">
        <f ca="1">IFERROR(__xludf.DUMMYFUNCTION("""COMPUTED_VALUE"""),"")</f>
        <v/>
      </c>
      <c r="D348" s="134" t="str">
        <f ca="1">IFERROR(__xludf.DUMMYFUNCTION("""COMPUTED_VALUE"""),"")</f>
        <v/>
      </c>
      <c r="E348" s="134" t="str">
        <f ca="1">IFERROR(__xludf.DUMMYFUNCTION("""COMPUTED_VALUE"""),"")</f>
        <v/>
      </c>
      <c r="F348" s="134" t="str">
        <f ca="1">IFERROR(__xludf.DUMMYFUNCTION("""COMPUTED_VALUE"""),"")</f>
        <v/>
      </c>
      <c r="G348" s="134" t="str">
        <f ca="1">IFERROR(__xludf.DUMMYFUNCTION("""COMPUTED_VALUE"""),"")</f>
        <v/>
      </c>
      <c r="H348" s="134" t="str">
        <f ca="1">IFERROR(__xludf.DUMMYFUNCTION("""COMPUTED_VALUE"""),"")</f>
        <v/>
      </c>
      <c r="I348" s="134" t="str">
        <f ca="1">IFERROR(__xludf.DUMMYFUNCTION("""COMPUTED_VALUE"""),"")</f>
        <v/>
      </c>
      <c r="J348" s="134" t="str">
        <f ca="1">IFERROR(__xludf.DUMMYFUNCTION("""COMPUTED_VALUE"""),"")</f>
        <v/>
      </c>
      <c r="N348" s="31"/>
    </row>
    <row r="349" spans="1:14" customFormat="1">
      <c r="A349" s="134" t="str">
        <f ca="1">IFERROR(__xludf.DUMMYFUNCTION("""COMPUTED_VALUE"""),"")</f>
        <v/>
      </c>
      <c r="B349" s="134" t="str">
        <f ca="1">IFERROR(__xludf.DUMMYFUNCTION("""COMPUTED_VALUE"""),"")</f>
        <v/>
      </c>
      <c r="C349" s="134" t="str">
        <f ca="1">IFERROR(__xludf.DUMMYFUNCTION("""COMPUTED_VALUE"""),"")</f>
        <v/>
      </c>
      <c r="D349" s="134" t="str">
        <f ca="1">IFERROR(__xludf.DUMMYFUNCTION("""COMPUTED_VALUE"""),"")</f>
        <v/>
      </c>
      <c r="E349" s="134" t="str">
        <f ca="1">IFERROR(__xludf.DUMMYFUNCTION("""COMPUTED_VALUE"""),"")</f>
        <v/>
      </c>
      <c r="F349" s="134" t="str">
        <f ca="1">IFERROR(__xludf.DUMMYFUNCTION("""COMPUTED_VALUE"""),"")</f>
        <v/>
      </c>
      <c r="G349" s="134" t="str">
        <f ca="1">IFERROR(__xludf.DUMMYFUNCTION("""COMPUTED_VALUE"""),"")</f>
        <v/>
      </c>
      <c r="H349" s="134" t="str">
        <f ca="1">IFERROR(__xludf.DUMMYFUNCTION("""COMPUTED_VALUE"""),"")</f>
        <v/>
      </c>
      <c r="I349" s="134" t="str">
        <f ca="1">IFERROR(__xludf.DUMMYFUNCTION("""COMPUTED_VALUE"""),"")</f>
        <v/>
      </c>
      <c r="J349" s="134" t="str">
        <f ca="1">IFERROR(__xludf.DUMMYFUNCTION("""COMPUTED_VALUE"""),"")</f>
        <v/>
      </c>
      <c r="N349" s="31"/>
    </row>
    <row r="350" spans="1:14" customFormat="1">
      <c r="A350" s="134" t="str">
        <f ca="1">IFERROR(__xludf.DUMMYFUNCTION("""COMPUTED_VALUE"""),"")</f>
        <v/>
      </c>
      <c r="B350" s="134" t="str">
        <f ca="1">IFERROR(__xludf.DUMMYFUNCTION("""COMPUTED_VALUE"""),"")</f>
        <v/>
      </c>
      <c r="C350" s="134" t="str">
        <f ca="1">IFERROR(__xludf.DUMMYFUNCTION("""COMPUTED_VALUE"""),"")</f>
        <v/>
      </c>
      <c r="D350" s="134" t="str">
        <f ca="1">IFERROR(__xludf.DUMMYFUNCTION("""COMPUTED_VALUE"""),"")</f>
        <v/>
      </c>
      <c r="E350" s="134" t="str">
        <f ca="1">IFERROR(__xludf.DUMMYFUNCTION("""COMPUTED_VALUE"""),"")</f>
        <v/>
      </c>
      <c r="F350" s="134" t="str">
        <f ca="1">IFERROR(__xludf.DUMMYFUNCTION("""COMPUTED_VALUE"""),"")</f>
        <v/>
      </c>
      <c r="G350" s="134" t="str">
        <f ca="1">IFERROR(__xludf.DUMMYFUNCTION("""COMPUTED_VALUE"""),"")</f>
        <v/>
      </c>
      <c r="H350" s="134" t="str">
        <f ca="1">IFERROR(__xludf.DUMMYFUNCTION("""COMPUTED_VALUE"""),"")</f>
        <v/>
      </c>
      <c r="I350" s="134" t="str">
        <f ca="1">IFERROR(__xludf.DUMMYFUNCTION("""COMPUTED_VALUE"""),"")</f>
        <v/>
      </c>
      <c r="J350" s="134" t="str">
        <f ca="1">IFERROR(__xludf.DUMMYFUNCTION("""COMPUTED_VALUE"""),"")</f>
        <v/>
      </c>
      <c r="N350" s="31"/>
    </row>
    <row r="351" spans="1:14" customFormat="1">
      <c r="A351" s="134" t="str">
        <f ca="1">IFERROR(__xludf.DUMMYFUNCTION("""COMPUTED_VALUE"""),"")</f>
        <v/>
      </c>
      <c r="B351" s="134" t="str">
        <f ca="1">IFERROR(__xludf.DUMMYFUNCTION("""COMPUTED_VALUE"""),"")</f>
        <v/>
      </c>
      <c r="C351" s="134" t="str">
        <f ca="1">IFERROR(__xludf.DUMMYFUNCTION("""COMPUTED_VALUE"""),"")</f>
        <v/>
      </c>
      <c r="D351" s="134" t="str">
        <f ca="1">IFERROR(__xludf.DUMMYFUNCTION("""COMPUTED_VALUE"""),"")</f>
        <v/>
      </c>
      <c r="E351" s="134" t="str">
        <f ca="1">IFERROR(__xludf.DUMMYFUNCTION("""COMPUTED_VALUE"""),"")</f>
        <v/>
      </c>
      <c r="F351" s="134" t="str">
        <f ca="1">IFERROR(__xludf.DUMMYFUNCTION("""COMPUTED_VALUE"""),"")</f>
        <v/>
      </c>
      <c r="G351" s="134" t="str">
        <f ca="1">IFERROR(__xludf.DUMMYFUNCTION("""COMPUTED_VALUE"""),"")</f>
        <v/>
      </c>
      <c r="H351" s="134" t="str">
        <f ca="1">IFERROR(__xludf.DUMMYFUNCTION("""COMPUTED_VALUE"""),"")</f>
        <v/>
      </c>
      <c r="I351" s="134" t="str">
        <f ca="1">IFERROR(__xludf.DUMMYFUNCTION("""COMPUTED_VALUE"""),"")</f>
        <v/>
      </c>
      <c r="J351" s="134" t="str">
        <f ca="1">IFERROR(__xludf.DUMMYFUNCTION("""COMPUTED_VALUE"""),"")</f>
        <v/>
      </c>
      <c r="N351" s="31"/>
    </row>
    <row r="352" spans="1:14" customFormat="1">
      <c r="A352" s="134" t="str">
        <f ca="1">IFERROR(__xludf.DUMMYFUNCTION("""COMPUTED_VALUE"""),"")</f>
        <v/>
      </c>
      <c r="B352" s="134" t="str">
        <f ca="1">IFERROR(__xludf.DUMMYFUNCTION("""COMPUTED_VALUE"""),"")</f>
        <v/>
      </c>
      <c r="C352" s="134" t="str">
        <f ca="1">IFERROR(__xludf.DUMMYFUNCTION("""COMPUTED_VALUE"""),"")</f>
        <v/>
      </c>
      <c r="D352" s="134" t="str">
        <f ca="1">IFERROR(__xludf.DUMMYFUNCTION("""COMPUTED_VALUE"""),"")</f>
        <v/>
      </c>
      <c r="E352" s="134" t="str">
        <f ca="1">IFERROR(__xludf.DUMMYFUNCTION("""COMPUTED_VALUE"""),"")</f>
        <v/>
      </c>
      <c r="F352" s="134" t="str">
        <f ca="1">IFERROR(__xludf.DUMMYFUNCTION("""COMPUTED_VALUE"""),"")</f>
        <v/>
      </c>
      <c r="G352" s="134" t="str">
        <f ca="1">IFERROR(__xludf.DUMMYFUNCTION("""COMPUTED_VALUE"""),"")</f>
        <v/>
      </c>
      <c r="H352" s="134" t="str">
        <f ca="1">IFERROR(__xludf.DUMMYFUNCTION("""COMPUTED_VALUE"""),"")</f>
        <v/>
      </c>
      <c r="I352" s="134" t="str">
        <f ca="1">IFERROR(__xludf.DUMMYFUNCTION("""COMPUTED_VALUE"""),"")</f>
        <v/>
      </c>
      <c r="J352" s="134" t="str">
        <f ca="1">IFERROR(__xludf.DUMMYFUNCTION("""COMPUTED_VALUE"""),"")</f>
        <v/>
      </c>
      <c r="N352" s="31"/>
    </row>
    <row r="353" spans="1:14" customFormat="1">
      <c r="A353" s="134" t="str">
        <f ca="1">IFERROR(__xludf.DUMMYFUNCTION("""COMPUTED_VALUE"""),"")</f>
        <v/>
      </c>
      <c r="B353" s="134" t="str">
        <f ca="1">IFERROR(__xludf.DUMMYFUNCTION("""COMPUTED_VALUE"""),"")</f>
        <v/>
      </c>
      <c r="C353" s="134" t="str">
        <f ca="1">IFERROR(__xludf.DUMMYFUNCTION("""COMPUTED_VALUE"""),"")</f>
        <v/>
      </c>
      <c r="D353" s="134" t="str">
        <f ca="1">IFERROR(__xludf.DUMMYFUNCTION("""COMPUTED_VALUE"""),"")</f>
        <v/>
      </c>
      <c r="E353" s="134" t="str">
        <f ca="1">IFERROR(__xludf.DUMMYFUNCTION("""COMPUTED_VALUE"""),"")</f>
        <v/>
      </c>
      <c r="F353" s="134" t="str">
        <f ca="1">IFERROR(__xludf.DUMMYFUNCTION("""COMPUTED_VALUE"""),"")</f>
        <v/>
      </c>
      <c r="G353" s="134" t="str">
        <f ca="1">IFERROR(__xludf.DUMMYFUNCTION("""COMPUTED_VALUE"""),"")</f>
        <v/>
      </c>
      <c r="H353" s="134" t="str">
        <f ca="1">IFERROR(__xludf.DUMMYFUNCTION("""COMPUTED_VALUE"""),"")</f>
        <v/>
      </c>
      <c r="I353" s="134" t="str">
        <f ca="1">IFERROR(__xludf.DUMMYFUNCTION("""COMPUTED_VALUE"""),"")</f>
        <v/>
      </c>
      <c r="J353" s="134" t="str">
        <f ca="1">IFERROR(__xludf.DUMMYFUNCTION("""COMPUTED_VALUE"""),"")</f>
        <v/>
      </c>
      <c r="N353" s="31"/>
    </row>
    <row r="354" spans="1:14" customFormat="1">
      <c r="A354" s="134" t="str">
        <f ca="1">IFERROR(__xludf.DUMMYFUNCTION("""COMPUTED_VALUE"""),"")</f>
        <v/>
      </c>
      <c r="B354" s="134" t="str">
        <f ca="1">IFERROR(__xludf.DUMMYFUNCTION("""COMPUTED_VALUE"""),"")</f>
        <v/>
      </c>
      <c r="C354" s="134" t="str">
        <f ca="1">IFERROR(__xludf.DUMMYFUNCTION("""COMPUTED_VALUE"""),"")</f>
        <v/>
      </c>
      <c r="D354" s="134" t="str">
        <f ca="1">IFERROR(__xludf.DUMMYFUNCTION("""COMPUTED_VALUE"""),"")</f>
        <v/>
      </c>
      <c r="E354" s="134" t="str">
        <f ca="1">IFERROR(__xludf.DUMMYFUNCTION("""COMPUTED_VALUE"""),"")</f>
        <v/>
      </c>
      <c r="F354" s="134" t="str">
        <f ca="1">IFERROR(__xludf.DUMMYFUNCTION("""COMPUTED_VALUE"""),"")</f>
        <v/>
      </c>
      <c r="G354" s="134" t="str">
        <f ca="1">IFERROR(__xludf.DUMMYFUNCTION("""COMPUTED_VALUE"""),"")</f>
        <v/>
      </c>
      <c r="H354" s="134" t="str">
        <f ca="1">IFERROR(__xludf.DUMMYFUNCTION("""COMPUTED_VALUE"""),"")</f>
        <v/>
      </c>
      <c r="I354" s="134" t="str">
        <f ca="1">IFERROR(__xludf.DUMMYFUNCTION("""COMPUTED_VALUE"""),"")</f>
        <v/>
      </c>
      <c r="J354" s="134" t="str">
        <f ca="1">IFERROR(__xludf.DUMMYFUNCTION("""COMPUTED_VALUE"""),"")</f>
        <v/>
      </c>
      <c r="N354" s="31"/>
    </row>
    <row r="355" spans="1:14" customFormat="1">
      <c r="A355" s="134" t="str">
        <f ca="1">IFERROR(__xludf.DUMMYFUNCTION("""COMPUTED_VALUE"""),"")</f>
        <v/>
      </c>
      <c r="B355" s="134" t="str">
        <f ca="1">IFERROR(__xludf.DUMMYFUNCTION("""COMPUTED_VALUE"""),"")</f>
        <v/>
      </c>
      <c r="C355" s="134" t="str">
        <f ca="1">IFERROR(__xludf.DUMMYFUNCTION("""COMPUTED_VALUE"""),"")</f>
        <v/>
      </c>
      <c r="D355" s="134" t="str">
        <f ca="1">IFERROR(__xludf.DUMMYFUNCTION("""COMPUTED_VALUE"""),"")</f>
        <v/>
      </c>
      <c r="E355" s="134" t="str">
        <f ca="1">IFERROR(__xludf.DUMMYFUNCTION("""COMPUTED_VALUE"""),"")</f>
        <v/>
      </c>
      <c r="F355" s="134" t="str">
        <f ca="1">IFERROR(__xludf.DUMMYFUNCTION("""COMPUTED_VALUE"""),"")</f>
        <v/>
      </c>
      <c r="G355" s="134" t="str">
        <f ca="1">IFERROR(__xludf.DUMMYFUNCTION("""COMPUTED_VALUE"""),"")</f>
        <v/>
      </c>
      <c r="H355" s="134" t="str">
        <f ca="1">IFERROR(__xludf.DUMMYFUNCTION("""COMPUTED_VALUE"""),"")</f>
        <v/>
      </c>
      <c r="I355" s="134" t="str">
        <f ca="1">IFERROR(__xludf.DUMMYFUNCTION("""COMPUTED_VALUE"""),"")</f>
        <v/>
      </c>
      <c r="J355" s="134" t="str">
        <f ca="1">IFERROR(__xludf.DUMMYFUNCTION("""COMPUTED_VALUE"""),"")</f>
        <v/>
      </c>
      <c r="N355" s="31"/>
    </row>
    <row r="356" spans="1:14" customFormat="1">
      <c r="A356" s="134" t="str">
        <f ca="1">IFERROR(__xludf.DUMMYFUNCTION("""COMPUTED_VALUE"""),"")</f>
        <v/>
      </c>
      <c r="B356" s="134" t="str">
        <f ca="1">IFERROR(__xludf.DUMMYFUNCTION("""COMPUTED_VALUE"""),"")</f>
        <v/>
      </c>
      <c r="C356" s="134" t="str">
        <f ca="1">IFERROR(__xludf.DUMMYFUNCTION("""COMPUTED_VALUE"""),"")</f>
        <v/>
      </c>
      <c r="D356" s="134" t="str">
        <f ca="1">IFERROR(__xludf.DUMMYFUNCTION("""COMPUTED_VALUE"""),"")</f>
        <v/>
      </c>
      <c r="E356" s="134" t="str">
        <f ca="1">IFERROR(__xludf.DUMMYFUNCTION("""COMPUTED_VALUE"""),"")</f>
        <v/>
      </c>
      <c r="F356" s="134" t="str">
        <f ca="1">IFERROR(__xludf.DUMMYFUNCTION("""COMPUTED_VALUE"""),"")</f>
        <v/>
      </c>
      <c r="G356" s="134" t="str">
        <f ca="1">IFERROR(__xludf.DUMMYFUNCTION("""COMPUTED_VALUE"""),"")</f>
        <v/>
      </c>
      <c r="H356" s="134" t="str">
        <f ca="1">IFERROR(__xludf.DUMMYFUNCTION("""COMPUTED_VALUE"""),"")</f>
        <v/>
      </c>
      <c r="I356" s="134" t="str">
        <f ca="1">IFERROR(__xludf.DUMMYFUNCTION("""COMPUTED_VALUE"""),"")</f>
        <v/>
      </c>
      <c r="J356" s="134" t="str">
        <f ca="1">IFERROR(__xludf.DUMMYFUNCTION("""COMPUTED_VALUE"""),"")</f>
        <v/>
      </c>
      <c r="N356" s="31"/>
    </row>
    <row r="357" spans="1:14" customFormat="1">
      <c r="A357" s="134" t="str">
        <f ca="1">IFERROR(__xludf.DUMMYFUNCTION("""COMPUTED_VALUE"""),"")</f>
        <v/>
      </c>
      <c r="B357" s="134" t="str">
        <f ca="1">IFERROR(__xludf.DUMMYFUNCTION("""COMPUTED_VALUE"""),"")</f>
        <v/>
      </c>
      <c r="C357" s="134" t="str">
        <f ca="1">IFERROR(__xludf.DUMMYFUNCTION("""COMPUTED_VALUE"""),"")</f>
        <v/>
      </c>
      <c r="D357" s="134" t="str">
        <f ca="1">IFERROR(__xludf.DUMMYFUNCTION("""COMPUTED_VALUE"""),"")</f>
        <v/>
      </c>
      <c r="E357" s="134" t="str">
        <f ca="1">IFERROR(__xludf.DUMMYFUNCTION("""COMPUTED_VALUE"""),"")</f>
        <v/>
      </c>
      <c r="F357" s="134" t="str">
        <f ca="1">IFERROR(__xludf.DUMMYFUNCTION("""COMPUTED_VALUE"""),"")</f>
        <v/>
      </c>
      <c r="G357" s="134" t="str">
        <f ca="1">IFERROR(__xludf.DUMMYFUNCTION("""COMPUTED_VALUE"""),"")</f>
        <v/>
      </c>
      <c r="H357" s="134" t="str">
        <f ca="1">IFERROR(__xludf.DUMMYFUNCTION("""COMPUTED_VALUE"""),"")</f>
        <v/>
      </c>
      <c r="I357" s="134" t="str">
        <f ca="1">IFERROR(__xludf.DUMMYFUNCTION("""COMPUTED_VALUE"""),"")</f>
        <v/>
      </c>
      <c r="J357" s="134" t="str">
        <f ca="1">IFERROR(__xludf.DUMMYFUNCTION("""COMPUTED_VALUE"""),"")</f>
        <v/>
      </c>
      <c r="N357" s="31"/>
    </row>
    <row r="358" spans="1:14" customFormat="1">
      <c r="A358" s="134" t="str">
        <f ca="1">IFERROR(__xludf.DUMMYFUNCTION("""COMPUTED_VALUE"""),"")</f>
        <v/>
      </c>
      <c r="B358" s="134" t="str">
        <f ca="1">IFERROR(__xludf.DUMMYFUNCTION("""COMPUTED_VALUE"""),"")</f>
        <v/>
      </c>
      <c r="C358" s="134" t="str">
        <f ca="1">IFERROR(__xludf.DUMMYFUNCTION("""COMPUTED_VALUE"""),"")</f>
        <v/>
      </c>
      <c r="D358" s="134" t="str">
        <f ca="1">IFERROR(__xludf.DUMMYFUNCTION("""COMPUTED_VALUE"""),"")</f>
        <v/>
      </c>
      <c r="E358" s="134" t="str">
        <f ca="1">IFERROR(__xludf.DUMMYFUNCTION("""COMPUTED_VALUE"""),"")</f>
        <v/>
      </c>
      <c r="F358" s="134" t="str">
        <f ca="1">IFERROR(__xludf.DUMMYFUNCTION("""COMPUTED_VALUE"""),"")</f>
        <v/>
      </c>
      <c r="G358" s="134" t="str">
        <f ca="1">IFERROR(__xludf.DUMMYFUNCTION("""COMPUTED_VALUE"""),"")</f>
        <v/>
      </c>
      <c r="H358" s="134" t="str">
        <f ca="1">IFERROR(__xludf.DUMMYFUNCTION("""COMPUTED_VALUE"""),"")</f>
        <v/>
      </c>
      <c r="I358" s="134" t="str">
        <f ca="1">IFERROR(__xludf.DUMMYFUNCTION("""COMPUTED_VALUE"""),"")</f>
        <v/>
      </c>
      <c r="J358" s="134" t="str">
        <f ca="1">IFERROR(__xludf.DUMMYFUNCTION("""COMPUTED_VALUE"""),"")</f>
        <v/>
      </c>
      <c r="N358" s="31"/>
    </row>
    <row r="359" spans="1:14" customFormat="1">
      <c r="A359" s="134" t="str">
        <f ca="1">IFERROR(__xludf.DUMMYFUNCTION("""COMPUTED_VALUE"""),"")</f>
        <v/>
      </c>
      <c r="B359" s="134" t="str">
        <f ca="1">IFERROR(__xludf.DUMMYFUNCTION("""COMPUTED_VALUE"""),"")</f>
        <v/>
      </c>
      <c r="C359" s="134" t="str">
        <f ca="1">IFERROR(__xludf.DUMMYFUNCTION("""COMPUTED_VALUE"""),"")</f>
        <v/>
      </c>
      <c r="D359" s="134" t="str">
        <f ca="1">IFERROR(__xludf.DUMMYFUNCTION("""COMPUTED_VALUE"""),"")</f>
        <v/>
      </c>
      <c r="E359" s="134" t="str">
        <f ca="1">IFERROR(__xludf.DUMMYFUNCTION("""COMPUTED_VALUE"""),"")</f>
        <v/>
      </c>
      <c r="F359" s="134" t="str">
        <f ca="1">IFERROR(__xludf.DUMMYFUNCTION("""COMPUTED_VALUE"""),"")</f>
        <v/>
      </c>
      <c r="G359" s="134" t="str">
        <f ca="1">IFERROR(__xludf.DUMMYFUNCTION("""COMPUTED_VALUE"""),"")</f>
        <v/>
      </c>
      <c r="H359" s="134" t="str">
        <f ca="1">IFERROR(__xludf.DUMMYFUNCTION("""COMPUTED_VALUE"""),"")</f>
        <v/>
      </c>
      <c r="I359" s="134" t="str">
        <f ca="1">IFERROR(__xludf.DUMMYFUNCTION("""COMPUTED_VALUE"""),"")</f>
        <v/>
      </c>
      <c r="J359" s="134" t="str">
        <f ca="1">IFERROR(__xludf.DUMMYFUNCTION("""COMPUTED_VALUE"""),"")</f>
        <v/>
      </c>
      <c r="N359" s="31"/>
    </row>
    <row r="360" spans="1:14" customFormat="1">
      <c r="A360" s="134" t="str">
        <f ca="1">IFERROR(__xludf.DUMMYFUNCTION("""COMPUTED_VALUE"""),"")</f>
        <v/>
      </c>
      <c r="B360" s="134" t="str">
        <f ca="1">IFERROR(__xludf.DUMMYFUNCTION("""COMPUTED_VALUE"""),"")</f>
        <v/>
      </c>
      <c r="C360" s="134" t="str">
        <f ca="1">IFERROR(__xludf.DUMMYFUNCTION("""COMPUTED_VALUE"""),"")</f>
        <v/>
      </c>
      <c r="D360" s="134" t="str">
        <f ca="1">IFERROR(__xludf.DUMMYFUNCTION("""COMPUTED_VALUE"""),"")</f>
        <v/>
      </c>
      <c r="E360" s="134" t="str">
        <f ca="1">IFERROR(__xludf.DUMMYFUNCTION("""COMPUTED_VALUE"""),"")</f>
        <v/>
      </c>
      <c r="F360" s="134" t="str">
        <f ca="1">IFERROR(__xludf.DUMMYFUNCTION("""COMPUTED_VALUE"""),"")</f>
        <v/>
      </c>
      <c r="G360" s="134" t="str">
        <f ca="1">IFERROR(__xludf.DUMMYFUNCTION("""COMPUTED_VALUE"""),"")</f>
        <v/>
      </c>
      <c r="H360" s="134" t="str">
        <f ca="1">IFERROR(__xludf.DUMMYFUNCTION("""COMPUTED_VALUE"""),"")</f>
        <v/>
      </c>
      <c r="I360" s="134" t="str">
        <f ca="1">IFERROR(__xludf.DUMMYFUNCTION("""COMPUTED_VALUE"""),"")</f>
        <v/>
      </c>
      <c r="J360" s="134" t="str">
        <f ca="1">IFERROR(__xludf.DUMMYFUNCTION("""COMPUTED_VALUE"""),"")</f>
        <v/>
      </c>
      <c r="N360" s="31"/>
    </row>
    <row r="361" spans="1:14" customFormat="1">
      <c r="A361" s="134" t="str">
        <f ca="1">IFERROR(__xludf.DUMMYFUNCTION("""COMPUTED_VALUE"""),"")</f>
        <v/>
      </c>
      <c r="B361" s="134" t="str">
        <f ca="1">IFERROR(__xludf.DUMMYFUNCTION("""COMPUTED_VALUE"""),"")</f>
        <v/>
      </c>
      <c r="C361" s="134" t="str">
        <f ca="1">IFERROR(__xludf.DUMMYFUNCTION("""COMPUTED_VALUE"""),"")</f>
        <v/>
      </c>
      <c r="D361" s="134" t="str">
        <f ca="1">IFERROR(__xludf.DUMMYFUNCTION("""COMPUTED_VALUE"""),"")</f>
        <v/>
      </c>
      <c r="E361" s="134" t="str">
        <f ca="1">IFERROR(__xludf.DUMMYFUNCTION("""COMPUTED_VALUE"""),"")</f>
        <v/>
      </c>
      <c r="F361" s="134" t="str">
        <f ca="1">IFERROR(__xludf.DUMMYFUNCTION("""COMPUTED_VALUE"""),"")</f>
        <v/>
      </c>
      <c r="G361" s="134" t="str">
        <f ca="1">IFERROR(__xludf.DUMMYFUNCTION("""COMPUTED_VALUE"""),"")</f>
        <v/>
      </c>
      <c r="H361" s="134" t="str">
        <f ca="1">IFERROR(__xludf.DUMMYFUNCTION("""COMPUTED_VALUE"""),"")</f>
        <v/>
      </c>
      <c r="I361" s="134" t="str">
        <f ca="1">IFERROR(__xludf.DUMMYFUNCTION("""COMPUTED_VALUE"""),"")</f>
        <v/>
      </c>
      <c r="J361" s="134" t="str">
        <f ca="1">IFERROR(__xludf.DUMMYFUNCTION("""COMPUTED_VALUE"""),"")</f>
        <v/>
      </c>
      <c r="N361" s="31"/>
    </row>
    <row r="362" spans="1:14" customFormat="1">
      <c r="C362" s="134" t="str">
        <f ca="1">IFERROR(__xludf.DUMMYFUNCTION("""COMPUTED_VALUE"""),"")</f>
        <v/>
      </c>
      <c r="D362" s="134" t="str">
        <f ca="1">IFERROR(__xludf.DUMMYFUNCTION("""COMPUTED_VALUE"""),"")</f>
        <v/>
      </c>
      <c r="E362" s="134" t="str">
        <f ca="1">IFERROR(__xludf.DUMMYFUNCTION("""COMPUTED_VALUE"""),"")</f>
        <v/>
      </c>
      <c r="F362" s="134" t="str">
        <f ca="1">IFERROR(__xludf.DUMMYFUNCTION("""COMPUTED_VALUE"""),"")</f>
        <v/>
      </c>
      <c r="G362" s="134" t="str">
        <f ca="1">IFERROR(__xludf.DUMMYFUNCTION("""COMPUTED_VALUE"""),"")</f>
        <v/>
      </c>
      <c r="H362" s="134" t="str">
        <f ca="1">IFERROR(__xludf.DUMMYFUNCTION("""COMPUTED_VALUE"""),"")</f>
        <v/>
      </c>
      <c r="I362" s="134" t="str">
        <f ca="1">IFERROR(__xludf.DUMMYFUNCTION("""COMPUTED_VALUE"""),"")</f>
        <v/>
      </c>
      <c r="J362" s="134" t="str">
        <f ca="1">IFERROR(__xludf.DUMMYFUNCTION("""COMPUTED_VALUE"""),"")</f>
        <v/>
      </c>
      <c r="N362" s="31"/>
    </row>
    <row r="363" spans="1:14" customFormat="1" ht="14.25">
      <c r="N363" s="31"/>
    </row>
    <row r="364" spans="1:14" customFormat="1" ht="14.25">
      <c r="N364" s="31"/>
    </row>
    <row r="365" spans="1:14" customFormat="1" ht="14.25">
      <c r="N365" s="31"/>
    </row>
    <row r="366" spans="1:14" customFormat="1" ht="14.25">
      <c r="N366" s="31"/>
    </row>
    <row r="367" spans="1:14" customFormat="1" ht="14.25">
      <c r="N367" s="31"/>
    </row>
    <row r="368" spans="1:14" customFormat="1" ht="14.25">
      <c r="N368" s="31"/>
    </row>
    <row r="369" spans="14:14" customFormat="1" ht="14.25">
      <c r="N369" s="31"/>
    </row>
    <row r="370" spans="14:14" customFormat="1" ht="14.25">
      <c r="N370" s="31"/>
    </row>
    <row r="371" spans="14:14" customFormat="1" ht="14.25">
      <c r="N371" s="31"/>
    </row>
    <row r="372" spans="14:14" customFormat="1" ht="14.25">
      <c r="N372" s="31"/>
    </row>
    <row r="373" spans="14:14" customFormat="1" ht="14.25">
      <c r="N373" s="31"/>
    </row>
    <row r="374" spans="14:14" customFormat="1" ht="14.25">
      <c r="N374" s="31"/>
    </row>
    <row r="375" spans="14:14" customFormat="1" ht="14.25">
      <c r="N375" s="31"/>
    </row>
    <row r="376" spans="14:14" customFormat="1" ht="14.25">
      <c r="N376" s="31"/>
    </row>
    <row r="377" spans="14:14" customFormat="1" ht="14.25">
      <c r="N377" s="31"/>
    </row>
    <row r="378" spans="14:14" customFormat="1" ht="14.25">
      <c r="N378" s="31"/>
    </row>
    <row r="379" spans="14:14" customFormat="1" ht="14.25">
      <c r="N379" s="31"/>
    </row>
    <row r="380" spans="14:14" customFormat="1" ht="14.25">
      <c r="N380" s="31"/>
    </row>
    <row r="381" spans="14:14" customFormat="1" ht="14.25">
      <c r="N381" s="31"/>
    </row>
    <row r="382" spans="14:14" customFormat="1" ht="14.25">
      <c r="N382" s="31"/>
    </row>
    <row r="383" spans="14:14" customFormat="1" ht="14.25">
      <c r="N383" s="31"/>
    </row>
    <row r="384" spans="14:14" customFormat="1" ht="14.25">
      <c r="N384" s="31"/>
    </row>
    <row r="385" spans="14:14" customFormat="1" ht="14.25">
      <c r="N385" s="31"/>
    </row>
    <row r="386" spans="14:14" customFormat="1" ht="14.25">
      <c r="N386" s="31"/>
    </row>
    <row r="387" spans="14:14" customFormat="1" ht="14.25">
      <c r="N387" s="31"/>
    </row>
    <row r="388" spans="14:14" customFormat="1" ht="14.25">
      <c r="N388" s="31"/>
    </row>
    <row r="389" spans="14:14" customFormat="1" ht="14.25">
      <c r="N389" s="31"/>
    </row>
    <row r="390" spans="14:14" customFormat="1" ht="14.25">
      <c r="N390" s="31"/>
    </row>
    <row r="391" spans="14:14" customFormat="1" ht="14.25">
      <c r="N391" s="31"/>
    </row>
    <row r="392" spans="14:14" customFormat="1" ht="14.25">
      <c r="N392" s="31"/>
    </row>
    <row r="393" spans="14:14" customFormat="1" ht="14.25">
      <c r="N393" s="31"/>
    </row>
    <row r="394" spans="14:14" customFormat="1" ht="14.25">
      <c r="N394" s="31"/>
    </row>
    <row r="395" spans="14:14" customFormat="1" ht="14.25">
      <c r="N395" s="31"/>
    </row>
    <row r="396" spans="14:14" customFormat="1" ht="14.25">
      <c r="N396" s="31"/>
    </row>
    <row r="397" spans="14:14" customFormat="1" ht="14.25">
      <c r="N397" s="31"/>
    </row>
    <row r="398" spans="14:14" customFormat="1" ht="14.25">
      <c r="N398" s="31"/>
    </row>
    <row r="399" spans="14:14" customFormat="1" ht="14.25">
      <c r="N399" s="31"/>
    </row>
    <row r="400" spans="14:14" customFormat="1" ht="14.25">
      <c r="N400" s="31"/>
    </row>
    <row r="401" spans="14:14" customFormat="1" ht="14.25">
      <c r="N401" s="31"/>
    </row>
    <row r="402" spans="14:14" customFormat="1" ht="14.25">
      <c r="N402" s="31"/>
    </row>
    <row r="403" spans="14:14" customFormat="1" ht="14.25">
      <c r="N403" s="31"/>
    </row>
    <row r="404" spans="14:14" customFormat="1" ht="14.25">
      <c r="N404" s="31"/>
    </row>
    <row r="405" spans="14:14" customFormat="1" ht="14.25">
      <c r="N405" s="31"/>
    </row>
    <row r="406" spans="14:14" customFormat="1" ht="14.25">
      <c r="N406" s="31"/>
    </row>
    <row r="407" spans="14:14" customFormat="1" ht="14.25">
      <c r="N407" s="31"/>
    </row>
    <row r="408" spans="14:14" customFormat="1" ht="14.25">
      <c r="N408" s="31"/>
    </row>
    <row r="409" spans="14:14" customFormat="1" ht="14.25">
      <c r="N409" s="31"/>
    </row>
    <row r="410" spans="14:14" customFormat="1" ht="14.25">
      <c r="N410" s="31"/>
    </row>
    <row r="411" spans="14:14" customFormat="1" ht="14.25">
      <c r="N411" s="31"/>
    </row>
    <row r="412" spans="14:14" customFormat="1" ht="14.25">
      <c r="N412" s="31"/>
    </row>
    <row r="413" spans="14:14" customFormat="1" ht="14.25">
      <c r="N413" s="31"/>
    </row>
    <row r="414" spans="14:14" customFormat="1" ht="14.25">
      <c r="N414" s="31"/>
    </row>
    <row r="415" spans="14:14" customFormat="1" ht="14.25">
      <c r="N415" s="31"/>
    </row>
    <row r="416" spans="14:14" customFormat="1" ht="14.25">
      <c r="N416" s="31"/>
    </row>
    <row r="417" spans="14:14" customFormat="1" ht="14.25">
      <c r="N417" s="31"/>
    </row>
    <row r="418" spans="14:14" customFormat="1" ht="14.25">
      <c r="N418" s="31"/>
    </row>
    <row r="419" spans="14:14" customFormat="1" ht="14.25">
      <c r="N419" s="31"/>
    </row>
    <row r="420" spans="14:14" customFormat="1" ht="14.25">
      <c r="N420" s="31"/>
    </row>
    <row r="421" spans="14:14" customFormat="1" ht="14.25">
      <c r="N421" s="31"/>
    </row>
    <row r="422" spans="14:14" customFormat="1" ht="14.25">
      <c r="N422" s="31"/>
    </row>
    <row r="423" spans="14:14" customFormat="1" ht="14.25">
      <c r="N423" s="31"/>
    </row>
    <row r="424" spans="14:14" customFormat="1" ht="14.25">
      <c r="N424" s="31"/>
    </row>
    <row r="425" spans="14:14" customFormat="1" ht="14.25">
      <c r="N425" s="31"/>
    </row>
    <row r="426" spans="14:14" customFormat="1" ht="14.25">
      <c r="N426" s="31"/>
    </row>
    <row r="427" spans="14:14" customFormat="1" ht="14.25">
      <c r="N427" s="31"/>
    </row>
    <row r="428" spans="14:14" customFormat="1" ht="14.25">
      <c r="N428" s="31"/>
    </row>
    <row r="429" spans="14:14" customFormat="1" ht="14.25">
      <c r="N429" s="31"/>
    </row>
    <row r="430" spans="14:14" customFormat="1" ht="14.25">
      <c r="N430" s="31"/>
    </row>
    <row r="431" spans="14:14" customFormat="1" ht="14.25">
      <c r="N431" s="31"/>
    </row>
    <row r="432" spans="14:14" customFormat="1" ht="14.25">
      <c r="N432" s="31"/>
    </row>
    <row r="433" spans="14:14" customFormat="1" ht="14.25">
      <c r="N433" s="31"/>
    </row>
    <row r="434" spans="14:14" customFormat="1" ht="14.25">
      <c r="N434" s="31"/>
    </row>
    <row r="435" spans="14:14" customFormat="1" ht="14.25">
      <c r="N435" s="31"/>
    </row>
    <row r="436" spans="14:14" customFormat="1" ht="14.25">
      <c r="N436" s="31"/>
    </row>
    <row r="437" spans="14:14" customFormat="1" ht="14.25">
      <c r="N437" s="31"/>
    </row>
    <row r="438" spans="14:14" customFormat="1" ht="14.25">
      <c r="N438" s="31"/>
    </row>
    <row r="439" spans="14:14" customFormat="1" ht="14.25">
      <c r="N439" s="31"/>
    </row>
    <row r="440" spans="14:14" customFormat="1" ht="14.25">
      <c r="N440" s="31"/>
    </row>
    <row r="441" spans="14:14" customFormat="1" ht="14.25">
      <c r="N441" s="31"/>
    </row>
    <row r="442" spans="14:14" customFormat="1" ht="14.25">
      <c r="N442" s="31"/>
    </row>
    <row r="443" spans="14:14" customFormat="1" ht="14.25">
      <c r="N443" s="31"/>
    </row>
    <row r="444" spans="14:14" customFormat="1" ht="14.25">
      <c r="N444" s="31"/>
    </row>
    <row r="445" spans="14:14" customFormat="1" ht="14.25">
      <c r="N445" s="31"/>
    </row>
    <row r="446" spans="14:14" customFormat="1" ht="14.25">
      <c r="N446" s="31"/>
    </row>
    <row r="447" spans="14:14" customFormat="1" ht="14.25">
      <c r="N447" s="31"/>
    </row>
    <row r="448" spans="14:14" customFormat="1" ht="14.25">
      <c r="N448" s="31"/>
    </row>
    <row r="449" spans="1:14" customFormat="1" ht="14.25">
      <c r="A449" s="28"/>
      <c r="B449" s="28"/>
      <c r="N449" s="31"/>
    </row>
  </sheetData>
  <autoFilter ref="A1:AA449" xr:uid="{00000000-0009-0000-0000-000009000000}"/>
  <mergeCells count="2">
    <mergeCell ref="D29:G29"/>
    <mergeCell ref="A29:B2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9900"/>
    <outlinePr summaryBelow="0" summaryRight="0"/>
  </sheetPr>
  <dimension ref="A1:AA371"/>
  <sheetViews>
    <sheetView zoomScale="70" zoomScaleNormal="70" workbookViewId="0">
      <selection activeCell="Q1" sqref="Q1:V1048576"/>
    </sheetView>
  </sheetViews>
  <sheetFormatPr defaultColWidth="12.625" defaultRowHeight="15" customHeight="1"/>
  <cols>
    <col min="1" max="1" width="37" customWidth="1"/>
    <col min="2" max="2" width="12.375" customWidth="1"/>
    <col min="3" max="3" width="10.375" customWidth="1"/>
    <col min="4" max="4" width="15.75" customWidth="1"/>
    <col min="5" max="5" width="20" customWidth="1"/>
    <col min="6" max="6" width="20.125" customWidth="1"/>
    <col min="7" max="7" width="19" customWidth="1"/>
    <col min="8" max="8" width="8.25" customWidth="1"/>
    <col min="9" max="9" width="15.5" customWidth="1"/>
    <col min="10" max="10" width="13.125" hidden="1" customWidth="1"/>
    <col min="11" max="13" width="0" hidden="1" customWidth="1"/>
    <col min="14" max="14" width="0" style="31" hidden="1" customWidth="1"/>
    <col min="17" max="22" width="0" hidden="1" customWidth="1"/>
  </cols>
  <sheetData>
    <row r="1" spans="1:20" s="236" customFormat="1" ht="45">
      <c r="A1" s="166" t="s">
        <v>1224</v>
      </c>
      <c r="B1" s="166" t="s">
        <v>1225</v>
      </c>
      <c r="C1" s="166" t="s">
        <v>1228</v>
      </c>
      <c r="D1" s="166" t="s">
        <v>1246</v>
      </c>
      <c r="E1" s="166" t="s">
        <v>1247</v>
      </c>
      <c r="F1" s="166" t="s">
        <v>1248</v>
      </c>
      <c r="G1" s="166" t="s">
        <v>18</v>
      </c>
      <c r="H1" s="166" t="s">
        <v>1249</v>
      </c>
      <c r="I1" s="166" t="s">
        <v>1250</v>
      </c>
      <c r="J1" s="166" t="s">
        <v>10</v>
      </c>
      <c r="K1" s="167" t="s">
        <v>3651</v>
      </c>
      <c r="L1" s="167" t="s">
        <v>3652</v>
      </c>
      <c r="M1" s="167" t="s">
        <v>3653</v>
      </c>
      <c r="N1" s="167" t="s">
        <v>3654</v>
      </c>
      <c r="O1" s="235">
        <v>43991</v>
      </c>
      <c r="P1" s="53" t="s">
        <v>3655</v>
      </c>
      <c r="Q1" s="89" t="s">
        <v>3656</v>
      </c>
      <c r="R1" s="53"/>
      <c r="S1" s="53" t="s">
        <v>3657</v>
      </c>
      <c r="T1" s="167" t="s">
        <v>3658</v>
      </c>
    </row>
    <row r="2" spans="1:20" s="55" customFormat="1">
      <c r="A2" s="181" t="s">
        <v>640</v>
      </c>
      <c r="B2" s="181" t="s">
        <v>3659</v>
      </c>
      <c r="C2" s="181" t="s">
        <v>1477</v>
      </c>
      <c r="D2" s="181" t="s">
        <v>2402</v>
      </c>
      <c r="E2" s="181" t="s">
        <v>2403</v>
      </c>
      <c r="F2" s="181" t="s">
        <v>2404</v>
      </c>
      <c r="G2" s="181" t="s">
        <v>18</v>
      </c>
      <c r="H2" s="181" t="s">
        <v>30</v>
      </c>
      <c r="I2" s="181">
        <v>140</v>
      </c>
      <c r="J2" s="181" t="s">
        <v>3659</v>
      </c>
      <c r="K2" s="142">
        <v>3.8888888888888888</v>
      </c>
      <c r="L2" s="142">
        <v>4.6388888888888893</v>
      </c>
      <c r="M2" s="221">
        <v>19</v>
      </c>
      <c r="N2" s="161">
        <v>1</v>
      </c>
      <c r="O2" s="63">
        <f>$O$1+N2</f>
        <v>43992</v>
      </c>
      <c r="P2" s="174" t="s">
        <v>3883</v>
      </c>
      <c r="Q2" s="132">
        <f>ROUNDUP(I2/$R$2,0)</f>
        <v>3</v>
      </c>
      <c r="R2" s="143">
        <v>50</v>
      </c>
      <c r="S2" s="143" t="s">
        <v>3661</v>
      </c>
      <c r="T2" s="143">
        <v>5</v>
      </c>
    </row>
    <row r="3" spans="1:20" s="55" customFormat="1">
      <c r="A3" s="181" t="s">
        <v>1475</v>
      </c>
      <c r="B3" s="181" t="s">
        <v>1303</v>
      </c>
      <c r="C3" s="181" t="s">
        <v>1477</v>
      </c>
      <c r="D3" s="181" t="s">
        <v>3908</v>
      </c>
      <c r="E3" s="181" t="s">
        <v>1478</v>
      </c>
      <c r="F3" s="181" t="s">
        <v>3909</v>
      </c>
      <c r="G3" s="181" t="s">
        <v>18</v>
      </c>
      <c r="H3" s="181" t="s">
        <v>1298</v>
      </c>
      <c r="I3" s="181">
        <v>134</v>
      </c>
      <c r="J3" s="181" t="s">
        <v>3659</v>
      </c>
      <c r="K3" s="142">
        <v>3.7222222222222223</v>
      </c>
      <c r="L3" s="142">
        <v>4.4722222222222223</v>
      </c>
      <c r="M3" s="142"/>
      <c r="N3" s="161">
        <v>1</v>
      </c>
      <c r="O3" s="63">
        <f t="shared" ref="O3:O26" si="0">$O$1+N3</f>
        <v>43992</v>
      </c>
      <c r="P3" s="174" t="s">
        <v>3910</v>
      </c>
      <c r="Q3" s="132">
        <f t="shared" ref="Q3:Q26" si="1">ROUNDUP(I3/$R$2,0)</f>
        <v>3</v>
      </c>
      <c r="R3" s="143"/>
      <c r="S3" s="143"/>
      <c r="T3" s="143"/>
    </row>
    <row r="4" spans="1:20" s="55" customFormat="1">
      <c r="A4" s="181" t="s">
        <v>2110</v>
      </c>
      <c r="B4" s="181" t="s">
        <v>1312</v>
      </c>
      <c r="C4" s="181" t="s">
        <v>1477</v>
      </c>
      <c r="D4" s="181" t="s">
        <v>2111</v>
      </c>
      <c r="E4" s="181" t="s">
        <v>2112</v>
      </c>
      <c r="F4" s="181" t="s">
        <v>2113</v>
      </c>
      <c r="G4" s="181" t="s">
        <v>18</v>
      </c>
      <c r="H4" s="181" t="s">
        <v>1298</v>
      </c>
      <c r="I4" s="181">
        <v>129</v>
      </c>
      <c r="J4" s="181" t="s">
        <v>3659</v>
      </c>
      <c r="K4" s="142">
        <v>3.5833333333333335</v>
      </c>
      <c r="L4" s="142">
        <v>4.3333333333333339</v>
      </c>
      <c r="M4" s="142"/>
      <c r="N4" s="144">
        <v>2</v>
      </c>
      <c r="O4" s="63">
        <f t="shared" si="0"/>
        <v>43993</v>
      </c>
      <c r="P4" s="174" t="s">
        <v>3867</v>
      </c>
      <c r="Q4" s="132">
        <f t="shared" si="1"/>
        <v>3</v>
      </c>
      <c r="R4" s="143"/>
      <c r="S4" s="143"/>
      <c r="T4" s="143"/>
    </row>
    <row r="5" spans="1:20" s="55" customFormat="1">
      <c r="A5" s="181" t="s">
        <v>984</v>
      </c>
      <c r="B5" s="181" t="s">
        <v>3659</v>
      </c>
      <c r="C5" s="181" t="s">
        <v>1477</v>
      </c>
      <c r="D5" s="181" t="s">
        <v>2777</v>
      </c>
      <c r="E5" s="181" t="s">
        <v>2778</v>
      </c>
      <c r="F5" s="181" t="s">
        <v>2779</v>
      </c>
      <c r="G5" s="181" t="s">
        <v>18</v>
      </c>
      <c r="H5" s="181" t="s">
        <v>19</v>
      </c>
      <c r="I5" s="181">
        <v>80</v>
      </c>
      <c r="J5" s="181" t="s">
        <v>3665</v>
      </c>
      <c r="K5" s="142">
        <v>2.2222222222222223</v>
      </c>
      <c r="L5" s="142">
        <v>2.9722222222222223</v>
      </c>
      <c r="M5" s="142"/>
      <c r="N5" s="161">
        <v>2</v>
      </c>
      <c r="O5" s="63">
        <f t="shared" si="0"/>
        <v>43993</v>
      </c>
      <c r="P5" s="174" t="s">
        <v>3868</v>
      </c>
      <c r="Q5" s="132">
        <f t="shared" si="1"/>
        <v>2</v>
      </c>
      <c r="R5" s="143"/>
      <c r="S5" s="143"/>
      <c r="T5" s="143"/>
    </row>
    <row r="6" spans="1:20" s="55" customFormat="1">
      <c r="A6" s="181" t="s">
        <v>2994</v>
      </c>
      <c r="B6" s="181" t="s">
        <v>1312</v>
      </c>
      <c r="C6" s="181" t="s">
        <v>1477</v>
      </c>
      <c r="D6" s="181" t="s">
        <v>2995</v>
      </c>
      <c r="E6" s="181" t="s">
        <v>2996</v>
      </c>
      <c r="F6" s="181" t="s">
        <v>1876</v>
      </c>
      <c r="G6" s="181" t="s">
        <v>18</v>
      </c>
      <c r="H6" s="181" t="s">
        <v>1298</v>
      </c>
      <c r="I6" s="181">
        <v>115</v>
      </c>
      <c r="J6" s="181" t="s">
        <v>3659</v>
      </c>
      <c r="K6" s="142">
        <v>3.1944444444444446</v>
      </c>
      <c r="L6" s="142">
        <v>3.9444444444444446</v>
      </c>
      <c r="M6" s="142"/>
      <c r="N6" s="161">
        <v>3</v>
      </c>
      <c r="O6" s="63">
        <f t="shared" si="0"/>
        <v>43994</v>
      </c>
      <c r="P6" s="174" t="s">
        <v>3895</v>
      </c>
      <c r="Q6" s="132">
        <f t="shared" si="1"/>
        <v>3</v>
      </c>
      <c r="R6" s="143"/>
      <c r="S6" s="143"/>
      <c r="T6" s="143"/>
    </row>
    <row r="7" spans="1:20" s="55" customFormat="1">
      <c r="A7" s="181" t="s">
        <v>1909</v>
      </c>
      <c r="B7" s="181" t="s">
        <v>1903</v>
      </c>
      <c r="C7" s="181" t="s">
        <v>1477</v>
      </c>
      <c r="D7" s="181" t="s">
        <v>1914</v>
      </c>
      <c r="E7" s="181" t="s">
        <v>1915</v>
      </c>
      <c r="F7" s="181" t="s">
        <v>1531</v>
      </c>
      <c r="G7" s="181" t="s">
        <v>18</v>
      </c>
      <c r="H7" s="181" t="s">
        <v>1298</v>
      </c>
      <c r="I7" s="181">
        <v>111</v>
      </c>
      <c r="J7" s="181" t="s">
        <v>3659</v>
      </c>
      <c r="K7" s="142">
        <v>3.0833333333333335</v>
      </c>
      <c r="L7" s="142">
        <v>3.8333333333333335</v>
      </c>
      <c r="M7" s="142"/>
      <c r="N7" s="161">
        <v>3</v>
      </c>
      <c r="O7" s="63">
        <f t="shared" si="0"/>
        <v>43994</v>
      </c>
      <c r="P7" s="174" t="s">
        <v>3899</v>
      </c>
      <c r="Q7" s="132">
        <f t="shared" si="1"/>
        <v>3</v>
      </c>
      <c r="R7" s="143"/>
      <c r="S7" s="143"/>
      <c r="T7" s="143"/>
    </row>
    <row r="8" spans="1:20" s="55" customFormat="1">
      <c r="A8" s="181" t="s">
        <v>152</v>
      </c>
      <c r="B8" s="181" t="s">
        <v>1527</v>
      </c>
      <c r="C8" s="181" t="s">
        <v>1477</v>
      </c>
      <c r="D8" s="181" t="s">
        <v>1529</v>
      </c>
      <c r="E8" s="181" t="s">
        <v>1530</v>
      </c>
      <c r="F8" s="181" t="s">
        <v>1531</v>
      </c>
      <c r="G8" s="181" t="s">
        <v>18</v>
      </c>
      <c r="H8" s="181" t="s">
        <v>30</v>
      </c>
      <c r="I8" s="181">
        <v>50</v>
      </c>
      <c r="J8" s="181" t="s">
        <v>156</v>
      </c>
      <c r="K8" s="142">
        <v>1.3888888888888888</v>
      </c>
      <c r="L8" s="142">
        <v>2.1388888888888888</v>
      </c>
      <c r="M8" s="142"/>
      <c r="N8" s="144">
        <v>3</v>
      </c>
      <c r="O8" s="63">
        <f t="shared" si="0"/>
        <v>43994</v>
      </c>
      <c r="P8" s="174" t="s">
        <v>3911</v>
      </c>
      <c r="Q8" s="132">
        <f t="shared" si="1"/>
        <v>1</v>
      </c>
      <c r="R8" s="143"/>
      <c r="S8" s="143"/>
      <c r="T8" s="143"/>
    </row>
    <row r="9" spans="1:20" s="55" customFormat="1">
      <c r="A9" s="181" t="s">
        <v>1582</v>
      </c>
      <c r="B9" s="181" t="s">
        <v>1303</v>
      </c>
      <c r="C9" s="181" t="s">
        <v>1584</v>
      </c>
      <c r="D9" s="181" t="s">
        <v>1586</v>
      </c>
      <c r="E9" s="181" t="s">
        <v>1587</v>
      </c>
      <c r="F9" s="181" t="s">
        <v>1588</v>
      </c>
      <c r="G9" s="181" t="s">
        <v>18</v>
      </c>
      <c r="H9" s="181" t="s">
        <v>1298</v>
      </c>
      <c r="I9" s="181">
        <v>125</v>
      </c>
      <c r="J9" s="181" t="s">
        <v>3659</v>
      </c>
      <c r="K9" s="142">
        <v>3.4722222222222223</v>
      </c>
      <c r="L9" s="142">
        <v>4.2222222222222223</v>
      </c>
      <c r="M9" s="142"/>
      <c r="N9" s="161">
        <v>4</v>
      </c>
      <c r="O9" s="63">
        <f t="shared" si="0"/>
        <v>43995</v>
      </c>
      <c r="P9" s="174" t="s">
        <v>3900</v>
      </c>
      <c r="Q9" s="132">
        <f t="shared" si="1"/>
        <v>3</v>
      </c>
      <c r="R9" s="143"/>
      <c r="S9" s="143"/>
      <c r="T9" s="143"/>
    </row>
    <row r="10" spans="1:20" s="55" customFormat="1">
      <c r="A10" s="181" t="s">
        <v>673</v>
      </c>
      <c r="B10" s="181" t="s">
        <v>3659</v>
      </c>
      <c r="C10" s="181" t="s">
        <v>1584</v>
      </c>
      <c r="D10" s="181" t="s">
        <v>2574</v>
      </c>
      <c r="E10" s="181" t="s">
        <v>2575</v>
      </c>
      <c r="F10" s="181" t="s">
        <v>2576</v>
      </c>
      <c r="G10" s="181" t="s">
        <v>18</v>
      </c>
      <c r="H10" s="181" t="s">
        <v>30</v>
      </c>
      <c r="I10" s="181">
        <v>33</v>
      </c>
      <c r="J10" s="181" t="s">
        <v>3659</v>
      </c>
      <c r="K10" s="142">
        <v>0.91666666666666663</v>
      </c>
      <c r="L10" s="142">
        <v>1.6666666666666665</v>
      </c>
      <c r="M10" s="142"/>
      <c r="N10" s="161">
        <v>4</v>
      </c>
      <c r="O10" s="63">
        <f t="shared" si="0"/>
        <v>43995</v>
      </c>
      <c r="P10" s="174" t="s">
        <v>3912</v>
      </c>
      <c r="Q10" s="132">
        <f t="shared" si="1"/>
        <v>1</v>
      </c>
      <c r="R10" s="143"/>
      <c r="S10" s="143"/>
      <c r="T10" s="143"/>
    </row>
    <row r="11" spans="1:20" s="55" customFormat="1">
      <c r="A11" s="181" t="s">
        <v>1017</v>
      </c>
      <c r="B11" s="181" t="s">
        <v>3659</v>
      </c>
      <c r="C11" s="181" t="s">
        <v>1699</v>
      </c>
      <c r="D11" s="181" t="s">
        <v>1700</v>
      </c>
      <c r="E11" s="181" t="s">
        <v>1701</v>
      </c>
      <c r="F11" s="181" t="s">
        <v>1702</v>
      </c>
      <c r="G11" s="181" t="s">
        <v>18</v>
      </c>
      <c r="H11" s="181" t="s">
        <v>30</v>
      </c>
      <c r="I11" s="181">
        <v>120</v>
      </c>
      <c r="J11" s="181" t="s">
        <v>3665</v>
      </c>
      <c r="K11" s="142">
        <v>3.3333333333333335</v>
      </c>
      <c r="L11" s="142">
        <v>4.0833333333333339</v>
      </c>
      <c r="M11" s="142"/>
      <c r="N11" s="161">
        <v>6</v>
      </c>
      <c r="O11" s="63">
        <f t="shared" si="0"/>
        <v>43997</v>
      </c>
      <c r="P11" s="174" t="s">
        <v>3867</v>
      </c>
      <c r="Q11" s="132">
        <f t="shared" si="1"/>
        <v>3</v>
      </c>
      <c r="R11" s="143"/>
      <c r="S11" s="143"/>
      <c r="T11" s="143"/>
    </row>
    <row r="12" spans="1:20" s="55" customFormat="1">
      <c r="A12" s="181" t="s">
        <v>948</v>
      </c>
      <c r="B12" s="181" t="s">
        <v>3659</v>
      </c>
      <c r="C12" s="181" t="s">
        <v>1699</v>
      </c>
      <c r="D12" s="181" t="s">
        <v>3268</v>
      </c>
      <c r="E12" s="181" t="s">
        <v>3269</v>
      </c>
      <c r="F12" s="181" t="s">
        <v>1854</v>
      </c>
      <c r="G12" s="181" t="s">
        <v>18</v>
      </c>
      <c r="H12" s="181" t="s">
        <v>30</v>
      </c>
      <c r="I12" s="181">
        <v>88</v>
      </c>
      <c r="J12" s="181" t="s">
        <v>3659</v>
      </c>
      <c r="K12" s="142">
        <v>2.4444444444444446</v>
      </c>
      <c r="L12" s="142">
        <v>3.1944444444444446</v>
      </c>
      <c r="M12" s="142"/>
      <c r="N12" s="161">
        <v>6</v>
      </c>
      <c r="O12" s="63">
        <f t="shared" si="0"/>
        <v>43997</v>
      </c>
      <c r="P12" s="174" t="s">
        <v>3876</v>
      </c>
      <c r="Q12" s="132">
        <f t="shared" si="1"/>
        <v>2</v>
      </c>
      <c r="R12" s="143"/>
      <c r="S12" s="143"/>
      <c r="T12" s="143"/>
    </row>
    <row r="13" spans="1:20" s="55" customFormat="1">
      <c r="A13" s="181" t="s">
        <v>1145</v>
      </c>
      <c r="B13" s="181" t="s">
        <v>1463</v>
      </c>
      <c r="C13" s="181" t="s">
        <v>1699</v>
      </c>
      <c r="D13" s="181" t="s">
        <v>1852</v>
      </c>
      <c r="E13" s="181" t="s">
        <v>1853</v>
      </c>
      <c r="F13" s="181" t="s">
        <v>1854</v>
      </c>
      <c r="G13" s="181" t="s">
        <v>18</v>
      </c>
      <c r="H13" s="181" t="s">
        <v>30</v>
      </c>
      <c r="I13" s="181">
        <v>140</v>
      </c>
      <c r="J13" s="181" t="s">
        <v>3665</v>
      </c>
      <c r="K13" s="142">
        <v>3.8888888888888888</v>
      </c>
      <c r="L13" s="142">
        <v>4.6388888888888893</v>
      </c>
      <c r="M13" s="142"/>
      <c r="N13" s="161">
        <v>7</v>
      </c>
      <c r="O13" s="63">
        <f t="shared" si="0"/>
        <v>43998</v>
      </c>
      <c r="P13" s="174" t="s">
        <v>3883</v>
      </c>
      <c r="Q13" s="132">
        <f t="shared" si="1"/>
        <v>3</v>
      </c>
      <c r="R13" s="143"/>
      <c r="S13" s="143"/>
      <c r="T13" s="143"/>
    </row>
    <row r="14" spans="1:20" s="55" customFormat="1">
      <c r="A14" s="181" t="s">
        <v>2467</v>
      </c>
      <c r="B14" s="181" t="s">
        <v>2423</v>
      </c>
      <c r="C14" s="181" t="s">
        <v>1699</v>
      </c>
      <c r="D14" s="181" t="s">
        <v>2469</v>
      </c>
      <c r="E14" s="181" t="s">
        <v>2470</v>
      </c>
      <c r="F14" s="181" t="s">
        <v>2471</v>
      </c>
      <c r="G14" s="181" t="s">
        <v>18</v>
      </c>
      <c r="H14" s="181" t="s">
        <v>1298</v>
      </c>
      <c r="I14" s="181">
        <v>68</v>
      </c>
      <c r="J14" s="181" t="s">
        <v>3659</v>
      </c>
      <c r="K14" s="142">
        <v>1.8888888888888888</v>
      </c>
      <c r="L14" s="142">
        <v>2.6388888888888888</v>
      </c>
      <c r="M14" s="142"/>
      <c r="N14" s="161">
        <v>7</v>
      </c>
      <c r="O14" s="63">
        <f t="shared" si="0"/>
        <v>43998</v>
      </c>
      <c r="P14" s="174" t="s">
        <v>3913</v>
      </c>
      <c r="Q14" s="132">
        <f t="shared" si="1"/>
        <v>2</v>
      </c>
      <c r="R14" s="143"/>
      <c r="S14" s="143"/>
      <c r="T14" s="143"/>
    </row>
    <row r="15" spans="1:20" s="55" customFormat="1">
      <c r="A15" s="181" t="s">
        <v>428</v>
      </c>
      <c r="B15" s="181" t="s">
        <v>2148</v>
      </c>
      <c r="C15" s="181" t="s">
        <v>1699</v>
      </c>
      <c r="D15" s="181" t="s">
        <v>2150</v>
      </c>
      <c r="E15" s="181" t="s">
        <v>2151</v>
      </c>
      <c r="F15" s="181" t="s">
        <v>1854</v>
      </c>
      <c r="G15" s="181" t="s">
        <v>18</v>
      </c>
      <c r="H15" s="181" t="s">
        <v>1298</v>
      </c>
      <c r="I15" s="181">
        <v>40</v>
      </c>
      <c r="J15" s="181" t="s">
        <v>3659</v>
      </c>
      <c r="K15" s="142">
        <v>1.1111111111111112</v>
      </c>
      <c r="L15" s="142">
        <v>1.8611111111111112</v>
      </c>
      <c r="M15" s="142"/>
      <c r="N15" s="161">
        <v>7</v>
      </c>
      <c r="O15" s="63">
        <f t="shared" si="0"/>
        <v>43998</v>
      </c>
      <c r="P15" s="174" t="s">
        <v>3914</v>
      </c>
      <c r="Q15" s="132">
        <f t="shared" si="1"/>
        <v>1</v>
      </c>
      <c r="R15" s="143"/>
      <c r="S15" s="143"/>
      <c r="T15" s="143"/>
    </row>
    <row r="16" spans="1:20" s="55" customFormat="1">
      <c r="A16" s="181" t="s">
        <v>478</v>
      </c>
      <c r="B16" s="181" t="s">
        <v>3659</v>
      </c>
      <c r="C16" s="181" t="s">
        <v>1732</v>
      </c>
      <c r="D16" s="181" t="s">
        <v>2223</v>
      </c>
      <c r="E16" s="181" t="s">
        <v>2224</v>
      </c>
      <c r="F16" s="181" t="s">
        <v>2225</v>
      </c>
      <c r="G16" s="181" t="s">
        <v>18</v>
      </c>
      <c r="H16" s="181" t="s">
        <v>30</v>
      </c>
      <c r="I16" s="181">
        <v>123</v>
      </c>
      <c r="J16" s="181" t="s">
        <v>3659</v>
      </c>
      <c r="K16" s="142">
        <v>3.4166666666666665</v>
      </c>
      <c r="L16" s="142">
        <v>4.1666666666666661</v>
      </c>
      <c r="M16" s="142"/>
      <c r="N16" s="161">
        <v>8</v>
      </c>
      <c r="O16" s="63">
        <f t="shared" si="0"/>
        <v>43999</v>
      </c>
      <c r="P16" s="174" t="s">
        <v>3867</v>
      </c>
      <c r="Q16" s="132">
        <f t="shared" si="1"/>
        <v>3</v>
      </c>
      <c r="R16" s="143"/>
      <c r="S16" s="143"/>
      <c r="T16" s="143"/>
    </row>
    <row r="17" spans="1:27" s="55" customFormat="1">
      <c r="A17" s="181" t="s">
        <v>1730</v>
      </c>
      <c r="B17" s="181" t="s">
        <v>1312</v>
      </c>
      <c r="C17" s="181" t="s">
        <v>1732</v>
      </c>
      <c r="D17" s="181" t="s">
        <v>1733</v>
      </c>
      <c r="E17" s="181" t="s">
        <v>1734</v>
      </c>
      <c r="F17" s="181" t="s">
        <v>1735</v>
      </c>
      <c r="G17" s="181" t="s">
        <v>18</v>
      </c>
      <c r="H17" s="181" t="s">
        <v>1298</v>
      </c>
      <c r="I17" s="181">
        <v>109</v>
      </c>
      <c r="J17" s="181" t="s">
        <v>3659</v>
      </c>
      <c r="K17" s="142">
        <v>3.0277777777777777</v>
      </c>
      <c r="L17" s="142">
        <v>3.7777777777777777</v>
      </c>
      <c r="M17" s="142"/>
      <c r="N17" s="161">
        <v>8</v>
      </c>
      <c r="O17" s="63">
        <f t="shared" si="0"/>
        <v>43999</v>
      </c>
      <c r="P17" s="174" t="s">
        <v>3915</v>
      </c>
      <c r="Q17" s="132">
        <f t="shared" si="1"/>
        <v>3</v>
      </c>
      <c r="R17" s="143"/>
      <c r="S17" s="143"/>
      <c r="T17" s="143"/>
      <c r="U17" s="143"/>
      <c r="V17" s="143"/>
      <c r="W17" s="143"/>
      <c r="X17" s="143"/>
      <c r="Y17" s="143"/>
      <c r="Z17" s="143"/>
      <c r="AA17" s="143"/>
    </row>
    <row r="18" spans="1:27" s="55" customFormat="1">
      <c r="A18" s="181" t="s">
        <v>2876</v>
      </c>
      <c r="B18" s="181" t="s">
        <v>343</v>
      </c>
      <c r="C18" s="181" t="s">
        <v>1732</v>
      </c>
      <c r="D18" s="181" t="s">
        <v>3916</v>
      </c>
      <c r="E18" s="181" t="s">
        <v>2877</v>
      </c>
      <c r="F18" s="181" t="s">
        <v>3917</v>
      </c>
      <c r="G18" s="181" t="s">
        <v>18</v>
      </c>
      <c r="H18" s="181" t="s">
        <v>1298</v>
      </c>
      <c r="I18" s="181">
        <v>100</v>
      </c>
      <c r="J18" s="181" t="s">
        <v>3665</v>
      </c>
      <c r="K18" s="142">
        <v>2.7777777777777777</v>
      </c>
      <c r="L18" s="142">
        <v>3.5277777777777777</v>
      </c>
      <c r="M18" s="142"/>
      <c r="N18" s="161">
        <v>9</v>
      </c>
      <c r="O18" s="63">
        <f t="shared" si="0"/>
        <v>44000</v>
      </c>
      <c r="P18" s="174" t="s">
        <v>3895</v>
      </c>
      <c r="Q18" s="132">
        <f t="shared" si="1"/>
        <v>2</v>
      </c>
      <c r="R18" s="143"/>
      <c r="S18" s="143"/>
      <c r="T18" s="143"/>
      <c r="U18" s="143"/>
      <c r="V18" s="143"/>
      <c r="W18" s="143"/>
      <c r="X18" s="143"/>
      <c r="Y18" s="143"/>
      <c r="Z18" s="143"/>
      <c r="AA18" s="143"/>
    </row>
    <row r="19" spans="1:27" s="55" customFormat="1">
      <c r="A19" s="181" t="s">
        <v>2988</v>
      </c>
      <c r="B19" s="181" t="s">
        <v>1312</v>
      </c>
      <c r="C19" s="181" t="s">
        <v>1711</v>
      </c>
      <c r="D19" s="181" t="s">
        <v>2989</v>
      </c>
      <c r="E19" s="181" t="s">
        <v>2990</v>
      </c>
      <c r="F19" s="181" t="s">
        <v>1871</v>
      </c>
      <c r="G19" s="181" t="s">
        <v>18</v>
      </c>
      <c r="H19" s="181" t="s">
        <v>1298</v>
      </c>
      <c r="I19" s="181">
        <v>101</v>
      </c>
      <c r="J19" s="181" t="s">
        <v>3659</v>
      </c>
      <c r="K19" s="142">
        <v>2.8055555555555554</v>
      </c>
      <c r="L19" s="142">
        <v>3.5555555555555554</v>
      </c>
      <c r="M19" s="142"/>
      <c r="N19" s="161">
        <v>9</v>
      </c>
      <c r="O19" s="63">
        <f t="shared" si="0"/>
        <v>44000</v>
      </c>
      <c r="P19" s="145" t="s">
        <v>3899</v>
      </c>
      <c r="Q19" s="132">
        <f t="shared" si="1"/>
        <v>3</v>
      </c>
      <c r="R19" s="64"/>
      <c r="S19" s="64"/>
      <c r="T19" s="64"/>
      <c r="U19" s="64"/>
      <c r="V19" s="64"/>
      <c r="W19" s="64"/>
      <c r="X19" s="64"/>
      <c r="Y19" s="64"/>
      <c r="Z19" s="64"/>
      <c r="AA19" s="64"/>
    </row>
    <row r="20" spans="1:27" s="55" customFormat="1">
      <c r="A20" s="181" t="s">
        <v>3246</v>
      </c>
      <c r="B20" s="181" t="s">
        <v>343</v>
      </c>
      <c r="C20" s="181" t="s">
        <v>1711</v>
      </c>
      <c r="D20" s="181" t="s">
        <v>3247</v>
      </c>
      <c r="E20" s="181" t="s">
        <v>3248</v>
      </c>
      <c r="F20" s="181" t="s">
        <v>1871</v>
      </c>
      <c r="G20" s="181" t="s">
        <v>18</v>
      </c>
      <c r="H20" s="181" t="s">
        <v>1298</v>
      </c>
      <c r="I20" s="181">
        <v>96</v>
      </c>
      <c r="J20" s="181" t="s">
        <v>3659</v>
      </c>
      <c r="K20" s="142">
        <v>2.6666666666666665</v>
      </c>
      <c r="L20" s="142">
        <v>3.4166666666666665</v>
      </c>
      <c r="M20" s="142"/>
      <c r="N20" s="161">
        <v>9</v>
      </c>
      <c r="O20" s="63">
        <f t="shared" si="0"/>
        <v>44000</v>
      </c>
      <c r="P20" s="174" t="s">
        <v>3918</v>
      </c>
      <c r="Q20" s="132">
        <f t="shared" si="1"/>
        <v>2</v>
      </c>
      <c r="R20" s="143"/>
      <c r="S20" s="143"/>
      <c r="T20" s="143"/>
      <c r="U20" s="143"/>
      <c r="V20" s="143"/>
      <c r="W20" s="143"/>
      <c r="X20" s="143"/>
      <c r="Y20" s="143"/>
      <c r="Z20" s="143"/>
      <c r="AA20" s="143"/>
    </row>
    <row r="21" spans="1:27" s="55" customFormat="1">
      <c r="A21" s="181" t="s">
        <v>668</v>
      </c>
      <c r="B21" s="181" t="s">
        <v>2027</v>
      </c>
      <c r="C21" s="181" t="s">
        <v>1711</v>
      </c>
      <c r="D21" s="181" t="s">
        <v>2563</v>
      </c>
      <c r="E21" s="181" t="s">
        <v>2564</v>
      </c>
      <c r="F21" s="181" t="s">
        <v>2565</v>
      </c>
      <c r="G21" s="181" t="s">
        <v>18</v>
      </c>
      <c r="H21" s="181" t="s">
        <v>30</v>
      </c>
      <c r="I21" s="181">
        <v>80</v>
      </c>
      <c r="J21" s="181" t="s">
        <v>672</v>
      </c>
      <c r="K21" s="142">
        <v>2.2222222222222223</v>
      </c>
      <c r="L21" s="142">
        <v>2.9722222222222223</v>
      </c>
      <c r="M21" s="142"/>
      <c r="N21" s="161">
        <v>10</v>
      </c>
      <c r="O21" s="63">
        <f t="shared" si="0"/>
        <v>44001</v>
      </c>
      <c r="P21" s="174" t="s">
        <v>3848</v>
      </c>
      <c r="Q21" s="132">
        <f t="shared" si="1"/>
        <v>2</v>
      </c>
      <c r="R21" s="143"/>
      <c r="S21" s="143"/>
      <c r="T21" s="143"/>
      <c r="U21" s="143"/>
      <c r="V21" s="143"/>
      <c r="W21" s="143"/>
      <c r="X21" s="143"/>
      <c r="Y21" s="143"/>
      <c r="Z21" s="143"/>
      <c r="AA21" s="143"/>
    </row>
    <row r="22" spans="1:27" s="55" customFormat="1">
      <c r="A22" s="181" t="s">
        <v>943</v>
      </c>
      <c r="B22" s="181" t="s">
        <v>3659</v>
      </c>
      <c r="C22" s="181" t="s">
        <v>1711</v>
      </c>
      <c r="D22" s="181" t="s">
        <v>3252</v>
      </c>
      <c r="E22" s="181" t="s">
        <v>3253</v>
      </c>
      <c r="F22" s="181" t="s">
        <v>1871</v>
      </c>
      <c r="G22" s="181" t="s">
        <v>18</v>
      </c>
      <c r="H22" s="181" t="s">
        <v>30</v>
      </c>
      <c r="I22" s="181">
        <v>60</v>
      </c>
      <c r="J22" s="181" t="s">
        <v>947</v>
      </c>
      <c r="K22" s="142">
        <v>1.6666666666666667</v>
      </c>
      <c r="L22" s="142">
        <v>2.416666666666667</v>
      </c>
      <c r="M22" s="142"/>
      <c r="N22" s="161">
        <v>10</v>
      </c>
      <c r="O22" s="63">
        <f t="shared" si="0"/>
        <v>44001</v>
      </c>
      <c r="P22" s="145" t="s">
        <v>3919</v>
      </c>
      <c r="Q22" s="132">
        <f t="shared" si="1"/>
        <v>2</v>
      </c>
      <c r="R22" s="64"/>
      <c r="S22" s="64"/>
      <c r="T22" s="64"/>
      <c r="U22" s="64"/>
      <c r="V22" s="64"/>
      <c r="W22" s="64"/>
      <c r="X22" s="64"/>
      <c r="Y22" s="64"/>
      <c r="Z22" s="64"/>
      <c r="AA22" s="64"/>
    </row>
    <row r="23" spans="1:27" s="55" customFormat="1">
      <c r="A23" s="181" t="s">
        <v>1709</v>
      </c>
      <c r="B23" s="181" t="s">
        <v>3659</v>
      </c>
      <c r="C23" s="181" t="s">
        <v>1711</v>
      </c>
      <c r="D23" s="181" t="s">
        <v>3920</v>
      </c>
      <c r="E23" s="181" t="s">
        <v>1712</v>
      </c>
      <c r="F23" s="181" t="s">
        <v>3921</v>
      </c>
      <c r="G23" s="181" t="s">
        <v>18</v>
      </c>
      <c r="H23" s="181" t="s">
        <v>19</v>
      </c>
      <c r="I23" s="181">
        <v>31</v>
      </c>
      <c r="J23" s="181" t="s">
        <v>3665</v>
      </c>
      <c r="K23" s="142">
        <v>0.86111111111111116</v>
      </c>
      <c r="L23" s="142">
        <v>1.6111111111111112</v>
      </c>
      <c r="M23" s="142"/>
      <c r="N23" s="161">
        <v>10</v>
      </c>
      <c r="O23" s="63">
        <f t="shared" si="0"/>
        <v>44001</v>
      </c>
      <c r="P23" s="174" t="s">
        <v>3922</v>
      </c>
      <c r="Q23" s="132">
        <f t="shared" si="1"/>
        <v>1</v>
      </c>
      <c r="R23" s="143"/>
      <c r="S23" s="143"/>
      <c r="T23" s="143"/>
      <c r="U23" s="143"/>
      <c r="V23" s="143"/>
      <c r="W23" s="143"/>
      <c r="X23" s="143"/>
      <c r="Y23" s="143"/>
      <c r="Z23" s="143"/>
      <c r="AA23" s="143"/>
    </row>
    <row r="24" spans="1:27" s="55" customFormat="1">
      <c r="A24" s="181" t="s">
        <v>2676</v>
      </c>
      <c r="B24" s="181" t="s">
        <v>1303</v>
      </c>
      <c r="C24" s="181" t="s">
        <v>2678</v>
      </c>
      <c r="D24" s="181" t="s">
        <v>2679</v>
      </c>
      <c r="E24" s="181" t="s">
        <v>2680</v>
      </c>
      <c r="F24" s="181" t="s">
        <v>2681</v>
      </c>
      <c r="G24" s="181" t="s">
        <v>18</v>
      </c>
      <c r="H24" s="181" t="s">
        <v>1298</v>
      </c>
      <c r="I24" s="181">
        <v>73</v>
      </c>
      <c r="J24" s="181" t="s">
        <v>3659</v>
      </c>
      <c r="K24" s="142">
        <v>2.0277777777777777</v>
      </c>
      <c r="L24" s="142">
        <v>2.7777777777777777</v>
      </c>
      <c r="M24" s="142"/>
      <c r="N24" s="161">
        <v>11</v>
      </c>
      <c r="O24" s="63">
        <f t="shared" si="0"/>
        <v>44002</v>
      </c>
      <c r="P24" s="174" t="s">
        <v>3848</v>
      </c>
      <c r="Q24" s="132">
        <f t="shared" si="1"/>
        <v>2</v>
      </c>
      <c r="R24" s="143"/>
      <c r="S24" s="143"/>
      <c r="T24" s="143"/>
      <c r="U24" s="143"/>
      <c r="V24" s="143"/>
      <c r="W24" s="143"/>
      <c r="X24" s="143"/>
      <c r="Y24" s="143"/>
      <c r="Z24" s="143"/>
      <c r="AA24" s="143"/>
    </row>
    <row r="25" spans="1:27" s="55" customFormat="1">
      <c r="A25" s="181" t="s">
        <v>2852</v>
      </c>
      <c r="B25" s="181" t="s">
        <v>343</v>
      </c>
      <c r="C25" s="181" t="s">
        <v>1795</v>
      </c>
      <c r="D25" s="181" t="s">
        <v>2853</v>
      </c>
      <c r="E25" s="181" t="s">
        <v>2854</v>
      </c>
      <c r="F25" s="181" t="s">
        <v>2400</v>
      </c>
      <c r="G25" s="181" t="s">
        <v>18</v>
      </c>
      <c r="H25" s="181" t="s">
        <v>1298</v>
      </c>
      <c r="I25" s="181">
        <v>134</v>
      </c>
      <c r="J25" s="181" t="s">
        <v>3659</v>
      </c>
      <c r="K25" s="142">
        <v>3.7222222222222223</v>
      </c>
      <c r="L25" s="142">
        <v>4.4722222222222223</v>
      </c>
      <c r="M25" s="142"/>
      <c r="N25" s="161">
        <v>11</v>
      </c>
      <c r="O25" s="63">
        <f t="shared" si="0"/>
        <v>44002</v>
      </c>
      <c r="P25" s="174" t="s">
        <v>3923</v>
      </c>
      <c r="Q25" s="132">
        <f t="shared" si="1"/>
        <v>3</v>
      </c>
      <c r="R25" s="143"/>
      <c r="S25" s="143"/>
      <c r="T25" s="143"/>
      <c r="U25" s="143"/>
      <c r="V25" s="143"/>
      <c r="W25" s="143"/>
      <c r="X25" s="143"/>
      <c r="Y25" s="143"/>
      <c r="Z25" s="143"/>
      <c r="AA25" s="143"/>
    </row>
    <row r="26" spans="1:27" s="55" customFormat="1">
      <c r="A26" s="181" t="s">
        <v>2396</v>
      </c>
      <c r="B26" s="181" t="s">
        <v>343</v>
      </c>
      <c r="C26" s="181" t="s">
        <v>1795</v>
      </c>
      <c r="D26" s="181" t="s">
        <v>2398</v>
      </c>
      <c r="E26" s="181" t="s">
        <v>2399</v>
      </c>
      <c r="F26" s="181" t="s">
        <v>2400</v>
      </c>
      <c r="G26" s="181" t="s">
        <v>18</v>
      </c>
      <c r="H26" s="181" t="s">
        <v>1298</v>
      </c>
      <c r="I26" s="181">
        <v>102</v>
      </c>
      <c r="J26" s="181" t="s">
        <v>3659</v>
      </c>
      <c r="K26" s="142">
        <v>2.8333333333333335</v>
      </c>
      <c r="L26" s="142">
        <v>3.5833333333333335</v>
      </c>
      <c r="M26" s="142"/>
      <c r="N26" s="161">
        <v>13</v>
      </c>
      <c r="O26" s="63">
        <f t="shared" si="0"/>
        <v>44004</v>
      </c>
      <c r="P26" s="174" t="s">
        <v>3895</v>
      </c>
      <c r="Q26" s="132">
        <f t="shared" si="1"/>
        <v>3</v>
      </c>
      <c r="R26" s="143"/>
      <c r="S26" s="143"/>
      <c r="T26" s="143"/>
      <c r="U26" s="143"/>
      <c r="V26" s="143"/>
      <c r="W26" s="143"/>
      <c r="X26" s="143"/>
      <c r="Y26" s="143"/>
      <c r="Z26" s="143"/>
      <c r="AA26" s="143"/>
    </row>
    <row r="27" spans="1:27">
      <c r="A27" s="180" t="s">
        <v>570</v>
      </c>
      <c r="B27" s="180" t="s">
        <v>3659</v>
      </c>
      <c r="C27" s="180" t="s">
        <v>1732</v>
      </c>
      <c r="D27" s="180" t="s">
        <v>2315</v>
      </c>
      <c r="E27" s="180" t="s">
        <v>2316</v>
      </c>
      <c r="F27" s="180" t="s">
        <v>1735</v>
      </c>
      <c r="G27" s="180" t="s">
        <v>54</v>
      </c>
      <c r="H27" s="180" t="s">
        <v>3659</v>
      </c>
      <c r="I27" s="180" t="s">
        <v>3659</v>
      </c>
      <c r="J27" s="180" t="s">
        <v>3659</v>
      </c>
    </row>
    <row r="28" spans="1:27">
      <c r="A28" s="180" t="s">
        <v>314</v>
      </c>
      <c r="B28" s="180" t="s">
        <v>3659</v>
      </c>
      <c r="C28" s="180" t="s">
        <v>1711</v>
      </c>
      <c r="D28" s="180" t="s">
        <v>1869</v>
      </c>
      <c r="E28" s="180" t="s">
        <v>1870</v>
      </c>
      <c r="F28" s="180" t="s">
        <v>1871</v>
      </c>
      <c r="G28" s="180" t="s">
        <v>54</v>
      </c>
      <c r="H28" s="180"/>
      <c r="I28" s="180" t="s">
        <v>3659</v>
      </c>
      <c r="J28" s="180" t="s">
        <v>318</v>
      </c>
    </row>
    <row r="29" spans="1:27" s="28" customFormat="1">
      <c r="A29" s="180" t="s">
        <v>319</v>
      </c>
      <c r="B29" s="180" t="s">
        <v>3659</v>
      </c>
      <c r="C29" s="180" t="s">
        <v>1477</v>
      </c>
      <c r="D29" s="180" t="s">
        <v>1874</v>
      </c>
      <c r="E29" s="180" t="s">
        <v>1875</v>
      </c>
      <c r="F29" s="180" t="s">
        <v>1876</v>
      </c>
      <c r="G29" s="180" t="s">
        <v>54</v>
      </c>
      <c r="H29" s="180"/>
      <c r="I29" s="180" t="s">
        <v>3659</v>
      </c>
      <c r="J29" s="180" t="s">
        <v>322</v>
      </c>
      <c r="K29"/>
      <c r="L29"/>
      <c r="M29"/>
      <c r="N29" s="31"/>
    </row>
    <row r="30" spans="1:27" s="141" customFormat="1">
      <c r="A30" s="140" t="s">
        <v>2906</v>
      </c>
      <c r="B30" s="140" t="s">
        <v>1312</v>
      </c>
      <c r="C30" s="140" t="s">
        <v>1699</v>
      </c>
      <c r="D30" s="140" t="s">
        <v>2907</v>
      </c>
      <c r="E30" s="140" t="s">
        <v>2908</v>
      </c>
      <c r="F30" s="140" t="s">
        <v>1854</v>
      </c>
      <c r="G30" s="140" t="s">
        <v>54</v>
      </c>
      <c r="H30" s="140" t="s">
        <v>1298</v>
      </c>
      <c r="I30" s="140">
        <v>141</v>
      </c>
      <c r="J30" s="140" t="s">
        <v>3924</v>
      </c>
      <c r="K30" s="164"/>
      <c r="L30" s="164"/>
      <c r="M30" s="164"/>
      <c r="N30" s="215"/>
      <c r="O30" s="255"/>
      <c r="P30" s="265"/>
      <c r="Q30" s="165"/>
    </row>
    <row r="31" spans="1:27" hidden="1">
      <c r="A31" s="134" t="str">
        <f ca="1">IFERROR(__xludf.DUMMYFUNCTION("""COMPUTED_VALUE"""),"")</f>
        <v/>
      </c>
      <c r="B31" s="134" t="str">
        <f ca="1">IFERROR(__xludf.DUMMYFUNCTION("""COMPUTED_VALUE"""),"")</f>
        <v/>
      </c>
      <c r="C31" s="134" t="str">
        <f ca="1">IFERROR(__xludf.DUMMYFUNCTION("""COMPUTED_VALUE"""),"")</f>
        <v/>
      </c>
      <c r="D31" s="134" t="str">
        <f ca="1">IFERROR(__xludf.DUMMYFUNCTION("""COMPUTED_VALUE"""),"")</f>
        <v/>
      </c>
      <c r="E31" s="134" t="str">
        <f ca="1">IFERROR(__xludf.DUMMYFUNCTION("""COMPUTED_VALUE"""),"")</f>
        <v/>
      </c>
      <c r="F31" s="134" t="str">
        <f ca="1">IFERROR(__xludf.DUMMYFUNCTION("""COMPUTED_VALUE"""),"")</f>
        <v/>
      </c>
      <c r="G31" s="134" t="str">
        <f ca="1">IFERROR(__xludf.DUMMYFUNCTION("""COMPUTED_VALUE"""),"")</f>
        <v/>
      </c>
      <c r="H31" s="134" t="str">
        <f ca="1">IFERROR(__xludf.DUMMYFUNCTION("""COMPUTED_VALUE"""),"")</f>
        <v/>
      </c>
      <c r="I31" s="134" t="str">
        <f ca="1">IFERROR(__xludf.DUMMYFUNCTION("""COMPUTED_VALUE"""),"")</f>
        <v/>
      </c>
      <c r="J31" s="134" t="str">
        <f ca="1">IFERROR(__xludf.DUMMYFUNCTION("""COMPUTED_VALUE"""),"")</f>
        <v/>
      </c>
    </row>
    <row r="32" spans="1:27" ht="15.75" hidden="1" thickBot="1">
      <c r="A32" s="134" t="str">
        <f ca="1">IFERROR(__xludf.DUMMYFUNCTION("""COMPUTED_VALUE"""),"")</f>
        <v/>
      </c>
      <c r="B32" s="134" t="str">
        <f ca="1">IFERROR(__xludf.DUMMYFUNCTION("""COMPUTED_VALUE"""),"")</f>
        <v/>
      </c>
      <c r="C32" s="134" t="str">
        <f ca="1">IFERROR(__xludf.DUMMYFUNCTION("""COMPUTED_VALUE"""),"")</f>
        <v/>
      </c>
      <c r="D32" s="134" t="str">
        <f ca="1">IFERROR(__xludf.DUMMYFUNCTION("""COMPUTED_VALUE"""),"")</f>
        <v/>
      </c>
      <c r="E32" s="134" t="str">
        <f ca="1">IFERROR(__xludf.DUMMYFUNCTION("""COMPUTED_VALUE"""),"")</f>
        <v/>
      </c>
      <c r="F32" s="134" t="str">
        <f ca="1">IFERROR(__xludf.DUMMYFUNCTION("""COMPUTED_VALUE"""),"")</f>
        <v/>
      </c>
      <c r="G32" s="134" t="str">
        <f ca="1">IFERROR(__xludf.DUMMYFUNCTION("""COMPUTED_VALUE"""),"")</f>
        <v/>
      </c>
      <c r="H32" s="134" t="str">
        <f ca="1">IFERROR(__xludf.DUMMYFUNCTION("""COMPUTED_VALUE"""),"")</f>
        <v/>
      </c>
      <c r="I32" s="134" t="str">
        <f ca="1">IFERROR(__xludf.DUMMYFUNCTION("""COMPUTED_VALUE"""),"")</f>
        <v/>
      </c>
      <c r="J32" s="134" t="str">
        <f ca="1">IFERROR(__xludf.DUMMYFUNCTION("""COMPUTED_VALUE"""),"")</f>
        <v/>
      </c>
    </row>
    <row r="33" spans="1:23" ht="15.75" hidden="1" thickBot="1">
      <c r="A33" s="414" t="s">
        <v>3695</v>
      </c>
      <c r="B33" s="415"/>
      <c r="C33" s="134" t="str">
        <f ca="1">IFERROR(__xludf.DUMMYFUNCTION("""COMPUTED_VALUE"""),"")</f>
        <v/>
      </c>
      <c r="D33" s="414" t="s">
        <v>3696</v>
      </c>
      <c r="E33" s="416"/>
      <c r="F33" s="416"/>
      <c r="G33" s="415"/>
      <c r="H33" s="134" t="str">
        <f ca="1">IFERROR(__xludf.DUMMYFUNCTION("""COMPUTED_VALUE"""),"")</f>
        <v/>
      </c>
      <c r="I33" s="134">
        <v>60</v>
      </c>
      <c r="J33" s="134" t="s">
        <v>3697</v>
      </c>
      <c r="L33" s="159">
        <v>43992</v>
      </c>
      <c r="M33" s="159"/>
      <c r="N33" s="159">
        <v>43993</v>
      </c>
      <c r="O33" s="159"/>
      <c r="P33" s="159">
        <v>43994</v>
      </c>
      <c r="Q33" s="159"/>
      <c r="R33" s="159">
        <v>43995</v>
      </c>
      <c r="S33" s="159"/>
      <c r="T33" s="159">
        <v>43997</v>
      </c>
      <c r="U33" s="159"/>
      <c r="V33" s="159">
        <v>43998</v>
      </c>
      <c r="W33" s="159">
        <v>44006</v>
      </c>
    </row>
    <row r="34" spans="1:23" hidden="1">
      <c r="A34" s="43"/>
      <c r="B34" s="36" t="s">
        <v>3365</v>
      </c>
      <c r="C34" s="134" t="str">
        <f ca="1">IFERROR(__xludf.DUMMYFUNCTION("""COMPUTED_VALUE"""),"")</f>
        <v/>
      </c>
      <c r="D34" s="43"/>
      <c r="E34" s="44" t="s">
        <v>3366</v>
      </c>
      <c r="F34" s="50" t="s">
        <v>3367</v>
      </c>
      <c r="G34" s="36"/>
      <c r="H34" s="134" t="str">
        <f ca="1">IFERROR(__xludf.DUMMYFUNCTION("""COMPUTED_VALUE"""),"")</f>
        <v/>
      </c>
      <c r="I34" s="134" t="str">
        <f ca="1">IFERROR(__xludf.DUMMYFUNCTION("""COMPUTED_VALUE"""),"")</f>
        <v/>
      </c>
      <c r="J34" s="135"/>
      <c r="K34" s="135"/>
      <c r="L34" s="160">
        <f>SUM(I2,I3)</f>
        <v>274</v>
      </c>
      <c r="M34" s="160">
        <f>SUM(Q2,Q3)</f>
        <v>6</v>
      </c>
      <c r="N34" s="134">
        <f>SUM(I4, I5)</f>
        <v>209</v>
      </c>
      <c r="O34" s="134">
        <f>SUM(Q4, Q5)</f>
        <v>5</v>
      </c>
      <c r="P34" s="134">
        <f>SUM(I6, I7, I8)</f>
        <v>276</v>
      </c>
      <c r="Q34" s="134">
        <f>SUM(Q6, Q7, Q8)</f>
        <v>7</v>
      </c>
      <c r="R34" s="134">
        <f>SUM(I30, I9, I10)</f>
        <v>299</v>
      </c>
      <c r="S34" s="134">
        <f>SUM(Q30, Q9, Q10)</f>
        <v>4</v>
      </c>
      <c r="T34" s="134">
        <f>SUM(I11, I12)</f>
        <v>208</v>
      </c>
      <c r="U34" s="134">
        <f>SUM(Q11, Q12)</f>
        <v>5</v>
      </c>
      <c r="V34" s="134">
        <f>SUM(I14, I15)</f>
        <v>108</v>
      </c>
      <c r="W34" s="134">
        <f>SUM(Q14, Q15)</f>
        <v>3</v>
      </c>
    </row>
    <row r="35" spans="1:23" hidden="1">
      <c r="A35" s="45" t="s">
        <v>3368</v>
      </c>
      <c r="B35" s="48">
        <v>5</v>
      </c>
      <c r="C35" s="134" t="str">
        <f ca="1">IFERROR(__xludf.DUMMYFUNCTION("""COMPUTED_VALUE"""),"")</f>
        <v/>
      </c>
      <c r="D35" s="45" t="s">
        <v>3369</v>
      </c>
      <c r="E35" s="27">
        <f>(50/$F$38)*60</f>
        <v>187.5</v>
      </c>
      <c r="F35" s="37">
        <v>15</v>
      </c>
      <c r="G35" s="38" t="s">
        <v>3370</v>
      </c>
      <c r="H35" s="134" t="str">
        <f ca="1">IFERROR(__xludf.DUMMYFUNCTION("""COMPUTED_VALUE"""),"")</f>
        <v/>
      </c>
      <c r="I35" s="134" t="str">
        <f ca="1">IFERROR(__xludf.DUMMYFUNCTION("""COMPUTED_VALUE"""),"")</f>
        <v/>
      </c>
      <c r="L35" s="134" t="str">
        <f ca="1">IFERROR(__xludf.DUMMYFUNCTION("""COMPUTED_VALUE"""),"")</f>
        <v/>
      </c>
      <c r="M35" s="134" t="str">
        <f ca="1">IFERROR(__xludf.DUMMYFUNCTION("""COMPUTED_VALUE"""),"")</f>
        <v/>
      </c>
      <c r="N35"/>
    </row>
    <row r="36" spans="1:23" hidden="1">
      <c r="A36" s="45" t="s">
        <v>3371</v>
      </c>
      <c r="B36" s="48">
        <v>3</v>
      </c>
      <c r="C36" s="134" t="str">
        <f ca="1">IFERROR(__xludf.DUMMYFUNCTION("""COMPUTED_VALUE"""),"")</f>
        <v/>
      </c>
      <c r="D36" s="45" t="s">
        <v>3372</v>
      </c>
      <c r="E36" s="27">
        <f>(100/$F$38)*60</f>
        <v>375</v>
      </c>
      <c r="F36" s="37">
        <v>5</v>
      </c>
      <c r="G36" s="38" t="s">
        <v>3373</v>
      </c>
      <c r="H36" s="134" t="str">
        <f ca="1">IFERROR(__xludf.DUMMYFUNCTION("""COMPUTED_VALUE"""),"")</f>
        <v/>
      </c>
      <c r="I36" s="134" t="str">
        <f ca="1">IFERROR(__xludf.DUMMYFUNCTION("""COMPUTED_VALUE"""),"")</f>
        <v/>
      </c>
      <c r="L36" s="135" t="str">
        <f ca="1">IFERROR(__xludf.DUMMYFUNCTION("""COMPUTED_VALUE"""),"")</f>
        <v/>
      </c>
      <c r="M36" s="135" t="str">
        <f ca="1">IFERROR(__xludf.DUMMYFUNCTION("""COMPUTED_VALUE"""),"")</f>
        <v/>
      </c>
      <c r="N36"/>
    </row>
    <row r="37" spans="1:23" hidden="1">
      <c r="A37" s="45" t="s">
        <v>3374</v>
      </c>
      <c r="B37" s="48">
        <v>15</v>
      </c>
      <c r="C37" s="134" t="str">
        <f ca="1">IFERROR(__xludf.DUMMYFUNCTION("""COMPUTED_VALUE"""),"")</f>
        <v/>
      </c>
      <c r="D37" s="45" t="s">
        <v>3375</v>
      </c>
      <c r="E37" s="27">
        <f>(150/$F$38)*60</f>
        <v>562.5</v>
      </c>
      <c r="F37" s="37">
        <v>5.5</v>
      </c>
      <c r="G37" s="38" t="s">
        <v>3376</v>
      </c>
      <c r="H37" s="134" t="str">
        <f ca="1">IFERROR(__xludf.DUMMYFUNCTION("""COMPUTED_VALUE"""),"")</f>
        <v/>
      </c>
      <c r="I37" s="134" t="str">
        <f ca="1">IFERROR(__xludf.DUMMYFUNCTION("""COMPUTED_VALUE"""),"")</f>
        <v/>
      </c>
      <c r="J37" s="135"/>
      <c r="K37" s="135"/>
      <c r="L37" s="135" t="str">
        <f ca="1">IFERROR(__xludf.DUMMYFUNCTION("""COMPUTED_VALUE"""),"")</f>
        <v/>
      </c>
      <c r="M37" s="135" t="str">
        <f ca="1">IFERROR(__xludf.DUMMYFUNCTION("""COMPUTED_VALUE"""),"")</f>
        <v/>
      </c>
      <c r="N37"/>
    </row>
    <row r="38" spans="1:23" hidden="1">
      <c r="A38" s="45" t="s">
        <v>3377</v>
      </c>
      <c r="B38" s="48">
        <v>30</v>
      </c>
      <c r="C38" s="134" t="str">
        <f ca="1">IFERROR(__xludf.DUMMYFUNCTION("""COMPUTED_VALUE"""),"")</f>
        <v/>
      </c>
      <c r="D38" s="45" t="s">
        <v>3378</v>
      </c>
      <c r="E38" s="27">
        <f>(200/$F$38)*60</f>
        <v>750</v>
      </c>
      <c r="F38" s="37">
        <f>ROUNDDOWN(F37*3,0)</f>
        <v>16</v>
      </c>
      <c r="G38" s="38" t="s">
        <v>3698</v>
      </c>
      <c r="H38" s="134" t="str">
        <f ca="1">IFERROR(__xludf.DUMMYFUNCTION("""COMPUTED_VALUE"""),"")</f>
        <v/>
      </c>
      <c r="I38" s="134" t="str">
        <f ca="1">IFERROR(__xludf.DUMMYFUNCTION("""COMPUTED_VALUE"""),"")</f>
        <v/>
      </c>
      <c r="L38" s="159">
        <v>43999</v>
      </c>
      <c r="M38" s="159"/>
      <c r="N38" s="159">
        <v>44000</v>
      </c>
      <c r="O38" s="159"/>
      <c r="P38" s="159">
        <v>44001</v>
      </c>
      <c r="Q38" s="159"/>
      <c r="R38" s="159">
        <v>44002</v>
      </c>
      <c r="S38" s="159"/>
      <c r="T38" s="159">
        <v>44004</v>
      </c>
      <c r="U38" s="159"/>
    </row>
    <row r="39" spans="1:23" hidden="1">
      <c r="A39" s="45"/>
      <c r="B39" s="48"/>
      <c r="C39" s="134" t="str">
        <f ca="1">IFERROR(__xludf.DUMMYFUNCTION("""COMPUTED_VALUE"""),"")</f>
        <v/>
      </c>
      <c r="D39" s="45" t="s">
        <v>3381</v>
      </c>
      <c r="E39" s="27">
        <f>(250/$F$38)*60</f>
        <v>937.5</v>
      </c>
      <c r="F39" s="37">
        <v>45</v>
      </c>
      <c r="G39" s="38" t="s">
        <v>3382</v>
      </c>
      <c r="H39" s="134" t="str">
        <f ca="1">IFERROR(__xludf.DUMMYFUNCTION("""COMPUTED_VALUE"""),"")</f>
        <v/>
      </c>
      <c r="I39" s="134" t="str">
        <f ca="1">IFERROR(__xludf.DUMMYFUNCTION("""COMPUTED_VALUE"""),"")</f>
        <v/>
      </c>
      <c r="L39" s="130">
        <f>SUM(I16, I17, I18)</f>
        <v>332</v>
      </c>
      <c r="M39" s="130">
        <f>SUM(Q16, Q17, Q18)</f>
        <v>8</v>
      </c>
      <c r="N39" s="130">
        <f>SUM(I18, I19, I20)</f>
        <v>297</v>
      </c>
      <c r="O39" s="130">
        <f>SUM(Q18, Q19, Q20)</f>
        <v>7</v>
      </c>
      <c r="P39" s="130">
        <f>SUM(I21, I22, I23)</f>
        <v>171</v>
      </c>
      <c r="Q39" s="130">
        <f>SUM(Q21, Q22, Q23)</f>
        <v>5</v>
      </c>
      <c r="R39" s="130">
        <f>SUM(I24, I25)</f>
        <v>207</v>
      </c>
      <c r="S39" s="130">
        <f>SUM(Q24, Q25)</f>
        <v>5</v>
      </c>
      <c r="T39" s="130">
        <f>SUM(I26)</f>
        <v>102</v>
      </c>
      <c r="U39" s="130">
        <f>SUM(Q26)</f>
        <v>3</v>
      </c>
    </row>
    <row r="40" spans="1:23" hidden="1">
      <c r="A40" s="45" t="s">
        <v>3380</v>
      </c>
      <c r="B40" s="48">
        <f>(60/B35)*B36</f>
        <v>36</v>
      </c>
      <c r="C40" s="134" t="str">
        <f ca="1">IFERROR(__xludf.DUMMYFUNCTION("""COMPUTED_VALUE"""),"")</f>
        <v/>
      </c>
      <c r="D40" s="45" t="s">
        <v>3385</v>
      </c>
      <c r="E40" s="27">
        <f>(300/$F$38)*60</f>
        <v>1125</v>
      </c>
      <c r="F40" s="39">
        <v>60</v>
      </c>
      <c r="G40" s="40" t="s">
        <v>3386</v>
      </c>
      <c r="H40" s="134" t="str">
        <f ca="1">IFERROR(__xludf.DUMMYFUNCTION("""COMPUTED_VALUE"""),"")</f>
        <v/>
      </c>
      <c r="I40" s="134" t="str">
        <f ca="1">IFERROR(__xludf.DUMMYFUNCTION("""COMPUTED_VALUE"""),"")</f>
        <v/>
      </c>
      <c r="N40"/>
    </row>
    <row r="41" spans="1:23" ht="15.75" hidden="1" thickBot="1">
      <c r="A41" s="46" t="s">
        <v>3383</v>
      </c>
      <c r="B41" s="49" t="s">
        <v>3384</v>
      </c>
      <c r="C41" s="134" t="str">
        <f ca="1">IFERROR(__xludf.DUMMYFUNCTION("""COMPUTED_VALUE"""),"")</f>
        <v/>
      </c>
      <c r="D41" s="46" t="s">
        <v>3387</v>
      </c>
      <c r="E41" s="47">
        <f>(350/$F$38)*60</f>
        <v>1312.5</v>
      </c>
      <c r="F41" s="41">
        <v>45</v>
      </c>
      <c r="G41" s="42" t="s">
        <v>3388</v>
      </c>
      <c r="H41" s="134" t="str">
        <f ca="1">IFERROR(__xludf.DUMMYFUNCTION("""COMPUTED_VALUE"""),"")</f>
        <v/>
      </c>
      <c r="I41" s="134" t="str">
        <f ca="1">IFERROR(__xludf.DUMMYFUNCTION("""COMPUTED_VALUE"""),"")</f>
        <v/>
      </c>
      <c r="N41"/>
    </row>
    <row r="42" spans="1:23" hidden="1">
      <c r="A42" s="134" t="str">
        <f ca="1">IFERROR(__xludf.DUMMYFUNCTION("""COMPUTED_VALUE"""),"")</f>
        <v/>
      </c>
      <c r="B42" s="134" t="str">
        <f ca="1">IFERROR(__xludf.DUMMYFUNCTION("""COMPUTED_VALUE"""),"")</f>
        <v/>
      </c>
      <c r="C42" s="134" t="str">
        <f ca="1">IFERROR(__xludf.DUMMYFUNCTION("""COMPUTED_VALUE"""),"")</f>
        <v/>
      </c>
      <c r="D42" s="134" t="str">
        <f ca="1">IFERROR(__xludf.DUMMYFUNCTION("""COMPUTED_VALUE"""),"")</f>
        <v/>
      </c>
      <c r="E42" s="134" t="str">
        <f ca="1">IFERROR(__xludf.DUMMYFUNCTION("""COMPUTED_VALUE"""),"")</f>
        <v/>
      </c>
      <c r="F42" s="134" t="str">
        <f ca="1">IFERROR(__xludf.DUMMYFUNCTION("""COMPUTED_VALUE"""),"")</f>
        <v/>
      </c>
      <c r="G42" s="134" t="str">
        <f ca="1">IFERROR(__xludf.DUMMYFUNCTION("""COMPUTED_VALUE"""),"")</f>
        <v/>
      </c>
      <c r="H42" s="134" t="str">
        <f ca="1">IFERROR(__xludf.DUMMYFUNCTION("""COMPUTED_VALUE"""),"")</f>
        <v/>
      </c>
      <c r="I42" s="134" t="str">
        <f ca="1">IFERROR(__xludf.DUMMYFUNCTION("""COMPUTED_VALUE"""),"")</f>
        <v/>
      </c>
      <c r="N42"/>
    </row>
    <row r="43" spans="1:23" hidden="1">
      <c r="A43" s="134" t="str">
        <f ca="1">IFERROR(__xludf.DUMMYFUNCTION("""COMPUTED_VALUE"""),"")</f>
        <v/>
      </c>
      <c r="B43" s="134" t="str">
        <f ca="1">IFERROR(__xludf.DUMMYFUNCTION("""COMPUTED_VALUE"""),"")</f>
        <v/>
      </c>
      <c r="C43" s="134" t="str">
        <f ca="1">IFERROR(__xludf.DUMMYFUNCTION("""COMPUTED_VALUE"""),"")</f>
        <v/>
      </c>
      <c r="D43" s="134" t="str">
        <f ca="1">IFERROR(__xludf.DUMMYFUNCTION("""COMPUTED_VALUE"""),"")</f>
        <v/>
      </c>
      <c r="E43" s="134" t="str">
        <f ca="1">IFERROR(__xludf.DUMMYFUNCTION("""COMPUTED_VALUE"""),"")</f>
        <v/>
      </c>
      <c r="F43" s="134" t="str">
        <f ca="1">IFERROR(__xludf.DUMMYFUNCTION("""COMPUTED_VALUE"""),"")</f>
        <v/>
      </c>
      <c r="G43" s="134" t="str">
        <f ca="1">IFERROR(__xludf.DUMMYFUNCTION("""COMPUTED_VALUE"""),"")</f>
        <v/>
      </c>
      <c r="H43" s="134" t="str">
        <f ca="1">IFERROR(__xludf.DUMMYFUNCTION("""COMPUTED_VALUE"""),"")</f>
        <v/>
      </c>
      <c r="I43" s="134" t="str">
        <f ca="1">IFERROR(__xludf.DUMMYFUNCTION("""COMPUTED_VALUE"""),"")</f>
        <v/>
      </c>
      <c r="J43" s="134" t="str">
        <f ca="1">IFERROR(__xludf.DUMMYFUNCTION("""COMPUTED_VALUE"""),"")</f>
        <v/>
      </c>
      <c r="L43" s="134" t="str">
        <f ca="1">IFERROR(__xludf.DUMMYFUNCTION("""COMPUTED_VALUE"""),"")</f>
        <v/>
      </c>
      <c r="M43" s="134" t="str">
        <f ca="1">IFERROR(__xludf.DUMMYFUNCTION("""COMPUTED_VALUE"""),"")</f>
        <v/>
      </c>
      <c r="N43"/>
    </row>
    <row r="44" spans="1:23" hidden="1">
      <c r="A44" s="134" t="str">
        <f ca="1">IFERROR(__xludf.DUMMYFUNCTION("""COMPUTED_VALUE"""),"")</f>
        <v/>
      </c>
      <c r="B44" s="134" t="str">
        <f ca="1">IFERROR(__xludf.DUMMYFUNCTION("""COMPUTED_VALUE"""),"")</f>
        <v/>
      </c>
      <c r="C44" s="134" t="str">
        <f ca="1">IFERROR(__xludf.DUMMYFUNCTION("""COMPUTED_VALUE"""),"")</f>
        <v/>
      </c>
      <c r="D44" s="134" t="str">
        <f ca="1">IFERROR(__xludf.DUMMYFUNCTION("""COMPUTED_VALUE"""),"")</f>
        <v/>
      </c>
      <c r="E44" s="134" t="str">
        <f ca="1">IFERROR(__xludf.DUMMYFUNCTION("""COMPUTED_VALUE"""),"")</f>
        <v/>
      </c>
      <c r="F44" s="134" t="str">
        <f ca="1">IFERROR(__xludf.DUMMYFUNCTION("""COMPUTED_VALUE"""),"")</f>
        <v/>
      </c>
      <c r="G44" s="134" t="str">
        <f ca="1">IFERROR(__xludf.DUMMYFUNCTION("""COMPUTED_VALUE"""),"")</f>
        <v/>
      </c>
      <c r="H44" s="134" t="str">
        <f ca="1">IFERROR(__xludf.DUMMYFUNCTION("""COMPUTED_VALUE"""),"")</f>
        <v/>
      </c>
      <c r="I44" s="134" t="str">
        <f ca="1">IFERROR(__xludf.DUMMYFUNCTION("""COMPUTED_VALUE"""),"")</f>
        <v/>
      </c>
      <c r="J44" s="134" t="str">
        <f ca="1">IFERROR(__xludf.DUMMYFUNCTION("""COMPUTED_VALUE"""),"")</f>
        <v/>
      </c>
      <c r="L44" s="135" t="str">
        <f ca="1">IFERROR(__xludf.DUMMYFUNCTION("""COMPUTED_VALUE"""),"")</f>
        <v/>
      </c>
      <c r="M44" s="135" t="str">
        <f ca="1">IFERROR(__xludf.DUMMYFUNCTION("""COMPUTED_VALUE"""),"")</f>
        <v/>
      </c>
      <c r="N44"/>
    </row>
    <row r="45" spans="1:23" hidden="1">
      <c r="A45" s="134" t="str">
        <f ca="1">IFERROR(__xludf.DUMMYFUNCTION("""COMPUTED_VALUE"""),"")</f>
        <v/>
      </c>
      <c r="B45" s="134" t="str">
        <f ca="1">IFERROR(__xludf.DUMMYFUNCTION("""COMPUTED_VALUE"""),"")</f>
        <v/>
      </c>
      <c r="C45" s="134" t="str">
        <f ca="1">IFERROR(__xludf.DUMMYFUNCTION("""COMPUTED_VALUE"""),"")</f>
        <v/>
      </c>
      <c r="D45" s="134" t="str">
        <f ca="1">IFERROR(__xludf.DUMMYFUNCTION("""COMPUTED_VALUE"""),"")</f>
        <v/>
      </c>
      <c r="E45" s="134" t="str">
        <f ca="1">IFERROR(__xludf.DUMMYFUNCTION("""COMPUTED_VALUE"""),"")</f>
        <v/>
      </c>
      <c r="F45" s="134" t="str">
        <f ca="1">IFERROR(__xludf.DUMMYFUNCTION("""COMPUTED_VALUE"""),"")</f>
        <v/>
      </c>
      <c r="G45" s="134" t="str">
        <f ca="1">IFERROR(__xludf.DUMMYFUNCTION("""COMPUTED_VALUE"""),"")</f>
        <v/>
      </c>
      <c r="H45" s="134" t="str">
        <f ca="1">IFERROR(__xludf.DUMMYFUNCTION("""COMPUTED_VALUE"""),"")</f>
        <v/>
      </c>
      <c r="I45" s="134" t="str">
        <f ca="1">IFERROR(__xludf.DUMMYFUNCTION("""COMPUTED_VALUE"""),"")</f>
        <v/>
      </c>
      <c r="J45" s="134" t="str">
        <f ca="1">IFERROR(__xludf.DUMMYFUNCTION("""COMPUTED_VALUE"""),"")</f>
        <v/>
      </c>
      <c r="L45" s="135" t="str">
        <f ca="1">IFERROR(__xludf.DUMMYFUNCTION("""COMPUTED_VALUE"""),"")</f>
        <v/>
      </c>
      <c r="M45" s="135" t="str">
        <f ca="1">IFERROR(__xludf.DUMMYFUNCTION("""COMPUTED_VALUE"""),"")</f>
        <v/>
      </c>
      <c r="N45"/>
    </row>
    <row r="46" spans="1:23" hidden="1">
      <c r="A46" s="134" t="str">
        <f ca="1">IFERROR(__xludf.DUMMYFUNCTION("""COMPUTED_VALUE"""),"")</f>
        <v/>
      </c>
      <c r="B46" s="134" t="str">
        <f ca="1">IFERROR(__xludf.DUMMYFUNCTION("""COMPUTED_VALUE"""),"")</f>
        <v/>
      </c>
      <c r="C46" s="134" t="str">
        <f ca="1">IFERROR(__xludf.DUMMYFUNCTION("""COMPUTED_VALUE"""),"")</f>
        <v/>
      </c>
      <c r="D46" s="134" t="str">
        <f ca="1">IFERROR(__xludf.DUMMYFUNCTION("""COMPUTED_VALUE"""),"")</f>
        <v/>
      </c>
      <c r="E46" s="134" t="str">
        <f ca="1">IFERROR(__xludf.DUMMYFUNCTION("""COMPUTED_VALUE"""),"")</f>
        <v/>
      </c>
      <c r="F46" s="134" t="str">
        <f ca="1">IFERROR(__xludf.DUMMYFUNCTION("""COMPUTED_VALUE"""),"")</f>
        <v/>
      </c>
      <c r="G46" s="134" t="str">
        <f ca="1">IFERROR(__xludf.DUMMYFUNCTION("""COMPUTED_VALUE"""),"")</f>
        <v/>
      </c>
      <c r="H46" s="134" t="str">
        <f ca="1">IFERROR(__xludf.DUMMYFUNCTION("""COMPUTED_VALUE"""),"")</f>
        <v/>
      </c>
      <c r="I46" s="134" t="str">
        <f ca="1">IFERROR(__xludf.DUMMYFUNCTION("""COMPUTED_VALUE"""),"")</f>
        <v/>
      </c>
      <c r="J46" s="134" t="str">
        <f ca="1">IFERROR(__xludf.DUMMYFUNCTION("""COMPUTED_VALUE"""),"")</f>
        <v/>
      </c>
      <c r="N46"/>
    </row>
    <row r="47" spans="1:23">
      <c r="A47" s="134" t="str">
        <f ca="1">IFERROR(__xludf.DUMMYFUNCTION("""COMPUTED_VALUE"""),"")</f>
        <v/>
      </c>
      <c r="B47" s="134" t="str">
        <f ca="1">IFERROR(__xludf.DUMMYFUNCTION("""COMPUTED_VALUE"""),"")</f>
        <v/>
      </c>
      <c r="C47" s="134" t="str">
        <f ca="1">IFERROR(__xludf.DUMMYFUNCTION("""COMPUTED_VALUE"""),"")</f>
        <v/>
      </c>
      <c r="D47" s="134" t="str">
        <f ca="1">IFERROR(__xludf.DUMMYFUNCTION("""COMPUTED_VALUE"""),"")</f>
        <v/>
      </c>
      <c r="E47" s="134" t="str">
        <f ca="1">IFERROR(__xludf.DUMMYFUNCTION("""COMPUTED_VALUE"""),"")</f>
        <v/>
      </c>
      <c r="F47" s="134" t="str">
        <f ca="1">IFERROR(__xludf.DUMMYFUNCTION("""COMPUTED_VALUE"""),"")</f>
        <v/>
      </c>
      <c r="G47" s="134" t="str">
        <f ca="1">IFERROR(__xludf.DUMMYFUNCTION("""COMPUTED_VALUE"""),"")</f>
        <v/>
      </c>
      <c r="H47" s="134" t="str">
        <f ca="1">IFERROR(__xludf.DUMMYFUNCTION("""COMPUTED_VALUE"""),"")</f>
        <v/>
      </c>
      <c r="I47" s="134" t="str">
        <f ca="1">IFERROR(__xludf.DUMMYFUNCTION("""COMPUTED_VALUE"""),"")</f>
        <v/>
      </c>
      <c r="J47" s="134" t="str">
        <f ca="1">IFERROR(__xludf.DUMMYFUNCTION("""COMPUTED_VALUE"""),"")</f>
        <v/>
      </c>
      <c r="N47"/>
    </row>
    <row r="48" spans="1:23">
      <c r="A48" s="134" t="str">
        <f ca="1">IFERROR(__xludf.DUMMYFUNCTION("""COMPUTED_VALUE"""),"")</f>
        <v/>
      </c>
      <c r="B48" s="134" t="str">
        <f ca="1">IFERROR(__xludf.DUMMYFUNCTION("""COMPUTED_VALUE"""),"")</f>
        <v/>
      </c>
      <c r="C48" s="134" t="str">
        <f ca="1">IFERROR(__xludf.DUMMYFUNCTION("""COMPUTED_VALUE"""),"")</f>
        <v/>
      </c>
      <c r="D48" s="134" t="str">
        <f ca="1">IFERROR(__xludf.DUMMYFUNCTION("""COMPUTED_VALUE"""),"")</f>
        <v/>
      </c>
      <c r="E48" s="134" t="str">
        <f ca="1">IFERROR(__xludf.DUMMYFUNCTION("""COMPUTED_VALUE"""),"")</f>
        <v/>
      </c>
      <c r="F48" s="134" t="str">
        <f ca="1">IFERROR(__xludf.DUMMYFUNCTION("""COMPUTED_VALUE"""),"")</f>
        <v/>
      </c>
      <c r="G48" s="134" t="str">
        <f ca="1">IFERROR(__xludf.DUMMYFUNCTION("""COMPUTED_VALUE"""),"")</f>
        <v/>
      </c>
      <c r="H48" s="134" t="str">
        <f ca="1">IFERROR(__xludf.DUMMYFUNCTION("""COMPUTED_VALUE"""),"")</f>
        <v/>
      </c>
      <c r="I48" s="134" t="str">
        <f ca="1">IFERROR(__xludf.DUMMYFUNCTION("""COMPUTED_VALUE"""),"")</f>
        <v/>
      </c>
      <c r="J48" s="134" t="str">
        <f ca="1">IFERROR(__xludf.DUMMYFUNCTION("""COMPUTED_VALUE"""),"")</f>
        <v/>
      </c>
      <c r="N48"/>
    </row>
    <row r="49" spans="1:14">
      <c r="A49" s="134" t="str">
        <f ca="1">IFERROR(__xludf.DUMMYFUNCTION("""COMPUTED_VALUE"""),"")</f>
        <v/>
      </c>
      <c r="B49" s="134" t="str">
        <f ca="1">IFERROR(__xludf.DUMMYFUNCTION("""COMPUTED_VALUE"""),"")</f>
        <v/>
      </c>
      <c r="C49" s="134" t="str">
        <f ca="1">IFERROR(__xludf.DUMMYFUNCTION("""COMPUTED_VALUE"""),"")</f>
        <v/>
      </c>
      <c r="D49" s="134" t="str">
        <f ca="1">IFERROR(__xludf.DUMMYFUNCTION("""COMPUTED_VALUE"""),"")</f>
        <v/>
      </c>
      <c r="E49" s="134" t="str">
        <f ca="1">IFERROR(__xludf.DUMMYFUNCTION("""COMPUTED_VALUE"""),"")</f>
        <v/>
      </c>
      <c r="F49" s="134" t="str">
        <f ca="1">IFERROR(__xludf.DUMMYFUNCTION("""COMPUTED_VALUE"""),"")</f>
        <v/>
      </c>
      <c r="G49" s="134" t="str">
        <f ca="1">IFERROR(__xludf.DUMMYFUNCTION("""COMPUTED_VALUE"""),"")</f>
        <v/>
      </c>
      <c r="H49" s="134" t="str">
        <f ca="1">IFERROR(__xludf.DUMMYFUNCTION("""COMPUTED_VALUE"""),"")</f>
        <v/>
      </c>
      <c r="I49" s="134" t="str">
        <f ca="1">IFERROR(__xludf.DUMMYFUNCTION("""COMPUTED_VALUE"""),"")</f>
        <v/>
      </c>
      <c r="J49" s="134" t="str">
        <f ca="1">IFERROR(__xludf.DUMMYFUNCTION("""COMPUTED_VALUE"""),"")</f>
        <v/>
      </c>
      <c r="N49"/>
    </row>
    <row r="50" spans="1:14">
      <c r="A50" s="134" t="str">
        <f ca="1">IFERROR(__xludf.DUMMYFUNCTION("""COMPUTED_VALUE"""),"")</f>
        <v/>
      </c>
      <c r="B50" s="134" t="str">
        <f ca="1">IFERROR(__xludf.DUMMYFUNCTION("""COMPUTED_VALUE"""),"")</f>
        <v/>
      </c>
      <c r="C50" s="134" t="str">
        <f ca="1">IFERROR(__xludf.DUMMYFUNCTION("""COMPUTED_VALUE"""),"")</f>
        <v/>
      </c>
      <c r="D50" s="134" t="str">
        <f ca="1">IFERROR(__xludf.DUMMYFUNCTION("""COMPUTED_VALUE"""),"")</f>
        <v/>
      </c>
      <c r="E50" s="134" t="str">
        <f ca="1">IFERROR(__xludf.DUMMYFUNCTION("""COMPUTED_VALUE"""),"")</f>
        <v/>
      </c>
      <c r="F50" s="134" t="str">
        <f ca="1">IFERROR(__xludf.DUMMYFUNCTION("""COMPUTED_VALUE"""),"")</f>
        <v/>
      </c>
      <c r="G50" s="134" t="str">
        <f ca="1">IFERROR(__xludf.DUMMYFUNCTION("""COMPUTED_VALUE"""),"")</f>
        <v/>
      </c>
      <c r="H50" s="134" t="str">
        <f ca="1">IFERROR(__xludf.DUMMYFUNCTION("""COMPUTED_VALUE"""),"")</f>
        <v/>
      </c>
      <c r="I50" s="134" t="str">
        <f ca="1">IFERROR(__xludf.DUMMYFUNCTION("""COMPUTED_VALUE"""),"")</f>
        <v/>
      </c>
      <c r="J50" s="134" t="str">
        <f ca="1">IFERROR(__xludf.DUMMYFUNCTION("""COMPUTED_VALUE"""),"")</f>
        <v/>
      </c>
      <c r="N50"/>
    </row>
    <row r="51" spans="1:14">
      <c r="A51" s="134" t="str">
        <f ca="1">IFERROR(__xludf.DUMMYFUNCTION("""COMPUTED_VALUE"""),"")</f>
        <v/>
      </c>
      <c r="B51" s="134" t="str">
        <f ca="1">IFERROR(__xludf.DUMMYFUNCTION("""COMPUTED_VALUE"""),"")</f>
        <v/>
      </c>
      <c r="C51" s="134" t="str">
        <f ca="1">IFERROR(__xludf.DUMMYFUNCTION("""COMPUTED_VALUE"""),"")</f>
        <v/>
      </c>
      <c r="D51" s="134" t="str">
        <f ca="1">IFERROR(__xludf.DUMMYFUNCTION("""COMPUTED_VALUE"""),"")</f>
        <v/>
      </c>
      <c r="E51" s="134" t="str">
        <f ca="1">IFERROR(__xludf.DUMMYFUNCTION("""COMPUTED_VALUE"""),"")</f>
        <v/>
      </c>
      <c r="F51" s="134" t="str">
        <f ca="1">IFERROR(__xludf.DUMMYFUNCTION("""COMPUTED_VALUE"""),"")</f>
        <v/>
      </c>
      <c r="G51" s="134" t="str">
        <f ca="1">IFERROR(__xludf.DUMMYFUNCTION("""COMPUTED_VALUE"""),"")</f>
        <v/>
      </c>
      <c r="H51" s="134" t="str">
        <f ca="1">IFERROR(__xludf.DUMMYFUNCTION("""COMPUTED_VALUE"""),"")</f>
        <v/>
      </c>
      <c r="I51" s="134" t="str">
        <f ca="1">IFERROR(__xludf.DUMMYFUNCTION("""COMPUTED_VALUE"""),"")</f>
        <v/>
      </c>
      <c r="J51" s="134" t="str">
        <f ca="1">IFERROR(__xludf.DUMMYFUNCTION("""COMPUTED_VALUE"""),"")</f>
        <v/>
      </c>
      <c r="L51" s="137"/>
      <c r="M51" s="137"/>
      <c r="N51"/>
    </row>
    <row r="52" spans="1:14">
      <c r="A52" s="134" t="str">
        <f ca="1">IFERROR(__xludf.DUMMYFUNCTION("""COMPUTED_VALUE"""),"")</f>
        <v/>
      </c>
      <c r="B52" s="134" t="str">
        <f ca="1">IFERROR(__xludf.DUMMYFUNCTION("""COMPUTED_VALUE"""),"")</f>
        <v/>
      </c>
      <c r="C52" s="134" t="str">
        <f ca="1">IFERROR(__xludf.DUMMYFUNCTION("""COMPUTED_VALUE"""),"")</f>
        <v/>
      </c>
      <c r="D52" s="134" t="str">
        <f ca="1">IFERROR(__xludf.DUMMYFUNCTION("""COMPUTED_VALUE"""),"")</f>
        <v/>
      </c>
      <c r="E52" s="134" t="str">
        <f ca="1">IFERROR(__xludf.DUMMYFUNCTION("""COMPUTED_VALUE"""),"")</f>
        <v/>
      </c>
      <c r="F52" s="134" t="str">
        <f ca="1">IFERROR(__xludf.DUMMYFUNCTION("""COMPUTED_VALUE"""),"")</f>
        <v/>
      </c>
      <c r="G52" s="134" t="str">
        <f ca="1">IFERROR(__xludf.DUMMYFUNCTION("""COMPUTED_VALUE"""),"")</f>
        <v/>
      </c>
      <c r="H52" s="134" t="str">
        <f ca="1">IFERROR(__xludf.DUMMYFUNCTION("""COMPUTED_VALUE"""),"")</f>
        <v/>
      </c>
      <c r="I52" s="134" t="str">
        <f ca="1">IFERROR(__xludf.DUMMYFUNCTION("""COMPUTED_VALUE"""),"")</f>
        <v/>
      </c>
      <c r="J52" s="134" t="str">
        <f ca="1">IFERROR(__xludf.DUMMYFUNCTION("""COMPUTED_VALUE"""),"")</f>
        <v/>
      </c>
      <c r="L52" s="135"/>
      <c r="M52" s="135"/>
      <c r="N52"/>
    </row>
    <row r="53" spans="1:14">
      <c r="A53" s="134" t="str">
        <f ca="1">IFERROR(__xludf.DUMMYFUNCTION("""COMPUTED_VALUE"""),"")</f>
        <v/>
      </c>
      <c r="B53" s="134" t="str">
        <f ca="1">IFERROR(__xludf.DUMMYFUNCTION("""COMPUTED_VALUE"""),"")</f>
        <v/>
      </c>
      <c r="C53" s="134" t="str">
        <f ca="1">IFERROR(__xludf.DUMMYFUNCTION("""COMPUTED_VALUE"""),"")</f>
        <v/>
      </c>
      <c r="D53" s="134" t="str">
        <f ca="1">IFERROR(__xludf.DUMMYFUNCTION("""COMPUTED_VALUE"""),"")</f>
        <v/>
      </c>
      <c r="E53" s="134" t="str">
        <f ca="1">IFERROR(__xludf.DUMMYFUNCTION("""COMPUTED_VALUE"""),"")</f>
        <v/>
      </c>
      <c r="F53" s="134" t="str">
        <f ca="1">IFERROR(__xludf.DUMMYFUNCTION("""COMPUTED_VALUE"""),"")</f>
        <v/>
      </c>
      <c r="G53" s="134" t="str">
        <f ca="1">IFERROR(__xludf.DUMMYFUNCTION("""COMPUTED_VALUE"""),"")</f>
        <v/>
      </c>
      <c r="H53" s="134" t="str">
        <f ca="1">IFERROR(__xludf.DUMMYFUNCTION("""COMPUTED_VALUE"""),"")</f>
        <v/>
      </c>
      <c r="I53" s="134" t="str">
        <f ca="1">IFERROR(__xludf.DUMMYFUNCTION("""COMPUTED_VALUE"""),"")</f>
        <v/>
      </c>
      <c r="J53" s="134" t="str">
        <f ca="1">IFERROR(__xludf.DUMMYFUNCTION("""COMPUTED_VALUE"""),"")</f>
        <v/>
      </c>
      <c r="L53" s="135"/>
      <c r="M53" s="135"/>
      <c r="N53"/>
    </row>
    <row r="54" spans="1:14">
      <c r="A54" s="134" t="str">
        <f ca="1">IFERROR(__xludf.DUMMYFUNCTION("""COMPUTED_VALUE"""),"")</f>
        <v/>
      </c>
      <c r="B54" s="134" t="str">
        <f ca="1">IFERROR(__xludf.DUMMYFUNCTION("""COMPUTED_VALUE"""),"")</f>
        <v/>
      </c>
      <c r="C54" s="134" t="str">
        <f ca="1">IFERROR(__xludf.DUMMYFUNCTION("""COMPUTED_VALUE"""),"")</f>
        <v/>
      </c>
      <c r="D54" s="134" t="str">
        <f ca="1">IFERROR(__xludf.DUMMYFUNCTION("""COMPUTED_VALUE"""),"")</f>
        <v/>
      </c>
      <c r="E54" s="134" t="str">
        <f ca="1">IFERROR(__xludf.DUMMYFUNCTION("""COMPUTED_VALUE"""),"")</f>
        <v/>
      </c>
      <c r="F54" s="134" t="str">
        <f ca="1">IFERROR(__xludf.DUMMYFUNCTION("""COMPUTED_VALUE"""),"")</f>
        <v/>
      </c>
      <c r="G54" s="134" t="str">
        <f ca="1">IFERROR(__xludf.DUMMYFUNCTION("""COMPUTED_VALUE"""),"")</f>
        <v/>
      </c>
      <c r="H54" s="134" t="str">
        <f ca="1">IFERROR(__xludf.DUMMYFUNCTION("""COMPUTED_VALUE"""),"")</f>
        <v/>
      </c>
      <c r="I54" s="134" t="str">
        <f ca="1">IFERROR(__xludf.DUMMYFUNCTION("""COMPUTED_VALUE"""),"")</f>
        <v/>
      </c>
      <c r="J54" s="134" t="str">
        <f ca="1">IFERROR(__xludf.DUMMYFUNCTION("""COMPUTED_VALUE"""),"")</f>
        <v/>
      </c>
      <c r="N54"/>
    </row>
    <row r="55" spans="1:14">
      <c r="A55" s="134" t="str">
        <f ca="1">IFERROR(__xludf.DUMMYFUNCTION("""COMPUTED_VALUE"""),"")</f>
        <v/>
      </c>
      <c r="B55" s="134" t="str">
        <f ca="1">IFERROR(__xludf.DUMMYFUNCTION("""COMPUTED_VALUE"""),"")</f>
        <v/>
      </c>
      <c r="C55" s="134" t="str">
        <f ca="1">IFERROR(__xludf.DUMMYFUNCTION("""COMPUTED_VALUE"""),"")</f>
        <v/>
      </c>
      <c r="D55" s="134" t="str">
        <f ca="1">IFERROR(__xludf.DUMMYFUNCTION("""COMPUTED_VALUE"""),"")</f>
        <v/>
      </c>
      <c r="E55" s="134" t="str">
        <f ca="1">IFERROR(__xludf.DUMMYFUNCTION("""COMPUTED_VALUE"""),"")</f>
        <v/>
      </c>
      <c r="F55" s="134" t="str">
        <f ca="1">IFERROR(__xludf.DUMMYFUNCTION("""COMPUTED_VALUE"""),"")</f>
        <v/>
      </c>
      <c r="G55" s="134" t="str">
        <f ca="1">IFERROR(__xludf.DUMMYFUNCTION("""COMPUTED_VALUE"""),"")</f>
        <v/>
      </c>
      <c r="H55" s="134" t="str">
        <f ca="1">IFERROR(__xludf.DUMMYFUNCTION("""COMPUTED_VALUE"""),"")</f>
        <v/>
      </c>
      <c r="I55" s="134" t="str">
        <f ca="1">IFERROR(__xludf.DUMMYFUNCTION("""COMPUTED_VALUE"""),"")</f>
        <v/>
      </c>
      <c r="J55" s="134" t="str">
        <f ca="1">IFERROR(__xludf.DUMMYFUNCTION("""COMPUTED_VALUE"""),"")</f>
        <v/>
      </c>
      <c r="K55" s="135"/>
      <c r="N55"/>
    </row>
    <row r="56" spans="1:14">
      <c r="A56" s="134" t="str">
        <f ca="1">IFERROR(__xludf.DUMMYFUNCTION("""COMPUTED_VALUE"""),"")</f>
        <v/>
      </c>
      <c r="B56" s="134" t="str">
        <f ca="1">IFERROR(__xludf.DUMMYFUNCTION("""COMPUTED_VALUE"""),"")</f>
        <v/>
      </c>
      <c r="C56" s="134" t="str">
        <f ca="1">IFERROR(__xludf.DUMMYFUNCTION("""COMPUTED_VALUE"""),"")</f>
        <v/>
      </c>
      <c r="D56" s="134" t="str">
        <f ca="1">IFERROR(__xludf.DUMMYFUNCTION("""COMPUTED_VALUE"""),"")</f>
        <v/>
      </c>
      <c r="E56" s="134" t="str">
        <f ca="1">IFERROR(__xludf.DUMMYFUNCTION("""COMPUTED_VALUE"""),"")</f>
        <v/>
      </c>
      <c r="F56" s="134" t="str">
        <f ca="1">IFERROR(__xludf.DUMMYFUNCTION("""COMPUTED_VALUE"""),"")</f>
        <v/>
      </c>
      <c r="G56" s="134" t="str">
        <f ca="1">IFERROR(__xludf.DUMMYFUNCTION("""COMPUTED_VALUE"""),"")</f>
        <v/>
      </c>
      <c r="H56" s="134" t="str">
        <f ca="1">IFERROR(__xludf.DUMMYFUNCTION("""COMPUTED_VALUE"""),"")</f>
        <v/>
      </c>
      <c r="I56" s="134" t="str">
        <f ca="1">IFERROR(__xludf.DUMMYFUNCTION("""COMPUTED_VALUE"""),"")</f>
        <v/>
      </c>
      <c r="J56" s="134" t="str">
        <f ca="1">IFERROR(__xludf.DUMMYFUNCTION("""COMPUTED_VALUE"""),"")</f>
        <v/>
      </c>
      <c r="K56" s="135"/>
      <c r="L56" s="135"/>
      <c r="M56" s="135"/>
      <c r="N56"/>
    </row>
    <row r="57" spans="1:14">
      <c r="A57" s="134" t="str">
        <f ca="1">IFERROR(__xludf.DUMMYFUNCTION("""COMPUTED_VALUE"""),"")</f>
        <v/>
      </c>
      <c r="B57" s="134" t="str">
        <f ca="1">IFERROR(__xludf.DUMMYFUNCTION("""COMPUTED_VALUE"""),"")</f>
        <v/>
      </c>
      <c r="C57" s="134" t="str">
        <f ca="1">IFERROR(__xludf.DUMMYFUNCTION("""COMPUTED_VALUE"""),"")</f>
        <v/>
      </c>
      <c r="D57" s="134" t="str">
        <f ca="1">IFERROR(__xludf.DUMMYFUNCTION("""COMPUTED_VALUE"""),"")</f>
        <v/>
      </c>
      <c r="E57" s="134" t="str">
        <f ca="1">IFERROR(__xludf.DUMMYFUNCTION("""COMPUTED_VALUE"""),"")</f>
        <v/>
      </c>
      <c r="F57" s="134" t="str">
        <f ca="1">IFERROR(__xludf.DUMMYFUNCTION("""COMPUTED_VALUE"""),"")</f>
        <v/>
      </c>
      <c r="G57" s="134" t="str">
        <f ca="1">IFERROR(__xludf.DUMMYFUNCTION("""COMPUTED_VALUE"""),"")</f>
        <v/>
      </c>
      <c r="H57" s="134" t="str">
        <f ca="1">IFERROR(__xludf.DUMMYFUNCTION("""COMPUTED_VALUE"""),"")</f>
        <v/>
      </c>
      <c r="I57" s="134" t="str">
        <f ca="1">IFERROR(__xludf.DUMMYFUNCTION("""COMPUTED_VALUE"""),"")</f>
        <v/>
      </c>
      <c r="J57" s="134" t="str">
        <f ca="1">IFERROR(__xludf.DUMMYFUNCTION("""COMPUTED_VALUE"""),"")</f>
        <v/>
      </c>
      <c r="N57"/>
    </row>
    <row r="58" spans="1:14">
      <c r="A58" s="134" t="str">
        <f ca="1">IFERROR(__xludf.DUMMYFUNCTION("""COMPUTED_VALUE"""),"")</f>
        <v/>
      </c>
      <c r="B58" s="134" t="str">
        <f ca="1">IFERROR(__xludf.DUMMYFUNCTION("""COMPUTED_VALUE"""),"")</f>
        <v/>
      </c>
      <c r="C58" s="134" t="str">
        <f ca="1">IFERROR(__xludf.DUMMYFUNCTION("""COMPUTED_VALUE"""),"")</f>
        <v/>
      </c>
      <c r="D58" s="134" t="str">
        <f ca="1">IFERROR(__xludf.DUMMYFUNCTION("""COMPUTED_VALUE"""),"")</f>
        <v/>
      </c>
      <c r="E58" s="134" t="str">
        <f ca="1">IFERROR(__xludf.DUMMYFUNCTION("""COMPUTED_VALUE"""),"")</f>
        <v/>
      </c>
      <c r="F58" s="134" t="str">
        <f ca="1">IFERROR(__xludf.DUMMYFUNCTION("""COMPUTED_VALUE"""),"")</f>
        <v/>
      </c>
      <c r="G58" s="134" t="str">
        <f ca="1">IFERROR(__xludf.DUMMYFUNCTION("""COMPUTED_VALUE"""),"")</f>
        <v/>
      </c>
      <c r="H58" s="134" t="str">
        <f ca="1">IFERROR(__xludf.DUMMYFUNCTION("""COMPUTED_VALUE"""),"")</f>
        <v/>
      </c>
      <c r="I58" s="134" t="str">
        <f ca="1">IFERROR(__xludf.DUMMYFUNCTION("""COMPUTED_VALUE"""),"")</f>
        <v/>
      </c>
      <c r="J58" s="134" t="str">
        <f ca="1">IFERROR(__xludf.DUMMYFUNCTION("""COMPUTED_VALUE"""),"")</f>
        <v/>
      </c>
      <c r="N58"/>
    </row>
    <row r="59" spans="1:14">
      <c r="A59" s="134" t="str">
        <f ca="1">IFERROR(__xludf.DUMMYFUNCTION("""COMPUTED_VALUE"""),"")</f>
        <v/>
      </c>
      <c r="B59" s="134" t="str">
        <f ca="1">IFERROR(__xludf.DUMMYFUNCTION("""COMPUTED_VALUE"""),"")</f>
        <v/>
      </c>
      <c r="C59" s="134" t="str">
        <f ca="1">IFERROR(__xludf.DUMMYFUNCTION("""COMPUTED_VALUE"""),"")</f>
        <v/>
      </c>
      <c r="D59" s="134" t="str">
        <f ca="1">IFERROR(__xludf.DUMMYFUNCTION("""COMPUTED_VALUE"""),"")</f>
        <v/>
      </c>
      <c r="E59" s="134" t="str">
        <f ca="1">IFERROR(__xludf.DUMMYFUNCTION("""COMPUTED_VALUE"""),"")</f>
        <v/>
      </c>
      <c r="F59" s="134" t="str">
        <f ca="1">IFERROR(__xludf.DUMMYFUNCTION("""COMPUTED_VALUE"""),"")</f>
        <v/>
      </c>
      <c r="G59" s="134" t="str">
        <f ca="1">IFERROR(__xludf.DUMMYFUNCTION("""COMPUTED_VALUE"""),"")</f>
        <v/>
      </c>
      <c r="H59" s="134" t="str">
        <f ca="1">IFERROR(__xludf.DUMMYFUNCTION("""COMPUTED_VALUE"""),"")</f>
        <v/>
      </c>
      <c r="I59" s="134" t="str">
        <f ca="1">IFERROR(__xludf.DUMMYFUNCTION("""COMPUTED_VALUE"""),"")</f>
        <v/>
      </c>
      <c r="J59" s="134" t="str">
        <f ca="1">IFERROR(__xludf.DUMMYFUNCTION("""COMPUTED_VALUE"""),"")</f>
        <v/>
      </c>
      <c r="L59" s="137"/>
      <c r="M59" s="137"/>
      <c r="N59"/>
    </row>
    <row r="60" spans="1:14">
      <c r="A60" s="134" t="str">
        <f ca="1">IFERROR(__xludf.DUMMYFUNCTION("""COMPUTED_VALUE"""),"")</f>
        <v/>
      </c>
      <c r="B60" s="134" t="str">
        <f ca="1">IFERROR(__xludf.DUMMYFUNCTION("""COMPUTED_VALUE"""),"")</f>
        <v/>
      </c>
      <c r="C60" s="134" t="str">
        <f ca="1">IFERROR(__xludf.DUMMYFUNCTION("""COMPUTED_VALUE"""),"")</f>
        <v/>
      </c>
      <c r="D60" s="134" t="str">
        <f ca="1">IFERROR(__xludf.DUMMYFUNCTION("""COMPUTED_VALUE"""),"")</f>
        <v/>
      </c>
      <c r="E60" s="134" t="str">
        <f ca="1">IFERROR(__xludf.DUMMYFUNCTION("""COMPUTED_VALUE"""),"")</f>
        <v/>
      </c>
      <c r="F60" s="134" t="str">
        <f ca="1">IFERROR(__xludf.DUMMYFUNCTION("""COMPUTED_VALUE"""),"")</f>
        <v/>
      </c>
      <c r="G60" s="134" t="str">
        <f ca="1">IFERROR(__xludf.DUMMYFUNCTION("""COMPUTED_VALUE"""),"")</f>
        <v/>
      </c>
      <c r="H60" s="134" t="str">
        <f ca="1">IFERROR(__xludf.DUMMYFUNCTION("""COMPUTED_VALUE"""),"")</f>
        <v/>
      </c>
      <c r="I60" s="134" t="str">
        <f ca="1">IFERROR(__xludf.DUMMYFUNCTION("""COMPUTED_VALUE"""),"")</f>
        <v/>
      </c>
      <c r="J60" s="134" t="str">
        <f ca="1">IFERROR(__xludf.DUMMYFUNCTION("""COMPUTED_VALUE"""),"")</f>
        <v/>
      </c>
      <c r="L60" s="135"/>
      <c r="M60" s="135"/>
      <c r="N60"/>
    </row>
    <row r="61" spans="1:14">
      <c r="A61" s="134" t="str">
        <f ca="1">IFERROR(__xludf.DUMMYFUNCTION("""COMPUTED_VALUE"""),"")</f>
        <v/>
      </c>
      <c r="B61" s="134" t="str">
        <f ca="1">IFERROR(__xludf.DUMMYFUNCTION("""COMPUTED_VALUE"""),"")</f>
        <v/>
      </c>
      <c r="C61" s="134" t="str">
        <f ca="1">IFERROR(__xludf.DUMMYFUNCTION("""COMPUTED_VALUE"""),"")</f>
        <v/>
      </c>
      <c r="D61" s="134" t="str">
        <f ca="1">IFERROR(__xludf.DUMMYFUNCTION("""COMPUTED_VALUE"""),"")</f>
        <v/>
      </c>
      <c r="E61" s="134" t="str">
        <f ca="1">IFERROR(__xludf.DUMMYFUNCTION("""COMPUTED_VALUE"""),"")</f>
        <v/>
      </c>
      <c r="F61" s="134" t="str">
        <f ca="1">IFERROR(__xludf.DUMMYFUNCTION("""COMPUTED_VALUE"""),"")</f>
        <v/>
      </c>
      <c r="G61" s="134" t="str">
        <f ca="1">IFERROR(__xludf.DUMMYFUNCTION("""COMPUTED_VALUE"""),"")</f>
        <v/>
      </c>
      <c r="H61" s="134" t="str">
        <f ca="1">IFERROR(__xludf.DUMMYFUNCTION("""COMPUTED_VALUE"""),"")</f>
        <v/>
      </c>
      <c r="I61" s="134" t="str">
        <f ca="1">IFERROR(__xludf.DUMMYFUNCTION("""COMPUTED_VALUE"""),"")</f>
        <v/>
      </c>
      <c r="J61" s="134" t="str">
        <f ca="1">IFERROR(__xludf.DUMMYFUNCTION("""COMPUTED_VALUE"""),"")</f>
        <v/>
      </c>
      <c r="L61" s="135"/>
      <c r="M61" s="135"/>
      <c r="N61"/>
    </row>
    <row r="62" spans="1:14">
      <c r="A62" s="134" t="str">
        <f ca="1">IFERROR(__xludf.DUMMYFUNCTION("""COMPUTED_VALUE"""),"")</f>
        <v/>
      </c>
      <c r="B62" s="134" t="str">
        <f ca="1">IFERROR(__xludf.DUMMYFUNCTION("""COMPUTED_VALUE"""),"")</f>
        <v/>
      </c>
      <c r="C62" s="134" t="str">
        <f ca="1">IFERROR(__xludf.DUMMYFUNCTION("""COMPUTED_VALUE"""),"")</f>
        <v/>
      </c>
      <c r="D62" s="134" t="str">
        <f ca="1">IFERROR(__xludf.DUMMYFUNCTION("""COMPUTED_VALUE"""),"")</f>
        <v/>
      </c>
      <c r="E62" s="134" t="str">
        <f ca="1">IFERROR(__xludf.DUMMYFUNCTION("""COMPUTED_VALUE"""),"")</f>
        <v/>
      </c>
      <c r="F62" s="134" t="str">
        <f ca="1">IFERROR(__xludf.DUMMYFUNCTION("""COMPUTED_VALUE"""),"")</f>
        <v/>
      </c>
      <c r="G62" s="134" t="str">
        <f ca="1">IFERROR(__xludf.DUMMYFUNCTION("""COMPUTED_VALUE"""),"")</f>
        <v/>
      </c>
      <c r="H62" s="134" t="str">
        <f ca="1">IFERROR(__xludf.DUMMYFUNCTION("""COMPUTED_VALUE"""),"")</f>
        <v/>
      </c>
      <c r="I62" s="134" t="str">
        <f ca="1">IFERROR(__xludf.DUMMYFUNCTION("""COMPUTED_VALUE"""),"")</f>
        <v/>
      </c>
      <c r="J62" s="134" t="str">
        <f ca="1">IFERROR(__xludf.DUMMYFUNCTION("""COMPUTED_VALUE"""),"")</f>
        <v/>
      </c>
      <c r="N62"/>
    </row>
    <row r="63" spans="1:14">
      <c r="A63" s="134" t="str">
        <f ca="1">IFERROR(__xludf.DUMMYFUNCTION("""COMPUTED_VALUE"""),"")</f>
        <v/>
      </c>
      <c r="B63" s="134" t="str">
        <f ca="1">IFERROR(__xludf.DUMMYFUNCTION("""COMPUTED_VALUE"""),"")</f>
        <v/>
      </c>
      <c r="C63" s="134" t="str">
        <f ca="1">IFERROR(__xludf.DUMMYFUNCTION("""COMPUTED_VALUE"""),"")</f>
        <v/>
      </c>
      <c r="D63" s="134" t="str">
        <f ca="1">IFERROR(__xludf.DUMMYFUNCTION("""COMPUTED_VALUE"""),"")</f>
        <v/>
      </c>
      <c r="E63" s="134" t="str">
        <f ca="1">IFERROR(__xludf.DUMMYFUNCTION("""COMPUTED_VALUE"""),"")</f>
        <v/>
      </c>
      <c r="F63" s="134" t="str">
        <f ca="1">IFERROR(__xludf.DUMMYFUNCTION("""COMPUTED_VALUE"""),"")</f>
        <v/>
      </c>
      <c r="G63" s="134" t="str">
        <f ca="1">IFERROR(__xludf.DUMMYFUNCTION("""COMPUTED_VALUE"""),"")</f>
        <v/>
      </c>
      <c r="H63" s="134" t="str">
        <f ca="1">IFERROR(__xludf.DUMMYFUNCTION("""COMPUTED_VALUE"""),"")</f>
        <v/>
      </c>
      <c r="I63" s="134" t="str">
        <f ca="1">IFERROR(__xludf.DUMMYFUNCTION("""COMPUTED_VALUE"""),"")</f>
        <v/>
      </c>
      <c r="J63" s="134" t="str">
        <f ca="1">IFERROR(__xludf.DUMMYFUNCTION("""COMPUTED_VALUE"""),"")</f>
        <v/>
      </c>
      <c r="N63"/>
    </row>
    <row r="64" spans="1:14">
      <c r="A64" s="134" t="str">
        <f ca="1">IFERROR(__xludf.DUMMYFUNCTION("""COMPUTED_VALUE"""),"")</f>
        <v/>
      </c>
      <c r="B64" s="134" t="str">
        <f ca="1">IFERROR(__xludf.DUMMYFUNCTION("""COMPUTED_VALUE"""),"")</f>
        <v/>
      </c>
      <c r="C64" s="134" t="str">
        <f ca="1">IFERROR(__xludf.DUMMYFUNCTION("""COMPUTED_VALUE"""),"")</f>
        <v/>
      </c>
      <c r="D64" s="134" t="str">
        <f ca="1">IFERROR(__xludf.DUMMYFUNCTION("""COMPUTED_VALUE"""),"")</f>
        <v/>
      </c>
      <c r="E64" s="134" t="str">
        <f ca="1">IFERROR(__xludf.DUMMYFUNCTION("""COMPUTED_VALUE"""),"")</f>
        <v/>
      </c>
      <c r="F64" s="134" t="str">
        <f ca="1">IFERROR(__xludf.DUMMYFUNCTION("""COMPUTED_VALUE"""),"")</f>
        <v/>
      </c>
      <c r="G64" s="134" t="str">
        <f ca="1">IFERROR(__xludf.DUMMYFUNCTION("""COMPUTED_VALUE"""),"")</f>
        <v/>
      </c>
      <c r="H64" s="134" t="str">
        <f ca="1">IFERROR(__xludf.DUMMYFUNCTION("""COMPUTED_VALUE"""),"")</f>
        <v/>
      </c>
      <c r="I64" s="134" t="str">
        <f ca="1">IFERROR(__xludf.DUMMYFUNCTION("""COMPUTED_VALUE"""),"")</f>
        <v/>
      </c>
      <c r="J64" s="134" t="str">
        <f ca="1">IFERROR(__xludf.DUMMYFUNCTION("""COMPUTED_VALUE"""),"")</f>
        <v/>
      </c>
      <c r="N64"/>
    </row>
    <row r="65" spans="1:14">
      <c r="A65" s="134" t="str">
        <f ca="1">IFERROR(__xludf.DUMMYFUNCTION("""COMPUTED_VALUE"""),"")</f>
        <v/>
      </c>
      <c r="B65" s="134" t="str">
        <f ca="1">IFERROR(__xludf.DUMMYFUNCTION("""COMPUTED_VALUE"""),"")</f>
        <v/>
      </c>
      <c r="C65" s="134" t="str">
        <f ca="1">IFERROR(__xludf.DUMMYFUNCTION("""COMPUTED_VALUE"""),"")</f>
        <v/>
      </c>
      <c r="D65" s="134" t="str">
        <f ca="1">IFERROR(__xludf.DUMMYFUNCTION("""COMPUTED_VALUE"""),"")</f>
        <v/>
      </c>
      <c r="E65" s="134" t="str">
        <f ca="1">IFERROR(__xludf.DUMMYFUNCTION("""COMPUTED_VALUE"""),"")</f>
        <v/>
      </c>
      <c r="F65" s="134" t="str">
        <f ca="1">IFERROR(__xludf.DUMMYFUNCTION("""COMPUTED_VALUE"""),"")</f>
        <v/>
      </c>
      <c r="G65" s="134" t="str">
        <f ca="1">IFERROR(__xludf.DUMMYFUNCTION("""COMPUTED_VALUE"""),"")</f>
        <v/>
      </c>
      <c r="H65" s="134" t="str">
        <f ca="1">IFERROR(__xludf.DUMMYFUNCTION("""COMPUTED_VALUE"""),"")</f>
        <v/>
      </c>
      <c r="I65" s="134" t="str">
        <f ca="1">IFERROR(__xludf.DUMMYFUNCTION("""COMPUTED_VALUE"""),"")</f>
        <v/>
      </c>
      <c r="J65" s="134" t="str">
        <f ca="1">IFERROR(__xludf.DUMMYFUNCTION("""COMPUTED_VALUE"""),"")</f>
        <v/>
      </c>
      <c r="N65"/>
    </row>
    <row r="66" spans="1:14">
      <c r="A66" s="134" t="str">
        <f ca="1">IFERROR(__xludf.DUMMYFUNCTION("""COMPUTED_VALUE"""),"")</f>
        <v/>
      </c>
      <c r="B66" s="134" t="str">
        <f ca="1">IFERROR(__xludf.DUMMYFUNCTION("""COMPUTED_VALUE"""),"")</f>
        <v/>
      </c>
      <c r="C66" s="134" t="str">
        <f ca="1">IFERROR(__xludf.DUMMYFUNCTION("""COMPUTED_VALUE"""),"")</f>
        <v/>
      </c>
      <c r="D66" s="134" t="str">
        <f ca="1">IFERROR(__xludf.DUMMYFUNCTION("""COMPUTED_VALUE"""),"")</f>
        <v/>
      </c>
      <c r="E66" s="134" t="str">
        <f ca="1">IFERROR(__xludf.DUMMYFUNCTION("""COMPUTED_VALUE"""),"")</f>
        <v/>
      </c>
      <c r="F66" s="134" t="str">
        <f ca="1">IFERROR(__xludf.DUMMYFUNCTION("""COMPUTED_VALUE"""),"")</f>
        <v/>
      </c>
      <c r="G66" s="134" t="str">
        <f ca="1">IFERROR(__xludf.DUMMYFUNCTION("""COMPUTED_VALUE"""),"")</f>
        <v/>
      </c>
      <c r="H66" s="134" t="str">
        <f ca="1">IFERROR(__xludf.DUMMYFUNCTION("""COMPUTED_VALUE"""),"")</f>
        <v/>
      </c>
      <c r="I66" s="134" t="str">
        <f ca="1">IFERROR(__xludf.DUMMYFUNCTION("""COMPUTED_VALUE"""),"")</f>
        <v/>
      </c>
      <c r="J66" s="134" t="str">
        <f ca="1">IFERROR(__xludf.DUMMYFUNCTION("""COMPUTED_VALUE"""),"")</f>
        <v/>
      </c>
      <c r="N66"/>
    </row>
    <row r="67" spans="1:14">
      <c r="A67" s="134" t="str">
        <f ca="1">IFERROR(__xludf.DUMMYFUNCTION("""COMPUTED_VALUE"""),"")</f>
        <v/>
      </c>
      <c r="B67" s="134" t="str">
        <f ca="1">IFERROR(__xludf.DUMMYFUNCTION("""COMPUTED_VALUE"""),"")</f>
        <v/>
      </c>
      <c r="C67" s="134" t="str">
        <f ca="1">IFERROR(__xludf.DUMMYFUNCTION("""COMPUTED_VALUE"""),"")</f>
        <v/>
      </c>
      <c r="D67" s="134" t="str">
        <f ca="1">IFERROR(__xludf.DUMMYFUNCTION("""COMPUTED_VALUE"""),"")</f>
        <v/>
      </c>
      <c r="E67" s="134" t="str">
        <f ca="1">IFERROR(__xludf.DUMMYFUNCTION("""COMPUTED_VALUE"""),"")</f>
        <v/>
      </c>
      <c r="F67" s="134" t="str">
        <f ca="1">IFERROR(__xludf.DUMMYFUNCTION("""COMPUTED_VALUE"""),"")</f>
        <v/>
      </c>
      <c r="G67" s="134" t="str">
        <f ca="1">IFERROR(__xludf.DUMMYFUNCTION("""COMPUTED_VALUE"""),"")</f>
        <v/>
      </c>
      <c r="H67" s="134" t="str">
        <f ca="1">IFERROR(__xludf.DUMMYFUNCTION("""COMPUTED_VALUE"""),"")</f>
        <v/>
      </c>
      <c r="I67" s="134" t="str">
        <f ca="1">IFERROR(__xludf.DUMMYFUNCTION("""COMPUTED_VALUE"""),"")</f>
        <v/>
      </c>
      <c r="J67" s="134" t="str">
        <f ca="1">IFERROR(__xludf.DUMMYFUNCTION("""COMPUTED_VALUE"""),"")</f>
        <v/>
      </c>
      <c r="L67" s="137"/>
      <c r="M67" s="137"/>
      <c r="N67"/>
    </row>
    <row r="68" spans="1:14">
      <c r="A68" s="134" t="str">
        <f ca="1">IFERROR(__xludf.DUMMYFUNCTION("""COMPUTED_VALUE"""),"")</f>
        <v/>
      </c>
      <c r="B68" s="134" t="str">
        <f ca="1">IFERROR(__xludf.DUMMYFUNCTION("""COMPUTED_VALUE"""),"")</f>
        <v/>
      </c>
      <c r="C68" s="134" t="str">
        <f ca="1">IFERROR(__xludf.DUMMYFUNCTION("""COMPUTED_VALUE"""),"")</f>
        <v/>
      </c>
      <c r="D68" s="134" t="str">
        <f ca="1">IFERROR(__xludf.DUMMYFUNCTION("""COMPUTED_VALUE"""),"")</f>
        <v/>
      </c>
      <c r="E68" s="134" t="str">
        <f ca="1">IFERROR(__xludf.DUMMYFUNCTION("""COMPUTED_VALUE"""),"")</f>
        <v/>
      </c>
      <c r="F68" s="134" t="str">
        <f ca="1">IFERROR(__xludf.DUMMYFUNCTION("""COMPUTED_VALUE"""),"")</f>
        <v/>
      </c>
      <c r="G68" s="134" t="str">
        <f ca="1">IFERROR(__xludf.DUMMYFUNCTION("""COMPUTED_VALUE"""),"")</f>
        <v/>
      </c>
      <c r="H68" s="134" t="str">
        <f ca="1">IFERROR(__xludf.DUMMYFUNCTION("""COMPUTED_VALUE"""),"")</f>
        <v/>
      </c>
      <c r="I68" s="134" t="str">
        <f ca="1">IFERROR(__xludf.DUMMYFUNCTION("""COMPUTED_VALUE"""),"")</f>
        <v/>
      </c>
      <c r="J68" s="134" t="str">
        <f ca="1">IFERROR(__xludf.DUMMYFUNCTION("""COMPUTED_VALUE"""),"")</f>
        <v/>
      </c>
      <c r="L68" s="135"/>
      <c r="M68" s="135"/>
      <c r="N68"/>
    </row>
    <row r="69" spans="1:14">
      <c r="A69" s="134" t="str">
        <f ca="1">IFERROR(__xludf.DUMMYFUNCTION("""COMPUTED_VALUE"""),"")</f>
        <v/>
      </c>
      <c r="B69" s="134" t="str">
        <f ca="1">IFERROR(__xludf.DUMMYFUNCTION("""COMPUTED_VALUE"""),"")</f>
        <v/>
      </c>
      <c r="C69" s="134" t="str">
        <f ca="1">IFERROR(__xludf.DUMMYFUNCTION("""COMPUTED_VALUE"""),"")</f>
        <v/>
      </c>
      <c r="D69" s="134" t="str">
        <f ca="1">IFERROR(__xludf.DUMMYFUNCTION("""COMPUTED_VALUE"""),"")</f>
        <v/>
      </c>
      <c r="E69" s="134" t="str">
        <f ca="1">IFERROR(__xludf.DUMMYFUNCTION("""COMPUTED_VALUE"""),"")</f>
        <v/>
      </c>
      <c r="F69" s="134" t="str">
        <f ca="1">IFERROR(__xludf.DUMMYFUNCTION("""COMPUTED_VALUE"""),"")</f>
        <v/>
      </c>
      <c r="G69" s="134" t="str">
        <f ca="1">IFERROR(__xludf.DUMMYFUNCTION("""COMPUTED_VALUE"""),"")</f>
        <v/>
      </c>
      <c r="H69" s="134" t="str">
        <f ca="1">IFERROR(__xludf.DUMMYFUNCTION("""COMPUTED_VALUE"""),"")</f>
        <v/>
      </c>
      <c r="I69" s="134" t="str">
        <f ca="1">IFERROR(__xludf.DUMMYFUNCTION("""COMPUTED_VALUE"""),"")</f>
        <v/>
      </c>
      <c r="J69" s="134" t="str">
        <f ca="1">IFERROR(__xludf.DUMMYFUNCTION("""COMPUTED_VALUE"""),"")</f>
        <v/>
      </c>
      <c r="L69" s="135"/>
      <c r="M69" s="135"/>
      <c r="N69"/>
    </row>
    <row r="70" spans="1:14">
      <c r="A70" s="134" t="str">
        <f ca="1">IFERROR(__xludf.DUMMYFUNCTION("""COMPUTED_VALUE"""),"")</f>
        <v/>
      </c>
      <c r="B70" s="134" t="str">
        <f ca="1">IFERROR(__xludf.DUMMYFUNCTION("""COMPUTED_VALUE"""),"")</f>
        <v/>
      </c>
      <c r="C70" s="134" t="str">
        <f ca="1">IFERROR(__xludf.DUMMYFUNCTION("""COMPUTED_VALUE"""),"")</f>
        <v/>
      </c>
      <c r="D70" s="134" t="str">
        <f ca="1">IFERROR(__xludf.DUMMYFUNCTION("""COMPUTED_VALUE"""),"")</f>
        <v/>
      </c>
      <c r="E70" s="134" t="str">
        <f ca="1">IFERROR(__xludf.DUMMYFUNCTION("""COMPUTED_VALUE"""),"")</f>
        <v/>
      </c>
      <c r="F70" s="134" t="str">
        <f ca="1">IFERROR(__xludf.DUMMYFUNCTION("""COMPUTED_VALUE"""),"")</f>
        <v/>
      </c>
      <c r="G70" s="134" t="str">
        <f ca="1">IFERROR(__xludf.DUMMYFUNCTION("""COMPUTED_VALUE"""),"")</f>
        <v/>
      </c>
      <c r="H70" s="134" t="str">
        <f ca="1">IFERROR(__xludf.DUMMYFUNCTION("""COMPUTED_VALUE"""),"")</f>
        <v/>
      </c>
      <c r="I70" s="134" t="str">
        <f ca="1">IFERROR(__xludf.DUMMYFUNCTION("""COMPUTED_VALUE"""),"")</f>
        <v/>
      </c>
      <c r="J70" s="134" t="str">
        <f ca="1">IFERROR(__xludf.DUMMYFUNCTION("""COMPUTED_VALUE"""),"")</f>
        <v/>
      </c>
      <c r="N70"/>
    </row>
    <row r="71" spans="1:14">
      <c r="A71" s="134" t="str">
        <f ca="1">IFERROR(__xludf.DUMMYFUNCTION("""COMPUTED_VALUE"""),"")</f>
        <v/>
      </c>
      <c r="B71" s="134" t="str">
        <f ca="1">IFERROR(__xludf.DUMMYFUNCTION("""COMPUTED_VALUE"""),"")</f>
        <v/>
      </c>
      <c r="C71" s="134" t="str">
        <f ca="1">IFERROR(__xludf.DUMMYFUNCTION("""COMPUTED_VALUE"""),"")</f>
        <v/>
      </c>
      <c r="D71" s="134" t="str">
        <f ca="1">IFERROR(__xludf.DUMMYFUNCTION("""COMPUTED_VALUE"""),"")</f>
        <v/>
      </c>
      <c r="E71" s="134" t="str">
        <f ca="1">IFERROR(__xludf.DUMMYFUNCTION("""COMPUTED_VALUE"""),"")</f>
        <v/>
      </c>
      <c r="F71" s="134" t="str">
        <f ca="1">IFERROR(__xludf.DUMMYFUNCTION("""COMPUTED_VALUE"""),"")</f>
        <v/>
      </c>
      <c r="G71" s="134" t="str">
        <f ca="1">IFERROR(__xludf.DUMMYFUNCTION("""COMPUTED_VALUE"""),"")</f>
        <v/>
      </c>
      <c r="H71" s="134" t="str">
        <f ca="1">IFERROR(__xludf.DUMMYFUNCTION("""COMPUTED_VALUE"""),"")</f>
        <v/>
      </c>
      <c r="I71" s="134" t="str">
        <f ca="1">IFERROR(__xludf.DUMMYFUNCTION("""COMPUTED_VALUE"""),"")</f>
        <v/>
      </c>
      <c r="J71" s="134" t="str">
        <f ca="1">IFERROR(__xludf.DUMMYFUNCTION("""COMPUTED_VALUE"""),"")</f>
        <v/>
      </c>
      <c r="N71"/>
    </row>
    <row r="72" spans="1:14">
      <c r="A72" s="134" t="str">
        <f ca="1">IFERROR(__xludf.DUMMYFUNCTION("""COMPUTED_VALUE"""),"")</f>
        <v/>
      </c>
      <c r="B72" s="134" t="str">
        <f ca="1">IFERROR(__xludf.DUMMYFUNCTION("""COMPUTED_VALUE"""),"")</f>
        <v/>
      </c>
      <c r="C72" s="134" t="str">
        <f ca="1">IFERROR(__xludf.DUMMYFUNCTION("""COMPUTED_VALUE"""),"")</f>
        <v/>
      </c>
      <c r="D72" s="134" t="str">
        <f ca="1">IFERROR(__xludf.DUMMYFUNCTION("""COMPUTED_VALUE"""),"")</f>
        <v/>
      </c>
      <c r="E72" s="134" t="str">
        <f ca="1">IFERROR(__xludf.DUMMYFUNCTION("""COMPUTED_VALUE"""),"")</f>
        <v/>
      </c>
      <c r="F72" s="134" t="str">
        <f ca="1">IFERROR(__xludf.DUMMYFUNCTION("""COMPUTED_VALUE"""),"")</f>
        <v/>
      </c>
      <c r="G72" s="134" t="str">
        <f ca="1">IFERROR(__xludf.DUMMYFUNCTION("""COMPUTED_VALUE"""),"")</f>
        <v/>
      </c>
      <c r="H72" s="134" t="str">
        <f ca="1">IFERROR(__xludf.DUMMYFUNCTION("""COMPUTED_VALUE"""),"")</f>
        <v/>
      </c>
      <c r="I72" s="134" t="str">
        <f ca="1">IFERROR(__xludf.DUMMYFUNCTION("""COMPUTED_VALUE"""),"")</f>
        <v/>
      </c>
      <c r="J72" s="134" t="str">
        <f ca="1">IFERROR(__xludf.DUMMYFUNCTION("""COMPUTED_VALUE"""),"")</f>
        <v/>
      </c>
      <c r="N72"/>
    </row>
    <row r="73" spans="1:14">
      <c r="A73" s="134" t="str">
        <f ca="1">IFERROR(__xludf.DUMMYFUNCTION("""COMPUTED_VALUE"""),"")</f>
        <v/>
      </c>
      <c r="B73" s="134" t="str">
        <f ca="1">IFERROR(__xludf.DUMMYFUNCTION("""COMPUTED_VALUE"""),"")</f>
        <v/>
      </c>
      <c r="C73" s="134" t="str">
        <f ca="1">IFERROR(__xludf.DUMMYFUNCTION("""COMPUTED_VALUE"""),"")</f>
        <v/>
      </c>
      <c r="D73" s="134" t="str">
        <f ca="1">IFERROR(__xludf.DUMMYFUNCTION("""COMPUTED_VALUE"""),"")</f>
        <v/>
      </c>
      <c r="E73" s="134" t="str">
        <f ca="1">IFERROR(__xludf.DUMMYFUNCTION("""COMPUTED_VALUE"""),"")</f>
        <v/>
      </c>
      <c r="F73" s="134" t="str">
        <f ca="1">IFERROR(__xludf.DUMMYFUNCTION("""COMPUTED_VALUE"""),"")</f>
        <v/>
      </c>
      <c r="G73" s="134" t="str">
        <f ca="1">IFERROR(__xludf.DUMMYFUNCTION("""COMPUTED_VALUE"""),"")</f>
        <v/>
      </c>
      <c r="H73" s="134" t="str">
        <f ca="1">IFERROR(__xludf.DUMMYFUNCTION("""COMPUTED_VALUE"""),"")</f>
        <v/>
      </c>
      <c r="I73" s="134" t="str">
        <f ca="1">IFERROR(__xludf.DUMMYFUNCTION("""COMPUTED_VALUE"""),"")</f>
        <v/>
      </c>
      <c r="J73" s="134" t="str">
        <f ca="1">IFERROR(__xludf.DUMMYFUNCTION("""COMPUTED_VALUE"""),"")</f>
        <v/>
      </c>
      <c r="N73"/>
    </row>
    <row r="74" spans="1:14">
      <c r="A74" s="134" t="str">
        <f ca="1">IFERROR(__xludf.DUMMYFUNCTION("""COMPUTED_VALUE"""),"")</f>
        <v/>
      </c>
      <c r="B74" s="134" t="str">
        <f ca="1">IFERROR(__xludf.DUMMYFUNCTION("""COMPUTED_VALUE"""),"")</f>
        <v/>
      </c>
      <c r="C74" s="134" t="str">
        <f ca="1">IFERROR(__xludf.DUMMYFUNCTION("""COMPUTED_VALUE"""),"")</f>
        <v/>
      </c>
      <c r="D74" s="134" t="str">
        <f ca="1">IFERROR(__xludf.DUMMYFUNCTION("""COMPUTED_VALUE"""),"")</f>
        <v/>
      </c>
      <c r="E74" s="134" t="str">
        <f ca="1">IFERROR(__xludf.DUMMYFUNCTION("""COMPUTED_VALUE"""),"")</f>
        <v/>
      </c>
      <c r="F74" s="134" t="str">
        <f ca="1">IFERROR(__xludf.DUMMYFUNCTION("""COMPUTED_VALUE"""),"")</f>
        <v/>
      </c>
      <c r="G74" s="134" t="str">
        <f ca="1">IFERROR(__xludf.DUMMYFUNCTION("""COMPUTED_VALUE"""),"")</f>
        <v/>
      </c>
      <c r="H74" s="134" t="str">
        <f ca="1">IFERROR(__xludf.DUMMYFUNCTION("""COMPUTED_VALUE"""),"")</f>
        <v/>
      </c>
      <c r="I74" s="134" t="str">
        <f ca="1">IFERROR(__xludf.DUMMYFUNCTION("""COMPUTED_VALUE"""),"")</f>
        <v/>
      </c>
      <c r="J74" s="134" t="str">
        <f ca="1">IFERROR(__xludf.DUMMYFUNCTION("""COMPUTED_VALUE"""),"")</f>
        <v/>
      </c>
      <c r="N74"/>
    </row>
    <row r="75" spans="1:14">
      <c r="A75" s="134" t="str">
        <f ca="1">IFERROR(__xludf.DUMMYFUNCTION("""COMPUTED_VALUE"""),"")</f>
        <v/>
      </c>
      <c r="B75" s="134" t="str">
        <f ca="1">IFERROR(__xludf.DUMMYFUNCTION("""COMPUTED_VALUE"""),"")</f>
        <v/>
      </c>
      <c r="C75" s="134" t="str">
        <f ca="1">IFERROR(__xludf.DUMMYFUNCTION("""COMPUTED_VALUE"""),"")</f>
        <v/>
      </c>
      <c r="D75" s="134" t="str">
        <f ca="1">IFERROR(__xludf.DUMMYFUNCTION("""COMPUTED_VALUE"""),"")</f>
        <v/>
      </c>
      <c r="E75" s="134" t="str">
        <f ca="1">IFERROR(__xludf.DUMMYFUNCTION("""COMPUTED_VALUE"""),"")</f>
        <v/>
      </c>
      <c r="F75" s="134" t="str">
        <f ca="1">IFERROR(__xludf.DUMMYFUNCTION("""COMPUTED_VALUE"""),"")</f>
        <v/>
      </c>
      <c r="G75" s="134" t="str">
        <f ca="1">IFERROR(__xludf.DUMMYFUNCTION("""COMPUTED_VALUE"""),"")</f>
        <v/>
      </c>
      <c r="H75" s="134" t="str">
        <f ca="1">IFERROR(__xludf.DUMMYFUNCTION("""COMPUTED_VALUE"""),"")</f>
        <v/>
      </c>
      <c r="I75" s="134" t="str">
        <f ca="1">IFERROR(__xludf.DUMMYFUNCTION("""COMPUTED_VALUE"""),"")</f>
        <v/>
      </c>
      <c r="J75" s="134" t="str">
        <f ca="1">IFERROR(__xludf.DUMMYFUNCTION("""COMPUTED_VALUE"""),"")</f>
        <v/>
      </c>
      <c r="L75" s="131"/>
      <c r="M75" s="131"/>
      <c r="N75"/>
    </row>
    <row r="76" spans="1:14">
      <c r="A76" s="134" t="str">
        <f ca="1">IFERROR(__xludf.DUMMYFUNCTION("""COMPUTED_VALUE"""),"")</f>
        <v/>
      </c>
      <c r="B76" s="134" t="str">
        <f ca="1">IFERROR(__xludf.DUMMYFUNCTION("""COMPUTED_VALUE"""),"")</f>
        <v/>
      </c>
      <c r="C76" s="134" t="str">
        <f ca="1">IFERROR(__xludf.DUMMYFUNCTION("""COMPUTED_VALUE"""),"")</f>
        <v/>
      </c>
      <c r="D76" s="134" t="str">
        <f ca="1">IFERROR(__xludf.DUMMYFUNCTION("""COMPUTED_VALUE"""),"")</f>
        <v/>
      </c>
      <c r="E76" s="134" t="str">
        <f ca="1">IFERROR(__xludf.DUMMYFUNCTION("""COMPUTED_VALUE"""),"")</f>
        <v/>
      </c>
      <c r="F76" s="134" t="str">
        <f ca="1">IFERROR(__xludf.DUMMYFUNCTION("""COMPUTED_VALUE"""),"")</f>
        <v/>
      </c>
      <c r="G76" s="134" t="str">
        <f ca="1">IFERROR(__xludf.DUMMYFUNCTION("""COMPUTED_VALUE"""),"")</f>
        <v/>
      </c>
      <c r="H76" s="134" t="str">
        <f ca="1">IFERROR(__xludf.DUMMYFUNCTION("""COMPUTED_VALUE"""),"")</f>
        <v/>
      </c>
      <c r="I76" s="134" t="str">
        <f ca="1">IFERROR(__xludf.DUMMYFUNCTION("""COMPUTED_VALUE"""),"")</f>
        <v/>
      </c>
      <c r="J76" s="134" t="str">
        <f ca="1">IFERROR(__xludf.DUMMYFUNCTION("""COMPUTED_VALUE"""),"")</f>
        <v/>
      </c>
    </row>
    <row r="77" spans="1:14">
      <c r="A77" s="134" t="str">
        <f ca="1">IFERROR(__xludf.DUMMYFUNCTION("""COMPUTED_VALUE"""),"")</f>
        <v/>
      </c>
      <c r="B77" s="134" t="str">
        <f ca="1">IFERROR(__xludf.DUMMYFUNCTION("""COMPUTED_VALUE"""),"")</f>
        <v/>
      </c>
      <c r="C77" s="134" t="str">
        <f ca="1">IFERROR(__xludf.DUMMYFUNCTION("""COMPUTED_VALUE"""),"")</f>
        <v/>
      </c>
      <c r="D77" s="134" t="str">
        <f ca="1">IFERROR(__xludf.DUMMYFUNCTION("""COMPUTED_VALUE"""),"")</f>
        <v/>
      </c>
      <c r="E77" s="134" t="str">
        <f ca="1">IFERROR(__xludf.DUMMYFUNCTION("""COMPUTED_VALUE"""),"")</f>
        <v/>
      </c>
      <c r="F77" s="134" t="str">
        <f ca="1">IFERROR(__xludf.DUMMYFUNCTION("""COMPUTED_VALUE"""),"")</f>
        <v/>
      </c>
      <c r="G77" s="134" t="str">
        <f ca="1">IFERROR(__xludf.DUMMYFUNCTION("""COMPUTED_VALUE"""),"")</f>
        <v/>
      </c>
      <c r="H77" s="134" t="str">
        <f ca="1">IFERROR(__xludf.DUMMYFUNCTION("""COMPUTED_VALUE"""),"")</f>
        <v/>
      </c>
      <c r="I77" s="134" t="str">
        <f ca="1">IFERROR(__xludf.DUMMYFUNCTION("""COMPUTED_VALUE"""),"")</f>
        <v/>
      </c>
      <c r="J77" s="134" t="str">
        <f ca="1">IFERROR(__xludf.DUMMYFUNCTION("""COMPUTED_VALUE"""),"")</f>
        <v/>
      </c>
    </row>
    <row r="78" spans="1:14">
      <c r="A78" s="134" t="str">
        <f ca="1">IFERROR(__xludf.DUMMYFUNCTION("""COMPUTED_VALUE"""),"")</f>
        <v/>
      </c>
      <c r="B78" s="134" t="str">
        <f ca="1">IFERROR(__xludf.DUMMYFUNCTION("""COMPUTED_VALUE"""),"")</f>
        <v/>
      </c>
      <c r="C78" s="134" t="str">
        <f ca="1">IFERROR(__xludf.DUMMYFUNCTION("""COMPUTED_VALUE"""),"")</f>
        <v/>
      </c>
      <c r="D78" s="134" t="str">
        <f ca="1">IFERROR(__xludf.DUMMYFUNCTION("""COMPUTED_VALUE"""),"")</f>
        <v/>
      </c>
      <c r="E78" s="134" t="str">
        <f ca="1">IFERROR(__xludf.DUMMYFUNCTION("""COMPUTED_VALUE"""),"")</f>
        <v/>
      </c>
      <c r="F78" s="134" t="str">
        <f ca="1">IFERROR(__xludf.DUMMYFUNCTION("""COMPUTED_VALUE"""),"")</f>
        <v/>
      </c>
      <c r="G78" s="134" t="str">
        <f ca="1">IFERROR(__xludf.DUMMYFUNCTION("""COMPUTED_VALUE"""),"")</f>
        <v/>
      </c>
      <c r="H78" s="134" t="str">
        <f ca="1">IFERROR(__xludf.DUMMYFUNCTION("""COMPUTED_VALUE"""),"")</f>
        <v/>
      </c>
      <c r="I78" s="134" t="str">
        <f ca="1">IFERROR(__xludf.DUMMYFUNCTION("""COMPUTED_VALUE"""),"")</f>
        <v/>
      </c>
      <c r="J78" s="134" t="str">
        <f ca="1">IFERROR(__xludf.DUMMYFUNCTION("""COMPUTED_VALUE"""),"")</f>
        <v/>
      </c>
    </row>
    <row r="79" spans="1:14">
      <c r="A79" s="134" t="str">
        <f ca="1">IFERROR(__xludf.DUMMYFUNCTION("""COMPUTED_VALUE"""),"")</f>
        <v/>
      </c>
      <c r="B79" s="134" t="str">
        <f ca="1">IFERROR(__xludf.DUMMYFUNCTION("""COMPUTED_VALUE"""),"")</f>
        <v/>
      </c>
      <c r="C79" s="134" t="str">
        <f ca="1">IFERROR(__xludf.DUMMYFUNCTION("""COMPUTED_VALUE"""),"")</f>
        <v/>
      </c>
      <c r="D79" s="134" t="str">
        <f ca="1">IFERROR(__xludf.DUMMYFUNCTION("""COMPUTED_VALUE"""),"")</f>
        <v/>
      </c>
      <c r="E79" s="134" t="str">
        <f ca="1">IFERROR(__xludf.DUMMYFUNCTION("""COMPUTED_VALUE"""),"")</f>
        <v/>
      </c>
      <c r="F79" s="134" t="str">
        <f ca="1">IFERROR(__xludf.DUMMYFUNCTION("""COMPUTED_VALUE"""),"")</f>
        <v/>
      </c>
      <c r="G79" s="134" t="str">
        <f ca="1">IFERROR(__xludf.DUMMYFUNCTION("""COMPUTED_VALUE"""),"")</f>
        <v/>
      </c>
      <c r="H79" s="134" t="str">
        <f ca="1">IFERROR(__xludf.DUMMYFUNCTION("""COMPUTED_VALUE"""),"")</f>
        <v/>
      </c>
      <c r="I79" s="134" t="str">
        <f ca="1">IFERROR(__xludf.DUMMYFUNCTION("""COMPUTED_VALUE"""),"")</f>
        <v/>
      </c>
      <c r="J79" s="134" t="str">
        <f ca="1">IFERROR(__xludf.DUMMYFUNCTION("""COMPUTED_VALUE"""),"")</f>
        <v/>
      </c>
    </row>
    <row r="80" spans="1:14">
      <c r="A80" s="134" t="str">
        <f ca="1">IFERROR(__xludf.DUMMYFUNCTION("""COMPUTED_VALUE"""),"")</f>
        <v/>
      </c>
      <c r="B80" s="134" t="str">
        <f ca="1">IFERROR(__xludf.DUMMYFUNCTION("""COMPUTED_VALUE"""),"")</f>
        <v/>
      </c>
      <c r="C80" s="134" t="str">
        <f ca="1">IFERROR(__xludf.DUMMYFUNCTION("""COMPUTED_VALUE"""),"")</f>
        <v/>
      </c>
      <c r="D80" s="134" t="str">
        <f ca="1">IFERROR(__xludf.DUMMYFUNCTION("""COMPUTED_VALUE"""),"")</f>
        <v/>
      </c>
      <c r="E80" s="134" t="str">
        <f ca="1">IFERROR(__xludf.DUMMYFUNCTION("""COMPUTED_VALUE"""),"")</f>
        <v/>
      </c>
      <c r="F80" s="134" t="str">
        <f ca="1">IFERROR(__xludf.DUMMYFUNCTION("""COMPUTED_VALUE"""),"")</f>
        <v/>
      </c>
      <c r="G80" s="134" t="str">
        <f ca="1">IFERROR(__xludf.DUMMYFUNCTION("""COMPUTED_VALUE"""),"")</f>
        <v/>
      </c>
      <c r="H80" s="134" t="str">
        <f ca="1">IFERROR(__xludf.DUMMYFUNCTION("""COMPUTED_VALUE"""),"")</f>
        <v/>
      </c>
      <c r="I80" s="134" t="str">
        <f ca="1">IFERROR(__xludf.DUMMYFUNCTION("""COMPUTED_VALUE"""),"")</f>
        <v/>
      </c>
      <c r="J80" s="134" t="str">
        <f ca="1">IFERROR(__xludf.DUMMYFUNCTION("""COMPUTED_VALUE"""),"")</f>
        <v/>
      </c>
    </row>
    <row r="81" spans="1:10">
      <c r="A81" s="134" t="str">
        <f ca="1">IFERROR(__xludf.DUMMYFUNCTION("""COMPUTED_VALUE"""),"")</f>
        <v/>
      </c>
      <c r="B81" s="134" t="str">
        <f ca="1">IFERROR(__xludf.DUMMYFUNCTION("""COMPUTED_VALUE"""),"")</f>
        <v/>
      </c>
      <c r="C81" s="134" t="str">
        <f ca="1">IFERROR(__xludf.DUMMYFUNCTION("""COMPUTED_VALUE"""),"")</f>
        <v/>
      </c>
      <c r="D81" s="134" t="str">
        <f ca="1">IFERROR(__xludf.DUMMYFUNCTION("""COMPUTED_VALUE"""),"")</f>
        <v/>
      </c>
      <c r="E81" s="134" t="str">
        <f ca="1">IFERROR(__xludf.DUMMYFUNCTION("""COMPUTED_VALUE"""),"")</f>
        <v/>
      </c>
      <c r="F81" s="134" t="str">
        <f ca="1">IFERROR(__xludf.DUMMYFUNCTION("""COMPUTED_VALUE"""),"")</f>
        <v/>
      </c>
      <c r="G81" s="134" t="str">
        <f ca="1">IFERROR(__xludf.DUMMYFUNCTION("""COMPUTED_VALUE"""),"")</f>
        <v/>
      </c>
      <c r="H81" s="134" t="str">
        <f ca="1">IFERROR(__xludf.DUMMYFUNCTION("""COMPUTED_VALUE"""),"")</f>
        <v/>
      </c>
      <c r="I81" s="134" t="str">
        <f ca="1">IFERROR(__xludf.DUMMYFUNCTION("""COMPUTED_VALUE"""),"")</f>
        <v/>
      </c>
      <c r="J81" s="134" t="str">
        <f ca="1">IFERROR(__xludf.DUMMYFUNCTION("""COMPUTED_VALUE"""),"")</f>
        <v/>
      </c>
    </row>
    <row r="82" spans="1:10">
      <c r="A82" s="134" t="str">
        <f ca="1">IFERROR(__xludf.DUMMYFUNCTION("""COMPUTED_VALUE"""),"")</f>
        <v/>
      </c>
      <c r="B82" s="134" t="str">
        <f ca="1">IFERROR(__xludf.DUMMYFUNCTION("""COMPUTED_VALUE"""),"")</f>
        <v/>
      </c>
      <c r="C82" s="134" t="str">
        <f ca="1">IFERROR(__xludf.DUMMYFUNCTION("""COMPUTED_VALUE"""),"")</f>
        <v/>
      </c>
      <c r="D82" s="134" t="str">
        <f ca="1">IFERROR(__xludf.DUMMYFUNCTION("""COMPUTED_VALUE"""),"")</f>
        <v/>
      </c>
      <c r="E82" s="134" t="str">
        <f ca="1">IFERROR(__xludf.DUMMYFUNCTION("""COMPUTED_VALUE"""),"")</f>
        <v/>
      </c>
      <c r="F82" s="134" t="str">
        <f ca="1">IFERROR(__xludf.DUMMYFUNCTION("""COMPUTED_VALUE"""),"")</f>
        <v/>
      </c>
      <c r="G82" s="134" t="str">
        <f ca="1">IFERROR(__xludf.DUMMYFUNCTION("""COMPUTED_VALUE"""),"")</f>
        <v/>
      </c>
      <c r="H82" s="134" t="str">
        <f ca="1">IFERROR(__xludf.DUMMYFUNCTION("""COMPUTED_VALUE"""),"")</f>
        <v/>
      </c>
      <c r="I82" s="134" t="str">
        <f ca="1">IFERROR(__xludf.DUMMYFUNCTION("""COMPUTED_VALUE"""),"")</f>
        <v/>
      </c>
      <c r="J82" s="134" t="str">
        <f ca="1">IFERROR(__xludf.DUMMYFUNCTION("""COMPUTED_VALUE"""),"")</f>
        <v/>
      </c>
    </row>
    <row r="83" spans="1:10">
      <c r="A83" s="134" t="str">
        <f ca="1">IFERROR(__xludf.DUMMYFUNCTION("""COMPUTED_VALUE"""),"")</f>
        <v/>
      </c>
      <c r="B83" s="134" t="str">
        <f ca="1">IFERROR(__xludf.DUMMYFUNCTION("""COMPUTED_VALUE"""),"")</f>
        <v/>
      </c>
      <c r="C83" s="134" t="str">
        <f ca="1">IFERROR(__xludf.DUMMYFUNCTION("""COMPUTED_VALUE"""),"")</f>
        <v/>
      </c>
      <c r="D83" s="134" t="str">
        <f ca="1">IFERROR(__xludf.DUMMYFUNCTION("""COMPUTED_VALUE"""),"")</f>
        <v/>
      </c>
      <c r="E83" s="134" t="str">
        <f ca="1">IFERROR(__xludf.DUMMYFUNCTION("""COMPUTED_VALUE"""),"")</f>
        <v/>
      </c>
      <c r="F83" s="134" t="str">
        <f ca="1">IFERROR(__xludf.DUMMYFUNCTION("""COMPUTED_VALUE"""),"")</f>
        <v/>
      </c>
      <c r="G83" s="134" t="str">
        <f ca="1">IFERROR(__xludf.DUMMYFUNCTION("""COMPUTED_VALUE"""),"")</f>
        <v/>
      </c>
      <c r="H83" s="134" t="str">
        <f ca="1">IFERROR(__xludf.DUMMYFUNCTION("""COMPUTED_VALUE"""),"")</f>
        <v/>
      </c>
      <c r="I83" s="134" t="str">
        <f ca="1">IFERROR(__xludf.DUMMYFUNCTION("""COMPUTED_VALUE"""),"")</f>
        <v/>
      </c>
      <c r="J83" s="134" t="str">
        <f ca="1">IFERROR(__xludf.DUMMYFUNCTION("""COMPUTED_VALUE"""),"")</f>
        <v/>
      </c>
    </row>
    <row r="84" spans="1:10">
      <c r="A84" s="134" t="str">
        <f ca="1">IFERROR(__xludf.DUMMYFUNCTION("""COMPUTED_VALUE"""),"")</f>
        <v/>
      </c>
      <c r="B84" s="134" t="str">
        <f ca="1">IFERROR(__xludf.DUMMYFUNCTION("""COMPUTED_VALUE"""),"")</f>
        <v/>
      </c>
      <c r="C84" s="134" t="str">
        <f ca="1">IFERROR(__xludf.DUMMYFUNCTION("""COMPUTED_VALUE"""),"")</f>
        <v/>
      </c>
      <c r="D84" s="134" t="str">
        <f ca="1">IFERROR(__xludf.DUMMYFUNCTION("""COMPUTED_VALUE"""),"")</f>
        <v/>
      </c>
      <c r="E84" s="134" t="str">
        <f ca="1">IFERROR(__xludf.DUMMYFUNCTION("""COMPUTED_VALUE"""),"")</f>
        <v/>
      </c>
      <c r="F84" s="134" t="str">
        <f ca="1">IFERROR(__xludf.DUMMYFUNCTION("""COMPUTED_VALUE"""),"")</f>
        <v/>
      </c>
      <c r="G84" s="134" t="str">
        <f ca="1">IFERROR(__xludf.DUMMYFUNCTION("""COMPUTED_VALUE"""),"")</f>
        <v/>
      </c>
      <c r="H84" s="134" t="str">
        <f ca="1">IFERROR(__xludf.DUMMYFUNCTION("""COMPUTED_VALUE"""),"")</f>
        <v/>
      </c>
      <c r="I84" s="134" t="str">
        <f ca="1">IFERROR(__xludf.DUMMYFUNCTION("""COMPUTED_VALUE"""),"")</f>
        <v/>
      </c>
      <c r="J84" s="134" t="str">
        <f ca="1">IFERROR(__xludf.DUMMYFUNCTION("""COMPUTED_VALUE"""),"")</f>
        <v/>
      </c>
    </row>
    <row r="85" spans="1:10">
      <c r="A85" s="134" t="str">
        <f ca="1">IFERROR(__xludf.DUMMYFUNCTION("""COMPUTED_VALUE"""),"")</f>
        <v/>
      </c>
      <c r="B85" s="134" t="str">
        <f ca="1">IFERROR(__xludf.DUMMYFUNCTION("""COMPUTED_VALUE"""),"")</f>
        <v/>
      </c>
      <c r="C85" s="134" t="str">
        <f ca="1">IFERROR(__xludf.DUMMYFUNCTION("""COMPUTED_VALUE"""),"")</f>
        <v/>
      </c>
      <c r="D85" s="134" t="str">
        <f ca="1">IFERROR(__xludf.DUMMYFUNCTION("""COMPUTED_VALUE"""),"")</f>
        <v/>
      </c>
      <c r="E85" s="134" t="str">
        <f ca="1">IFERROR(__xludf.DUMMYFUNCTION("""COMPUTED_VALUE"""),"")</f>
        <v/>
      </c>
      <c r="F85" s="134" t="str">
        <f ca="1">IFERROR(__xludf.DUMMYFUNCTION("""COMPUTED_VALUE"""),"")</f>
        <v/>
      </c>
      <c r="G85" s="134" t="str">
        <f ca="1">IFERROR(__xludf.DUMMYFUNCTION("""COMPUTED_VALUE"""),"")</f>
        <v/>
      </c>
      <c r="H85" s="134" t="str">
        <f ca="1">IFERROR(__xludf.DUMMYFUNCTION("""COMPUTED_VALUE"""),"")</f>
        <v/>
      </c>
      <c r="I85" s="134" t="str">
        <f ca="1">IFERROR(__xludf.DUMMYFUNCTION("""COMPUTED_VALUE"""),"")</f>
        <v/>
      </c>
      <c r="J85" s="134" t="str">
        <f ca="1">IFERROR(__xludf.DUMMYFUNCTION("""COMPUTED_VALUE"""),"")</f>
        <v/>
      </c>
    </row>
    <row r="86" spans="1:10">
      <c r="A86" s="134" t="str">
        <f ca="1">IFERROR(__xludf.DUMMYFUNCTION("""COMPUTED_VALUE"""),"")</f>
        <v/>
      </c>
      <c r="B86" s="134" t="str">
        <f ca="1">IFERROR(__xludf.DUMMYFUNCTION("""COMPUTED_VALUE"""),"")</f>
        <v/>
      </c>
      <c r="C86" s="134" t="str">
        <f ca="1">IFERROR(__xludf.DUMMYFUNCTION("""COMPUTED_VALUE"""),"")</f>
        <v/>
      </c>
      <c r="D86" s="134" t="str">
        <f ca="1">IFERROR(__xludf.DUMMYFUNCTION("""COMPUTED_VALUE"""),"")</f>
        <v/>
      </c>
      <c r="E86" s="134" t="str">
        <f ca="1">IFERROR(__xludf.DUMMYFUNCTION("""COMPUTED_VALUE"""),"")</f>
        <v/>
      </c>
      <c r="F86" s="134" t="str">
        <f ca="1">IFERROR(__xludf.DUMMYFUNCTION("""COMPUTED_VALUE"""),"")</f>
        <v/>
      </c>
      <c r="G86" s="134" t="str">
        <f ca="1">IFERROR(__xludf.DUMMYFUNCTION("""COMPUTED_VALUE"""),"")</f>
        <v/>
      </c>
      <c r="H86" s="134" t="str">
        <f ca="1">IFERROR(__xludf.DUMMYFUNCTION("""COMPUTED_VALUE"""),"")</f>
        <v/>
      </c>
      <c r="I86" s="134" t="str">
        <f ca="1">IFERROR(__xludf.DUMMYFUNCTION("""COMPUTED_VALUE"""),"")</f>
        <v/>
      </c>
      <c r="J86" s="134" t="str">
        <f ca="1">IFERROR(__xludf.DUMMYFUNCTION("""COMPUTED_VALUE"""),"")</f>
        <v/>
      </c>
    </row>
    <row r="87" spans="1:10">
      <c r="A87" s="134" t="str">
        <f ca="1">IFERROR(__xludf.DUMMYFUNCTION("""COMPUTED_VALUE"""),"")</f>
        <v/>
      </c>
      <c r="B87" s="134" t="str">
        <f ca="1">IFERROR(__xludf.DUMMYFUNCTION("""COMPUTED_VALUE"""),"")</f>
        <v/>
      </c>
      <c r="C87" s="134" t="str">
        <f ca="1">IFERROR(__xludf.DUMMYFUNCTION("""COMPUTED_VALUE"""),"")</f>
        <v/>
      </c>
      <c r="D87" s="134" t="str">
        <f ca="1">IFERROR(__xludf.DUMMYFUNCTION("""COMPUTED_VALUE"""),"")</f>
        <v/>
      </c>
      <c r="E87" s="134" t="str">
        <f ca="1">IFERROR(__xludf.DUMMYFUNCTION("""COMPUTED_VALUE"""),"")</f>
        <v/>
      </c>
      <c r="F87" s="134" t="str">
        <f ca="1">IFERROR(__xludf.DUMMYFUNCTION("""COMPUTED_VALUE"""),"")</f>
        <v/>
      </c>
      <c r="G87" s="134" t="str">
        <f ca="1">IFERROR(__xludf.DUMMYFUNCTION("""COMPUTED_VALUE"""),"")</f>
        <v/>
      </c>
      <c r="H87" s="134" t="str">
        <f ca="1">IFERROR(__xludf.DUMMYFUNCTION("""COMPUTED_VALUE"""),"")</f>
        <v/>
      </c>
      <c r="I87" s="134" t="str">
        <f ca="1">IFERROR(__xludf.DUMMYFUNCTION("""COMPUTED_VALUE"""),"")</f>
        <v/>
      </c>
      <c r="J87" s="134" t="str">
        <f ca="1">IFERROR(__xludf.DUMMYFUNCTION("""COMPUTED_VALUE"""),"")</f>
        <v/>
      </c>
    </row>
    <row r="88" spans="1:10">
      <c r="A88" s="134" t="str">
        <f ca="1">IFERROR(__xludf.DUMMYFUNCTION("""COMPUTED_VALUE"""),"")</f>
        <v/>
      </c>
      <c r="B88" s="134" t="str">
        <f ca="1">IFERROR(__xludf.DUMMYFUNCTION("""COMPUTED_VALUE"""),"")</f>
        <v/>
      </c>
      <c r="C88" s="134" t="str">
        <f ca="1">IFERROR(__xludf.DUMMYFUNCTION("""COMPUTED_VALUE"""),"")</f>
        <v/>
      </c>
      <c r="D88" s="134" t="str">
        <f ca="1">IFERROR(__xludf.DUMMYFUNCTION("""COMPUTED_VALUE"""),"")</f>
        <v/>
      </c>
      <c r="E88" s="134" t="str">
        <f ca="1">IFERROR(__xludf.DUMMYFUNCTION("""COMPUTED_VALUE"""),"")</f>
        <v/>
      </c>
      <c r="F88" s="134" t="str">
        <f ca="1">IFERROR(__xludf.DUMMYFUNCTION("""COMPUTED_VALUE"""),"")</f>
        <v/>
      </c>
      <c r="G88" s="134" t="str">
        <f ca="1">IFERROR(__xludf.DUMMYFUNCTION("""COMPUTED_VALUE"""),"")</f>
        <v/>
      </c>
      <c r="H88" s="134" t="str">
        <f ca="1">IFERROR(__xludf.DUMMYFUNCTION("""COMPUTED_VALUE"""),"")</f>
        <v/>
      </c>
      <c r="I88" s="134" t="str">
        <f ca="1">IFERROR(__xludf.DUMMYFUNCTION("""COMPUTED_VALUE"""),"")</f>
        <v/>
      </c>
      <c r="J88" s="134" t="str">
        <f ca="1">IFERROR(__xludf.DUMMYFUNCTION("""COMPUTED_VALUE"""),"")</f>
        <v/>
      </c>
    </row>
    <row r="89" spans="1:10">
      <c r="A89" s="134" t="str">
        <f ca="1">IFERROR(__xludf.DUMMYFUNCTION("""COMPUTED_VALUE"""),"")</f>
        <v/>
      </c>
      <c r="B89" s="134" t="str">
        <f ca="1">IFERROR(__xludf.DUMMYFUNCTION("""COMPUTED_VALUE"""),"")</f>
        <v/>
      </c>
      <c r="C89" s="134" t="str">
        <f ca="1">IFERROR(__xludf.DUMMYFUNCTION("""COMPUTED_VALUE"""),"")</f>
        <v/>
      </c>
      <c r="D89" s="134" t="str">
        <f ca="1">IFERROR(__xludf.DUMMYFUNCTION("""COMPUTED_VALUE"""),"")</f>
        <v/>
      </c>
      <c r="E89" s="134" t="str">
        <f ca="1">IFERROR(__xludf.DUMMYFUNCTION("""COMPUTED_VALUE"""),"")</f>
        <v/>
      </c>
      <c r="F89" s="134" t="str">
        <f ca="1">IFERROR(__xludf.DUMMYFUNCTION("""COMPUTED_VALUE"""),"")</f>
        <v/>
      </c>
      <c r="G89" s="134" t="str">
        <f ca="1">IFERROR(__xludf.DUMMYFUNCTION("""COMPUTED_VALUE"""),"")</f>
        <v/>
      </c>
      <c r="H89" s="134" t="str">
        <f ca="1">IFERROR(__xludf.DUMMYFUNCTION("""COMPUTED_VALUE"""),"")</f>
        <v/>
      </c>
      <c r="I89" s="134" t="str">
        <f ca="1">IFERROR(__xludf.DUMMYFUNCTION("""COMPUTED_VALUE"""),"")</f>
        <v/>
      </c>
      <c r="J89" s="134" t="str">
        <f ca="1">IFERROR(__xludf.DUMMYFUNCTION("""COMPUTED_VALUE"""),"")</f>
        <v/>
      </c>
    </row>
    <row r="90" spans="1:10">
      <c r="A90" s="134" t="str">
        <f ca="1">IFERROR(__xludf.DUMMYFUNCTION("""COMPUTED_VALUE"""),"")</f>
        <v/>
      </c>
      <c r="B90" s="134" t="str">
        <f ca="1">IFERROR(__xludf.DUMMYFUNCTION("""COMPUTED_VALUE"""),"")</f>
        <v/>
      </c>
      <c r="C90" s="134" t="str">
        <f ca="1">IFERROR(__xludf.DUMMYFUNCTION("""COMPUTED_VALUE"""),"")</f>
        <v/>
      </c>
      <c r="D90" s="134" t="str">
        <f ca="1">IFERROR(__xludf.DUMMYFUNCTION("""COMPUTED_VALUE"""),"")</f>
        <v/>
      </c>
      <c r="E90" s="134" t="str">
        <f ca="1">IFERROR(__xludf.DUMMYFUNCTION("""COMPUTED_VALUE"""),"")</f>
        <v/>
      </c>
      <c r="F90" s="134" t="str">
        <f ca="1">IFERROR(__xludf.DUMMYFUNCTION("""COMPUTED_VALUE"""),"")</f>
        <v/>
      </c>
      <c r="G90" s="134" t="str">
        <f ca="1">IFERROR(__xludf.DUMMYFUNCTION("""COMPUTED_VALUE"""),"")</f>
        <v/>
      </c>
      <c r="H90" s="134" t="str">
        <f ca="1">IFERROR(__xludf.DUMMYFUNCTION("""COMPUTED_VALUE"""),"")</f>
        <v/>
      </c>
      <c r="I90" s="134" t="str">
        <f ca="1">IFERROR(__xludf.DUMMYFUNCTION("""COMPUTED_VALUE"""),"")</f>
        <v/>
      </c>
      <c r="J90" s="134" t="str">
        <f ca="1">IFERROR(__xludf.DUMMYFUNCTION("""COMPUTED_VALUE"""),"")</f>
        <v/>
      </c>
    </row>
    <row r="91" spans="1:10">
      <c r="A91" s="134" t="str">
        <f ca="1">IFERROR(__xludf.DUMMYFUNCTION("""COMPUTED_VALUE"""),"")</f>
        <v/>
      </c>
      <c r="B91" s="134" t="str">
        <f ca="1">IFERROR(__xludf.DUMMYFUNCTION("""COMPUTED_VALUE"""),"")</f>
        <v/>
      </c>
      <c r="C91" s="134" t="str">
        <f ca="1">IFERROR(__xludf.DUMMYFUNCTION("""COMPUTED_VALUE"""),"")</f>
        <v/>
      </c>
      <c r="D91" s="134" t="str">
        <f ca="1">IFERROR(__xludf.DUMMYFUNCTION("""COMPUTED_VALUE"""),"")</f>
        <v/>
      </c>
      <c r="E91" s="134" t="str">
        <f ca="1">IFERROR(__xludf.DUMMYFUNCTION("""COMPUTED_VALUE"""),"")</f>
        <v/>
      </c>
      <c r="F91" s="134" t="str">
        <f ca="1">IFERROR(__xludf.DUMMYFUNCTION("""COMPUTED_VALUE"""),"")</f>
        <v/>
      </c>
      <c r="G91" s="134" t="str">
        <f ca="1">IFERROR(__xludf.DUMMYFUNCTION("""COMPUTED_VALUE"""),"")</f>
        <v/>
      </c>
      <c r="H91" s="134" t="str">
        <f ca="1">IFERROR(__xludf.DUMMYFUNCTION("""COMPUTED_VALUE"""),"")</f>
        <v/>
      </c>
      <c r="I91" s="134" t="str">
        <f ca="1">IFERROR(__xludf.DUMMYFUNCTION("""COMPUTED_VALUE"""),"")</f>
        <v/>
      </c>
      <c r="J91" s="134" t="str">
        <f ca="1">IFERROR(__xludf.DUMMYFUNCTION("""COMPUTED_VALUE"""),"")</f>
        <v/>
      </c>
    </row>
    <row r="92" spans="1:10">
      <c r="A92" s="134" t="str">
        <f ca="1">IFERROR(__xludf.DUMMYFUNCTION("""COMPUTED_VALUE"""),"")</f>
        <v/>
      </c>
      <c r="B92" s="134" t="str">
        <f ca="1">IFERROR(__xludf.DUMMYFUNCTION("""COMPUTED_VALUE"""),"")</f>
        <v/>
      </c>
      <c r="C92" s="134" t="str">
        <f ca="1">IFERROR(__xludf.DUMMYFUNCTION("""COMPUTED_VALUE"""),"")</f>
        <v/>
      </c>
      <c r="D92" s="134" t="str">
        <f ca="1">IFERROR(__xludf.DUMMYFUNCTION("""COMPUTED_VALUE"""),"")</f>
        <v/>
      </c>
      <c r="E92" s="134" t="str">
        <f ca="1">IFERROR(__xludf.DUMMYFUNCTION("""COMPUTED_VALUE"""),"")</f>
        <v/>
      </c>
      <c r="F92" s="134" t="str">
        <f ca="1">IFERROR(__xludf.DUMMYFUNCTION("""COMPUTED_VALUE"""),"")</f>
        <v/>
      </c>
      <c r="G92" s="134" t="str">
        <f ca="1">IFERROR(__xludf.DUMMYFUNCTION("""COMPUTED_VALUE"""),"")</f>
        <v/>
      </c>
      <c r="H92" s="134" t="str">
        <f ca="1">IFERROR(__xludf.DUMMYFUNCTION("""COMPUTED_VALUE"""),"")</f>
        <v/>
      </c>
      <c r="I92" s="134" t="str">
        <f ca="1">IFERROR(__xludf.DUMMYFUNCTION("""COMPUTED_VALUE"""),"")</f>
        <v/>
      </c>
      <c r="J92" s="134" t="str">
        <f ca="1">IFERROR(__xludf.DUMMYFUNCTION("""COMPUTED_VALUE"""),"")</f>
        <v/>
      </c>
    </row>
    <row r="93" spans="1:10">
      <c r="A93" s="134" t="str">
        <f ca="1">IFERROR(__xludf.DUMMYFUNCTION("""COMPUTED_VALUE"""),"")</f>
        <v/>
      </c>
      <c r="B93" s="134" t="str">
        <f ca="1">IFERROR(__xludf.DUMMYFUNCTION("""COMPUTED_VALUE"""),"")</f>
        <v/>
      </c>
      <c r="C93" s="134" t="str">
        <f ca="1">IFERROR(__xludf.DUMMYFUNCTION("""COMPUTED_VALUE"""),"")</f>
        <v/>
      </c>
      <c r="D93" s="134" t="str">
        <f ca="1">IFERROR(__xludf.DUMMYFUNCTION("""COMPUTED_VALUE"""),"")</f>
        <v/>
      </c>
      <c r="E93" s="134" t="str">
        <f ca="1">IFERROR(__xludf.DUMMYFUNCTION("""COMPUTED_VALUE"""),"")</f>
        <v/>
      </c>
      <c r="F93" s="134" t="str">
        <f ca="1">IFERROR(__xludf.DUMMYFUNCTION("""COMPUTED_VALUE"""),"")</f>
        <v/>
      </c>
      <c r="G93" s="134" t="str">
        <f ca="1">IFERROR(__xludf.DUMMYFUNCTION("""COMPUTED_VALUE"""),"")</f>
        <v/>
      </c>
      <c r="H93" s="134" t="str">
        <f ca="1">IFERROR(__xludf.DUMMYFUNCTION("""COMPUTED_VALUE"""),"")</f>
        <v/>
      </c>
      <c r="I93" s="134" t="str">
        <f ca="1">IFERROR(__xludf.DUMMYFUNCTION("""COMPUTED_VALUE"""),"")</f>
        <v/>
      </c>
      <c r="J93" s="134" t="str">
        <f ca="1">IFERROR(__xludf.DUMMYFUNCTION("""COMPUTED_VALUE"""),"")</f>
        <v/>
      </c>
    </row>
    <row r="94" spans="1:10">
      <c r="A94" s="134" t="str">
        <f ca="1">IFERROR(__xludf.DUMMYFUNCTION("""COMPUTED_VALUE"""),"")</f>
        <v/>
      </c>
      <c r="B94" s="134" t="str">
        <f ca="1">IFERROR(__xludf.DUMMYFUNCTION("""COMPUTED_VALUE"""),"")</f>
        <v/>
      </c>
      <c r="C94" s="134" t="str">
        <f ca="1">IFERROR(__xludf.DUMMYFUNCTION("""COMPUTED_VALUE"""),"")</f>
        <v/>
      </c>
      <c r="D94" s="134" t="str">
        <f ca="1">IFERROR(__xludf.DUMMYFUNCTION("""COMPUTED_VALUE"""),"")</f>
        <v/>
      </c>
      <c r="E94" s="134" t="str">
        <f ca="1">IFERROR(__xludf.DUMMYFUNCTION("""COMPUTED_VALUE"""),"")</f>
        <v/>
      </c>
      <c r="F94" s="134" t="str">
        <f ca="1">IFERROR(__xludf.DUMMYFUNCTION("""COMPUTED_VALUE"""),"")</f>
        <v/>
      </c>
      <c r="G94" s="134" t="str">
        <f ca="1">IFERROR(__xludf.DUMMYFUNCTION("""COMPUTED_VALUE"""),"")</f>
        <v/>
      </c>
      <c r="H94" s="134" t="str">
        <f ca="1">IFERROR(__xludf.DUMMYFUNCTION("""COMPUTED_VALUE"""),"")</f>
        <v/>
      </c>
      <c r="I94" s="134" t="str">
        <f ca="1">IFERROR(__xludf.DUMMYFUNCTION("""COMPUTED_VALUE"""),"")</f>
        <v/>
      </c>
      <c r="J94" s="134" t="str">
        <f ca="1">IFERROR(__xludf.DUMMYFUNCTION("""COMPUTED_VALUE"""),"")</f>
        <v/>
      </c>
    </row>
    <row r="95" spans="1:10">
      <c r="A95" s="134" t="str">
        <f ca="1">IFERROR(__xludf.DUMMYFUNCTION("""COMPUTED_VALUE"""),"")</f>
        <v/>
      </c>
      <c r="B95" s="134" t="str">
        <f ca="1">IFERROR(__xludf.DUMMYFUNCTION("""COMPUTED_VALUE"""),"")</f>
        <v/>
      </c>
      <c r="C95" s="134" t="str">
        <f ca="1">IFERROR(__xludf.DUMMYFUNCTION("""COMPUTED_VALUE"""),"")</f>
        <v/>
      </c>
      <c r="D95" s="134" t="str">
        <f ca="1">IFERROR(__xludf.DUMMYFUNCTION("""COMPUTED_VALUE"""),"")</f>
        <v/>
      </c>
      <c r="E95" s="134" t="str">
        <f ca="1">IFERROR(__xludf.DUMMYFUNCTION("""COMPUTED_VALUE"""),"")</f>
        <v/>
      </c>
      <c r="F95" s="134" t="str">
        <f ca="1">IFERROR(__xludf.DUMMYFUNCTION("""COMPUTED_VALUE"""),"")</f>
        <v/>
      </c>
      <c r="G95" s="134" t="str">
        <f ca="1">IFERROR(__xludf.DUMMYFUNCTION("""COMPUTED_VALUE"""),"")</f>
        <v/>
      </c>
      <c r="H95" s="134" t="str">
        <f ca="1">IFERROR(__xludf.DUMMYFUNCTION("""COMPUTED_VALUE"""),"")</f>
        <v/>
      </c>
      <c r="I95" s="134" t="str">
        <f ca="1">IFERROR(__xludf.DUMMYFUNCTION("""COMPUTED_VALUE"""),"")</f>
        <v/>
      </c>
      <c r="J95" s="134" t="str">
        <f ca="1">IFERROR(__xludf.DUMMYFUNCTION("""COMPUTED_VALUE"""),"")</f>
        <v/>
      </c>
    </row>
    <row r="96" spans="1:10">
      <c r="A96" s="134" t="str">
        <f ca="1">IFERROR(__xludf.DUMMYFUNCTION("""COMPUTED_VALUE"""),"")</f>
        <v/>
      </c>
      <c r="B96" s="134" t="str">
        <f ca="1">IFERROR(__xludf.DUMMYFUNCTION("""COMPUTED_VALUE"""),"")</f>
        <v/>
      </c>
      <c r="C96" s="134" t="str">
        <f ca="1">IFERROR(__xludf.DUMMYFUNCTION("""COMPUTED_VALUE"""),"")</f>
        <v/>
      </c>
      <c r="D96" s="134" t="str">
        <f ca="1">IFERROR(__xludf.DUMMYFUNCTION("""COMPUTED_VALUE"""),"")</f>
        <v/>
      </c>
      <c r="E96" s="134" t="str">
        <f ca="1">IFERROR(__xludf.DUMMYFUNCTION("""COMPUTED_VALUE"""),"")</f>
        <v/>
      </c>
      <c r="F96" s="134" t="str">
        <f ca="1">IFERROR(__xludf.DUMMYFUNCTION("""COMPUTED_VALUE"""),"")</f>
        <v/>
      </c>
      <c r="G96" s="134" t="str">
        <f ca="1">IFERROR(__xludf.DUMMYFUNCTION("""COMPUTED_VALUE"""),"")</f>
        <v/>
      </c>
      <c r="H96" s="134" t="str">
        <f ca="1">IFERROR(__xludf.DUMMYFUNCTION("""COMPUTED_VALUE"""),"")</f>
        <v/>
      </c>
      <c r="I96" s="134" t="str">
        <f ca="1">IFERROR(__xludf.DUMMYFUNCTION("""COMPUTED_VALUE"""),"")</f>
        <v/>
      </c>
      <c r="J96" s="134" t="str">
        <f ca="1">IFERROR(__xludf.DUMMYFUNCTION("""COMPUTED_VALUE"""),"")</f>
        <v/>
      </c>
    </row>
    <row r="97" spans="1:10">
      <c r="A97" s="134" t="str">
        <f ca="1">IFERROR(__xludf.DUMMYFUNCTION("""COMPUTED_VALUE"""),"")</f>
        <v/>
      </c>
      <c r="B97" s="134" t="str">
        <f ca="1">IFERROR(__xludf.DUMMYFUNCTION("""COMPUTED_VALUE"""),"")</f>
        <v/>
      </c>
      <c r="C97" s="134" t="str">
        <f ca="1">IFERROR(__xludf.DUMMYFUNCTION("""COMPUTED_VALUE"""),"")</f>
        <v/>
      </c>
      <c r="D97" s="134" t="str">
        <f ca="1">IFERROR(__xludf.DUMMYFUNCTION("""COMPUTED_VALUE"""),"")</f>
        <v/>
      </c>
      <c r="E97" s="134" t="str">
        <f ca="1">IFERROR(__xludf.DUMMYFUNCTION("""COMPUTED_VALUE"""),"")</f>
        <v/>
      </c>
      <c r="F97" s="134" t="str">
        <f ca="1">IFERROR(__xludf.DUMMYFUNCTION("""COMPUTED_VALUE"""),"")</f>
        <v/>
      </c>
      <c r="G97" s="134" t="str">
        <f ca="1">IFERROR(__xludf.DUMMYFUNCTION("""COMPUTED_VALUE"""),"")</f>
        <v/>
      </c>
      <c r="H97" s="134" t="str">
        <f ca="1">IFERROR(__xludf.DUMMYFUNCTION("""COMPUTED_VALUE"""),"")</f>
        <v/>
      </c>
      <c r="I97" s="134" t="str">
        <f ca="1">IFERROR(__xludf.DUMMYFUNCTION("""COMPUTED_VALUE"""),"")</f>
        <v/>
      </c>
      <c r="J97" s="134" t="str">
        <f ca="1">IFERROR(__xludf.DUMMYFUNCTION("""COMPUTED_VALUE"""),"")</f>
        <v/>
      </c>
    </row>
    <row r="98" spans="1:10">
      <c r="A98" s="134" t="str">
        <f ca="1">IFERROR(__xludf.DUMMYFUNCTION("""COMPUTED_VALUE"""),"")</f>
        <v/>
      </c>
      <c r="B98" s="134" t="str">
        <f ca="1">IFERROR(__xludf.DUMMYFUNCTION("""COMPUTED_VALUE"""),"")</f>
        <v/>
      </c>
      <c r="C98" s="134" t="str">
        <f ca="1">IFERROR(__xludf.DUMMYFUNCTION("""COMPUTED_VALUE"""),"")</f>
        <v/>
      </c>
      <c r="D98" s="134" t="str">
        <f ca="1">IFERROR(__xludf.DUMMYFUNCTION("""COMPUTED_VALUE"""),"")</f>
        <v/>
      </c>
      <c r="E98" s="134" t="str">
        <f ca="1">IFERROR(__xludf.DUMMYFUNCTION("""COMPUTED_VALUE"""),"")</f>
        <v/>
      </c>
      <c r="F98" s="134" t="str">
        <f ca="1">IFERROR(__xludf.DUMMYFUNCTION("""COMPUTED_VALUE"""),"")</f>
        <v/>
      </c>
      <c r="G98" s="134" t="str">
        <f ca="1">IFERROR(__xludf.DUMMYFUNCTION("""COMPUTED_VALUE"""),"")</f>
        <v/>
      </c>
      <c r="H98" s="134" t="str">
        <f ca="1">IFERROR(__xludf.DUMMYFUNCTION("""COMPUTED_VALUE"""),"")</f>
        <v/>
      </c>
      <c r="I98" s="134" t="str">
        <f ca="1">IFERROR(__xludf.DUMMYFUNCTION("""COMPUTED_VALUE"""),"")</f>
        <v/>
      </c>
      <c r="J98" s="134" t="str">
        <f ca="1">IFERROR(__xludf.DUMMYFUNCTION("""COMPUTED_VALUE"""),"")</f>
        <v/>
      </c>
    </row>
    <row r="99" spans="1:10">
      <c r="A99" s="134" t="str">
        <f ca="1">IFERROR(__xludf.DUMMYFUNCTION("""COMPUTED_VALUE"""),"")</f>
        <v/>
      </c>
      <c r="B99" s="134" t="str">
        <f ca="1">IFERROR(__xludf.DUMMYFUNCTION("""COMPUTED_VALUE"""),"")</f>
        <v/>
      </c>
      <c r="C99" s="134" t="str">
        <f ca="1">IFERROR(__xludf.DUMMYFUNCTION("""COMPUTED_VALUE"""),"")</f>
        <v/>
      </c>
      <c r="D99" s="134" t="str">
        <f ca="1">IFERROR(__xludf.DUMMYFUNCTION("""COMPUTED_VALUE"""),"")</f>
        <v/>
      </c>
      <c r="E99" s="134" t="str">
        <f ca="1">IFERROR(__xludf.DUMMYFUNCTION("""COMPUTED_VALUE"""),"")</f>
        <v/>
      </c>
      <c r="F99" s="134" t="str">
        <f ca="1">IFERROR(__xludf.DUMMYFUNCTION("""COMPUTED_VALUE"""),"")</f>
        <v/>
      </c>
      <c r="G99" s="134" t="str">
        <f ca="1">IFERROR(__xludf.DUMMYFUNCTION("""COMPUTED_VALUE"""),"")</f>
        <v/>
      </c>
      <c r="H99" s="134" t="str">
        <f ca="1">IFERROR(__xludf.DUMMYFUNCTION("""COMPUTED_VALUE"""),"")</f>
        <v/>
      </c>
      <c r="I99" s="134" t="str">
        <f ca="1">IFERROR(__xludf.DUMMYFUNCTION("""COMPUTED_VALUE"""),"")</f>
        <v/>
      </c>
      <c r="J99" s="134" t="str">
        <f ca="1">IFERROR(__xludf.DUMMYFUNCTION("""COMPUTED_VALUE"""),"")</f>
        <v/>
      </c>
    </row>
    <row r="100" spans="1:10">
      <c r="A100" s="134" t="str">
        <f ca="1">IFERROR(__xludf.DUMMYFUNCTION("""COMPUTED_VALUE"""),"")</f>
        <v/>
      </c>
      <c r="B100" s="134" t="str">
        <f ca="1">IFERROR(__xludf.DUMMYFUNCTION("""COMPUTED_VALUE"""),"")</f>
        <v/>
      </c>
      <c r="C100" s="134" t="str">
        <f ca="1">IFERROR(__xludf.DUMMYFUNCTION("""COMPUTED_VALUE"""),"")</f>
        <v/>
      </c>
      <c r="D100" s="134" t="str">
        <f ca="1">IFERROR(__xludf.DUMMYFUNCTION("""COMPUTED_VALUE"""),"")</f>
        <v/>
      </c>
      <c r="E100" s="134" t="str">
        <f ca="1">IFERROR(__xludf.DUMMYFUNCTION("""COMPUTED_VALUE"""),"")</f>
        <v/>
      </c>
      <c r="F100" s="134" t="str">
        <f ca="1">IFERROR(__xludf.DUMMYFUNCTION("""COMPUTED_VALUE"""),"")</f>
        <v/>
      </c>
      <c r="G100" s="134" t="str">
        <f ca="1">IFERROR(__xludf.DUMMYFUNCTION("""COMPUTED_VALUE"""),"")</f>
        <v/>
      </c>
      <c r="H100" s="134" t="str">
        <f ca="1">IFERROR(__xludf.DUMMYFUNCTION("""COMPUTED_VALUE"""),"")</f>
        <v/>
      </c>
      <c r="I100" s="134" t="str">
        <f ca="1">IFERROR(__xludf.DUMMYFUNCTION("""COMPUTED_VALUE"""),"")</f>
        <v/>
      </c>
      <c r="J100" s="134" t="str">
        <f ca="1">IFERROR(__xludf.DUMMYFUNCTION("""COMPUTED_VALUE"""),"")</f>
        <v/>
      </c>
    </row>
    <row r="101" spans="1:10">
      <c r="A101" s="134" t="str">
        <f ca="1">IFERROR(__xludf.DUMMYFUNCTION("""COMPUTED_VALUE"""),"")</f>
        <v/>
      </c>
      <c r="B101" s="134" t="str">
        <f ca="1">IFERROR(__xludf.DUMMYFUNCTION("""COMPUTED_VALUE"""),"")</f>
        <v/>
      </c>
      <c r="C101" s="134" t="str">
        <f ca="1">IFERROR(__xludf.DUMMYFUNCTION("""COMPUTED_VALUE"""),"")</f>
        <v/>
      </c>
      <c r="D101" s="134" t="str">
        <f ca="1">IFERROR(__xludf.DUMMYFUNCTION("""COMPUTED_VALUE"""),"")</f>
        <v/>
      </c>
      <c r="E101" s="134" t="str">
        <f ca="1">IFERROR(__xludf.DUMMYFUNCTION("""COMPUTED_VALUE"""),"")</f>
        <v/>
      </c>
      <c r="F101" s="134" t="str">
        <f ca="1">IFERROR(__xludf.DUMMYFUNCTION("""COMPUTED_VALUE"""),"")</f>
        <v/>
      </c>
      <c r="G101" s="134" t="str">
        <f ca="1">IFERROR(__xludf.DUMMYFUNCTION("""COMPUTED_VALUE"""),"")</f>
        <v/>
      </c>
      <c r="H101" s="134" t="str">
        <f ca="1">IFERROR(__xludf.DUMMYFUNCTION("""COMPUTED_VALUE"""),"")</f>
        <v/>
      </c>
      <c r="I101" s="134" t="str">
        <f ca="1">IFERROR(__xludf.DUMMYFUNCTION("""COMPUTED_VALUE"""),"")</f>
        <v/>
      </c>
      <c r="J101" s="134" t="str">
        <f ca="1">IFERROR(__xludf.DUMMYFUNCTION("""COMPUTED_VALUE"""),"")</f>
        <v/>
      </c>
    </row>
    <row r="102" spans="1:10">
      <c r="A102" s="134" t="str">
        <f ca="1">IFERROR(__xludf.DUMMYFUNCTION("""COMPUTED_VALUE"""),"")</f>
        <v/>
      </c>
      <c r="B102" s="134" t="str">
        <f ca="1">IFERROR(__xludf.DUMMYFUNCTION("""COMPUTED_VALUE"""),"")</f>
        <v/>
      </c>
      <c r="C102" s="134" t="str">
        <f ca="1">IFERROR(__xludf.DUMMYFUNCTION("""COMPUTED_VALUE"""),"")</f>
        <v/>
      </c>
      <c r="D102" s="134" t="str">
        <f ca="1">IFERROR(__xludf.DUMMYFUNCTION("""COMPUTED_VALUE"""),"")</f>
        <v/>
      </c>
      <c r="E102" s="134" t="str">
        <f ca="1">IFERROR(__xludf.DUMMYFUNCTION("""COMPUTED_VALUE"""),"")</f>
        <v/>
      </c>
      <c r="F102" s="134" t="str">
        <f ca="1">IFERROR(__xludf.DUMMYFUNCTION("""COMPUTED_VALUE"""),"")</f>
        <v/>
      </c>
      <c r="G102" s="134" t="str">
        <f ca="1">IFERROR(__xludf.DUMMYFUNCTION("""COMPUTED_VALUE"""),"")</f>
        <v/>
      </c>
      <c r="H102" s="134" t="str">
        <f ca="1">IFERROR(__xludf.DUMMYFUNCTION("""COMPUTED_VALUE"""),"")</f>
        <v/>
      </c>
      <c r="I102" s="134" t="str">
        <f ca="1">IFERROR(__xludf.DUMMYFUNCTION("""COMPUTED_VALUE"""),"")</f>
        <v/>
      </c>
      <c r="J102" s="134" t="str">
        <f ca="1">IFERROR(__xludf.DUMMYFUNCTION("""COMPUTED_VALUE"""),"")</f>
        <v/>
      </c>
    </row>
    <row r="103" spans="1:10">
      <c r="A103" s="134" t="str">
        <f ca="1">IFERROR(__xludf.DUMMYFUNCTION("""COMPUTED_VALUE"""),"")</f>
        <v/>
      </c>
      <c r="B103" s="134" t="str">
        <f ca="1">IFERROR(__xludf.DUMMYFUNCTION("""COMPUTED_VALUE"""),"")</f>
        <v/>
      </c>
      <c r="C103" s="134" t="str">
        <f ca="1">IFERROR(__xludf.DUMMYFUNCTION("""COMPUTED_VALUE"""),"")</f>
        <v/>
      </c>
      <c r="D103" s="134" t="str">
        <f ca="1">IFERROR(__xludf.DUMMYFUNCTION("""COMPUTED_VALUE"""),"")</f>
        <v/>
      </c>
      <c r="E103" s="134" t="str">
        <f ca="1">IFERROR(__xludf.DUMMYFUNCTION("""COMPUTED_VALUE"""),"")</f>
        <v/>
      </c>
      <c r="F103" s="134" t="str">
        <f ca="1">IFERROR(__xludf.DUMMYFUNCTION("""COMPUTED_VALUE"""),"")</f>
        <v/>
      </c>
      <c r="G103" s="134" t="str">
        <f ca="1">IFERROR(__xludf.DUMMYFUNCTION("""COMPUTED_VALUE"""),"")</f>
        <v/>
      </c>
      <c r="H103" s="134" t="str">
        <f ca="1">IFERROR(__xludf.DUMMYFUNCTION("""COMPUTED_VALUE"""),"")</f>
        <v/>
      </c>
      <c r="I103" s="134" t="str">
        <f ca="1">IFERROR(__xludf.DUMMYFUNCTION("""COMPUTED_VALUE"""),"")</f>
        <v/>
      </c>
      <c r="J103" s="134" t="str">
        <f ca="1">IFERROR(__xludf.DUMMYFUNCTION("""COMPUTED_VALUE"""),"")</f>
        <v/>
      </c>
    </row>
    <row r="104" spans="1:10">
      <c r="A104" s="134" t="str">
        <f ca="1">IFERROR(__xludf.DUMMYFUNCTION("""COMPUTED_VALUE"""),"")</f>
        <v/>
      </c>
      <c r="B104" s="134" t="str">
        <f ca="1">IFERROR(__xludf.DUMMYFUNCTION("""COMPUTED_VALUE"""),"")</f>
        <v/>
      </c>
      <c r="C104" s="134" t="str">
        <f ca="1">IFERROR(__xludf.DUMMYFUNCTION("""COMPUTED_VALUE"""),"")</f>
        <v/>
      </c>
      <c r="D104" s="134" t="str">
        <f ca="1">IFERROR(__xludf.DUMMYFUNCTION("""COMPUTED_VALUE"""),"")</f>
        <v/>
      </c>
      <c r="E104" s="134" t="str">
        <f ca="1">IFERROR(__xludf.DUMMYFUNCTION("""COMPUTED_VALUE"""),"")</f>
        <v/>
      </c>
      <c r="F104" s="134" t="str">
        <f ca="1">IFERROR(__xludf.DUMMYFUNCTION("""COMPUTED_VALUE"""),"")</f>
        <v/>
      </c>
      <c r="G104" s="134" t="str">
        <f ca="1">IFERROR(__xludf.DUMMYFUNCTION("""COMPUTED_VALUE"""),"")</f>
        <v/>
      </c>
      <c r="H104" s="134" t="str">
        <f ca="1">IFERROR(__xludf.DUMMYFUNCTION("""COMPUTED_VALUE"""),"")</f>
        <v/>
      </c>
      <c r="I104" s="134" t="str">
        <f ca="1">IFERROR(__xludf.DUMMYFUNCTION("""COMPUTED_VALUE"""),"")</f>
        <v/>
      </c>
      <c r="J104" s="134" t="str">
        <f ca="1">IFERROR(__xludf.DUMMYFUNCTION("""COMPUTED_VALUE"""),"")</f>
        <v/>
      </c>
    </row>
    <row r="105" spans="1:10">
      <c r="A105" s="134" t="str">
        <f ca="1">IFERROR(__xludf.DUMMYFUNCTION("""COMPUTED_VALUE"""),"")</f>
        <v/>
      </c>
      <c r="B105" s="134" t="str">
        <f ca="1">IFERROR(__xludf.DUMMYFUNCTION("""COMPUTED_VALUE"""),"")</f>
        <v/>
      </c>
      <c r="C105" s="134" t="str">
        <f ca="1">IFERROR(__xludf.DUMMYFUNCTION("""COMPUTED_VALUE"""),"")</f>
        <v/>
      </c>
      <c r="D105" s="134" t="str">
        <f ca="1">IFERROR(__xludf.DUMMYFUNCTION("""COMPUTED_VALUE"""),"")</f>
        <v/>
      </c>
      <c r="E105" s="134" t="str">
        <f ca="1">IFERROR(__xludf.DUMMYFUNCTION("""COMPUTED_VALUE"""),"")</f>
        <v/>
      </c>
      <c r="F105" s="134" t="str">
        <f ca="1">IFERROR(__xludf.DUMMYFUNCTION("""COMPUTED_VALUE"""),"")</f>
        <v/>
      </c>
      <c r="G105" s="134" t="str">
        <f ca="1">IFERROR(__xludf.DUMMYFUNCTION("""COMPUTED_VALUE"""),"")</f>
        <v/>
      </c>
      <c r="H105" s="134" t="str">
        <f ca="1">IFERROR(__xludf.DUMMYFUNCTION("""COMPUTED_VALUE"""),"")</f>
        <v/>
      </c>
      <c r="I105" s="134" t="str">
        <f ca="1">IFERROR(__xludf.DUMMYFUNCTION("""COMPUTED_VALUE"""),"")</f>
        <v/>
      </c>
      <c r="J105" s="134" t="str">
        <f ca="1">IFERROR(__xludf.DUMMYFUNCTION("""COMPUTED_VALUE"""),"")</f>
        <v/>
      </c>
    </row>
    <row r="106" spans="1:10">
      <c r="A106" s="134" t="str">
        <f ca="1">IFERROR(__xludf.DUMMYFUNCTION("""COMPUTED_VALUE"""),"")</f>
        <v/>
      </c>
      <c r="B106" s="134" t="str">
        <f ca="1">IFERROR(__xludf.DUMMYFUNCTION("""COMPUTED_VALUE"""),"")</f>
        <v/>
      </c>
      <c r="C106" s="134" t="str">
        <f ca="1">IFERROR(__xludf.DUMMYFUNCTION("""COMPUTED_VALUE"""),"")</f>
        <v/>
      </c>
      <c r="D106" s="134" t="str">
        <f ca="1">IFERROR(__xludf.DUMMYFUNCTION("""COMPUTED_VALUE"""),"")</f>
        <v/>
      </c>
      <c r="E106" s="134" t="str">
        <f ca="1">IFERROR(__xludf.DUMMYFUNCTION("""COMPUTED_VALUE"""),"")</f>
        <v/>
      </c>
      <c r="F106" s="134" t="str">
        <f ca="1">IFERROR(__xludf.DUMMYFUNCTION("""COMPUTED_VALUE"""),"")</f>
        <v/>
      </c>
      <c r="G106" s="134" t="str">
        <f ca="1">IFERROR(__xludf.DUMMYFUNCTION("""COMPUTED_VALUE"""),"")</f>
        <v/>
      </c>
      <c r="H106" s="134" t="str">
        <f ca="1">IFERROR(__xludf.DUMMYFUNCTION("""COMPUTED_VALUE"""),"")</f>
        <v/>
      </c>
      <c r="I106" s="134" t="str">
        <f ca="1">IFERROR(__xludf.DUMMYFUNCTION("""COMPUTED_VALUE"""),"")</f>
        <v/>
      </c>
      <c r="J106" s="134" t="str">
        <f ca="1">IFERROR(__xludf.DUMMYFUNCTION("""COMPUTED_VALUE"""),"")</f>
        <v/>
      </c>
    </row>
    <row r="107" spans="1:10">
      <c r="A107" s="134" t="str">
        <f ca="1">IFERROR(__xludf.DUMMYFUNCTION("""COMPUTED_VALUE"""),"")</f>
        <v/>
      </c>
      <c r="B107" s="134" t="str">
        <f ca="1">IFERROR(__xludf.DUMMYFUNCTION("""COMPUTED_VALUE"""),"")</f>
        <v/>
      </c>
      <c r="C107" s="134" t="str">
        <f ca="1">IFERROR(__xludf.DUMMYFUNCTION("""COMPUTED_VALUE"""),"")</f>
        <v/>
      </c>
      <c r="D107" s="134" t="str">
        <f ca="1">IFERROR(__xludf.DUMMYFUNCTION("""COMPUTED_VALUE"""),"")</f>
        <v/>
      </c>
      <c r="E107" s="134" t="str">
        <f ca="1">IFERROR(__xludf.DUMMYFUNCTION("""COMPUTED_VALUE"""),"")</f>
        <v/>
      </c>
      <c r="F107" s="134" t="str">
        <f ca="1">IFERROR(__xludf.DUMMYFUNCTION("""COMPUTED_VALUE"""),"")</f>
        <v/>
      </c>
      <c r="G107" s="134" t="str">
        <f ca="1">IFERROR(__xludf.DUMMYFUNCTION("""COMPUTED_VALUE"""),"")</f>
        <v/>
      </c>
      <c r="H107" s="134" t="str">
        <f ca="1">IFERROR(__xludf.DUMMYFUNCTION("""COMPUTED_VALUE"""),"")</f>
        <v/>
      </c>
      <c r="I107" s="134" t="str">
        <f ca="1">IFERROR(__xludf.DUMMYFUNCTION("""COMPUTED_VALUE"""),"")</f>
        <v/>
      </c>
      <c r="J107" s="134" t="str">
        <f ca="1">IFERROR(__xludf.DUMMYFUNCTION("""COMPUTED_VALUE"""),"")</f>
        <v/>
      </c>
    </row>
    <row r="108" spans="1:10">
      <c r="A108" s="134" t="str">
        <f ca="1">IFERROR(__xludf.DUMMYFUNCTION("""COMPUTED_VALUE"""),"")</f>
        <v/>
      </c>
      <c r="B108" s="134" t="str">
        <f ca="1">IFERROR(__xludf.DUMMYFUNCTION("""COMPUTED_VALUE"""),"")</f>
        <v/>
      </c>
      <c r="C108" s="134" t="str">
        <f ca="1">IFERROR(__xludf.DUMMYFUNCTION("""COMPUTED_VALUE"""),"")</f>
        <v/>
      </c>
      <c r="D108" s="134" t="str">
        <f ca="1">IFERROR(__xludf.DUMMYFUNCTION("""COMPUTED_VALUE"""),"")</f>
        <v/>
      </c>
      <c r="E108" s="134" t="str">
        <f ca="1">IFERROR(__xludf.DUMMYFUNCTION("""COMPUTED_VALUE"""),"")</f>
        <v/>
      </c>
      <c r="F108" s="134" t="str">
        <f ca="1">IFERROR(__xludf.DUMMYFUNCTION("""COMPUTED_VALUE"""),"")</f>
        <v/>
      </c>
      <c r="G108" s="134" t="str">
        <f ca="1">IFERROR(__xludf.DUMMYFUNCTION("""COMPUTED_VALUE"""),"")</f>
        <v/>
      </c>
      <c r="H108" s="134" t="str">
        <f ca="1">IFERROR(__xludf.DUMMYFUNCTION("""COMPUTED_VALUE"""),"")</f>
        <v/>
      </c>
      <c r="I108" s="134" t="str">
        <f ca="1">IFERROR(__xludf.DUMMYFUNCTION("""COMPUTED_VALUE"""),"")</f>
        <v/>
      </c>
      <c r="J108" s="134" t="str">
        <f ca="1">IFERROR(__xludf.DUMMYFUNCTION("""COMPUTED_VALUE"""),"")</f>
        <v/>
      </c>
    </row>
    <row r="109" spans="1:10">
      <c r="A109" s="134" t="str">
        <f ca="1">IFERROR(__xludf.DUMMYFUNCTION("""COMPUTED_VALUE"""),"")</f>
        <v/>
      </c>
      <c r="B109" s="134" t="str">
        <f ca="1">IFERROR(__xludf.DUMMYFUNCTION("""COMPUTED_VALUE"""),"")</f>
        <v/>
      </c>
      <c r="C109" s="134" t="str">
        <f ca="1">IFERROR(__xludf.DUMMYFUNCTION("""COMPUTED_VALUE"""),"")</f>
        <v/>
      </c>
      <c r="D109" s="134" t="str">
        <f ca="1">IFERROR(__xludf.DUMMYFUNCTION("""COMPUTED_VALUE"""),"")</f>
        <v/>
      </c>
      <c r="E109" s="134" t="str">
        <f ca="1">IFERROR(__xludf.DUMMYFUNCTION("""COMPUTED_VALUE"""),"")</f>
        <v/>
      </c>
      <c r="F109" s="134" t="str">
        <f ca="1">IFERROR(__xludf.DUMMYFUNCTION("""COMPUTED_VALUE"""),"")</f>
        <v/>
      </c>
      <c r="G109" s="134" t="str">
        <f ca="1">IFERROR(__xludf.DUMMYFUNCTION("""COMPUTED_VALUE"""),"")</f>
        <v/>
      </c>
      <c r="H109" s="134" t="str">
        <f ca="1">IFERROR(__xludf.DUMMYFUNCTION("""COMPUTED_VALUE"""),"")</f>
        <v/>
      </c>
      <c r="I109" s="134" t="str">
        <f ca="1">IFERROR(__xludf.DUMMYFUNCTION("""COMPUTED_VALUE"""),"")</f>
        <v/>
      </c>
      <c r="J109" s="134" t="str">
        <f ca="1">IFERROR(__xludf.DUMMYFUNCTION("""COMPUTED_VALUE"""),"")</f>
        <v/>
      </c>
    </row>
    <row r="110" spans="1:10">
      <c r="A110" s="134" t="str">
        <f ca="1">IFERROR(__xludf.DUMMYFUNCTION("""COMPUTED_VALUE"""),"")</f>
        <v/>
      </c>
      <c r="B110" s="134" t="str">
        <f ca="1">IFERROR(__xludf.DUMMYFUNCTION("""COMPUTED_VALUE"""),"")</f>
        <v/>
      </c>
      <c r="C110" s="134" t="str">
        <f ca="1">IFERROR(__xludf.DUMMYFUNCTION("""COMPUTED_VALUE"""),"")</f>
        <v/>
      </c>
      <c r="D110" s="134" t="str">
        <f ca="1">IFERROR(__xludf.DUMMYFUNCTION("""COMPUTED_VALUE"""),"")</f>
        <v/>
      </c>
      <c r="E110" s="134" t="str">
        <f ca="1">IFERROR(__xludf.DUMMYFUNCTION("""COMPUTED_VALUE"""),"")</f>
        <v/>
      </c>
      <c r="F110" s="134" t="str">
        <f ca="1">IFERROR(__xludf.DUMMYFUNCTION("""COMPUTED_VALUE"""),"")</f>
        <v/>
      </c>
      <c r="G110" s="134" t="str">
        <f ca="1">IFERROR(__xludf.DUMMYFUNCTION("""COMPUTED_VALUE"""),"")</f>
        <v/>
      </c>
      <c r="H110" s="134" t="str">
        <f ca="1">IFERROR(__xludf.DUMMYFUNCTION("""COMPUTED_VALUE"""),"")</f>
        <v/>
      </c>
      <c r="I110" s="134" t="str">
        <f ca="1">IFERROR(__xludf.DUMMYFUNCTION("""COMPUTED_VALUE"""),"")</f>
        <v/>
      </c>
      <c r="J110" s="134" t="str">
        <f ca="1">IFERROR(__xludf.DUMMYFUNCTION("""COMPUTED_VALUE"""),"")</f>
        <v/>
      </c>
    </row>
    <row r="111" spans="1:10">
      <c r="A111" s="134" t="str">
        <f ca="1">IFERROR(__xludf.DUMMYFUNCTION("""COMPUTED_VALUE"""),"")</f>
        <v/>
      </c>
      <c r="B111" s="134" t="str">
        <f ca="1">IFERROR(__xludf.DUMMYFUNCTION("""COMPUTED_VALUE"""),"")</f>
        <v/>
      </c>
      <c r="C111" s="134" t="str">
        <f ca="1">IFERROR(__xludf.DUMMYFUNCTION("""COMPUTED_VALUE"""),"")</f>
        <v/>
      </c>
      <c r="D111" s="134" t="str">
        <f ca="1">IFERROR(__xludf.DUMMYFUNCTION("""COMPUTED_VALUE"""),"")</f>
        <v/>
      </c>
      <c r="E111" s="134" t="str">
        <f ca="1">IFERROR(__xludf.DUMMYFUNCTION("""COMPUTED_VALUE"""),"")</f>
        <v/>
      </c>
      <c r="F111" s="134" t="str">
        <f ca="1">IFERROR(__xludf.DUMMYFUNCTION("""COMPUTED_VALUE"""),"")</f>
        <v/>
      </c>
      <c r="G111" s="134" t="str">
        <f ca="1">IFERROR(__xludf.DUMMYFUNCTION("""COMPUTED_VALUE"""),"")</f>
        <v/>
      </c>
      <c r="H111" s="134" t="str">
        <f ca="1">IFERROR(__xludf.DUMMYFUNCTION("""COMPUTED_VALUE"""),"")</f>
        <v/>
      </c>
      <c r="I111" s="134" t="str">
        <f ca="1">IFERROR(__xludf.DUMMYFUNCTION("""COMPUTED_VALUE"""),"")</f>
        <v/>
      </c>
      <c r="J111" s="134" t="str">
        <f ca="1">IFERROR(__xludf.DUMMYFUNCTION("""COMPUTED_VALUE"""),"")</f>
        <v/>
      </c>
    </row>
    <row r="112" spans="1:10">
      <c r="A112" s="134" t="str">
        <f ca="1">IFERROR(__xludf.DUMMYFUNCTION("""COMPUTED_VALUE"""),"")</f>
        <v/>
      </c>
      <c r="B112" s="134" t="str">
        <f ca="1">IFERROR(__xludf.DUMMYFUNCTION("""COMPUTED_VALUE"""),"")</f>
        <v/>
      </c>
      <c r="C112" s="134" t="str">
        <f ca="1">IFERROR(__xludf.DUMMYFUNCTION("""COMPUTED_VALUE"""),"")</f>
        <v/>
      </c>
      <c r="D112" s="134" t="str">
        <f ca="1">IFERROR(__xludf.DUMMYFUNCTION("""COMPUTED_VALUE"""),"")</f>
        <v/>
      </c>
      <c r="E112" s="134" t="str">
        <f ca="1">IFERROR(__xludf.DUMMYFUNCTION("""COMPUTED_VALUE"""),"")</f>
        <v/>
      </c>
      <c r="F112" s="134" t="str">
        <f ca="1">IFERROR(__xludf.DUMMYFUNCTION("""COMPUTED_VALUE"""),"")</f>
        <v/>
      </c>
      <c r="G112" s="134" t="str">
        <f ca="1">IFERROR(__xludf.DUMMYFUNCTION("""COMPUTED_VALUE"""),"")</f>
        <v/>
      </c>
      <c r="H112" s="134" t="str">
        <f ca="1">IFERROR(__xludf.DUMMYFUNCTION("""COMPUTED_VALUE"""),"")</f>
        <v/>
      </c>
      <c r="I112" s="134" t="str">
        <f ca="1">IFERROR(__xludf.DUMMYFUNCTION("""COMPUTED_VALUE"""),"")</f>
        <v/>
      </c>
      <c r="J112" s="134" t="str">
        <f ca="1">IFERROR(__xludf.DUMMYFUNCTION("""COMPUTED_VALUE"""),"")</f>
        <v/>
      </c>
    </row>
    <row r="113" spans="1:10">
      <c r="A113" s="134" t="str">
        <f ca="1">IFERROR(__xludf.DUMMYFUNCTION("""COMPUTED_VALUE"""),"")</f>
        <v/>
      </c>
      <c r="B113" s="134" t="str">
        <f ca="1">IFERROR(__xludf.DUMMYFUNCTION("""COMPUTED_VALUE"""),"")</f>
        <v/>
      </c>
      <c r="C113" s="134" t="str">
        <f ca="1">IFERROR(__xludf.DUMMYFUNCTION("""COMPUTED_VALUE"""),"")</f>
        <v/>
      </c>
      <c r="D113" s="134" t="str">
        <f ca="1">IFERROR(__xludf.DUMMYFUNCTION("""COMPUTED_VALUE"""),"")</f>
        <v/>
      </c>
      <c r="E113" s="134" t="str">
        <f ca="1">IFERROR(__xludf.DUMMYFUNCTION("""COMPUTED_VALUE"""),"")</f>
        <v/>
      </c>
      <c r="F113" s="134" t="str">
        <f ca="1">IFERROR(__xludf.DUMMYFUNCTION("""COMPUTED_VALUE"""),"")</f>
        <v/>
      </c>
      <c r="G113" s="134" t="str">
        <f ca="1">IFERROR(__xludf.DUMMYFUNCTION("""COMPUTED_VALUE"""),"")</f>
        <v/>
      </c>
      <c r="H113" s="134" t="str">
        <f ca="1">IFERROR(__xludf.DUMMYFUNCTION("""COMPUTED_VALUE"""),"")</f>
        <v/>
      </c>
      <c r="I113" s="134" t="str">
        <f ca="1">IFERROR(__xludf.DUMMYFUNCTION("""COMPUTED_VALUE"""),"")</f>
        <v/>
      </c>
      <c r="J113" s="134" t="str">
        <f ca="1">IFERROR(__xludf.DUMMYFUNCTION("""COMPUTED_VALUE"""),"")</f>
        <v/>
      </c>
    </row>
    <row r="114" spans="1:10">
      <c r="A114" s="134" t="str">
        <f ca="1">IFERROR(__xludf.DUMMYFUNCTION("""COMPUTED_VALUE"""),"")</f>
        <v/>
      </c>
      <c r="B114" s="134" t="str">
        <f ca="1">IFERROR(__xludf.DUMMYFUNCTION("""COMPUTED_VALUE"""),"")</f>
        <v/>
      </c>
      <c r="C114" s="134" t="str">
        <f ca="1">IFERROR(__xludf.DUMMYFUNCTION("""COMPUTED_VALUE"""),"")</f>
        <v/>
      </c>
      <c r="D114" s="134" t="str">
        <f ca="1">IFERROR(__xludf.DUMMYFUNCTION("""COMPUTED_VALUE"""),"")</f>
        <v/>
      </c>
      <c r="E114" s="134" t="str">
        <f ca="1">IFERROR(__xludf.DUMMYFUNCTION("""COMPUTED_VALUE"""),"")</f>
        <v/>
      </c>
      <c r="F114" s="134" t="str">
        <f ca="1">IFERROR(__xludf.DUMMYFUNCTION("""COMPUTED_VALUE"""),"")</f>
        <v/>
      </c>
      <c r="G114" s="134" t="str">
        <f ca="1">IFERROR(__xludf.DUMMYFUNCTION("""COMPUTED_VALUE"""),"")</f>
        <v/>
      </c>
      <c r="H114" s="134" t="str">
        <f ca="1">IFERROR(__xludf.DUMMYFUNCTION("""COMPUTED_VALUE"""),"")</f>
        <v/>
      </c>
      <c r="I114" s="134" t="str">
        <f ca="1">IFERROR(__xludf.DUMMYFUNCTION("""COMPUTED_VALUE"""),"")</f>
        <v/>
      </c>
      <c r="J114" s="134" t="str">
        <f ca="1">IFERROR(__xludf.DUMMYFUNCTION("""COMPUTED_VALUE"""),"")</f>
        <v/>
      </c>
    </row>
    <row r="115" spans="1:10">
      <c r="A115" s="134" t="str">
        <f ca="1">IFERROR(__xludf.DUMMYFUNCTION("""COMPUTED_VALUE"""),"")</f>
        <v/>
      </c>
      <c r="B115" s="134" t="str">
        <f ca="1">IFERROR(__xludf.DUMMYFUNCTION("""COMPUTED_VALUE"""),"")</f>
        <v/>
      </c>
      <c r="C115" s="134" t="str">
        <f ca="1">IFERROR(__xludf.DUMMYFUNCTION("""COMPUTED_VALUE"""),"")</f>
        <v/>
      </c>
      <c r="D115" s="134" t="str">
        <f ca="1">IFERROR(__xludf.DUMMYFUNCTION("""COMPUTED_VALUE"""),"")</f>
        <v/>
      </c>
      <c r="E115" s="134" t="str">
        <f ca="1">IFERROR(__xludf.DUMMYFUNCTION("""COMPUTED_VALUE"""),"")</f>
        <v/>
      </c>
      <c r="F115" s="134" t="str">
        <f ca="1">IFERROR(__xludf.DUMMYFUNCTION("""COMPUTED_VALUE"""),"")</f>
        <v/>
      </c>
      <c r="G115" s="134" t="str">
        <f ca="1">IFERROR(__xludf.DUMMYFUNCTION("""COMPUTED_VALUE"""),"")</f>
        <v/>
      </c>
      <c r="H115" s="134" t="str">
        <f ca="1">IFERROR(__xludf.DUMMYFUNCTION("""COMPUTED_VALUE"""),"")</f>
        <v/>
      </c>
      <c r="I115" s="134" t="str">
        <f ca="1">IFERROR(__xludf.DUMMYFUNCTION("""COMPUTED_VALUE"""),"")</f>
        <v/>
      </c>
      <c r="J115" s="134" t="str">
        <f ca="1">IFERROR(__xludf.DUMMYFUNCTION("""COMPUTED_VALUE"""),"")</f>
        <v/>
      </c>
    </row>
    <row r="116" spans="1:10">
      <c r="A116" s="134" t="str">
        <f ca="1">IFERROR(__xludf.DUMMYFUNCTION("""COMPUTED_VALUE"""),"")</f>
        <v/>
      </c>
      <c r="B116" s="134" t="str">
        <f ca="1">IFERROR(__xludf.DUMMYFUNCTION("""COMPUTED_VALUE"""),"")</f>
        <v/>
      </c>
      <c r="C116" s="134" t="str">
        <f ca="1">IFERROR(__xludf.DUMMYFUNCTION("""COMPUTED_VALUE"""),"")</f>
        <v/>
      </c>
      <c r="D116" s="134" t="str">
        <f ca="1">IFERROR(__xludf.DUMMYFUNCTION("""COMPUTED_VALUE"""),"")</f>
        <v/>
      </c>
      <c r="E116" s="134" t="str">
        <f ca="1">IFERROR(__xludf.DUMMYFUNCTION("""COMPUTED_VALUE"""),"")</f>
        <v/>
      </c>
      <c r="F116" s="134" t="str">
        <f ca="1">IFERROR(__xludf.DUMMYFUNCTION("""COMPUTED_VALUE"""),"")</f>
        <v/>
      </c>
      <c r="G116" s="134" t="str">
        <f ca="1">IFERROR(__xludf.DUMMYFUNCTION("""COMPUTED_VALUE"""),"")</f>
        <v/>
      </c>
      <c r="H116" s="134" t="str">
        <f ca="1">IFERROR(__xludf.DUMMYFUNCTION("""COMPUTED_VALUE"""),"")</f>
        <v/>
      </c>
      <c r="I116" s="134" t="str">
        <f ca="1">IFERROR(__xludf.DUMMYFUNCTION("""COMPUTED_VALUE"""),"")</f>
        <v/>
      </c>
      <c r="J116" s="134" t="str">
        <f ca="1">IFERROR(__xludf.DUMMYFUNCTION("""COMPUTED_VALUE"""),"")</f>
        <v/>
      </c>
    </row>
    <row r="117" spans="1:10">
      <c r="A117" s="134" t="str">
        <f ca="1">IFERROR(__xludf.DUMMYFUNCTION("""COMPUTED_VALUE"""),"")</f>
        <v/>
      </c>
      <c r="B117" s="134" t="str">
        <f ca="1">IFERROR(__xludf.DUMMYFUNCTION("""COMPUTED_VALUE"""),"")</f>
        <v/>
      </c>
      <c r="C117" s="134" t="str">
        <f ca="1">IFERROR(__xludf.DUMMYFUNCTION("""COMPUTED_VALUE"""),"")</f>
        <v/>
      </c>
      <c r="D117" s="134" t="str">
        <f ca="1">IFERROR(__xludf.DUMMYFUNCTION("""COMPUTED_VALUE"""),"")</f>
        <v/>
      </c>
      <c r="E117" s="134" t="str">
        <f ca="1">IFERROR(__xludf.DUMMYFUNCTION("""COMPUTED_VALUE"""),"")</f>
        <v/>
      </c>
      <c r="F117" s="134" t="str">
        <f ca="1">IFERROR(__xludf.DUMMYFUNCTION("""COMPUTED_VALUE"""),"")</f>
        <v/>
      </c>
      <c r="G117" s="134" t="str">
        <f ca="1">IFERROR(__xludf.DUMMYFUNCTION("""COMPUTED_VALUE"""),"")</f>
        <v/>
      </c>
      <c r="H117" s="134" t="str">
        <f ca="1">IFERROR(__xludf.DUMMYFUNCTION("""COMPUTED_VALUE"""),"")</f>
        <v/>
      </c>
      <c r="I117" s="134" t="str">
        <f ca="1">IFERROR(__xludf.DUMMYFUNCTION("""COMPUTED_VALUE"""),"")</f>
        <v/>
      </c>
      <c r="J117" s="134" t="str">
        <f ca="1">IFERROR(__xludf.DUMMYFUNCTION("""COMPUTED_VALUE"""),"")</f>
        <v/>
      </c>
    </row>
    <row r="118" spans="1:10">
      <c r="A118" s="134" t="str">
        <f ca="1">IFERROR(__xludf.DUMMYFUNCTION("""COMPUTED_VALUE"""),"")</f>
        <v/>
      </c>
      <c r="B118" s="134" t="str">
        <f ca="1">IFERROR(__xludf.DUMMYFUNCTION("""COMPUTED_VALUE"""),"")</f>
        <v/>
      </c>
      <c r="C118" s="134" t="str">
        <f ca="1">IFERROR(__xludf.DUMMYFUNCTION("""COMPUTED_VALUE"""),"")</f>
        <v/>
      </c>
      <c r="D118" s="134" t="str">
        <f ca="1">IFERROR(__xludf.DUMMYFUNCTION("""COMPUTED_VALUE"""),"")</f>
        <v/>
      </c>
      <c r="E118" s="134" t="str">
        <f ca="1">IFERROR(__xludf.DUMMYFUNCTION("""COMPUTED_VALUE"""),"")</f>
        <v/>
      </c>
      <c r="F118" s="134" t="str">
        <f ca="1">IFERROR(__xludf.DUMMYFUNCTION("""COMPUTED_VALUE"""),"")</f>
        <v/>
      </c>
      <c r="G118" s="134" t="str">
        <f ca="1">IFERROR(__xludf.DUMMYFUNCTION("""COMPUTED_VALUE"""),"")</f>
        <v/>
      </c>
      <c r="H118" s="134" t="str">
        <f ca="1">IFERROR(__xludf.DUMMYFUNCTION("""COMPUTED_VALUE"""),"")</f>
        <v/>
      </c>
      <c r="I118" s="134" t="str">
        <f ca="1">IFERROR(__xludf.DUMMYFUNCTION("""COMPUTED_VALUE"""),"")</f>
        <v/>
      </c>
      <c r="J118" s="134" t="str">
        <f ca="1">IFERROR(__xludf.DUMMYFUNCTION("""COMPUTED_VALUE"""),"")</f>
        <v/>
      </c>
    </row>
    <row r="119" spans="1:10">
      <c r="A119" s="134" t="str">
        <f ca="1">IFERROR(__xludf.DUMMYFUNCTION("""COMPUTED_VALUE"""),"")</f>
        <v/>
      </c>
      <c r="B119" s="134" t="str">
        <f ca="1">IFERROR(__xludf.DUMMYFUNCTION("""COMPUTED_VALUE"""),"")</f>
        <v/>
      </c>
      <c r="C119" s="134" t="str">
        <f ca="1">IFERROR(__xludf.DUMMYFUNCTION("""COMPUTED_VALUE"""),"")</f>
        <v/>
      </c>
      <c r="D119" s="134" t="str">
        <f ca="1">IFERROR(__xludf.DUMMYFUNCTION("""COMPUTED_VALUE"""),"")</f>
        <v/>
      </c>
      <c r="E119" s="134" t="str">
        <f ca="1">IFERROR(__xludf.DUMMYFUNCTION("""COMPUTED_VALUE"""),"")</f>
        <v/>
      </c>
      <c r="F119" s="134" t="str">
        <f ca="1">IFERROR(__xludf.DUMMYFUNCTION("""COMPUTED_VALUE"""),"")</f>
        <v/>
      </c>
      <c r="G119" s="134" t="str">
        <f ca="1">IFERROR(__xludf.DUMMYFUNCTION("""COMPUTED_VALUE"""),"")</f>
        <v/>
      </c>
      <c r="H119" s="134" t="str">
        <f ca="1">IFERROR(__xludf.DUMMYFUNCTION("""COMPUTED_VALUE"""),"")</f>
        <v/>
      </c>
      <c r="I119" s="134" t="str">
        <f ca="1">IFERROR(__xludf.DUMMYFUNCTION("""COMPUTED_VALUE"""),"")</f>
        <v/>
      </c>
      <c r="J119" s="134" t="str">
        <f ca="1">IFERROR(__xludf.DUMMYFUNCTION("""COMPUTED_VALUE"""),"")</f>
        <v/>
      </c>
    </row>
    <row r="120" spans="1:10">
      <c r="A120" s="134" t="str">
        <f ca="1">IFERROR(__xludf.DUMMYFUNCTION("""COMPUTED_VALUE"""),"")</f>
        <v/>
      </c>
      <c r="B120" s="134" t="str">
        <f ca="1">IFERROR(__xludf.DUMMYFUNCTION("""COMPUTED_VALUE"""),"")</f>
        <v/>
      </c>
      <c r="C120" s="134" t="str">
        <f ca="1">IFERROR(__xludf.DUMMYFUNCTION("""COMPUTED_VALUE"""),"")</f>
        <v/>
      </c>
      <c r="D120" s="134" t="str">
        <f ca="1">IFERROR(__xludf.DUMMYFUNCTION("""COMPUTED_VALUE"""),"")</f>
        <v/>
      </c>
      <c r="E120" s="134" t="str">
        <f ca="1">IFERROR(__xludf.DUMMYFUNCTION("""COMPUTED_VALUE"""),"")</f>
        <v/>
      </c>
      <c r="F120" s="134" t="str">
        <f ca="1">IFERROR(__xludf.DUMMYFUNCTION("""COMPUTED_VALUE"""),"")</f>
        <v/>
      </c>
      <c r="G120" s="134" t="str">
        <f ca="1">IFERROR(__xludf.DUMMYFUNCTION("""COMPUTED_VALUE"""),"")</f>
        <v/>
      </c>
      <c r="H120" s="134" t="str">
        <f ca="1">IFERROR(__xludf.DUMMYFUNCTION("""COMPUTED_VALUE"""),"")</f>
        <v/>
      </c>
      <c r="I120" s="134" t="str">
        <f ca="1">IFERROR(__xludf.DUMMYFUNCTION("""COMPUTED_VALUE"""),"")</f>
        <v/>
      </c>
      <c r="J120" s="134" t="str">
        <f ca="1">IFERROR(__xludf.DUMMYFUNCTION("""COMPUTED_VALUE"""),"")</f>
        <v/>
      </c>
    </row>
    <row r="121" spans="1:10">
      <c r="A121" s="134" t="str">
        <f ca="1">IFERROR(__xludf.DUMMYFUNCTION("""COMPUTED_VALUE"""),"")</f>
        <v/>
      </c>
      <c r="B121" s="134" t="str">
        <f ca="1">IFERROR(__xludf.DUMMYFUNCTION("""COMPUTED_VALUE"""),"")</f>
        <v/>
      </c>
      <c r="C121" s="134" t="str">
        <f ca="1">IFERROR(__xludf.DUMMYFUNCTION("""COMPUTED_VALUE"""),"")</f>
        <v/>
      </c>
      <c r="D121" s="134" t="str">
        <f ca="1">IFERROR(__xludf.DUMMYFUNCTION("""COMPUTED_VALUE"""),"")</f>
        <v/>
      </c>
      <c r="E121" s="134" t="str">
        <f ca="1">IFERROR(__xludf.DUMMYFUNCTION("""COMPUTED_VALUE"""),"")</f>
        <v/>
      </c>
      <c r="F121" s="134" t="str">
        <f ca="1">IFERROR(__xludf.DUMMYFUNCTION("""COMPUTED_VALUE"""),"")</f>
        <v/>
      </c>
      <c r="G121" s="134" t="str">
        <f ca="1">IFERROR(__xludf.DUMMYFUNCTION("""COMPUTED_VALUE"""),"")</f>
        <v/>
      </c>
      <c r="H121" s="134" t="str">
        <f ca="1">IFERROR(__xludf.DUMMYFUNCTION("""COMPUTED_VALUE"""),"")</f>
        <v/>
      </c>
      <c r="I121" s="134" t="str">
        <f ca="1">IFERROR(__xludf.DUMMYFUNCTION("""COMPUTED_VALUE"""),"")</f>
        <v/>
      </c>
      <c r="J121" s="134" t="str">
        <f ca="1">IFERROR(__xludf.DUMMYFUNCTION("""COMPUTED_VALUE"""),"")</f>
        <v/>
      </c>
    </row>
    <row r="122" spans="1:10">
      <c r="A122" s="134" t="str">
        <f ca="1">IFERROR(__xludf.DUMMYFUNCTION("""COMPUTED_VALUE"""),"")</f>
        <v/>
      </c>
      <c r="B122" s="134" t="str">
        <f ca="1">IFERROR(__xludf.DUMMYFUNCTION("""COMPUTED_VALUE"""),"")</f>
        <v/>
      </c>
      <c r="C122" s="134" t="str">
        <f ca="1">IFERROR(__xludf.DUMMYFUNCTION("""COMPUTED_VALUE"""),"")</f>
        <v/>
      </c>
      <c r="D122" s="134" t="str">
        <f ca="1">IFERROR(__xludf.DUMMYFUNCTION("""COMPUTED_VALUE"""),"")</f>
        <v/>
      </c>
      <c r="E122" s="134" t="str">
        <f ca="1">IFERROR(__xludf.DUMMYFUNCTION("""COMPUTED_VALUE"""),"")</f>
        <v/>
      </c>
      <c r="F122" s="134" t="str">
        <f ca="1">IFERROR(__xludf.DUMMYFUNCTION("""COMPUTED_VALUE"""),"")</f>
        <v/>
      </c>
      <c r="G122" s="134" t="str">
        <f ca="1">IFERROR(__xludf.DUMMYFUNCTION("""COMPUTED_VALUE"""),"")</f>
        <v/>
      </c>
      <c r="H122" s="134" t="str">
        <f ca="1">IFERROR(__xludf.DUMMYFUNCTION("""COMPUTED_VALUE"""),"")</f>
        <v/>
      </c>
      <c r="I122" s="134" t="str">
        <f ca="1">IFERROR(__xludf.DUMMYFUNCTION("""COMPUTED_VALUE"""),"")</f>
        <v/>
      </c>
      <c r="J122" s="134" t="str">
        <f ca="1">IFERROR(__xludf.DUMMYFUNCTION("""COMPUTED_VALUE"""),"")</f>
        <v/>
      </c>
    </row>
    <row r="123" spans="1:10">
      <c r="A123" s="134" t="str">
        <f ca="1">IFERROR(__xludf.DUMMYFUNCTION("""COMPUTED_VALUE"""),"")</f>
        <v/>
      </c>
      <c r="B123" s="134" t="str">
        <f ca="1">IFERROR(__xludf.DUMMYFUNCTION("""COMPUTED_VALUE"""),"")</f>
        <v/>
      </c>
      <c r="C123" s="134" t="str">
        <f ca="1">IFERROR(__xludf.DUMMYFUNCTION("""COMPUTED_VALUE"""),"")</f>
        <v/>
      </c>
      <c r="D123" s="134" t="str">
        <f ca="1">IFERROR(__xludf.DUMMYFUNCTION("""COMPUTED_VALUE"""),"")</f>
        <v/>
      </c>
      <c r="E123" s="134" t="str">
        <f ca="1">IFERROR(__xludf.DUMMYFUNCTION("""COMPUTED_VALUE"""),"")</f>
        <v/>
      </c>
      <c r="F123" s="134" t="str">
        <f ca="1">IFERROR(__xludf.DUMMYFUNCTION("""COMPUTED_VALUE"""),"")</f>
        <v/>
      </c>
      <c r="G123" s="134" t="str">
        <f ca="1">IFERROR(__xludf.DUMMYFUNCTION("""COMPUTED_VALUE"""),"")</f>
        <v/>
      </c>
      <c r="H123" s="134" t="str">
        <f ca="1">IFERROR(__xludf.DUMMYFUNCTION("""COMPUTED_VALUE"""),"")</f>
        <v/>
      </c>
      <c r="I123" s="134" t="str">
        <f ca="1">IFERROR(__xludf.DUMMYFUNCTION("""COMPUTED_VALUE"""),"")</f>
        <v/>
      </c>
      <c r="J123" s="134" t="str">
        <f ca="1">IFERROR(__xludf.DUMMYFUNCTION("""COMPUTED_VALUE"""),"")</f>
        <v/>
      </c>
    </row>
    <row r="124" spans="1:10">
      <c r="A124" s="134" t="str">
        <f ca="1">IFERROR(__xludf.DUMMYFUNCTION("""COMPUTED_VALUE"""),"")</f>
        <v/>
      </c>
      <c r="B124" s="134" t="str">
        <f ca="1">IFERROR(__xludf.DUMMYFUNCTION("""COMPUTED_VALUE"""),"")</f>
        <v/>
      </c>
      <c r="C124" s="134" t="str">
        <f ca="1">IFERROR(__xludf.DUMMYFUNCTION("""COMPUTED_VALUE"""),"")</f>
        <v/>
      </c>
      <c r="D124" s="134" t="str">
        <f ca="1">IFERROR(__xludf.DUMMYFUNCTION("""COMPUTED_VALUE"""),"")</f>
        <v/>
      </c>
      <c r="E124" s="134" t="str">
        <f ca="1">IFERROR(__xludf.DUMMYFUNCTION("""COMPUTED_VALUE"""),"")</f>
        <v/>
      </c>
      <c r="F124" s="134" t="str">
        <f ca="1">IFERROR(__xludf.DUMMYFUNCTION("""COMPUTED_VALUE"""),"")</f>
        <v/>
      </c>
      <c r="G124" s="134" t="str">
        <f ca="1">IFERROR(__xludf.DUMMYFUNCTION("""COMPUTED_VALUE"""),"")</f>
        <v/>
      </c>
      <c r="H124" s="134" t="str">
        <f ca="1">IFERROR(__xludf.DUMMYFUNCTION("""COMPUTED_VALUE"""),"")</f>
        <v/>
      </c>
      <c r="I124" s="134" t="str">
        <f ca="1">IFERROR(__xludf.DUMMYFUNCTION("""COMPUTED_VALUE"""),"")</f>
        <v/>
      </c>
      <c r="J124" s="134" t="str">
        <f ca="1">IFERROR(__xludf.DUMMYFUNCTION("""COMPUTED_VALUE"""),"")</f>
        <v/>
      </c>
    </row>
    <row r="125" spans="1:10">
      <c r="A125" s="134" t="str">
        <f ca="1">IFERROR(__xludf.DUMMYFUNCTION("""COMPUTED_VALUE"""),"")</f>
        <v/>
      </c>
      <c r="B125" s="134" t="str">
        <f ca="1">IFERROR(__xludf.DUMMYFUNCTION("""COMPUTED_VALUE"""),"")</f>
        <v/>
      </c>
      <c r="C125" s="134" t="str">
        <f ca="1">IFERROR(__xludf.DUMMYFUNCTION("""COMPUTED_VALUE"""),"")</f>
        <v/>
      </c>
      <c r="D125" s="134" t="str">
        <f ca="1">IFERROR(__xludf.DUMMYFUNCTION("""COMPUTED_VALUE"""),"")</f>
        <v/>
      </c>
      <c r="E125" s="134" t="str">
        <f ca="1">IFERROR(__xludf.DUMMYFUNCTION("""COMPUTED_VALUE"""),"")</f>
        <v/>
      </c>
      <c r="F125" s="134" t="str">
        <f ca="1">IFERROR(__xludf.DUMMYFUNCTION("""COMPUTED_VALUE"""),"")</f>
        <v/>
      </c>
      <c r="G125" s="134" t="str">
        <f ca="1">IFERROR(__xludf.DUMMYFUNCTION("""COMPUTED_VALUE"""),"")</f>
        <v/>
      </c>
      <c r="H125" s="134" t="str">
        <f ca="1">IFERROR(__xludf.DUMMYFUNCTION("""COMPUTED_VALUE"""),"")</f>
        <v/>
      </c>
      <c r="I125" s="134" t="str">
        <f ca="1">IFERROR(__xludf.DUMMYFUNCTION("""COMPUTED_VALUE"""),"")</f>
        <v/>
      </c>
      <c r="J125" s="134" t="str">
        <f ca="1">IFERROR(__xludf.DUMMYFUNCTION("""COMPUTED_VALUE"""),"")</f>
        <v/>
      </c>
    </row>
    <row r="126" spans="1:10">
      <c r="A126" s="134" t="str">
        <f ca="1">IFERROR(__xludf.DUMMYFUNCTION("""COMPUTED_VALUE"""),"")</f>
        <v/>
      </c>
      <c r="B126" s="134" t="str">
        <f ca="1">IFERROR(__xludf.DUMMYFUNCTION("""COMPUTED_VALUE"""),"")</f>
        <v/>
      </c>
      <c r="C126" s="134" t="str">
        <f ca="1">IFERROR(__xludf.DUMMYFUNCTION("""COMPUTED_VALUE"""),"")</f>
        <v/>
      </c>
      <c r="D126" s="134" t="str">
        <f ca="1">IFERROR(__xludf.DUMMYFUNCTION("""COMPUTED_VALUE"""),"")</f>
        <v/>
      </c>
      <c r="E126" s="134" t="str">
        <f ca="1">IFERROR(__xludf.DUMMYFUNCTION("""COMPUTED_VALUE"""),"")</f>
        <v/>
      </c>
      <c r="F126" s="134" t="str">
        <f ca="1">IFERROR(__xludf.DUMMYFUNCTION("""COMPUTED_VALUE"""),"")</f>
        <v/>
      </c>
      <c r="G126" s="134" t="str">
        <f ca="1">IFERROR(__xludf.DUMMYFUNCTION("""COMPUTED_VALUE"""),"")</f>
        <v/>
      </c>
      <c r="H126" s="134" t="str">
        <f ca="1">IFERROR(__xludf.DUMMYFUNCTION("""COMPUTED_VALUE"""),"")</f>
        <v/>
      </c>
      <c r="I126" s="134" t="str">
        <f ca="1">IFERROR(__xludf.DUMMYFUNCTION("""COMPUTED_VALUE"""),"")</f>
        <v/>
      </c>
      <c r="J126" s="134" t="str">
        <f ca="1">IFERROR(__xludf.DUMMYFUNCTION("""COMPUTED_VALUE"""),"")</f>
        <v/>
      </c>
    </row>
    <row r="127" spans="1:10">
      <c r="A127" s="134" t="str">
        <f ca="1">IFERROR(__xludf.DUMMYFUNCTION("""COMPUTED_VALUE"""),"")</f>
        <v/>
      </c>
      <c r="B127" s="134" t="str">
        <f ca="1">IFERROR(__xludf.DUMMYFUNCTION("""COMPUTED_VALUE"""),"")</f>
        <v/>
      </c>
      <c r="C127" s="134" t="str">
        <f ca="1">IFERROR(__xludf.DUMMYFUNCTION("""COMPUTED_VALUE"""),"")</f>
        <v/>
      </c>
      <c r="D127" s="134" t="str">
        <f ca="1">IFERROR(__xludf.DUMMYFUNCTION("""COMPUTED_VALUE"""),"")</f>
        <v/>
      </c>
      <c r="E127" s="134" t="str">
        <f ca="1">IFERROR(__xludf.DUMMYFUNCTION("""COMPUTED_VALUE"""),"")</f>
        <v/>
      </c>
      <c r="F127" s="134" t="str">
        <f ca="1">IFERROR(__xludf.DUMMYFUNCTION("""COMPUTED_VALUE"""),"")</f>
        <v/>
      </c>
      <c r="G127" s="134" t="str">
        <f ca="1">IFERROR(__xludf.DUMMYFUNCTION("""COMPUTED_VALUE"""),"")</f>
        <v/>
      </c>
      <c r="H127" s="134" t="str">
        <f ca="1">IFERROR(__xludf.DUMMYFUNCTION("""COMPUTED_VALUE"""),"")</f>
        <v/>
      </c>
      <c r="I127" s="134" t="str">
        <f ca="1">IFERROR(__xludf.DUMMYFUNCTION("""COMPUTED_VALUE"""),"")</f>
        <v/>
      </c>
      <c r="J127" s="134" t="str">
        <f ca="1">IFERROR(__xludf.DUMMYFUNCTION("""COMPUTED_VALUE"""),"")</f>
        <v/>
      </c>
    </row>
    <row r="128" spans="1:10">
      <c r="A128" s="134" t="str">
        <f ca="1">IFERROR(__xludf.DUMMYFUNCTION("""COMPUTED_VALUE"""),"")</f>
        <v/>
      </c>
      <c r="B128" s="134" t="str">
        <f ca="1">IFERROR(__xludf.DUMMYFUNCTION("""COMPUTED_VALUE"""),"")</f>
        <v/>
      </c>
      <c r="C128" s="134" t="str">
        <f ca="1">IFERROR(__xludf.DUMMYFUNCTION("""COMPUTED_VALUE"""),"")</f>
        <v/>
      </c>
      <c r="D128" s="134" t="str">
        <f ca="1">IFERROR(__xludf.DUMMYFUNCTION("""COMPUTED_VALUE"""),"")</f>
        <v/>
      </c>
      <c r="E128" s="134" t="str">
        <f ca="1">IFERROR(__xludf.DUMMYFUNCTION("""COMPUTED_VALUE"""),"")</f>
        <v/>
      </c>
      <c r="F128" s="134" t="str">
        <f ca="1">IFERROR(__xludf.DUMMYFUNCTION("""COMPUTED_VALUE"""),"")</f>
        <v/>
      </c>
      <c r="G128" s="134" t="str">
        <f ca="1">IFERROR(__xludf.DUMMYFUNCTION("""COMPUTED_VALUE"""),"")</f>
        <v/>
      </c>
      <c r="H128" s="134" t="str">
        <f ca="1">IFERROR(__xludf.DUMMYFUNCTION("""COMPUTED_VALUE"""),"")</f>
        <v/>
      </c>
      <c r="I128" s="134" t="str">
        <f ca="1">IFERROR(__xludf.DUMMYFUNCTION("""COMPUTED_VALUE"""),"")</f>
        <v/>
      </c>
      <c r="J128" s="134" t="str">
        <f ca="1">IFERROR(__xludf.DUMMYFUNCTION("""COMPUTED_VALUE"""),"")</f>
        <v/>
      </c>
    </row>
    <row r="129" spans="1:10">
      <c r="A129" s="134" t="str">
        <f ca="1">IFERROR(__xludf.DUMMYFUNCTION("""COMPUTED_VALUE"""),"")</f>
        <v/>
      </c>
      <c r="B129" s="134" t="str">
        <f ca="1">IFERROR(__xludf.DUMMYFUNCTION("""COMPUTED_VALUE"""),"")</f>
        <v/>
      </c>
      <c r="C129" s="134" t="str">
        <f ca="1">IFERROR(__xludf.DUMMYFUNCTION("""COMPUTED_VALUE"""),"")</f>
        <v/>
      </c>
      <c r="D129" s="134" t="str">
        <f ca="1">IFERROR(__xludf.DUMMYFUNCTION("""COMPUTED_VALUE"""),"")</f>
        <v/>
      </c>
      <c r="E129" s="134" t="str">
        <f ca="1">IFERROR(__xludf.DUMMYFUNCTION("""COMPUTED_VALUE"""),"")</f>
        <v/>
      </c>
      <c r="F129" s="134" t="str">
        <f ca="1">IFERROR(__xludf.DUMMYFUNCTION("""COMPUTED_VALUE"""),"")</f>
        <v/>
      </c>
      <c r="G129" s="134" t="str">
        <f ca="1">IFERROR(__xludf.DUMMYFUNCTION("""COMPUTED_VALUE"""),"")</f>
        <v/>
      </c>
      <c r="H129" s="134" t="str">
        <f ca="1">IFERROR(__xludf.DUMMYFUNCTION("""COMPUTED_VALUE"""),"")</f>
        <v/>
      </c>
      <c r="I129" s="134" t="str">
        <f ca="1">IFERROR(__xludf.DUMMYFUNCTION("""COMPUTED_VALUE"""),"")</f>
        <v/>
      </c>
      <c r="J129" s="134" t="str">
        <f ca="1">IFERROR(__xludf.DUMMYFUNCTION("""COMPUTED_VALUE"""),"")</f>
        <v/>
      </c>
    </row>
    <row r="130" spans="1:10">
      <c r="A130" s="134" t="str">
        <f ca="1">IFERROR(__xludf.DUMMYFUNCTION("""COMPUTED_VALUE"""),"")</f>
        <v/>
      </c>
      <c r="B130" s="134" t="str">
        <f ca="1">IFERROR(__xludf.DUMMYFUNCTION("""COMPUTED_VALUE"""),"")</f>
        <v/>
      </c>
      <c r="C130" s="134" t="str">
        <f ca="1">IFERROR(__xludf.DUMMYFUNCTION("""COMPUTED_VALUE"""),"")</f>
        <v/>
      </c>
      <c r="D130" s="134" t="str">
        <f ca="1">IFERROR(__xludf.DUMMYFUNCTION("""COMPUTED_VALUE"""),"")</f>
        <v/>
      </c>
      <c r="E130" s="134" t="str">
        <f ca="1">IFERROR(__xludf.DUMMYFUNCTION("""COMPUTED_VALUE"""),"")</f>
        <v/>
      </c>
      <c r="F130" s="134" t="str">
        <f ca="1">IFERROR(__xludf.DUMMYFUNCTION("""COMPUTED_VALUE"""),"")</f>
        <v/>
      </c>
      <c r="G130" s="134" t="str">
        <f ca="1">IFERROR(__xludf.DUMMYFUNCTION("""COMPUTED_VALUE"""),"")</f>
        <v/>
      </c>
      <c r="H130" s="134" t="str">
        <f ca="1">IFERROR(__xludf.DUMMYFUNCTION("""COMPUTED_VALUE"""),"")</f>
        <v/>
      </c>
      <c r="I130" s="134" t="str">
        <f ca="1">IFERROR(__xludf.DUMMYFUNCTION("""COMPUTED_VALUE"""),"")</f>
        <v/>
      </c>
      <c r="J130" s="134" t="str">
        <f ca="1">IFERROR(__xludf.DUMMYFUNCTION("""COMPUTED_VALUE"""),"")</f>
        <v/>
      </c>
    </row>
    <row r="131" spans="1:10">
      <c r="A131" s="134" t="str">
        <f ca="1">IFERROR(__xludf.DUMMYFUNCTION("""COMPUTED_VALUE"""),"")</f>
        <v/>
      </c>
      <c r="B131" s="134" t="str">
        <f ca="1">IFERROR(__xludf.DUMMYFUNCTION("""COMPUTED_VALUE"""),"")</f>
        <v/>
      </c>
      <c r="C131" s="134" t="str">
        <f ca="1">IFERROR(__xludf.DUMMYFUNCTION("""COMPUTED_VALUE"""),"")</f>
        <v/>
      </c>
      <c r="D131" s="134" t="str">
        <f ca="1">IFERROR(__xludf.DUMMYFUNCTION("""COMPUTED_VALUE"""),"")</f>
        <v/>
      </c>
      <c r="E131" s="134" t="str">
        <f ca="1">IFERROR(__xludf.DUMMYFUNCTION("""COMPUTED_VALUE"""),"")</f>
        <v/>
      </c>
      <c r="F131" s="134" t="str">
        <f ca="1">IFERROR(__xludf.DUMMYFUNCTION("""COMPUTED_VALUE"""),"")</f>
        <v/>
      </c>
      <c r="G131" s="134" t="str">
        <f ca="1">IFERROR(__xludf.DUMMYFUNCTION("""COMPUTED_VALUE"""),"")</f>
        <v/>
      </c>
      <c r="H131" s="134" t="str">
        <f ca="1">IFERROR(__xludf.DUMMYFUNCTION("""COMPUTED_VALUE"""),"")</f>
        <v/>
      </c>
      <c r="I131" s="134" t="str">
        <f ca="1">IFERROR(__xludf.DUMMYFUNCTION("""COMPUTED_VALUE"""),"")</f>
        <v/>
      </c>
      <c r="J131" s="134" t="str">
        <f ca="1">IFERROR(__xludf.DUMMYFUNCTION("""COMPUTED_VALUE"""),"")</f>
        <v/>
      </c>
    </row>
    <row r="132" spans="1:10">
      <c r="A132" s="134" t="str">
        <f ca="1">IFERROR(__xludf.DUMMYFUNCTION("""COMPUTED_VALUE"""),"")</f>
        <v/>
      </c>
      <c r="B132" s="134" t="str">
        <f ca="1">IFERROR(__xludf.DUMMYFUNCTION("""COMPUTED_VALUE"""),"")</f>
        <v/>
      </c>
      <c r="C132" s="134" t="str">
        <f ca="1">IFERROR(__xludf.DUMMYFUNCTION("""COMPUTED_VALUE"""),"")</f>
        <v/>
      </c>
      <c r="D132" s="134" t="str">
        <f ca="1">IFERROR(__xludf.DUMMYFUNCTION("""COMPUTED_VALUE"""),"")</f>
        <v/>
      </c>
      <c r="E132" s="134" t="str">
        <f ca="1">IFERROR(__xludf.DUMMYFUNCTION("""COMPUTED_VALUE"""),"")</f>
        <v/>
      </c>
      <c r="F132" s="134" t="str">
        <f ca="1">IFERROR(__xludf.DUMMYFUNCTION("""COMPUTED_VALUE"""),"")</f>
        <v/>
      </c>
      <c r="G132" s="134" t="str">
        <f ca="1">IFERROR(__xludf.DUMMYFUNCTION("""COMPUTED_VALUE"""),"")</f>
        <v/>
      </c>
      <c r="H132" s="134" t="str">
        <f ca="1">IFERROR(__xludf.DUMMYFUNCTION("""COMPUTED_VALUE"""),"")</f>
        <v/>
      </c>
      <c r="I132" s="134" t="str">
        <f ca="1">IFERROR(__xludf.DUMMYFUNCTION("""COMPUTED_VALUE"""),"")</f>
        <v/>
      </c>
      <c r="J132" s="134" t="str">
        <f ca="1">IFERROR(__xludf.DUMMYFUNCTION("""COMPUTED_VALUE"""),"")</f>
        <v/>
      </c>
    </row>
    <row r="133" spans="1:10">
      <c r="A133" s="134" t="str">
        <f ca="1">IFERROR(__xludf.DUMMYFUNCTION("""COMPUTED_VALUE"""),"")</f>
        <v/>
      </c>
      <c r="B133" s="134" t="str">
        <f ca="1">IFERROR(__xludf.DUMMYFUNCTION("""COMPUTED_VALUE"""),"")</f>
        <v/>
      </c>
      <c r="C133" s="134" t="str">
        <f ca="1">IFERROR(__xludf.DUMMYFUNCTION("""COMPUTED_VALUE"""),"")</f>
        <v/>
      </c>
      <c r="D133" s="134" t="str">
        <f ca="1">IFERROR(__xludf.DUMMYFUNCTION("""COMPUTED_VALUE"""),"")</f>
        <v/>
      </c>
      <c r="E133" s="134" t="str">
        <f ca="1">IFERROR(__xludf.DUMMYFUNCTION("""COMPUTED_VALUE"""),"")</f>
        <v/>
      </c>
      <c r="F133" s="134" t="str">
        <f ca="1">IFERROR(__xludf.DUMMYFUNCTION("""COMPUTED_VALUE"""),"")</f>
        <v/>
      </c>
      <c r="G133" s="134" t="str">
        <f ca="1">IFERROR(__xludf.DUMMYFUNCTION("""COMPUTED_VALUE"""),"")</f>
        <v/>
      </c>
      <c r="H133" s="134" t="str">
        <f ca="1">IFERROR(__xludf.DUMMYFUNCTION("""COMPUTED_VALUE"""),"")</f>
        <v/>
      </c>
      <c r="I133" s="134" t="str">
        <f ca="1">IFERROR(__xludf.DUMMYFUNCTION("""COMPUTED_VALUE"""),"")</f>
        <v/>
      </c>
      <c r="J133" s="134" t="str">
        <f ca="1">IFERROR(__xludf.DUMMYFUNCTION("""COMPUTED_VALUE"""),"")</f>
        <v/>
      </c>
    </row>
    <row r="134" spans="1:10">
      <c r="A134" s="134" t="str">
        <f ca="1">IFERROR(__xludf.DUMMYFUNCTION("""COMPUTED_VALUE"""),"")</f>
        <v/>
      </c>
      <c r="B134" s="134" t="str">
        <f ca="1">IFERROR(__xludf.DUMMYFUNCTION("""COMPUTED_VALUE"""),"")</f>
        <v/>
      </c>
      <c r="C134" s="134" t="str">
        <f ca="1">IFERROR(__xludf.DUMMYFUNCTION("""COMPUTED_VALUE"""),"")</f>
        <v/>
      </c>
      <c r="D134" s="134" t="str">
        <f ca="1">IFERROR(__xludf.DUMMYFUNCTION("""COMPUTED_VALUE"""),"")</f>
        <v/>
      </c>
      <c r="E134" s="134" t="str">
        <f ca="1">IFERROR(__xludf.DUMMYFUNCTION("""COMPUTED_VALUE"""),"")</f>
        <v/>
      </c>
      <c r="F134" s="134" t="str">
        <f ca="1">IFERROR(__xludf.DUMMYFUNCTION("""COMPUTED_VALUE"""),"")</f>
        <v/>
      </c>
      <c r="G134" s="134" t="str">
        <f ca="1">IFERROR(__xludf.DUMMYFUNCTION("""COMPUTED_VALUE"""),"")</f>
        <v/>
      </c>
      <c r="H134" s="134" t="str">
        <f ca="1">IFERROR(__xludf.DUMMYFUNCTION("""COMPUTED_VALUE"""),"")</f>
        <v/>
      </c>
      <c r="I134" s="134" t="str">
        <f ca="1">IFERROR(__xludf.DUMMYFUNCTION("""COMPUTED_VALUE"""),"")</f>
        <v/>
      </c>
      <c r="J134" s="134" t="str">
        <f ca="1">IFERROR(__xludf.DUMMYFUNCTION("""COMPUTED_VALUE"""),"")</f>
        <v/>
      </c>
    </row>
    <row r="135" spans="1:10">
      <c r="A135" s="134" t="str">
        <f ca="1">IFERROR(__xludf.DUMMYFUNCTION("""COMPUTED_VALUE"""),"")</f>
        <v/>
      </c>
      <c r="B135" s="134" t="str">
        <f ca="1">IFERROR(__xludf.DUMMYFUNCTION("""COMPUTED_VALUE"""),"")</f>
        <v/>
      </c>
      <c r="C135" s="134" t="str">
        <f ca="1">IFERROR(__xludf.DUMMYFUNCTION("""COMPUTED_VALUE"""),"")</f>
        <v/>
      </c>
      <c r="D135" s="134" t="str">
        <f ca="1">IFERROR(__xludf.DUMMYFUNCTION("""COMPUTED_VALUE"""),"")</f>
        <v/>
      </c>
      <c r="E135" s="134" t="str">
        <f ca="1">IFERROR(__xludf.DUMMYFUNCTION("""COMPUTED_VALUE"""),"")</f>
        <v/>
      </c>
      <c r="F135" s="134" t="str">
        <f ca="1">IFERROR(__xludf.DUMMYFUNCTION("""COMPUTED_VALUE"""),"")</f>
        <v/>
      </c>
      <c r="G135" s="134" t="str">
        <f ca="1">IFERROR(__xludf.DUMMYFUNCTION("""COMPUTED_VALUE"""),"")</f>
        <v/>
      </c>
      <c r="H135" s="134" t="str">
        <f ca="1">IFERROR(__xludf.DUMMYFUNCTION("""COMPUTED_VALUE"""),"")</f>
        <v/>
      </c>
      <c r="I135" s="134" t="str">
        <f ca="1">IFERROR(__xludf.DUMMYFUNCTION("""COMPUTED_VALUE"""),"")</f>
        <v/>
      </c>
      <c r="J135" s="134" t="str">
        <f ca="1">IFERROR(__xludf.DUMMYFUNCTION("""COMPUTED_VALUE"""),"")</f>
        <v/>
      </c>
    </row>
    <row r="136" spans="1:10">
      <c r="A136" s="134" t="str">
        <f ca="1">IFERROR(__xludf.DUMMYFUNCTION("""COMPUTED_VALUE"""),"")</f>
        <v/>
      </c>
      <c r="B136" s="134" t="str">
        <f ca="1">IFERROR(__xludf.DUMMYFUNCTION("""COMPUTED_VALUE"""),"")</f>
        <v/>
      </c>
      <c r="C136" s="134" t="str">
        <f ca="1">IFERROR(__xludf.DUMMYFUNCTION("""COMPUTED_VALUE"""),"")</f>
        <v/>
      </c>
      <c r="D136" s="134" t="str">
        <f ca="1">IFERROR(__xludf.DUMMYFUNCTION("""COMPUTED_VALUE"""),"")</f>
        <v/>
      </c>
      <c r="E136" s="134" t="str">
        <f ca="1">IFERROR(__xludf.DUMMYFUNCTION("""COMPUTED_VALUE"""),"")</f>
        <v/>
      </c>
      <c r="F136" s="134" t="str">
        <f ca="1">IFERROR(__xludf.DUMMYFUNCTION("""COMPUTED_VALUE"""),"")</f>
        <v/>
      </c>
      <c r="G136" s="134" t="str">
        <f ca="1">IFERROR(__xludf.DUMMYFUNCTION("""COMPUTED_VALUE"""),"")</f>
        <v/>
      </c>
      <c r="H136" s="134" t="str">
        <f ca="1">IFERROR(__xludf.DUMMYFUNCTION("""COMPUTED_VALUE"""),"")</f>
        <v/>
      </c>
      <c r="I136" s="134" t="str">
        <f ca="1">IFERROR(__xludf.DUMMYFUNCTION("""COMPUTED_VALUE"""),"")</f>
        <v/>
      </c>
      <c r="J136" s="134" t="str">
        <f ca="1">IFERROR(__xludf.DUMMYFUNCTION("""COMPUTED_VALUE"""),"")</f>
        <v/>
      </c>
    </row>
    <row r="137" spans="1:10">
      <c r="A137" s="134" t="str">
        <f ca="1">IFERROR(__xludf.DUMMYFUNCTION("""COMPUTED_VALUE"""),"")</f>
        <v/>
      </c>
      <c r="B137" s="134" t="str">
        <f ca="1">IFERROR(__xludf.DUMMYFUNCTION("""COMPUTED_VALUE"""),"")</f>
        <v/>
      </c>
      <c r="C137" s="134" t="str">
        <f ca="1">IFERROR(__xludf.DUMMYFUNCTION("""COMPUTED_VALUE"""),"")</f>
        <v/>
      </c>
      <c r="D137" s="134" t="str">
        <f ca="1">IFERROR(__xludf.DUMMYFUNCTION("""COMPUTED_VALUE"""),"")</f>
        <v/>
      </c>
      <c r="E137" s="134" t="str">
        <f ca="1">IFERROR(__xludf.DUMMYFUNCTION("""COMPUTED_VALUE"""),"")</f>
        <v/>
      </c>
      <c r="F137" s="134" t="str">
        <f ca="1">IFERROR(__xludf.DUMMYFUNCTION("""COMPUTED_VALUE"""),"")</f>
        <v/>
      </c>
      <c r="G137" s="134" t="str">
        <f ca="1">IFERROR(__xludf.DUMMYFUNCTION("""COMPUTED_VALUE"""),"")</f>
        <v/>
      </c>
      <c r="H137" s="134" t="str">
        <f ca="1">IFERROR(__xludf.DUMMYFUNCTION("""COMPUTED_VALUE"""),"")</f>
        <v/>
      </c>
      <c r="I137" s="134" t="str">
        <f ca="1">IFERROR(__xludf.DUMMYFUNCTION("""COMPUTED_VALUE"""),"")</f>
        <v/>
      </c>
      <c r="J137" s="134" t="str">
        <f ca="1">IFERROR(__xludf.DUMMYFUNCTION("""COMPUTED_VALUE"""),"")</f>
        <v/>
      </c>
    </row>
    <row r="138" spans="1:10">
      <c r="A138" s="134" t="str">
        <f ca="1">IFERROR(__xludf.DUMMYFUNCTION("""COMPUTED_VALUE"""),"")</f>
        <v/>
      </c>
      <c r="B138" s="134" t="str">
        <f ca="1">IFERROR(__xludf.DUMMYFUNCTION("""COMPUTED_VALUE"""),"")</f>
        <v/>
      </c>
      <c r="C138" s="134" t="str">
        <f ca="1">IFERROR(__xludf.DUMMYFUNCTION("""COMPUTED_VALUE"""),"")</f>
        <v/>
      </c>
      <c r="D138" s="134" t="str">
        <f ca="1">IFERROR(__xludf.DUMMYFUNCTION("""COMPUTED_VALUE"""),"")</f>
        <v/>
      </c>
      <c r="E138" s="134" t="str">
        <f ca="1">IFERROR(__xludf.DUMMYFUNCTION("""COMPUTED_VALUE"""),"")</f>
        <v/>
      </c>
      <c r="F138" s="134" t="str">
        <f ca="1">IFERROR(__xludf.DUMMYFUNCTION("""COMPUTED_VALUE"""),"")</f>
        <v/>
      </c>
      <c r="G138" s="134" t="str">
        <f ca="1">IFERROR(__xludf.DUMMYFUNCTION("""COMPUTED_VALUE"""),"")</f>
        <v/>
      </c>
      <c r="H138" s="134" t="str">
        <f ca="1">IFERROR(__xludf.DUMMYFUNCTION("""COMPUTED_VALUE"""),"")</f>
        <v/>
      </c>
      <c r="I138" s="134" t="str">
        <f ca="1">IFERROR(__xludf.DUMMYFUNCTION("""COMPUTED_VALUE"""),"")</f>
        <v/>
      </c>
      <c r="J138" s="134" t="str">
        <f ca="1">IFERROR(__xludf.DUMMYFUNCTION("""COMPUTED_VALUE"""),"")</f>
        <v/>
      </c>
    </row>
    <row r="139" spans="1:10">
      <c r="A139" s="134" t="str">
        <f ca="1">IFERROR(__xludf.DUMMYFUNCTION("""COMPUTED_VALUE"""),"")</f>
        <v/>
      </c>
      <c r="B139" s="134" t="str">
        <f ca="1">IFERROR(__xludf.DUMMYFUNCTION("""COMPUTED_VALUE"""),"")</f>
        <v/>
      </c>
      <c r="C139" s="134" t="str">
        <f ca="1">IFERROR(__xludf.DUMMYFUNCTION("""COMPUTED_VALUE"""),"")</f>
        <v/>
      </c>
      <c r="D139" s="134" t="str">
        <f ca="1">IFERROR(__xludf.DUMMYFUNCTION("""COMPUTED_VALUE"""),"")</f>
        <v/>
      </c>
      <c r="E139" s="134" t="str">
        <f ca="1">IFERROR(__xludf.DUMMYFUNCTION("""COMPUTED_VALUE"""),"")</f>
        <v/>
      </c>
      <c r="F139" s="134" t="str">
        <f ca="1">IFERROR(__xludf.DUMMYFUNCTION("""COMPUTED_VALUE"""),"")</f>
        <v/>
      </c>
      <c r="G139" s="134" t="str">
        <f ca="1">IFERROR(__xludf.DUMMYFUNCTION("""COMPUTED_VALUE"""),"")</f>
        <v/>
      </c>
      <c r="H139" s="134" t="str">
        <f ca="1">IFERROR(__xludf.DUMMYFUNCTION("""COMPUTED_VALUE"""),"")</f>
        <v/>
      </c>
      <c r="I139" s="134" t="str">
        <f ca="1">IFERROR(__xludf.DUMMYFUNCTION("""COMPUTED_VALUE"""),"")</f>
        <v/>
      </c>
      <c r="J139" s="134" t="str">
        <f ca="1">IFERROR(__xludf.DUMMYFUNCTION("""COMPUTED_VALUE"""),"")</f>
        <v/>
      </c>
    </row>
    <row r="140" spans="1:10">
      <c r="A140" s="134" t="str">
        <f ca="1">IFERROR(__xludf.DUMMYFUNCTION("""COMPUTED_VALUE"""),"")</f>
        <v/>
      </c>
      <c r="B140" s="134" t="str">
        <f ca="1">IFERROR(__xludf.DUMMYFUNCTION("""COMPUTED_VALUE"""),"")</f>
        <v/>
      </c>
      <c r="C140" s="134" t="str">
        <f ca="1">IFERROR(__xludf.DUMMYFUNCTION("""COMPUTED_VALUE"""),"")</f>
        <v/>
      </c>
      <c r="D140" s="134" t="str">
        <f ca="1">IFERROR(__xludf.DUMMYFUNCTION("""COMPUTED_VALUE"""),"")</f>
        <v/>
      </c>
      <c r="E140" s="134" t="str">
        <f ca="1">IFERROR(__xludf.DUMMYFUNCTION("""COMPUTED_VALUE"""),"")</f>
        <v/>
      </c>
      <c r="F140" s="134" t="str">
        <f ca="1">IFERROR(__xludf.DUMMYFUNCTION("""COMPUTED_VALUE"""),"")</f>
        <v/>
      </c>
      <c r="G140" s="134" t="str">
        <f ca="1">IFERROR(__xludf.DUMMYFUNCTION("""COMPUTED_VALUE"""),"")</f>
        <v/>
      </c>
      <c r="H140" s="134" t="str">
        <f ca="1">IFERROR(__xludf.DUMMYFUNCTION("""COMPUTED_VALUE"""),"")</f>
        <v/>
      </c>
      <c r="I140" s="134" t="str">
        <f ca="1">IFERROR(__xludf.DUMMYFUNCTION("""COMPUTED_VALUE"""),"")</f>
        <v/>
      </c>
      <c r="J140" s="134" t="str">
        <f ca="1">IFERROR(__xludf.DUMMYFUNCTION("""COMPUTED_VALUE"""),"")</f>
        <v/>
      </c>
    </row>
    <row r="141" spans="1:10">
      <c r="A141" s="134" t="str">
        <f ca="1">IFERROR(__xludf.DUMMYFUNCTION("""COMPUTED_VALUE"""),"")</f>
        <v/>
      </c>
      <c r="B141" s="134" t="str">
        <f ca="1">IFERROR(__xludf.DUMMYFUNCTION("""COMPUTED_VALUE"""),"")</f>
        <v/>
      </c>
      <c r="C141" s="134" t="str">
        <f ca="1">IFERROR(__xludf.DUMMYFUNCTION("""COMPUTED_VALUE"""),"")</f>
        <v/>
      </c>
      <c r="D141" s="134" t="str">
        <f ca="1">IFERROR(__xludf.DUMMYFUNCTION("""COMPUTED_VALUE"""),"")</f>
        <v/>
      </c>
      <c r="E141" s="134" t="str">
        <f ca="1">IFERROR(__xludf.DUMMYFUNCTION("""COMPUTED_VALUE"""),"")</f>
        <v/>
      </c>
      <c r="F141" s="134" t="str">
        <f ca="1">IFERROR(__xludf.DUMMYFUNCTION("""COMPUTED_VALUE"""),"")</f>
        <v/>
      </c>
      <c r="G141" s="134" t="str">
        <f ca="1">IFERROR(__xludf.DUMMYFUNCTION("""COMPUTED_VALUE"""),"")</f>
        <v/>
      </c>
      <c r="H141" s="134" t="str">
        <f ca="1">IFERROR(__xludf.DUMMYFUNCTION("""COMPUTED_VALUE"""),"")</f>
        <v/>
      </c>
      <c r="I141" s="134" t="str">
        <f ca="1">IFERROR(__xludf.DUMMYFUNCTION("""COMPUTED_VALUE"""),"")</f>
        <v/>
      </c>
      <c r="J141" s="134" t="str">
        <f ca="1">IFERROR(__xludf.DUMMYFUNCTION("""COMPUTED_VALUE"""),"")</f>
        <v/>
      </c>
    </row>
    <row r="142" spans="1:10">
      <c r="A142" s="134" t="str">
        <f ca="1">IFERROR(__xludf.DUMMYFUNCTION("""COMPUTED_VALUE"""),"")</f>
        <v/>
      </c>
      <c r="B142" s="134" t="str">
        <f ca="1">IFERROR(__xludf.DUMMYFUNCTION("""COMPUTED_VALUE"""),"")</f>
        <v/>
      </c>
      <c r="C142" s="134" t="str">
        <f ca="1">IFERROR(__xludf.DUMMYFUNCTION("""COMPUTED_VALUE"""),"")</f>
        <v/>
      </c>
      <c r="D142" s="134" t="str">
        <f ca="1">IFERROR(__xludf.DUMMYFUNCTION("""COMPUTED_VALUE"""),"")</f>
        <v/>
      </c>
      <c r="E142" s="134" t="str">
        <f ca="1">IFERROR(__xludf.DUMMYFUNCTION("""COMPUTED_VALUE"""),"")</f>
        <v/>
      </c>
      <c r="F142" s="134" t="str">
        <f ca="1">IFERROR(__xludf.DUMMYFUNCTION("""COMPUTED_VALUE"""),"")</f>
        <v/>
      </c>
      <c r="G142" s="134" t="str">
        <f ca="1">IFERROR(__xludf.DUMMYFUNCTION("""COMPUTED_VALUE"""),"")</f>
        <v/>
      </c>
      <c r="H142" s="134" t="str">
        <f ca="1">IFERROR(__xludf.DUMMYFUNCTION("""COMPUTED_VALUE"""),"")</f>
        <v/>
      </c>
      <c r="I142" s="134" t="str">
        <f ca="1">IFERROR(__xludf.DUMMYFUNCTION("""COMPUTED_VALUE"""),"")</f>
        <v/>
      </c>
      <c r="J142" s="134" t="str">
        <f ca="1">IFERROR(__xludf.DUMMYFUNCTION("""COMPUTED_VALUE"""),"")</f>
        <v/>
      </c>
    </row>
    <row r="143" spans="1:10">
      <c r="A143" s="134" t="str">
        <f ca="1">IFERROR(__xludf.DUMMYFUNCTION("""COMPUTED_VALUE"""),"")</f>
        <v/>
      </c>
      <c r="B143" s="134" t="str">
        <f ca="1">IFERROR(__xludf.DUMMYFUNCTION("""COMPUTED_VALUE"""),"")</f>
        <v/>
      </c>
      <c r="C143" s="134" t="str">
        <f ca="1">IFERROR(__xludf.DUMMYFUNCTION("""COMPUTED_VALUE"""),"")</f>
        <v/>
      </c>
      <c r="D143" s="134" t="str">
        <f ca="1">IFERROR(__xludf.DUMMYFUNCTION("""COMPUTED_VALUE"""),"")</f>
        <v/>
      </c>
      <c r="E143" s="134" t="str">
        <f ca="1">IFERROR(__xludf.DUMMYFUNCTION("""COMPUTED_VALUE"""),"")</f>
        <v/>
      </c>
      <c r="F143" s="134" t="str">
        <f ca="1">IFERROR(__xludf.DUMMYFUNCTION("""COMPUTED_VALUE"""),"")</f>
        <v/>
      </c>
      <c r="G143" s="134" t="str">
        <f ca="1">IFERROR(__xludf.DUMMYFUNCTION("""COMPUTED_VALUE"""),"")</f>
        <v/>
      </c>
      <c r="H143" s="134" t="str">
        <f ca="1">IFERROR(__xludf.DUMMYFUNCTION("""COMPUTED_VALUE"""),"")</f>
        <v/>
      </c>
      <c r="I143" s="134" t="str">
        <f ca="1">IFERROR(__xludf.DUMMYFUNCTION("""COMPUTED_VALUE"""),"")</f>
        <v/>
      </c>
      <c r="J143" s="134" t="str">
        <f ca="1">IFERROR(__xludf.DUMMYFUNCTION("""COMPUTED_VALUE"""),"")</f>
        <v/>
      </c>
    </row>
    <row r="144" spans="1:10">
      <c r="A144" s="134" t="str">
        <f ca="1">IFERROR(__xludf.DUMMYFUNCTION("""COMPUTED_VALUE"""),"")</f>
        <v/>
      </c>
      <c r="B144" s="134" t="str">
        <f ca="1">IFERROR(__xludf.DUMMYFUNCTION("""COMPUTED_VALUE"""),"")</f>
        <v/>
      </c>
      <c r="C144" s="134" t="str">
        <f ca="1">IFERROR(__xludf.DUMMYFUNCTION("""COMPUTED_VALUE"""),"")</f>
        <v/>
      </c>
      <c r="D144" s="134" t="str">
        <f ca="1">IFERROR(__xludf.DUMMYFUNCTION("""COMPUTED_VALUE"""),"")</f>
        <v/>
      </c>
      <c r="E144" s="134" t="str">
        <f ca="1">IFERROR(__xludf.DUMMYFUNCTION("""COMPUTED_VALUE"""),"")</f>
        <v/>
      </c>
      <c r="F144" s="134" t="str">
        <f ca="1">IFERROR(__xludf.DUMMYFUNCTION("""COMPUTED_VALUE"""),"")</f>
        <v/>
      </c>
      <c r="G144" s="134" t="str">
        <f ca="1">IFERROR(__xludf.DUMMYFUNCTION("""COMPUTED_VALUE"""),"")</f>
        <v/>
      </c>
      <c r="H144" s="134" t="str">
        <f ca="1">IFERROR(__xludf.DUMMYFUNCTION("""COMPUTED_VALUE"""),"")</f>
        <v/>
      </c>
      <c r="I144" s="134" t="str">
        <f ca="1">IFERROR(__xludf.DUMMYFUNCTION("""COMPUTED_VALUE"""),"")</f>
        <v/>
      </c>
      <c r="J144" s="134" t="str">
        <f ca="1">IFERROR(__xludf.DUMMYFUNCTION("""COMPUTED_VALUE"""),"")</f>
        <v/>
      </c>
    </row>
    <row r="145" spans="1:10">
      <c r="A145" s="134" t="str">
        <f ca="1">IFERROR(__xludf.DUMMYFUNCTION("""COMPUTED_VALUE"""),"")</f>
        <v/>
      </c>
      <c r="B145" s="134" t="str">
        <f ca="1">IFERROR(__xludf.DUMMYFUNCTION("""COMPUTED_VALUE"""),"")</f>
        <v/>
      </c>
      <c r="C145" s="134" t="str">
        <f ca="1">IFERROR(__xludf.DUMMYFUNCTION("""COMPUTED_VALUE"""),"")</f>
        <v/>
      </c>
      <c r="D145" s="134" t="str">
        <f ca="1">IFERROR(__xludf.DUMMYFUNCTION("""COMPUTED_VALUE"""),"")</f>
        <v/>
      </c>
      <c r="E145" s="134" t="str">
        <f ca="1">IFERROR(__xludf.DUMMYFUNCTION("""COMPUTED_VALUE"""),"")</f>
        <v/>
      </c>
      <c r="F145" s="134" t="str">
        <f ca="1">IFERROR(__xludf.DUMMYFUNCTION("""COMPUTED_VALUE"""),"")</f>
        <v/>
      </c>
      <c r="G145" s="134" t="str">
        <f ca="1">IFERROR(__xludf.DUMMYFUNCTION("""COMPUTED_VALUE"""),"")</f>
        <v/>
      </c>
      <c r="H145" s="134" t="str">
        <f ca="1">IFERROR(__xludf.DUMMYFUNCTION("""COMPUTED_VALUE"""),"")</f>
        <v/>
      </c>
      <c r="I145" s="134" t="str">
        <f ca="1">IFERROR(__xludf.DUMMYFUNCTION("""COMPUTED_VALUE"""),"")</f>
        <v/>
      </c>
      <c r="J145" s="134" t="str">
        <f ca="1">IFERROR(__xludf.DUMMYFUNCTION("""COMPUTED_VALUE"""),"")</f>
        <v/>
      </c>
    </row>
    <row r="146" spans="1:10">
      <c r="A146" s="134" t="str">
        <f ca="1">IFERROR(__xludf.DUMMYFUNCTION("""COMPUTED_VALUE"""),"")</f>
        <v/>
      </c>
      <c r="B146" s="134" t="str">
        <f ca="1">IFERROR(__xludf.DUMMYFUNCTION("""COMPUTED_VALUE"""),"")</f>
        <v/>
      </c>
      <c r="C146" s="134" t="str">
        <f ca="1">IFERROR(__xludf.DUMMYFUNCTION("""COMPUTED_VALUE"""),"")</f>
        <v/>
      </c>
      <c r="D146" s="134" t="str">
        <f ca="1">IFERROR(__xludf.DUMMYFUNCTION("""COMPUTED_VALUE"""),"")</f>
        <v/>
      </c>
      <c r="E146" s="134" t="str">
        <f ca="1">IFERROR(__xludf.DUMMYFUNCTION("""COMPUTED_VALUE"""),"")</f>
        <v/>
      </c>
      <c r="F146" s="134" t="str">
        <f ca="1">IFERROR(__xludf.DUMMYFUNCTION("""COMPUTED_VALUE"""),"")</f>
        <v/>
      </c>
      <c r="G146" s="134" t="str">
        <f ca="1">IFERROR(__xludf.DUMMYFUNCTION("""COMPUTED_VALUE"""),"")</f>
        <v/>
      </c>
      <c r="H146" s="134" t="str">
        <f ca="1">IFERROR(__xludf.DUMMYFUNCTION("""COMPUTED_VALUE"""),"")</f>
        <v/>
      </c>
      <c r="I146" s="134" t="str">
        <f ca="1">IFERROR(__xludf.DUMMYFUNCTION("""COMPUTED_VALUE"""),"")</f>
        <v/>
      </c>
      <c r="J146" s="134" t="str">
        <f ca="1">IFERROR(__xludf.DUMMYFUNCTION("""COMPUTED_VALUE"""),"")</f>
        <v/>
      </c>
    </row>
    <row r="147" spans="1:10">
      <c r="A147" s="134" t="str">
        <f ca="1">IFERROR(__xludf.DUMMYFUNCTION("""COMPUTED_VALUE"""),"")</f>
        <v/>
      </c>
      <c r="B147" s="134" t="str">
        <f ca="1">IFERROR(__xludf.DUMMYFUNCTION("""COMPUTED_VALUE"""),"")</f>
        <v/>
      </c>
      <c r="C147" s="134" t="str">
        <f ca="1">IFERROR(__xludf.DUMMYFUNCTION("""COMPUTED_VALUE"""),"")</f>
        <v/>
      </c>
      <c r="D147" s="134" t="str">
        <f ca="1">IFERROR(__xludf.DUMMYFUNCTION("""COMPUTED_VALUE"""),"")</f>
        <v/>
      </c>
      <c r="E147" s="134" t="str">
        <f ca="1">IFERROR(__xludf.DUMMYFUNCTION("""COMPUTED_VALUE"""),"")</f>
        <v/>
      </c>
      <c r="F147" s="134" t="str">
        <f ca="1">IFERROR(__xludf.DUMMYFUNCTION("""COMPUTED_VALUE"""),"")</f>
        <v/>
      </c>
      <c r="G147" s="134" t="str">
        <f ca="1">IFERROR(__xludf.DUMMYFUNCTION("""COMPUTED_VALUE"""),"")</f>
        <v/>
      </c>
      <c r="H147" s="134" t="str">
        <f ca="1">IFERROR(__xludf.DUMMYFUNCTION("""COMPUTED_VALUE"""),"")</f>
        <v/>
      </c>
      <c r="I147" s="134" t="str">
        <f ca="1">IFERROR(__xludf.DUMMYFUNCTION("""COMPUTED_VALUE"""),"")</f>
        <v/>
      </c>
      <c r="J147" s="134" t="str">
        <f ca="1">IFERROR(__xludf.DUMMYFUNCTION("""COMPUTED_VALUE"""),"")</f>
        <v/>
      </c>
    </row>
    <row r="148" spans="1:10">
      <c r="A148" s="134" t="str">
        <f ca="1">IFERROR(__xludf.DUMMYFUNCTION("""COMPUTED_VALUE"""),"")</f>
        <v/>
      </c>
      <c r="B148" s="134" t="str">
        <f ca="1">IFERROR(__xludf.DUMMYFUNCTION("""COMPUTED_VALUE"""),"")</f>
        <v/>
      </c>
      <c r="C148" s="134" t="str">
        <f ca="1">IFERROR(__xludf.DUMMYFUNCTION("""COMPUTED_VALUE"""),"")</f>
        <v/>
      </c>
      <c r="D148" s="134" t="str">
        <f ca="1">IFERROR(__xludf.DUMMYFUNCTION("""COMPUTED_VALUE"""),"")</f>
        <v/>
      </c>
      <c r="E148" s="134" t="str">
        <f ca="1">IFERROR(__xludf.DUMMYFUNCTION("""COMPUTED_VALUE"""),"")</f>
        <v/>
      </c>
      <c r="F148" s="134" t="str">
        <f ca="1">IFERROR(__xludf.DUMMYFUNCTION("""COMPUTED_VALUE"""),"")</f>
        <v/>
      </c>
      <c r="G148" s="134" t="str">
        <f ca="1">IFERROR(__xludf.DUMMYFUNCTION("""COMPUTED_VALUE"""),"")</f>
        <v/>
      </c>
      <c r="H148" s="134" t="str">
        <f ca="1">IFERROR(__xludf.DUMMYFUNCTION("""COMPUTED_VALUE"""),"")</f>
        <v/>
      </c>
      <c r="I148" s="134" t="str">
        <f ca="1">IFERROR(__xludf.DUMMYFUNCTION("""COMPUTED_VALUE"""),"")</f>
        <v/>
      </c>
      <c r="J148" s="134" t="str">
        <f ca="1">IFERROR(__xludf.DUMMYFUNCTION("""COMPUTED_VALUE"""),"")</f>
        <v/>
      </c>
    </row>
    <row r="149" spans="1:10">
      <c r="A149" s="134" t="str">
        <f ca="1">IFERROR(__xludf.DUMMYFUNCTION("""COMPUTED_VALUE"""),"")</f>
        <v/>
      </c>
      <c r="B149" s="134" t="str">
        <f ca="1">IFERROR(__xludf.DUMMYFUNCTION("""COMPUTED_VALUE"""),"")</f>
        <v/>
      </c>
      <c r="C149" s="134" t="str">
        <f ca="1">IFERROR(__xludf.DUMMYFUNCTION("""COMPUTED_VALUE"""),"")</f>
        <v/>
      </c>
      <c r="D149" s="134" t="str">
        <f ca="1">IFERROR(__xludf.DUMMYFUNCTION("""COMPUTED_VALUE"""),"")</f>
        <v/>
      </c>
      <c r="E149" s="134" t="str">
        <f ca="1">IFERROR(__xludf.DUMMYFUNCTION("""COMPUTED_VALUE"""),"")</f>
        <v/>
      </c>
      <c r="F149" s="134" t="str">
        <f ca="1">IFERROR(__xludf.DUMMYFUNCTION("""COMPUTED_VALUE"""),"")</f>
        <v/>
      </c>
      <c r="G149" s="134" t="str">
        <f ca="1">IFERROR(__xludf.DUMMYFUNCTION("""COMPUTED_VALUE"""),"")</f>
        <v/>
      </c>
      <c r="H149" s="134" t="str">
        <f ca="1">IFERROR(__xludf.DUMMYFUNCTION("""COMPUTED_VALUE"""),"")</f>
        <v/>
      </c>
      <c r="I149" s="134" t="str">
        <f ca="1">IFERROR(__xludf.DUMMYFUNCTION("""COMPUTED_VALUE"""),"")</f>
        <v/>
      </c>
      <c r="J149" s="134" t="str">
        <f ca="1">IFERROR(__xludf.DUMMYFUNCTION("""COMPUTED_VALUE"""),"")</f>
        <v/>
      </c>
    </row>
    <row r="150" spans="1:10">
      <c r="A150" s="134" t="str">
        <f ca="1">IFERROR(__xludf.DUMMYFUNCTION("""COMPUTED_VALUE"""),"")</f>
        <v/>
      </c>
      <c r="B150" s="134" t="str">
        <f ca="1">IFERROR(__xludf.DUMMYFUNCTION("""COMPUTED_VALUE"""),"")</f>
        <v/>
      </c>
      <c r="C150" s="134" t="str">
        <f ca="1">IFERROR(__xludf.DUMMYFUNCTION("""COMPUTED_VALUE"""),"")</f>
        <v/>
      </c>
      <c r="D150" s="134" t="str">
        <f ca="1">IFERROR(__xludf.DUMMYFUNCTION("""COMPUTED_VALUE"""),"")</f>
        <v/>
      </c>
      <c r="E150" s="134" t="str">
        <f ca="1">IFERROR(__xludf.DUMMYFUNCTION("""COMPUTED_VALUE"""),"")</f>
        <v/>
      </c>
      <c r="F150" s="134" t="str">
        <f ca="1">IFERROR(__xludf.DUMMYFUNCTION("""COMPUTED_VALUE"""),"")</f>
        <v/>
      </c>
      <c r="G150" s="134" t="str">
        <f ca="1">IFERROR(__xludf.DUMMYFUNCTION("""COMPUTED_VALUE"""),"")</f>
        <v/>
      </c>
      <c r="H150" s="134" t="str">
        <f ca="1">IFERROR(__xludf.DUMMYFUNCTION("""COMPUTED_VALUE"""),"")</f>
        <v/>
      </c>
      <c r="I150" s="134" t="str">
        <f ca="1">IFERROR(__xludf.DUMMYFUNCTION("""COMPUTED_VALUE"""),"")</f>
        <v/>
      </c>
      <c r="J150" s="134" t="str">
        <f ca="1">IFERROR(__xludf.DUMMYFUNCTION("""COMPUTED_VALUE"""),"")</f>
        <v/>
      </c>
    </row>
    <row r="151" spans="1:10">
      <c r="A151" s="134" t="str">
        <f ca="1">IFERROR(__xludf.DUMMYFUNCTION("""COMPUTED_VALUE"""),"")</f>
        <v/>
      </c>
      <c r="B151" s="134" t="str">
        <f ca="1">IFERROR(__xludf.DUMMYFUNCTION("""COMPUTED_VALUE"""),"")</f>
        <v/>
      </c>
      <c r="C151" s="134" t="str">
        <f ca="1">IFERROR(__xludf.DUMMYFUNCTION("""COMPUTED_VALUE"""),"")</f>
        <v/>
      </c>
      <c r="D151" s="134" t="str">
        <f ca="1">IFERROR(__xludf.DUMMYFUNCTION("""COMPUTED_VALUE"""),"")</f>
        <v/>
      </c>
      <c r="E151" s="134" t="str">
        <f ca="1">IFERROR(__xludf.DUMMYFUNCTION("""COMPUTED_VALUE"""),"")</f>
        <v/>
      </c>
      <c r="F151" s="134" t="str">
        <f ca="1">IFERROR(__xludf.DUMMYFUNCTION("""COMPUTED_VALUE"""),"")</f>
        <v/>
      </c>
      <c r="G151" s="134" t="str">
        <f ca="1">IFERROR(__xludf.DUMMYFUNCTION("""COMPUTED_VALUE"""),"")</f>
        <v/>
      </c>
      <c r="H151" s="134" t="str">
        <f ca="1">IFERROR(__xludf.DUMMYFUNCTION("""COMPUTED_VALUE"""),"")</f>
        <v/>
      </c>
      <c r="I151" s="134" t="str">
        <f ca="1">IFERROR(__xludf.DUMMYFUNCTION("""COMPUTED_VALUE"""),"")</f>
        <v/>
      </c>
      <c r="J151" s="134" t="str">
        <f ca="1">IFERROR(__xludf.DUMMYFUNCTION("""COMPUTED_VALUE"""),"")</f>
        <v/>
      </c>
    </row>
    <row r="152" spans="1:10">
      <c r="A152" s="134" t="str">
        <f ca="1">IFERROR(__xludf.DUMMYFUNCTION("""COMPUTED_VALUE"""),"")</f>
        <v/>
      </c>
      <c r="B152" s="134" t="str">
        <f ca="1">IFERROR(__xludf.DUMMYFUNCTION("""COMPUTED_VALUE"""),"")</f>
        <v/>
      </c>
      <c r="C152" s="134" t="str">
        <f ca="1">IFERROR(__xludf.DUMMYFUNCTION("""COMPUTED_VALUE"""),"")</f>
        <v/>
      </c>
      <c r="D152" s="134" t="str">
        <f ca="1">IFERROR(__xludf.DUMMYFUNCTION("""COMPUTED_VALUE"""),"")</f>
        <v/>
      </c>
      <c r="E152" s="134" t="str">
        <f ca="1">IFERROR(__xludf.DUMMYFUNCTION("""COMPUTED_VALUE"""),"")</f>
        <v/>
      </c>
      <c r="F152" s="134" t="str">
        <f ca="1">IFERROR(__xludf.DUMMYFUNCTION("""COMPUTED_VALUE"""),"")</f>
        <v/>
      </c>
      <c r="G152" s="134" t="str">
        <f ca="1">IFERROR(__xludf.DUMMYFUNCTION("""COMPUTED_VALUE"""),"")</f>
        <v/>
      </c>
      <c r="H152" s="134" t="str">
        <f ca="1">IFERROR(__xludf.DUMMYFUNCTION("""COMPUTED_VALUE"""),"")</f>
        <v/>
      </c>
      <c r="I152" s="134" t="str">
        <f ca="1">IFERROR(__xludf.DUMMYFUNCTION("""COMPUTED_VALUE"""),"")</f>
        <v/>
      </c>
      <c r="J152" s="134" t="str">
        <f ca="1">IFERROR(__xludf.DUMMYFUNCTION("""COMPUTED_VALUE"""),"")</f>
        <v/>
      </c>
    </row>
    <row r="153" spans="1:10">
      <c r="A153" s="134" t="str">
        <f ca="1">IFERROR(__xludf.DUMMYFUNCTION("""COMPUTED_VALUE"""),"")</f>
        <v/>
      </c>
      <c r="B153" s="134" t="str">
        <f ca="1">IFERROR(__xludf.DUMMYFUNCTION("""COMPUTED_VALUE"""),"")</f>
        <v/>
      </c>
      <c r="C153" s="134" t="str">
        <f ca="1">IFERROR(__xludf.DUMMYFUNCTION("""COMPUTED_VALUE"""),"")</f>
        <v/>
      </c>
      <c r="D153" s="134" t="str">
        <f ca="1">IFERROR(__xludf.DUMMYFUNCTION("""COMPUTED_VALUE"""),"")</f>
        <v/>
      </c>
      <c r="E153" s="134" t="str">
        <f ca="1">IFERROR(__xludf.DUMMYFUNCTION("""COMPUTED_VALUE"""),"")</f>
        <v/>
      </c>
      <c r="F153" s="134" t="str">
        <f ca="1">IFERROR(__xludf.DUMMYFUNCTION("""COMPUTED_VALUE"""),"")</f>
        <v/>
      </c>
      <c r="G153" s="134" t="str">
        <f ca="1">IFERROR(__xludf.DUMMYFUNCTION("""COMPUTED_VALUE"""),"")</f>
        <v/>
      </c>
      <c r="H153" s="134" t="str">
        <f ca="1">IFERROR(__xludf.DUMMYFUNCTION("""COMPUTED_VALUE"""),"")</f>
        <v/>
      </c>
      <c r="I153" s="134" t="str">
        <f ca="1">IFERROR(__xludf.DUMMYFUNCTION("""COMPUTED_VALUE"""),"")</f>
        <v/>
      </c>
      <c r="J153" s="134" t="str">
        <f ca="1">IFERROR(__xludf.DUMMYFUNCTION("""COMPUTED_VALUE"""),"")</f>
        <v/>
      </c>
    </row>
    <row r="154" spans="1:10">
      <c r="A154" s="134" t="str">
        <f ca="1">IFERROR(__xludf.DUMMYFUNCTION("""COMPUTED_VALUE"""),"")</f>
        <v/>
      </c>
      <c r="B154" s="134" t="str">
        <f ca="1">IFERROR(__xludf.DUMMYFUNCTION("""COMPUTED_VALUE"""),"")</f>
        <v/>
      </c>
      <c r="C154" s="134" t="str">
        <f ca="1">IFERROR(__xludf.DUMMYFUNCTION("""COMPUTED_VALUE"""),"")</f>
        <v/>
      </c>
      <c r="D154" s="134" t="str">
        <f ca="1">IFERROR(__xludf.DUMMYFUNCTION("""COMPUTED_VALUE"""),"")</f>
        <v/>
      </c>
      <c r="E154" s="134" t="str">
        <f ca="1">IFERROR(__xludf.DUMMYFUNCTION("""COMPUTED_VALUE"""),"")</f>
        <v/>
      </c>
      <c r="F154" s="134" t="str">
        <f ca="1">IFERROR(__xludf.DUMMYFUNCTION("""COMPUTED_VALUE"""),"")</f>
        <v/>
      </c>
      <c r="G154" s="134" t="str">
        <f ca="1">IFERROR(__xludf.DUMMYFUNCTION("""COMPUTED_VALUE"""),"")</f>
        <v/>
      </c>
      <c r="H154" s="134" t="str">
        <f ca="1">IFERROR(__xludf.DUMMYFUNCTION("""COMPUTED_VALUE"""),"")</f>
        <v/>
      </c>
      <c r="I154" s="134" t="str">
        <f ca="1">IFERROR(__xludf.DUMMYFUNCTION("""COMPUTED_VALUE"""),"")</f>
        <v/>
      </c>
      <c r="J154" s="134" t="str">
        <f ca="1">IFERROR(__xludf.DUMMYFUNCTION("""COMPUTED_VALUE"""),"")</f>
        <v/>
      </c>
    </row>
    <row r="155" spans="1:10">
      <c r="A155" s="134" t="str">
        <f ca="1">IFERROR(__xludf.DUMMYFUNCTION("""COMPUTED_VALUE"""),"")</f>
        <v/>
      </c>
      <c r="B155" s="134" t="str">
        <f ca="1">IFERROR(__xludf.DUMMYFUNCTION("""COMPUTED_VALUE"""),"")</f>
        <v/>
      </c>
      <c r="C155" s="134" t="str">
        <f ca="1">IFERROR(__xludf.DUMMYFUNCTION("""COMPUTED_VALUE"""),"")</f>
        <v/>
      </c>
      <c r="D155" s="134" t="str">
        <f ca="1">IFERROR(__xludf.DUMMYFUNCTION("""COMPUTED_VALUE"""),"")</f>
        <v/>
      </c>
      <c r="E155" s="134" t="str">
        <f ca="1">IFERROR(__xludf.DUMMYFUNCTION("""COMPUTED_VALUE"""),"")</f>
        <v/>
      </c>
      <c r="F155" s="134" t="str">
        <f ca="1">IFERROR(__xludf.DUMMYFUNCTION("""COMPUTED_VALUE"""),"")</f>
        <v/>
      </c>
      <c r="G155" s="134" t="str">
        <f ca="1">IFERROR(__xludf.DUMMYFUNCTION("""COMPUTED_VALUE"""),"")</f>
        <v/>
      </c>
      <c r="H155" s="134" t="str">
        <f ca="1">IFERROR(__xludf.DUMMYFUNCTION("""COMPUTED_VALUE"""),"")</f>
        <v/>
      </c>
      <c r="I155" s="134" t="str">
        <f ca="1">IFERROR(__xludf.DUMMYFUNCTION("""COMPUTED_VALUE"""),"")</f>
        <v/>
      </c>
      <c r="J155" s="134" t="str">
        <f ca="1">IFERROR(__xludf.DUMMYFUNCTION("""COMPUTED_VALUE"""),"")</f>
        <v/>
      </c>
    </row>
    <row r="156" spans="1:10">
      <c r="A156" s="134" t="str">
        <f ca="1">IFERROR(__xludf.DUMMYFUNCTION("""COMPUTED_VALUE"""),"")</f>
        <v/>
      </c>
      <c r="B156" s="134" t="str">
        <f ca="1">IFERROR(__xludf.DUMMYFUNCTION("""COMPUTED_VALUE"""),"")</f>
        <v/>
      </c>
      <c r="C156" s="134" t="str">
        <f ca="1">IFERROR(__xludf.DUMMYFUNCTION("""COMPUTED_VALUE"""),"")</f>
        <v/>
      </c>
      <c r="D156" s="134" t="str">
        <f ca="1">IFERROR(__xludf.DUMMYFUNCTION("""COMPUTED_VALUE"""),"")</f>
        <v/>
      </c>
      <c r="E156" s="134" t="str">
        <f ca="1">IFERROR(__xludf.DUMMYFUNCTION("""COMPUTED_VALUE"""),"")</f>
        <v/>
      </c>
      <c r="F156" s="134" t="str">
        <f ca="1">IFERROR(__xludf.DUMMYFUNCTION("""COMPUTED_VALUE"""),"")</f>
        <v/>
      </c>
      <c r="G156" s="134" t="str">
        <f ca="1">IFERROR(__xludf.DUMMYFUNCTION("""COMPUTED_VALUE"""),"")</f>
        <v/>
      </c>
      <c r="H156" s="134" t="str">
        <f ca="1">IFERROR(__xludf.DUMMYFUNCTION("""COMPUTED_VALUE"""),"")</f>
        <v/>
      </c>
      <c r="I156" s="134" t="str">
        <f ca="1">IFERROR(__xludf.DUMMYFUNCTION("""COMPUTED_VALUE"""),"")</f>
        <v/>
      </c>
      <c r="J156" s="134" t="str">
        <f ca="1">IFERROR(__xludf.DUMMYFUNCTION("""COMPUTED_VALUE"""),"")</f>
        <v/>
      </c>
    </row>
    <row r="157" spans="1:10">
      <c r="A157" s="134" t="str">
        <f ca="1">IFERROR(__xludf.DUMMYFUNCTION("""COMPUTED_VALUE"""),"")</f>
        <v/>
      </c>
      <c r="B157" s="134" t="str">
        <f ca="1">IFERROR(__xludf.DUMMYFUNCTION("""COMPUTED_VALUE"""),"")</f>
        <v/>
      </c>
      <c r="C157" s="134" t="str">
        <f ca="1">IFERROR(__xludf.DUMMYFUNCTION("""COMPUTED_VALUE"""),"")</f>
        <v/>
      </c>
      <c r="D157" s="134" t="str">
        <f ca="1">IFERROR(__xludf.DUMMYFUNCTION("""COMPUTED_VALUE"""),"")</f>
        <v/>
      </c>
      <c r="E157" s="134" t="str">
        <f ca="1">IFERROR(__xludf.DUMMYFUNCTION("""COMPUTED_VALUE"""),"")</f>
        <v/>
      </c>
      <c r="F157" s="134" t="str">
        <f ca="1">IFERROR(__xludf.DUMMYFUNCTION("""COMPUTED_VALUE"""),"")</f>
        <v/>
      </c>
      <c r="G157" s="134" t="str">
        <f ca="1">IFERROR(__xludf.DUMMYFUNCTION("""COMPUTED_VALUE"""),"")</f>
        <v/>
      </c>
      <c r="H157" s="134" t="str">
        <f ca="1">IFERROR(__xludf.DUMMYFUNCTION("""COMPUTED_VALUE"""),"")</f>
        <v/>
      </c>
      <c r="I157" s="134" t="str">
        <f ca="1">IFERROR(__xludf.DUMMYFUNCTION("""COMPUTED_VALUE"""),"")</f>
        <v/>
      </c>
      <c r="J157" s="134" t="str">
        <f ca="1">IFERROR(__xludf.DUMMYFUNCTION("""COMPUTED_VALUE"""),"")</f>
        <v/>
      </c>
    </row>
    <row r="158" spans="1:10">
      <c r="A158" s="134" t="str">
        <f ca="1">IFERROR(__xludf.DUMMYFUNCTION("""COMPUTED_VALUE"""),"")</f>
        <v/>
      </c>
      <c r="B158" s="134" t="str">
        <f ca="1">IFERROR(__xludf.DUMMYFUNCTION("""COMPUTED_VALUE"""),"")</f>
        <v/>
      </c>
      <c r="C158" s="134" t="str">
        <f ca="1">IFERROR(__xludf.DUMMYFUNCTION("""COMPUTED_VALUE"""),"")</f>
        <v/>
      </c>
      <c r="D158" s="134" t="str">
        <f ca="1">IFERROR(__xludf.DUMMYFUNCTION("""COMPUTED_VALUE"""),"")</f>
        <v/>
      </c>
      <c r="E158" s="134" t="str">
        <f ca="1">IFERROR(__xludf.DUMMYFUNCTION("""COMPUTED_VALUE"""),"")</f>
        <v/>
      </c>
      <c r="F158" s="134" t="str">
        <f ca="1">IFERROR(__xludf.DUMMYFUNCTION("""COMPUTED_VALUE"""),"")</f>
        <v/>
      </c>
      <c r="G158" s="134" t="str">
        <f ca="1">IFERROR(__xludf.DUMMYFUNCTION("""COMPUTED_VALUE"""),"")</f>
        <v/>
      </c>
      <c r="H158" s="134" t="str">
        <f ca="1">IFERROR(__xludf.DUMMYFUNCTION("""COMPUTED_VALUE"""),"")</f>
        <v/>
      </c>
      <c r="I158" s="134" t="str">
        <f ca="1">IFERROR(__xludf.DUMMYFUNCTION("""COMPUTED_VALUE"""),"")</f>
        <v/>
      </c>
      <c r="J158" s="134" t="str">
        <f ca="1">IFERROR(__xludf.DUMMYFUNCTION("""COMPUTED_VALUE"""),"")</f>
        <v/>
      </c>
    </row>
    <row r="159" spans="1:10">
      <c r="A159" s="134" t="str">
        <f ca="1">IFERROR(__xludf.DUMMYFUNCTION("""COMPUTED_VALUE"""),"")</f>
        <v/>
      </c>
      <c r="B159" s="134" t="str">
        <f ca="1">IFERROR(__xludf.DUMMYFUNCTION("""COMPUTED_VALUE"""),"")</f>
        <v/>
      </c>
      <c r="C159" s="134" t="str">
        <f ca="1">IFERROR(__xludf.DUMMYFUNCTION("""COMPUTED_VALUE"""),"")</f>
        <v/>
      </c>
      <c r="D159" s="134" t="str">
        <f ca="1">IFERROR(__xludf.DUMMYFUNCTION("""COMPUTED_VALUE"""),"")</f>
        <v/>
      </c>
      <c r="E159" s="134" t="str">
        <f ca="1">IFERROR(__xludf.DUMMYFUNCTION("""COMPUTED_VALUE"""),"")</f>
        <v/>
      </c>
      <c r="F159" s="134" t="str">
        <f ca="1">IFERROR(__xludf.DUMMYFUNCTION("""COMPUTED_VALUE"""),"")</f>
        <v/>
      </c>
      <c r="G159" s="134" t="str">
        <f ca="1">IFERROR(__xludf.DUMMYFUNCTION("""COMPUTED_VALUE"""),"")</f>
        <v/>
      </c>
      <c r="H159" s="134" t="str">
        <f ca="1">IFERROR(__xludf.DUMMYFUNCTION("""COMPUTED_VALUE"""),"")</f>
        <v/>
      </c>
      <c r="I159" s="134" t="str">
        <f ca="1">IFERROR(__xludf.DUMMYFUNCTION("""COMPUTED_VALUE"""),"")</f>
        <v/>
      </c>
      <c r="J159" s="134" t="str">
        <f ca="1">IFERROR(__xludf.DUMMYFUNCTION("""COMPUTED_VALUE"""),"")</f>
        <v/>
      </c>
    </row>
    <row r="160" spans="1:10">
      <c r="A160" s="134" t="str">
        <f ca="1">IFERROR(__xludf.DUMMYFUNCTION("""COMPUTED_VALUE"""),"")</f>
        <v/>
      </c>
      <c r="B160" s="134" t="str">
        <f ca="1">IFERROR(__xludf.DUMMYFUNCTION("""COMPUTED_VALUE"""),"")</f>
        <v/>
      </c>
      <c r="C160" s="134" t="str">
        <f ca="1">IFERROR(__xludf.DUMMYFUNCTION("""COMPUTED_VALUE"""),"")</f>
        <v/>
      </c>
      <c r="D160" s="134" t="str">
        <f ca="1">IFERROR(__xludf.DUMMYFUNCTION("""COMPUTED_VALUE"""),"")</f>
        <v/>
      </c>
      <c r="E160" s="134" t="str">
        <f ca="1">IFERROR(__xludf.DUMMYFUNCTION("""COMPUTED_VALUE"""),"")</f>
        <v/>
      </c>
      <c r="F160" s="134" t="str">
        <f ca="1">IFERROR(__xludf.DUMMYFUNCTION("""COMPUTED_VALUE"""),"")</f>
        <v/>
      </c>
      <c r="G160" s="134" t="str">
        <f ca="1">IFERROR(__xludf.DUMMYFUNCTION("""COMPUTED_VALUE"""),"")</f>
        <v/>
      </c>
      <c r="H160" s="134" t="str">
        <f ca="1">IFERROR(__xludf.DUMMYFUNCTION("""COMPUTED_VALUE"""),"")</f>
        <v/>
      </c>
      <c r="I160" s="134" t="str">
        <f ca="1">IFERROR(__xludf.DUMMYFUNCTION("""COMPUTED_VALUE"""),"")</f>
        <v/>
      </c>
      <c r="J160" s="134" t="str">
        <f ca="1">IFERROR(__xludf.DUMMYFUNCTION("""COMPUTED_VALUE"""),"")</f>
        <v/>
      </c>
    </row>
    <row r="161" spans="1:10">
      <c r="A161" s="134" t="str">
        <f ca="1">IFERROR(__xludf.DUMMYFUNCTION("""COMPUTED_VALUE"""),"")</f>
        <v/>
      </c>
      <c r="B161" s="134" t="str">
        <f ca="1">IFERROR(__xludf.DUMMYFUNCTION("""COMPUTED_VALUE"""),"")</f>
        <v/>
      </c>
      <c r="C161" s="134" t="str">
        <f ca="1">IFERROR(__xludf.DUMMYFUNCTION("""COMPUTED_VALUE"""),"")</f>
        <v/>
      </c>
      <c r="D161" s="134" t="str">
        <f ca="1">IFERROR(__xludf.DUMMYFUNCTION("""COMPUTED_VALUE"""),"")</f>
        <v/>
      </c>
      <c r="E161" s="134" t="str">
        <f ca="1">IFERROR(__xludf.DUMMYFUNCTION("""COMPUTED_VALUE"""),"")</f>
        <v/>
      </c>
      <c r="F161" s="134" t="str">
        <f ca="1">IFERROR(__xludf.DUMMYFUNCTION("""COMPUTED_VALUE"""),"")</f>
        <v/>
      </c>
      <c r="G161" s="134" t="str">
        <f ca="1">IFERROR(__xludf.DUMMYFUNCTION("""COMPUTED_VALUE"""),"")</f>
        <v/>
      </c>
      <c r="H161" s="134" t="str">
        <f ca="1">IFERROR(__xludf.DUMMYFUNCTION("""COMPUTED_VALUE"""),"")</f>
        <v/>
      </c>
      <c r="I161" s="134" t="str">
        <f ca="1">IFERROR(__xludf.DUMMYFUNCTION("""COMPUTED_VALUE"""),"")</f>
        <v/>
      </c>
      <c r="J161" s="134" t="str">
        <f ca="1">IFERROR(__xludf.DUMMYFUNCTION("""COMPUTED_VALUE"""),"")</f>
        <v/>
      </c>
    </row>
    <row r="162" spans="1:10">
      <c r="A162" s="134" t="str">
        <f ca="1">IFERROR(__xludf.DUMMYFUNCTION("""COMPUTED_VALUE"""),"")</f>
        <v/>
      </c>
      <c r="B162" s="134" t="str">
        <f ca="1">IFERROR(__xludf.DUMMYFUNCTION("""COMPUTED_VALUE"""),"")</f>
        <v/>
      </c>
      <c r="C162" s="134" t="str">
        <f ca="1">IFERROR(__xludf.DUMMYFUNCTION("""COMPUTED_VALUE"""),"")</f>
        <v/>
      </c>
      <c r="D162" s="134" t="str">
        <f ca="1">IFERROR(__xludf.DUMMYFUNCTION("""COMPUTED_VALUE"""),"")</f>
        <v/>
      </c>
      <c r="E162" s="134" t="str">
        <f ca="1">IFERROR(__xludf.DUMMYFUNCTION("""COMPUTED_VALUE"""),"")</f>
        <v/>
      </c>
      <c r="F162" s="134" t="str">
        <f ca="1">IFERROR(__xludf.DUMMYFUNCTION("""COMPUTED_VALUE"""),"")</f>
        <v/>
      </c>
      <c r="G162" s="134" t="str">
        <f ca="1">IFERROR(__xludf.DUMMYFUNCTION("""COMPUTED_VALUE"""),"")</f>
        <v/>
      </c>
      <c r="H162" s="134" t="str">
        <f ca="1">IFERROR(__xludf.DUMMYFUNCTION("""COMPUTED_VALUE"""),"")</f>
        <v/>
      </c>
      <c r="I162" s="134" t="str">
        <f ca="1">IFERROR(__xludf.DUMMYFUNCTION("""COMPUTED_VALUE"""),"")</f>
        <v/>
      </c>
      <c r="J162" s="134" t="str">
        <f ca="1">IFERROR(__xludf.DUMMYFUNCTION("""COMPUTED_VALUE"""),"")</f>
        <v/>
      </c>
    </row>
    <row r="163" spans="1:10">
      <c r="A163" s="134" t="str">
        <f ca="1">IFERROR(__xludf.DUMMYFUNCTION("""COMPUTED_VALUE"""),"")</f>
        <v/>
      </c>
      <c r="B163" s="134" t="str">
        <f ca="1">IFERROR(__xludf.DUMMYFUNCTION("""COMPUTED_VALUE"""),"")</f>
        <v/>
      </c>
      <c r="C163" s="134" t="str">
        <f ca="1">IFERROR(__xludf.DUMMYFUNCTION("""COMPUTED_VALUE"""),"")</f>
        <v/>
      </c>
      <c r="D163" s="134" t="str">
        <f ca="1">IFERROR(__xludf.DUMMYFUNCTION("""COMPUTED_VALUE"""),"")</f>
        <v/>
      </c>
      <c r="E163" s="134" t="str">
        <f ca="1">IFERROR(__xludf.DUMMYFUNCTION("""COMPUTED_VALUE"""),"")</f>
        <v/>
      </c>
      <c r="F163" s="134" t="str">
        <f ca="1">IFERROR(__xludf.DUMMYFUNCTION("""COMPUTED_VALUE"""),"")</f>
        <v/>
      </c>
      <c r="G163" s="134" t="str">
        <f ca="1">IFERROR(__xludf.DUMMYFUNCTION("""COMPUTED_VALUE"""),"")</f>
        <v/>
      </c>
      <c r="H163" s="134" t="str">
        <f ca="1">IFERROR(__xludf.DUMMYFUNCTION("""COMPUTED_VALUE"""),"")</f>
        <v/>
      </c>
      <c r="I163" s="134" t="str">
        <f ca="1">IFERROR(__xludf.DUMMYFUNCTION("""COMPUTED_VALUE"""),"")</f>
        <v/>
      </c>
      <c r="J163" s="134" t="str">
        <f ca="1">IFERROR(__xludf.DUMMYFUNCTION("""COMPUTED_VALUE"""),"")</f>
        <v/>
      </c>
    </row>
    <row r="164" spans="1:10">
      <c r="A164" s="134" t="str">
        <f ca="1">IFERROR(__xludf.DUMMYFUNCTION("""COMPUTED_VALUE"""),"")</f>
        <v/>
      </c>
      <c r="B164" s="134" t="str">
        <f ca="1">IFERROR(__xludf.DUMMYFUNCTION("""COMPUTED_VALUE"""),"")</f>
        <v/>
      </c>
      <c r="C164" s="134" t="str">
        <f ca="1">IFERROR(__xludf.DUMMYFUNCTION("""COMPUTED_VALUE"""),"")</f>
        <v/>
      </c>
      <c r="D164" s="134" t="str">
        <f ca="1">IFERROR(__xludf.DUMMYFUNCTION("""COMPUTED_VALUE"""),"")</f>
        <v/>
      </c>
      <c r="E164" s="134" t="str">
        <f ca="1">IFERROR(__xludf.DUMMYFUNCTION("""COMPUTED_VALUE"""),"")</f>
        <v/>
      </c>
      <c r="F164" s="134" t="str">
        <f ca="1">IFERROR(__xludf.DUMMYFUNCTION("""COMPUTED_VALUE"""),"")</f>
        <v/>
      </c>
      <c r="G164" s="134" t="str">
        <f ca="1">IFERROR(__xludf.DUMMYFUNCTION("""COMPUTED_VALUE"""),"")</f>
        <v/>
      </c>
      <c r="H164" s="134" t="str">
        <f ca="1">IFERROR(__xludf.DUMMYFUNCTION("""COMPUTED_VALUE"""),"")</f>
        <v/>
      </c>
      <c r="I164" s="134" t="str">
        <f ca="1">IFERROR(__xludf.DUMMYFUNCTION("""COMPUTED_VALUE"""),"")</f>
        <v/>
      </c>
      <c r="J164" s="134" t="str">
        <f ca="1">IFERROR(__xludf.DUMMYFUNCTION("""COMPUTED_VALUE"""),"")</f>
        <v/>
      </c>
    </row>
    <row r="165" spans="1:10">
      <c r="A165" s="134" t="str">
        <f ca="1">IFERROR(__xludf.DUMMYFUNCTION("""COMPUTED_VALUE"""),"")</f>
        <v/>
      </c>
      <c r="B165" s="134" t="str">
        <f ca="1">IFERROR(__xludf.DUMMYFUNCTION("""COMPUTED_VALUE"""),"")</f>
        <v/>
      </c>
      <c r="C165" s="134" t="str">
        <f ca="1">IFERROR(__xludf.DUMMYFUNCTION("""COMPUTED_VALUE"""),"")</f>
        <v/>
      </c>
      <c r="D165" s="134" t="str">
        <f ca="1">IFERROR(__xludf.DUMMYFUNCTION("""COMPUTED_VALUE"""),"")</f>
        <v/>
      </c>
      <c r="E165" s="134" t="str">
        <f ca="1">IFERROR(__xludf.DUMMYFUNCTION("""COMPUTED_VALUE"""),"")</f>
        <v/>
      </c>
      <c r="F165" s="134" t="str">
        <f ca="1">IFERROR(__xludf.DUMMYFUNCTION("""COMPUTED_VALUE"""),"")</f>
        <v/>
      </c>
      <c r="G165" s="134" t="str">
        <f ca="1">IFERROR(__xludf.DUMMYFUNCTION("""COMPUTED_VALUE"""),"")</f>
        <v/>
      </c>
      <c r="H165" s="134" t="str">
        <f ca="1">IFERROR(__xludf.DUMMYFUNCTION("""COMPUTED_VALUE"""),"")</f>
        <v/>
      </c>
      <c r="I165" s="134" t="str">
        <f ca="1">IFERROR(__xludf.DUMMYFUNCTION("""COMPUTED_VALUE"""),"")</f>
        <v/>
      </c>
      <c r="J165" s="134" t="str">
        <f ca="1">IFERROR(__xludf.DUMMYFUNCTION("""COMPUTED_VALUE"""),"")</f>
        <v/>
      </c>
    </row>
    <row r="166" spans="1:10">
      <c r="A166" s="134" t="str">
        <f ca="1">IFERROR(__xludf.DUMMYFUNCTION("""COMPUTED_VALUE"""),"")</f>
        <v/>
      </c>
      <c r="B166" s="134" t="str">
        <f ca="1">IFERROR(__xludf.DUMMYFUNCTION("""COMPUTED_VALUE"""),"")</f>
        <v/>
      </c>
      <c r="C166" s="134" t="str">
        <f ca="1">IFERROR(__xludf.DUMMYFUNCTION("""COMPUTED_VALUE"""),"")</f>
        <v/>
      </c>
      <c r="D166" s="134" t="str">
        <f ca="1">IFERROR(__xludf.DUMMYFUNCTION("""COMPUTED_VALUE"""),"")</f>
        <v/>
      </c>
      <c r="E166" s="134" t="str">
        <f ca="1">IFERROR(__xludf.DUMMYFUNCTION("""COMPUTED_VALUE"""),"")</f>
        <v/>
      </c>
      <c r="F166" s="134" t="str">
        <f ca="1">IFERROR(__xludf.DUMMYFUNCTION("""COMPUTED_VALUE"""),"")</f>
        <v/>
      </c>
      <c r="G166" s="134" t="str">
        <f ca="1">IFERROR(__xludf.DUMMYFUNCTION("""COMPUTED_VALUE"""),"")</f>
        <v/>
      </c>
      <c r="H166" s="134" t="str">
        <f ca="1">IFERROR(__xludf.DUMMYFUNCTION("""COMPUTED_VALUE"""),"")</f>
        <v/>
      </c>
      <c r="I166" s="134" t="str">
        <f ca="1">IFERROR(__xludf.DUMMYFUNCTION("""COMPUTED_VALUE"""),"")</f>
        <v/>
      </c>
      <c r="J166" s="134" t="str">
        <f ca="1">IFERROR(__xludf.DUMMYFUNCTION("""COMPUTED_VALUE"""),"")</f>
        <v/>
      </c>
    </row>
    <row r="167" spans="1:10">
      <c r="A167" s="134" t="str">
        <f ca="1">IFERROR(__xludf.DUMMYFUNCTION("""COMPUTED_VALUE"""),"")</f>
        <v/>
      </c>
      <c r="B167" s="134" t="str">
        <f ca="1">IFERROR(__xludf.DUMMYFUNCTION("""COMPUTED_VALUE"""),"")</f>
        <v/>
      </c>
      <c r="C167" s="134" t="str">
        <f ca="1">IFERROR(__xludf.DUMMYFUNCTION("""COMPUTED_VALUE"""),"")</f>
        <v/>
      </c>
      <c r="D167" s="134" t="str">
        <f ca="1">IFERROR(__xludf.DUMMYFUNCTION("""COMPUTED_VALUE"""),"")</f>
        <v/>
      </c>
      <c r="E167" s="134" t="str">
        <f ca="1">IFERROR(__xludf.DUMMYFUNCTION("""COMPUTED_VALUE"""),"")</f>
        <v/>
      </c>
      <c r="F167" s="134" t="str">
        <f ca="1">IFERROR(__xludf.DUMMYFUNCTION("""COMPUTED_VALUE"""),"")</f>
        <v/>
      </c>
      <c r="G167" s="134" t="str">
        <f ca="1">IFERROR(__xludf.DUMMYFUNCTION("""COMPUTED_VALUE"""),"")</f>
        <v/>
      </c>
      <c r="H167" s="134" t="str">
        <f ca="1">IFERROR(__xludf.DUMMYFUNCTION("""COMPUTED_VALUE"""),"")</f>
        <v/>
      </c>
      <c r="I167" s="134" t="str">
        <f ca="1">IFERROR(__xludf.DUMMYFUNCTION("""COMPUTED_VALUE"""),"")</f>
        <v/>
      </c>
      <c r="J167" s="134" t="str">
        <f ca="1">IFERROR(__xludf.DUMMYFUNCTION("""COMPUTED_VALUE"""),"")</f>
        <v/>
      </c>
    </row>
    <row r="168" spans="1:10">
      <c r="A168" s="134" t="str">
        <f ca="1">IFERROR(__xludf.DUMMYFUNCTION("""COMPUTED_VALUE"""),"")</f>
        <v/>
      </c>
      <c r="B168" s="134" t="str">
        <f ca="1">IFERROR(__xludf.DUMMYFUNCTION("""COMPUTED_VALUE"""),"")</f>
        <v/>
      </c>
      <c r="C168" s="134" t="str">
        <f ca="1">IFERROR(__xludf.DUMMYFUNCTION("""COMPUTED_VALUE"""),"")</f>
        <v/>
      </c>
      <c r="D168" s="134" t="str">
        <f ca="1">IFERROR(__xludf.DUMMYFUNCTION("""COMPUTED_VALUE"""),"")</f>
        <v/>
      </c>
      <c r="E168" s="134" t="str">
        <f ca="1">IFERROR(__xludf.DUMMYFUNCTION("""COMPUTED_VALUE"""),"")</f>
        <v/>
      </c>
      <c r="F168" s="134" t="str">
        <f ca="1">IFERROR(__xludf.DUMMYFUNCTION("""COMPUTED_VALUE"""),"")</f>
        <v/>
      </c>
      <c r="G168" s="134" t="str">
        <f ca="1">IFERROR(__xludf.DUMMYFUNCTION("""COMPUTED_VALUE"""),"")</f>
        <v/>
      </c>
      <c r="H168" s="134" t="str">
        <f ca="1">IFERROR(__xludf.DUMMYFUNCTION("""COMPUTED_VALUE"""),"")</f>
        <v/>
      </c>
      <c r="I168" s="134" t="str">
        <f ca="1">IFERROR(__xludf.DUMMYFUNCTION("""COMPUTED_VALUE"""),"")</f>
        <v/>
      </c>
      <c r="J168" s="134" t="str">
        <f ca="1">IFERROR(__xludf.DUMMYFUNCTION("""COMPUTED_VALUE"""),"")</f>
        <v/>
      </c>
    </row>
    <row r="169" spans="1:10">
      <c r="A169" s="134" t="str">
        <f ca="1">IFERROR(__xludf.DUMMYFUNCTION("""COMPUTED_VALUE"""),"")</f>
        <v/>
      </c>
      <c r="B169" s="134" t="str">
        <f ca="1">IFERROR(__xludf.DUMMYFUNCTION("""COMPUTED_VALUE"""),"")</f>
        <v/>
      </c>
      <c r="C169" s="134" t="str">
        <f ca="1">IFERROR(__xludf.DUMMYFUNCTION("""COMPUTED_VALUE"""),"")</f>
        <v/>
      </c>
      <c r="D169" s="134" t="str">
        <f ca="1">IFERROR(__xludf.DUMMYFUNCTION("""COMPUTED_VALUE"""),"")</f>
        <v/>
      </c>
      <c r="E169" s="134" t="str">
        <f ca="1">IFERROR(__xludf.DUMMYFUNCTION("""COMPUTED_VALUE"""),"")</f>
        <v/>
      </c>
      <c r="F169" s="134" t="str">
        <f ca="1">IFERROR(__xludf.DUMMYFUNCTION("""COMPUTED_VALUE"""),"")</f>
        <v/>
      </c>
      <c r="G169" s="134" t="str">
        <f ca="1">IFERROR(__xludf.DUMMYFUNCTION("""COMPUTED_VALUE"""),"")</f>
        <v/>
      </c>
      <c r="H169" s="134" t="str">
        <f ca="1">IFERROR(__xludf.DUMMYFUNCTION("""COMPUTED_VALUE"""),"")</f>
        <v/>
      </c>
      <c r="I169" s="134" t="str">
        <f ca="1">IFERROR(__xludf.DUMMYFUNCTION("""COMPUTED_VALUE"""),"")</f>
        <v/>
      </c>
      <c r="J169" s="134" t="str">
        <f ca="1">IFERROR(__xludf.DUMMYFUNCTION("""COMPUTED_VALUE"""),"")</f>
        <v/>
      </c>
    </row>
    <row r="170" spans="1:10">
      <c r="A170" s="134" t="str">
        <f ca="1">IFERROR(__xludf.DUMMYFUNCTION("""COMPUTED_VALUE"""),"")</f>
        <v/>
      </c>
      <c r="B170" s="134" t="str">
        <f ca="1">IFERROR(__xludf.DUMMYFUNCTION("""COMPUTED_VALUE"""),"")</f>
        <v/>
      </c>
      <c r="C170" s="134" t="str">
        <f ca="1">IFERROR(__xludf.DUMMYFUNCTION("""COMPUTED_VALUE"""),"")</f>
        <v/>
      </c>
      <c r="D170" s="134" t="str">
        <f ca="1">IFERROR(__xludf.DUMMYFUNCTION("""COMPUTED_VALUE"""),"")</f>
        <v/>
      </c>
      <c r="E170" s="134" t="str">
        <f ca="1">IFERROR(__xludf.DUMMYFUNCTION("""COMPUTED_VALUE"""),"")</f>
        <v/>
      </c>
      <c r="F170" s="134" t="str">
        <f ca="1">IFERROR(__xludf.DUMMYFUNCTION("""COMPUTED_VALUE"""),"")</f>
        <v/>
      </c>
      <c r="G170" s="134" t="str">
        <f ca="1">IFERROR(__xludf.DUMMYFUNCTION("""COMPUTED_VALUE"""),"")</f>
        <v/>
      </c>
      <c r="H170" s="134" t="str">
        <f ca="1">IFERROR(__xludf.DUMMYFUNCTION("""COMPUTED_VALUE"""),"")</f>
        <v/>
      </c>
      <c r="I170" s="134" t="str">
        <f ca="1">IFERROR(__xludf.DUMMYFUNCTION("""COMPUTED_VALUE"""),"")</f>
        <v/>
      </c>
      <c r="J170" s="134" t="str">
        <f ca="1">IFERROR(__xludf.DUMMYFUNCTION("""COMPUTED_VALUE"""),"")</f>
        <v/>
      </c>
    </row>
    <row r="171" spans="1:10">
      <c r="A171" s="134" t="str">
        <f ca="1">IFERROR(__xludf.DUMMYFUNCTION("""COMPUTED_VALUE"""),"")</f>
        <v/>
      </c>
      <c r="B171" s="134" t="str">
        <f ca="1">IFERROR(__xludf.DUMMYFUNCTION("""COMPUTED_VALUE"""),"")</f>
        <v/>
      </c>
      <c r="C171" s="134" t="str">
        <f ca="1">IFERROR(__xludf.DUMMYFUNCTION("""COMPUTED_VALUE"""),"")</f>
        <v/>
      </c>
      <c r="D171" s="134" t="str">
        <f ca="1">IFERROR(__xludf.DUMMYFUNCTION("""COMPUTED_VALUE"""),"")</f>
        <v/>
      </c>
      <c r="E171" s="134" t="str">
        <f ca="1">IFERROR(__xludf.DUMMYFUNCTION("""COMPUTED_VALUE"""),"")</f>
        <v/>
      </c>
      <c r="F171" s="134" t="str">
        <f ca="1">IFERROR(__xludf.DUMMYFUNCTION("""COMPUTED_VALUE"""),"")</f>
        <v/>
      </c>
      <c r="G171" s="134" t="str">
        <f ca="1">IFERROR(__xludf.DUMMYFUNCTION("""COMPUTED_VALUE"""),"")</f>
        <v/>
      </c>
      <c r="H171" s="134" t="str">
        <f ca="1">IFERROR(__xludf.DUMMYFUNCTION("""COMPUTED_VALUE"""),"")</f>
        <v/>
      </c>
      <c r="I171" s="134" t="str">
        <f ca="1">IFERROR(__xludf.DUMMYFUNCTION("""COMPUTED_VALUE"""),"")</f>
        <v/>
      </c>
      <c r="J171" s="134" t="str">
        <f ca="1">IFERROR(__xludf.DUMMYFUNCTION("""COMPUTED_VALUE"""),"")</f>
        <v/>
      </c>
    </row>
    <row r="172" spans="1:10">
      <c r="A172" s="134" t="str">
        <f ca="1">IFERROR(__xludf.DUMMYFUNCTION("""COMPUTED_VALUE"""),"")</f>
        <v/>
      </c>
      <c r="B172" s="134" t="str">
        <f ca="1">IFERROR(__xludf.DUMMYFUNCTION("""COMPUTED_VALUE"""),"")</f>
        <v/>
      </c>
      <c r="C172" s="134" t="str">
        <f ca="1">IFERROR(__xludf.DUMMYFUNCTION("""COMPUTED_VALUE"""),"")</f>
        <v/>
      </c>
      <c r="D172" s="134" t="str">
        <f ca="1">IFERROR(__xludf.DUMMYFUNCTION("""COMPUTED_VALUE"""),"")</f>
        <v/>
      </c>
      <c r="E172" s="134" t="str">
        <f ca="1">IFERROR(__xludf.DUMMYFUNCTION("""COMPUTED_VALUE"""),"")</f>
        <v/>
      </c>
      <c r="F172" s="134" t="str">
        <f ca="1">IFERROR(__xludf.DUMMYFUNCTION("""COMPUTED_VALUE"""),"")</f>
        <v/>
      </c>
      <c r="G172" s="134" t="str">
        <f ca="1">IFERROR(__xludf.DUMMYFUNCTION("""COMPUTED_VALUE"""),"")</f>
        <v/>
      </c>
      <c r="H172" s="134" t="str">
        <f ca="1">IFERROR(__xludf.DUMMYFUNCTION("""COMPUTED_VALUE"""),"")</f>
        <v/>
      </c>
      <c r="I172" s="134" t="str">
        <f ca="1">IFERROR(__xludf.DUMMYFUNCTION("""COMPUTED_VALUE"""),"")</f>
        <v/>
      </c>
      <c r="J172" s="134" t="str">
        <f ca="1">IFERROR(__xludf.DUMMYFUNCTION("""COMPUTED_VALUE"""),"")</f>
        <v/>
      </c>
    </row>
    <row r="173" spans="1:10">
      <c r="A173" s="134" t="str">
        <f ca="1">IFERROR(__xludf.DUMMYFUNCTION("""COMPUTED_VALUE"""),"")</f>
        <v/>
      </c>
      <c r="B173" s="134" t="str">
        <f ca="1">IFERROR(__xludf.DUMMYFUNCTION("""COMPUTED_VALUE"""),"")</f>
        <v/>
      </c>
      <c r="C173" s="134" t="str">
        <f ca="1">IFERROR(__xludf.DUMMYFUNCTION("""COMPUTED_VALUE"""),"")</f>
        <v/>
      </c>
      <c r="D173" s="134" t="str">
        <f ca="1">IFERROR(__xludf.DUMMYFUNCTION("""COMPUTED_VALUE"""),"")</f>
        <v/>
      </c>
      <c r="E173" s="134" t="str">
        <f ca="1">IFERROR(__xludf.DUMMYFUNCTION("""COMPUTED_VALUE"""),"")</f>
        <v/>
      </c>
      <c r="F173" s="134" t="str">
        <f ca="1">IFERROR(__xludf.DUMMYFUNCTION("""COMPUTED_VALUE"""),"")</f>
        <v/>
      </c>
      <c r="G173" s="134" t="str">
        <f ca="1">IFERROR(__xludf.DUMMYFUNCTION("""COMPUTED_VALUE"""),"")</f>
        <v/>
      </c>
      <c r="H173" s="134" t="str">
        <f ca="1">IFERROR(__xludf.DUMMYFUNCTION("""COMPUTED_VALUE"""),"")</f>
        <v/>
      </c>
      <c r="I173" s="134" t="str">
        <f ca="1">IFERROR(__xludf.DUMMYFUNCTION("""COMPUTED_VALUE"""),"")</f>
        <v/>
      </c>
      <c r="J173" s="134" t="str">
        <f ca="1">IFERROR(__xludf.DUMMYFUNCTION("""COMPUTED_VALUE"""),"")</f>
        <v/>
      </c>
    </row>
    <row r="174" spans="1:10">
      <c r="A174" s="134" t="str">
        <f ca="1">IFERROR(__xludf.DUMMYFUNCTION("""COMPUTED_VALUE"""),"")</f>
        <v/>
      </c>
      <c r="B174" s="134" t="str">
        <f ca="1">IFERROR(__xludf.DUMMYFUNCTION("""COMPUTED_VALUE"""),"")</f>
        <v/>
      </c>
      <c r="C174" s="134" t="str">
        <f ca="1">IFERROR(__xludf.DUMMYFUNCTION("""COMPUTED_VALUE"""),"")</f>
        <v/>
      </c>
      <c r="D174" s="134" t="str">
        <f ca="1">IFERROR(__xludf.DUMMYFUNCTION("""COMPUTED_VALUE"""),"")</f>
        <v/>
      </c>
      <c r="E174" s="134" t="str">
        <f ca="1">IFERROR(__xludf.DUMMYFUNCTION("""COMPUTED_VALUE"""),"")</f>
        <v/>
      </c>
      <c r="F174" s="134" t="str">
        <f ca="1">IFERROR(__xludf.DUMMYFUNCTION("""COMPUTED_VALUE"""),"")</f>
        <v/>
      </c>
      <c r="G174" s="134" t="str">
        <f ca="1">IFERROR(__xludf.DUMMYFUNCTION("""COMPUTED_VALUE"""),"")</f>
        <v/>
      </c>
      <c r="H174" s="134" t="str">
        <f ca="1">IFERROR(__xludf.DUMMYFUNCTION("""COMPUTED_VALUE"""),"")</f>
        <v/>
      </c>
      <c r="I174" s="134" t="str">
        <f ca="1">IFERROR(__xludf.DUMMYFUNCTION("""COMPUTED_VALUE"""),"")</f>
        <v/>
      </c>
      <c r="J174" s="134" t="str">
        <f ca="1">IFERROR(__xludf.DUMMYFUNCTION("""COMPUTED_VALUE"""),"")</f>
        <v/>
      </c>
    </row>
    <row r="175" spans="1:10">
      <c r="A175" s="134" t="str">
        <f ca="1">IFERROR(__xludf.DUMMYFUNCTION("""COMPUTED_VALUE"""),"")</f>
        <v/>
      </c>
      <c r="B175" s="134" t="str">
        <f ca="1">IFERROR(__xludf.DUMMYFUNCTION("""COMPUTED_VALUE"""),"")</f>
        <v/>
      </c>
      <c r="C175" s="134" t="str">
        <f ca="1">IFERROR(__xludf.DUMMYFUNCTION("""COMPUTED_VALUE"""),"")</f>
        <v/>
      </c>
      <c r="D175" s="134" t="str">
        <f ca="1">IFERROR(__xludf.DUMMYFUNCTION("""COMPUTED_VALUE"""),"")</f>
        <v/>
      </c>
      <c r="E175" s="134" t="str">
        <f ca="1">IFERROR(__xludf.DUMMYFUNCTION("""COMPUTED_VALUE"""),"")</f>
        <v/>
      </c>
      <c r="F175" s="134" t="str">
        <f ca="1">IFERROR(__xludf.DUMMYFUNCTION("""COMPUTED_VALUE"""),"")</f>
        <v/>
      </c>
      <c r="G175" s="134" t="str">
        <f ca="1">IFERROR(__xludf.DUMMYFUNCTION("""COMPUTED_VALUE"""),"")</f>
        <v/>
      </c>
      <c r="H175" s="134" t="str">
        <f ca="1">IFERROR(__xludf.DUMMYFUNCTION("""COMPUTED_VALUE"""),"")</f>
        <v/>
      </c>
      <c r="I175" s="134" t="str">
        <f ca="1">IFERROR(__xludf.DUMMYFUNCTION("""COMPUTED_VALUE"""),"")</f>
        <v/>
      </c>
      <c r="J175" s="134" t="str">
        <f ca="1">IFERROR(__xludf.DUMMYFUNCTION("""COMPUTED_VALUE"""),"")</f>
        <v/>
      </c>
    </row>
    <row r="176" spans="1:10">
      <c r="A176" s="134" t="str">
        <f ca="1">IFERROR(__xludf.DUMMYFUNCTION("""COMPUTED_VALUE"""),"")</f>
        <v/>
      </c>
      <c r="B176" s="134" t="str">
        <f ca="1">IFERROR(__xludf.DUMMYFUNCTION("""COMPUTED_VALUE"""),"")</f>
        <v/>
      </c>
      <c r="C176" s="134" t="str">
        <f ca="1">IFERROR(__xludf.DUMMYFUNCTION("""COMPUTED_VALUE"""),"")</f>
        <v/>
      </c>
      <c r="D176" s="134" t="str">
        <f ca="1">IFERROR(__xludf.DUMMYFUNCTION("""COMPUTED_VALUE"""),"")</f>
        <v/>
      </c>
      <c r="E176" s="134" t="str">
        <f ca="1">IFERROR(__xludf.DUMMYFUNCTION("""COMPUTED_VALUE"""),"")</f>
        <v/>
      </c>
      <c r="F176" s="134" t="str">
        <f ca="1">IFERROR(__xludf.DUMMYFUNCTION("""COMPUTED_VALUE"""),"")</f>
        <v/>
      </c>
      <c r="G176" s="134" t="str">
        <f ca="1">IFERROR(__xludf.DUMMYFUNCTION("""COMPUTED_VALUE"""),"")</f>
        <v/>
      </c>
      <c r="H176" s="134" t="str">
        <f ca="1">IFERROR(__xludf.DUMMYFUNCTION("""COMPUTED_VALUE"""),"")</f>
        <v/>
      </c>
      <c r="I176" s="134" t="str">
        <f ca="1">IFERROR(__xludf.DUMMYFUNCTION("""COMPUTED_VALUE"""),"")</f>
        <v/>
      </c>
      <c r="J176" s="134" t="str">
        <f ca="1">IFERROR(__xludf.DUMMYFUNCTION("""COMPUTED_VALUE"""),"")</f>
        <v/>
      </c>
    </row>
    <row r="177" spans="1:10">
      <c r="A177" s="134" t="str">
        <f ca="1">IFERROR(__xludf.DUMMYFUNCTION("""COMPUTED_VALUE"""),"")</f>
        <v/>
      </c>
      <c r="B177" s="134" t="str">
        <f ca="1">IFERROR(__xludf.DUMMYFUNCTION("""COMPUTED_VALUE"""),"")</f>
        <v/>
      </c>
      <c r="C177" s="134" t="str">
        <f ca="1">IFERROR(__xludf.DUMMYFUNCTION("""COMPUTED_VALUE"""),"")</f>
        <v/>
      </c>
      <c r="D177" s="134" t="str">
        <f ca="1">IFERROR(__xludf.DUMMYFUNCTION("""COMPUTED_VALUE"""),"")</f>
        <v/>
      </c>
      <c r="E177" s="134" t="str">
        <f ca="1">IFERROR(__xludf.DUMMYFUNCTION("""COMPUTED_VALUE"""),"")</f>
        <v/>
      </c>
      <c r="F177" s="134" t="str">
        <f ca="1">IFERROR(__xludf.DUMMYFUNCTION("""COMPUTED_VALUE"""),"")</f>
        <v/>
      </c>
      <c r="G177" s="134" t="str">
        <f ca="1">IFERROR(__xludf.DUMMYFUNCTION("""COMPUTED_VALUE"""),"")</f>
        <v/>
      </c>
      <c r="H177" s="134" t="str">
        <f ca="1">IFERROR(__xludf.DUMMYFUNCTION("""COMPUTED_VALUE"""),"")</f>
        <v/>
      </c>
      <c r="I177" s="134" t="str">
        <f ca="1">IFERROR(__xludf.DUMMYFUNCTION("""COMPUTED_VALUE"""),"")</f>
        <v/>
      </c>
      <c r="J177" s="134" t="str">
        <f ca="1">IFERROR(__xludf.DUMMYFUNCTION("""COMPUTED_VALUE"""),"")</f>
        <v/>
      </c>
    </row>
    <row r="178" spans="1:10">
      <c r="A178" s="134" t="str">
        <f ca="1">IFERROR(__xludf.DUMMYFUNCTION("""COMPUTED_VALUE"""),"")</f>
        <v/>
      </c>
      <c r="B178" s="134" t="str">
        <f ca="1">IFERROR(__xludf.DUMMYFUNCTION("""COMPUTED_VALUE"""),"")</f>
        <v/>
      </c>
      <c r="C178" s="134" t="str">
        <f ca="1">IFERROR(__xludf.DUMMYFUNCTION("""COMPUTED_VALUE"""),"")</f>
        <v/>
      </c>
      <c r="D178" s="134" t="str">
        <f ca="1">IFERROR(__xludf.DUMMYFUNCTION("""COMPUTED_VALUE"""),"")</f>
        <v/>
      </c>
      <c r="E178" s="134" t="str">
        <f ca="1">IFERROR(__xludf.DUMMYFUNCTION("""COMPUTED_VALUE"""),"")</f>
        <v/>
      </c>
      <c r="F178" s="134" t="str">
        <f ca="1">IFERROR(__xludf.DUMMYFUNCTION("""COMPUTED_VALUE"""),"")</f>
        <v/>
      </c>
      <c r="G178" s="134" t="str">
        <f ca="1">IFERROR(__xludf.DUMMYFUNCTION("""COMPUTED_VALUE"""),"")</f>
        <v/>
      </c>
      <c r="H178" s="134" t="str">
        <f ca="1">IFERROR(__xludf.DUMMYFUNCTION("""COMPUTED_VALUE"""),"")</f>
        <v/>
      </c>
      <c r="I178" s="134" t="str">
        <f ca="1">IFERROR(__xludf.DUMMYFUNCTION("""COMPUTED_VALUE"""),"")</f>
        <v/>
      </c>
      <c r="J178" s="134" t="str">
        <f ca="1">IFERROR(__xludf.DUMMYFUNCTION("""COMPUTED_VALUE"""),"")</f>
        <v/>
      </c>
    </row>
    <row r="179" spans="1:10">
      <c r="A179" s="134" t="str">
        <f ca="1">IFERROR(__xludf.DUMMYFUNCTION("""COMPUTED_VALUE"""),"")</f>
        <v/>
      </c>
      <c r="B179" s="134" t="str">
        <f ca="1">IFERROR(__xludf.DUMMYFUNCTION("""COMPUTED_VALUE"""),"")</f>
        <v/>
      </c>
      <c r="C179" s="134" t="str">
        <f ca="1">IFERROR(__xludf.DUMMYFUNCTION("""COMPUTED_VALUE"""),"")</f>
        <v/>
      </c>
      <c r="D179" s="134" t="str">
        <f ca="1">IFERROR(__xludf.DUMMYFUNCTION("""COMPUTED_VALUE"""),"")</f>
        <v/>
      </c>
      <c r="E179" s="134" t="str">
        <f ca="1">IFERROR(__xludf.DUMMYFUNCTION("""COMPUTED_VALUE"""),"")</f>
        <v/>
      </c>
      <c r="F179" s="134" t="str">
        <f ca="1">IFERROR(__xludf.DUMMYFUNCTION("""COMPUTED_VALUE"""),"")</f>
        <v/>
      </c>
      <c r="G179" s="134" t="str">
        <f ca="1">IFERROR(__xludf.DUMMYFUNCTION("""COMPUTED_VALUE"""),"")</f>
        <v/>
      </c>
      <c r="H179" s="134" t="str">
        <f ca="1">IFERROR(__xludf.DUMMYFUNCTION("""COMPUTED_VALUE"""),"")</f>
        <v/>
      </c>
      <c r="I179" s="134" t="str">
        <f ca="1">IFERROR(__xludf.DUMMYFUNCTION("""COMPUTED_VALUE"""),"")</f>
        <v/>
      </c>
      <c r="J179" s="134" t="str">
        <f ca="1">IFERROR(__xludf.DUMMYFUNCTION("""COMPUTED_VALUE"""),"")</f>
        <v/>
      </c>
    </row>
    <row r="180" spans="1:10">
      <c r="A180" s="134" t="str">
        <f ca="1">IFERROR(__xludf.DUMMYFUNCTION("""COMPUTED_VALUE"""),"")</f>
        <v/>
      </c>
      <c r="B180" s="134" t="str">
        <f ca="1">IFERROR(__xludf.DUMMYFUNCTION("""COMPUTED_VALUE"""),"")</f>
        <v/>
      </c>
      <c r="C180" s="134" t="str">
        <f ca="1">IFERROR(__xludf.DUMMYFUNCTION("""COMPUTED_VALUE"""),"")</f>
        <v/>
      </c>
      <c r="D180" s="134" t="str">
        <f ca="1">IFERROR(__xludf.DUMMYFUNCTION("""COMPUTED_VALUE"""),"")</f>
        <v/>
      </c>
      <c r="E180" s="134" t="str">
        <f ca="1">IFERROR(__xludf.DUMMYFUNCTION("""COMPUTED_VALUE"""),"")</f>
        <v/>
      </c>
      <c r="F180" s="134" t="str">
        <f ca="1">IFERROR(__xludf.DUMMYFUNCTION("""COMPUTED_VALUE"""),"")</f>
        <v/>
      </c>
      <c r="G180" s="134" t="str">
        <f ca="1">IFERROR(__xludf.DUMMYFUNCTION("""COMPUTED_VALUE"""),"")</f>
        <v/>
      </c>
      <c r="H180" s="134" t="str">
        <f ca="1">IFERROR(__xludf.DUMMYFUNCTION("""COMPUTED_VALUE"""),"")</f>
        <v/>
      </c>
      <c r="I180" s="134" t="str">
        <f ca="1">IFERROR(__xludf.DUMMYFUNCTION("""COMPUTED_VALUE"""),"")</f>
        <v/>
      </c>
      <c r="J180" s="134" t="str">
        <f ca="1">IFERROR(__xludf.DUMMYFUNCTION("""COMPUTED_VALUE"""),"")</f>
        <v/>
      </c>
    </row>
    <row r="181" spans="1:10">
      <c r="A181" s="134" t="str">
        <f ca="1">IFERROR(__xludf.DUMMYFUNCTION("""COMPUTED_VALUE"""),"")</f>
        <v/>
      </c>
      <c r="B181" s="134" t="str">
        <f ca="1">IFERROR(__xludf.DUMMYFUNCTION("""COMPUTED_VALUE"""),"")</f>
        <v/>
      </c>
      <c r="C181" s="134" t="str">
        <f ca="1">IFERROR(__xludf.DUMMYFUNCTION("""COMPUTED_VALUE"""),"")</f>
        <v/>
      </c>
      <c r="D181" s="134" t="str">
        <f ca="1">IFERROR(__xludf.DUMMYFUNCTION("""COMPUTED_VALUE"""),"")</f>
        <v/>
      </c>
      <c r="E181" s="134" t="str">
        <f ca="1">IFERROR(__xludf.DUMMYFUNCTION("""COMPUTED_VALUE"""),"")</f>
        <v/>
      </c>
      <c r="F181" s="134" t="str">
        <f ca="1">IFERROR(__xludf.DUMMYFUNCTION("""COMPUTED_VALUE"""),"")</f>
        <v/>
      </c>
      <c r="G181" s="134" t="str">
        <f ca="1">IFERROR(__xludf.DUMMYFUNCTION("""COMPUTED_VALUE"""),"")</f>
        <v/>
      </c>
      <c r="H181" s="134" t="str">
        <f ca="1">IFERROR(__xludf.DUMMYFUNCTION("""COMPUTED_VALUE"""),"")</f>
        <v/>
      </c>
      <c r="I181" s="134" t="str">
        <f ca="1">IFERROR(__xludf.DUMMYFUNCTION("""COMPUTED_VALUE"""),"")</f>
        <v/>
      </c>
      <c r="J181" s="134" t="str">
        <f ca="1">IFERROR(__xludf.DUMMYFUNCTION("""COMPUTED_VALUE"""),"")</f>
        <v/>
      </c>
    </row>
    <row r="182" spans="1:10">
      <c r="A182" s="134" t="str">
        <f ca="1">IFERROR(__xludf.DUMMYFUNCTION("""COMPUTED_VALUE"""),"")</f>
        <v/>
      </c>
      <c r="B182" s="134" t="str">
        <f ca="1">IFERROR(__xludf.DUMMYFUNCTION("""COMPUTED_VALUE"""),"")</f>
        <v/>
      </c>
      <c r="C182" s="134" t="str">
        <f ca="1">IFERROR(__xludf.DUMMYFUNCTION("""COMPUTED_VALUE"""),"")</f>
        <v/>
      </c>
      <c r="D182" s="134" t="str">
        <f ca="1">IFERROR(__xludf.DUMMYFUNCTION("""COMPUTED_VALUE"""),"")</f>
        <v/>
      </c>
      <c r="E182" s="134" t="str">
        <f ca="1">IFERROR(__xludf.DUMMYFUNCTION("""COMPUTED_VALUE"""),"")</f>
        <v/>
      </c>
      <c r="F182" s="134" t="str">
        <f ca="1">IFERROR(__xludf.DUMMYFUNCTION("""COMPUTED_VALUE"""),"")</f>
        <v/>
      </c>
      <c r="G182" s="134" t="str">
        <f ca="1">IFERROR(__xludf.DUMMYFUNCTION("""COMPUTED_VALUE"""),"")</f>
        <v/>
      </c>
      <c r="H182" s="134" t="str">
        <f ca="1">IFERROR(__xludf.DUMMYFUNCTION("""COMPUTED_VALUE"""),"")</f>
        <v/>
      </c>
      <c r="I182" s="134" t="str">
        <f ca="1">IFERROR(__xludf.DUMMYFUNCTION("""COMPUTED_VALUE"""),"")</f>
        <v/>
      </c>
      <c r="J182" s="134" t="str">
        <f ca="1">IFERROR(__xludf.DUMMYFUNCTION("""COMPUTED_VALUE"""),"")</f>
        <v/>
      </c>
    </row>
    <row r="183" spans="1:10">
      <c r="A183" s="134" t="str">
        <f ca="1">IFERROR(__xludf.DUMMYFUNCTION("""COMPUTED_VALUE"""),"")</f>
        <v/>
      </c>
      <c r="B183" s="134" t="str">
        <f ca="1">IFERROR(__xludf.DUMMYFUNCTION("""COMPUTED_VALUE"""),"")</f>
        <v/>
      </c>
      <c r="C183" s="134" t="str">
        <f ca="1">IFERROR(__xludf.DUMMYFUNCTION("""COMPUTED_VALUE"""),"")</f>
        <v/>
      </c>
      <c r="D183" s="134" t="str">
        <f ca="1">IFERROR(__xludf.DUMMYFUNCTION("""COMPUTED_VALUE"""),"")</f>
        <v/>
      </c>
      <c r="E183" s="134" t="str">
        <f ca="1">IFERROR(__xludf.DUMMYFUNCTION("""COMPUTED_VALUE"""),"")</f>
        <v/>
      </c>
      <c r="F183" s="134" t="str">
        <f ca="1">IFERROR(__xludf.DUMMYFUNCTION("""COMPUTED_VALUE"""),"")</f>
        <v/>
      </c>
      <c r="G183" s="134" t="str">
        <f ca="1">IFERROR(__xludf.DUMMYFUNCTION("""COMPUTED_VALUE"""),"")</f>
        <v/>
      </c>
      <c r="H183" s="134" t="str">
        <f ca="1">IFERROR(__xludf.DUMMYFUNCTION("""COMPUTED_VALUE"""),"")</f>
        <v/>
      </c>
      <c r="I183" s="134" t="str">
        <f ca="1">IFERROR(__xludf.DUMMYFUNCTION("""COMPUTED_VALUE"""),"")</f>
        <v/>
      </c>
      <c r="J183" s="134" t="str">
        <f ca="1">IFERROR(__xludf.DUMMYFUNCTION("""COMPUTED_VALUE"""),"")</f>
        <v/>
      </c>
    </row>
    <row r="184" spans="1:10">
      <c r="A184" s="134" t="str">
        <f ca="1">IFERROR(__xludf.DUMMYFUNCTION("""COMPUTED_VALUE"""),"")</f>
        <v/>
      </c>
      <c r="B184" s="134" t="str">
        <f ca="1">IFERROR(__xludf.DUMMYFUNCTION("""COMPUTED_VALUE"""),"")</f>
        <v/>
      </c>
      <c r="C184" s="134" t="str">
        <f ca="1">IFERROR(__xludf.DUMMYFUNCTION("""COMPUTED_VALUE"""),"")</f>
        <v/>
      </c>
      <c r="D184" s="134" t="str">
        <f ca="1">IFERROR(__xludf.DUMMYFUNCTION("""COMPUTED_VALUE"""),"")</f>
        <v/>
      </c>
      <c r="E184" s="134" t="str">
        <f ca="1">IFERROR(__xludf.DUMMYFUNCTION("""COMPUTED_VALUE"""),"")</f>
        <v/>
      </c>
      <c r="F184" s="134" t="str">
        <f ca="1">IFERROR(__xludf.DUMMYFUNCTION("""COMPUTED_VALUE"""),"")</f>
        <v/>
      </c>
      <c r="G184" s="134" t="str">
        <f ca="1">IFERROR(__xludf.DUMMYFUNCTION("""COMPUTED_VALUE"""),"")</f>
        <v/>
      </c>
      <c r="H184" s="134" t="str">
        <f ca="1">IFERROR(__xludf.DUMMYFUNCTION("""COMPUTED_VALUE"""),"")</f>
        <v/>
      </c>
      <c r="I184" s="134" t="str">
        <f ca="1">IFERROR(__xludf.DUMMYFUNCTION("""COMPUTED_VALUE"""),"")</f>
        <v/>
      </c>
      <c r="J184" s="134" t="str">
        <f ca="1">IFERROR(__xludf.DUMMYFUNCTION("""COMPUTED_VALUE"""),"")</f>
        <v/>
      </c>
    </row>
    <row r="185" spans="1:10">
      <c r="A185" s="134" t="str">
        <f ca="1">IFERROR(__xludf.DUMMYFUNCTION("""COMPUTED_VALUE"""),"")</f>
        <v/>
      </c>
      <c r="B185" s="134" t="str">
        <f ca="1">IFERROR(__xludf.DUMMYFUNCTION("""COMPUTED_VALUE"""),"")</f>
        <v/>
      </c>
      <c r="C185" s="134" t="str">
        <f ca="1">IFERROR(__xludf.DUMMYFUNCTION("""COMPUTED_VALUE"""),"")</f>
        <v/>
      </c>
      <c r="D185" s="134" t="str">
        <f ca="1">IFERROR(__xludf.DUMMYFUNCTION("""COMPUTED_VALUE"""),"")</f>
        <v/>
      </c>
      <c r="E185" s="134" t="str">
        <f ca="1">IFERROR(__xludf.DUMMYFUNCTION("""COMPUTED_VALUE"""),"")</f>
        <v/>
      </c>
      <c r="F185" s="134" t="str">
        <f ca="1">IFERROR(__xludf.DUMMYFUNCTION("""COMPUTED_VALUE"""),"")</f>
        <v/>
      </c>
      <c r="G185" s="134" t="str">
        <f ca="1">IFERROR(__xludf.DUMMYFUNCTION("""COMPUTED_VALUE"""),"")</f>
        <v/>
      </c>
      <c r="H185" s="134" t="str">
        <f ca="1">IFERROR(__xludf.DUMMYFUNCTION("""COMPUTED_VALUE"""),"")</f>
        <v/>
      </c>
      <c r="I185" s="134" t="str">
        <f ca="1">IFERROR(__xludf.DUMMYFUNCTION("""COMPUTED_VALUE"""),"")</f>
        <v/>
      </c>
      <c r="J185" s="134" t="str">
        <f ca="1">IFERROR(__xludf.DUMMYFUNCTION("""COMPUTED_VALUE"""),"")</f>
        <v/>
      </c>
    </row>
    <row r="186" spans="1:10">
      <c r="A186" s="134" t="str">
        <f ca="1">IFERROR(__xludf.DUMMYFUNCTION("""COMPUTED_VALUE"""),"")</f>
        <v/>
      </c>
      <c r="B186" s="134" t="str">
        <f ca="1">IFERROR(__xludf.DUMMYFUNCTION("""COMPUTED_VALUE"""),"")</f>
        <v/>
      </c>
      <c r="C186" s="134" t="str">
        <f ca="1">IFERROR(__xludf.DUMMYFUNCTION("""COMPUTED_VALUE"""),"")</f>
        <v/>
      </c>
      <c r="D186" s="134" t="str">
        <f ca="1">IFERROR(__xludf.DUMMYFUNCTION("""COMPUTED_VALUE"""),"")</f>
        <v/>
      </c>
      <c r="E186" s="134" t="str">
        <f ca="1">IFERROR(__xludf.DUMMYFUNCTION("""COMPUTED_VALUE"""),"")</f>
        <v/>
      </c>
      <c r="F186" s="134" t="str">
        <f ca="1">IFERROR(__xludf.DUMMYFUNCTION("""COMPUTED_VALUE"""),"")</f>
        <v/>
      </c>
      <c r="G186" s="134" t="str">
        <f ca="1">IFERROR(__xludf.DUMMYFUNCTION("""COMPUTED_VALUE"""),"")</f>
        <v/>
      </c>
      <c r="H186" s="134" t="str">
        <f ca="1">IFERROR(__xludf.DUMMYFUNCTION("""COMPUTED_VALUE"""),"")</f>
        <v/>
      </c>
      <c r="I186" s="134" t="str">
        <f ca="1">IFERROR(__xludf.DUMMYFUNCTION("""COMPUTED_VALUE"""),"")</f>
        <v/>
      </c>
      <c r="J186" s="134" t="str">
        <f ca="1">IFERROR(__xludf.DUMMYFUNCTION("""COMPUTED_VALUE"""),"")</f>
        <v/>
      </c>
    </row>
    <row r="187" spans="1:10">
      <c r="A187" s="134" t="str">
        <f ca="1">IFERROR(__xludf.DUMMYFUNCTION("""COMPUTED_VALUE"""),"")</f>
        <v/>
      </c>
      <c r="B187" s="134" t="str">
        <f ca="1">IFERROR(__xludf.DUMMYFUNCTION("""COMPUTED_VALUE"""),"")</f>
        <v/>
      </c>
      <c r="C187" s="134" t="str">
        <f ca="1">IFERROR(__xludf.DUMMYFUNCTION("""COMPUTED_VALUE"""),"")</f>
        <v/>
      </c>
      <c r="D187" s="134" t="str">
        <f ca="1">IFERROR(__xludf.DUMMYFUNCTION("""COMPUTED_VALUE"""),"")</f>
        <v/>
      </c>
      <c r="E187" s="134" t="str">
        <f ca="1">IFERROR(__xludf.DUMMYFUNCTION("""COMPUTED_VALUE"""),"")</f>
        <v/>
      </c>
      <c r="F187" s="134" t="str">
        <f ca="1">IFERROR(__xludf.DUMMYFUNCTION("""COMPUTED_VALUE"""),"")</f>
        <v/>
      </c>
      <c r="G187" s="134" t="str">
        <f ca="1">IFERROR(__xludf.DUMMYFUNCTION("""COMPUTED_VALUE"""),"")</f>
        <v/>
      </c>
      <c r="H187" s="134" t="str">
        <f ca="1">IFERROR(__xludf.DUMMYFUNCTION("""COMPUTED_VALUE"""),"")</f>
        <v/>
      </c>
      <c r="I187" s="134" t="str">
        <f ca="1">IFERROR(__xludf.DUMMYFUNCTION("""COMPUTED_VALUE"""),"")</f>
        <v/>
      </c>
      <c r="J187" s="134" t="str">
        <f ca="1">IFERROR(__xludf.DUMMYFUNCTION("""COMPUTED_VALUE"""),"")</f>
        <v/>
      </c>
    </row>
    <row r="188" spans="1:10">
      <c r="A188" s="134" t="str">
        <f ca="1">IFERROR(__xludf.DUMMYFUNCTION("""COMPUTED_VALUE"""),"")</f>
        <v/>
      </c>
      <c r="B188" s="134" t="str">
        <f ca="1">IFERROR(__xludf.DUMMYFUNCTION("""COMPUTED_VALUE"""),"")</f>
        <v/>
      </c>
      <c r="C188" s="134" t="str">
        <f ca="1">IFERROR(__xludf.DUMMYFUNCTION("""COMPUTED_VALUE"""),"")</f>
        <v/>
      </c>
      <c r="D188" s="134" t="str">
        <f ca="1">IFERROR(__xludf.DUMMYFUNCTION("""COMPUTED_VALUE"""),"")</f>
        <v/>
      </c>
      <c r="E188" s="134" t="str">
        <f ca="1">IFERROR(__xludf.DUMMYFUNCTION("""COMPUTED_VALUE"""),"")</f>
        <v/>
      </c>
      <c r="F188" s="134" t="str">
        <f ca="1">IFERROR(__xludf.DUMMYFUNCTION("""COMPUTED_VALUE"""),"")</f>
        <v/>
      </c>
      <c r="G188" s="134" t="str">
        <f ca="1">IFERROR(__xludf.DUMMYFUNCTION("""COMPUTED_VALUE"""),"")</f>
        <v/>
      </c>
      <c r="H188" s="134" t="str">
        <f ca="1">IFERROR(__xludf.DUMMYFUNCTION("""COMPUTED_VALUE"""),"")</f>
        <v/>
      </c>
      <c r="I188" s="134" t="str">
        <f ca="1">IFERROR(__xludf.DUMMYFUNCTION("""COMPUTED_VALUE"""),"")</f>
        <v/>
      </c>
      <c r="J188" s="134" t="str">
        <f ca="1">IFERROR(__xludf.DUMMYFUNCTION("""COMPUTED_VALUE"""),"")</f>
        <v/>
      </c>
    </row>
    <row r="189" spans="1:10">
      <c r="A189" s="134" t="str">
        <f ca="1">IFERROR(__xludf.DUMMYFUNCTION("""COMPUTED_VALUE"""),"")</f>
        <v/>
      </c>
      <c r="B189" s="134" t="str">
        <f ca="1">IFERROR(__xludf.DUMMYFUNCTION("""COMPUTED_VALUE"""),"")</f>
        <v/>
      </c>
      <c r="C189" s="134" t="str">
        <f ca="1">IFERROR(__xludf.DUMMYFUNCTION("""COMPUTED_VALUE"""),"")</f>
        <v/>
      </c>
      <c r="D189" s="134" t="str">
        <f ca="1">IFERROR(__xludf.DUMMYFUNCTION("""COMPUTED_VALUE"""),"")</f>
        <v/>
      </c>
      <c r="E189" s="134" t="str">
        <f ca="1">IFERROR(__xludf.DUMMYFUNCTION("""COMPUTED_VALUE"""),"")</f>
        <v/>
      </c>
      <c r="F189" s="134" t="str">
        <f ca="1">IFERROR(__xludf.DUMMYFUNCTION("""COMPUTED_VALUE"""),"")</f>
        <v/>
      </c>
      <c r="G189" s="134" t="str">
        <f ca="1">IFERROR(__xludf.DUMMYFUNCTION("""COMPUTED_VALUE"""),"")</f>
        <v/>
      </c>
      <c r="H189" s="134" t="str">
        <f ca="1">IFERROR(__xludf.DUMMYFUNCTION("""COMPUTED_VALUE"""),"")</f>
        <v/>
      </c>
      <c r="I189" s="134" t="str">
        <f ca="1">IFERROR(__xludf.DUMMYFUNCTION("""COMPUTED_VALUE"""),"")</f>
        <v/>
      </c>
      <c r="J189" s="134" t="str">
        <f ca="1">IFERROR(__xludf.DUMMYFUNCTION("""COMPUTED_VALUE"""),"")</f>
        <v/>
      </c>
    </row>
    <row r="190" spans="1:10">
      <c r="A190" s="134" t="str">
        <f ca="1">IFERROR(__xludf.DUMMYFUNCTION("""COMPUTED_VALUE"""),"")</f>
        <v/>
      </c>
      <c r="B190" s="134" t="str">
        <f ca="1">IFERROR(__xludf.DUMMYFUNCTION("""COMPUTED_VALUE"""),"")</f>
        <v/>
      </c>
      <c r="C190" s="134" t="str">
        <f ca="1">IFERROR(__xludf.DUMMYFUNCTION("""COMPUTED_VALUE"""),"")</f>
        <v/>
      </c>
      <c r="D190" s="134" t="str">
        <f ca="1">IFERROR(__xludf.DUMMYFUNCTION("""COMPUTED_VALUE"""),"")</f>
        <v/>
      </c>
      <c r="E190" s="134" t="str">
        <f ca="1">IFERROR(__xludf.DUMMYFUNCTION("""COMPUTED_VALUE"""),"")</f>
        <v/>
      </c>
      <c r="F190" s="134" t="str">
        <f ca="1">IFERROR(__xludf.DUMMYFUNCTION("""COMPUTED_VALUE"""),"")</f>
        <v/>
      </c>
      <c r="G190" s="134" t="str">
        <f ca="1">IFERROR(__xludf.DUMMYFUNCTION("""COMPUTED_VALUE"""),"")</f>
        <v/>
      </c>
      <c r="H190" s="134" t="str">
        <f ca="1">IFERROR(__xludf.DUMMYFUNCTION("""COMPUTED_VALUE"""),"")</f>
        <v/>
      </c>
      <c r="I190" s="134" t="str">
        <f ca="1">IFERROR(__xludf.DUMMYFUNCTION("""COMPUTED_VALUE"""),"")</f>
        <v/>
      </c>
      <c r="J190" s="134" t="str">
        <f ca="1">IFERROR(__xludf.DUMMYFUNCTION("""COMPUTED_VALUE"""),"")</f>
        <v/>
      </c>
    </row>
    <row r="191" spans="1:10">
      <c r="A191" s="134" t="str">
        <f ca="1">IFERROR(__xludf.DUMMYFUNCTION("""COMPUTED_VALUE"""),"")</f>
        <v/>
      </c>
      <c r="B191" s="134" t="str">
        <f ca="1">IFERROR(__xludf.DUMMYFUNCTION("""COMPUTED_VALUE"""),"")</f>
        <v/>
      </c>
      <c r="C191" s="134" t="str">
        <f ca="1">IFERROR(__xludf.DUMMYFUNCTION("""COMPUTED_VALUE"""),"")</f>
        <v/>
      </c>
      <c r="D191" s="134" t="str">
        <f ca="1">IFERROR(__xludf.DUMMYFUNCTION("""COMPUTED_VALUE"""),"")</f>
        <v/>
      </c>
      <c r="E191" s="134" t="str">
        <f ca="1">IFERROR(__xludf.DUMMYFUNCTION("""COMPUTED_VALUE"""),"")</f>
        <v/>
      </c>
      <c r="F191" s="134" t="str">
        <f ca="1">IFERROR(__xludf.DUMMYFUNCTION("""COMPUTED_VALUE"""),"")</f>
        <v/>
      </c>
      <c r="G191" s="134" t="str">
        <f ca="1">IFERROR(__xludf.DUMMYFUNCTION("""COMPUTED_VALUE"""),"")</f>
        <v/>
      </c>
      <c r="H191" s="134" t="str">
        <f ca="1">IFERROR(__xludf.DUMMYFUNCTION("""COMPUTED_VALUE"""),"")</f>
        <v/>
      </c>
      <c r="I191" s="134" t="str">
        <f ca="1">IFERROR(__xludf.DUMMYFUNCTION("""COMPUTED_VALUE"""),"")</f>
        <v/>
      </c>
      <c r="J191" s="134" t="str">
        <f ca="1">IFERROR(__xludf.DUMMYFUNCTION("""COMPUTED_VALUE"""),"")</f>
        <v/>
      </c>
    </row>
    <row r="192" spans="1:10">
      <c r="A192" s="134" t="str">
        <f ca="1">IFERROR(__xludf.DUMMYFUNCTION("""COMPUTED_VALUE"""),"")</f>
        <v/>
      </c>
      <c r="B192" s="134" t="str">
        <f ca="1">IFERROR(__xludf.DUMMYFUNCTION("""COMPUTED_VALUE"""),"")</f>
        <v/>
      </c>
      <c r="C192" s="134" t="str">
        <f ca="1">IFERROR(__xludf.DUMMYFUNCTION("""COMPUTED_VALUE"""),"")</f>
        <v/>
      </c>
      <c r="D192" s="134" t="str">
        <f ca="1">IFERROR(__xludf.DUMMYFUNCTION("""COMPUTED_VALUE"""),"")</f>
        <v/>
      </c>
      <c r="E192" s="134" t="str">
        <f ca="1">IFERROR(__xludf.DUMMYFUNCTION("""COMPUTED_VALUE"""),"")</f>
        <v/>
      </c>
      <c r="F192" s="134" t="str">
        <f ca="1">IFERROR(__xludf.DUMMYFUNCTION("""COMPUTED_VALUE"""),"")</f>
        <v/>
      </c>
      <c r="G192" s="134" t="str">
        <f ca="1">IFERROR(__xludf.DUMMYFUNCTION("""COMPUTED_VALUE"""),"")</f>
        <v/>
      </c>
      <c r="H192" s="134" t="str">
        <f ca="1">IFERROR(__xludf.DUMMYFUNCTION("""COMPUTED_VALUE"""),"")</f>
        <v/>
      </c>
      <c r="I192" s="134" t="str">
        <f ca="1">IFERROR(__xludf.DUMMYFUNCTION("""COMPUTED_VALUE"""),"")</f>
        <v/>
      </c>
      <c r="J192" s="134" t="str">
        <f ca="1">IFERROR(__xludf.DUMMYFUNCTION("""COMPUTED_VALUE"""),"")</f>
        <v/>
      </c>
    </row>
    <row r="193" spans="1:10">
      <c r="A193" s="134" t="str">
        <f ca="1">IFERROR(__xludf.DUMMYFUNCTION("""COMPUTED_VALUE"""),"")</f>
        <v/>
      </c>
      <c r="B193" s="134" t="str">
        <f ca="1">IFERROR(__xludf.DUMMYFUNCTION("""COMPUTED_VALUE"""),"")</f>
        <v/>
      </c>
      <c r="C193" s="134" t="str">
        <f ca="1">IFERROR(__xludf.DUMMYFUNCTION("""COMPUTED_VALUE"""),"")</f>
        <v/>
      </c>
      <c r="D193" s="134" t="str">
        <f ca="1">IFERROR(__xludf.DUMMYFUNCTION("""COMPUTED_VALUE"""),"")</f>
        <v/>
      </c>
      <c r="E193" s="134" t="str">
        <f ca="1">IFERROR(__xludf.DUMMYFUNCTION("""COMPUTED_VALUE"""),"")</f>
        <v/>
      </c>
      <c r="F193" s="134" t="str">
        <f ca="1">IFERROR(__xludf.DUMMYFUNCTION("""COMPUTED_VALUE"""),"")</f>
        <v/>
      </c>
      <c r="G193" s="134" t="str">
        <f ca="1">IFERROR(__xludf.DUMMYFUNCTION("""COMPUTED_VALUE"""),"")</f>
        <v/>
      </c>
      <c r="H193" s="134" t="str">
        <f ca="1">IFERROR(__xludf.DUMMYFUNCTION("""COMPUTED_VALUE"""),"")</f>
        <v/>
      </c>
      <c r="I193" s="134" t="str">
        <f ca="1">IFERROR(__xludf.DUMMYFUNCTION("""COMPUTED_VALUE"""),"")</f>
        <v/>
      </c>
      <c r="J193" s="134" t="str">
        <f ca="1">IFERROR(__xludf.DUMMYFUNCTION("""COMPUTED_VALUE"""),"")</f>
        <v/>
      </c>
    </row>
    <row r="194" spans="1:10">
      <c r="A194" s="134" t="str">
        <f ca="1">IFERROR(__xludf.DUMMYFUNCTION("""COMPUTED_VALUE"""),"")</f>
        <v/>
      </c>
      <c r="B194" s="134" t="str">
        <f ca="1">IFERROR(__xludf.DUMMYFUNCTION("""COMPUTED_VALUE"""),"")</f>
        <v/>
      </c>
      <c r="C194" s="134" t="str">
        <f ca="1">IFERROR(__xludf.DUMMYFUNCTION("""COMPUTED_VALUE"""),"")</f>
        <v/>
      </c>
      <c r="D194" s="134" t="str">
        <f ca="1">IFERROR(__xludf.DUMMYFUNCTION("""COMPUTED_VALUE"""),"")</f>
        <v/>
      </c>
      <c r="E194" s="134" t="str">
        <f ca="1">IFERROR(__xludf.DUMMYFUNCTION("""COMPUTED_VALUE"""),"")</f>
        <v/>
      </c>
      <c r="F194" s="134" t="str">
        <f ca="1">IFERROR(__xludf.DUMMYFUNCTION("""COMPUTED_VALUE"""),"")</f>
        <v/>
      </c>
      <c r="G194" s="134" t="str">
        <f ca="1">IFERROR(__xludf.DUMMYFUNCTION("""COMPUTED_VALUE"""),"")</f>
        <v/>
      </c>
      <c r="H194" s="134" t="str">
        <f ca="1">IFERROR(__xludf.DUMMYFUNCTION("""COMPUTED_VALUE"""),"")</f>
        <v/>
      </c>
      <c r="I194" s="134" t="str">
        <f ca="1">IFERROR(__xludf.DUMMYFUNCTION("""COMPUTED_VALUE"""),"")</f>
        <v/>
      </c>
      <c r="J194" s="134" t="str">
        <f ca="1">IFERROR(__xludf.DUMMYFUNCTION("""COMPUTED_VALUE"""),"")</f>
        <v/>
      </c>
    </row>
    <row r="195" spans="1:10">
      <c r="A195" s="134" t="str">
        <f ca="1">IFERROR(__xludf.DUMMYFUNCTION("""COMPUTED_VALUE"""),"")</f>
        <v/>
      </c>
      <c r="B195" s="134" t="str">
        <f ca="1">IFERROR(__xludf.DUMMYFUNCTION("""COMPUTED_VALUE"""),"")</f>
        <v/>
      </c>
      <c r="C195" s="134" t="str">
        <f ca="1">IFERROR(__xludf.DUMMYFUNCTION("""COMPUTED_VALUE"""),"")</f>
        <v/>
      </c>
      <c r="D195" s="134" t="str">
        <f ca="1">IFERROR(__xludf.DUMMYFUNCTION("""COMPUTED_VALUE"""),"")</f>
        <v/>
      </c>
      <c r="E195" s="134" t="str">
        <f ca="1">IFERROR(__xludf.DUMMYFUNCTION("""COMPUTED_VALUE"""),"")</f>
        <v/>
      </c>
      <c r="F195" s="134" t="str">
        <f ca="1">IFERROR(__xludf.DUMMYFUNCTION("""COMPUTED_VALUE"""),"")</f>
        <v/>
      </c>
      <c r="G195" s="134" t="str">
        <f ca="1">IFERROR(__xludf.DUMMYFUNCTION("""COMPUTED_VALUE"""),"")</f>
        <v/>
      </c>
      <c r="H195" s="134" t="str">
        <f ca="1">IFERROR(__xludf.DUMMYFUNCTION("""COMPUTED_VALUE"""),"")</f>
        <v/>
      </c>
      <c r="I195" s="134" t="str">
        <f ca="1">IFERROR(__xludf.DUMMYFUNCTION("""COMPUTED_VALUE"""),"")</f>
        <v/>
      </c>
      <c r="J195" s="134" t="str">
        <f ca="1">IFERROR(__xludf.DUMMYFUNCTION("""COMPUTED_VALUE"""),"")</f>
        <v/>
      </c>
    </row>
    <row r="196" spans="1:10">
      <c r="A196" s="134" t="str">
        <f ca="1">IFERROR(__xludf.DUMMYFUNCTION("""COMPUTED_VALUE"""),"")</f>
        <v/>
      </c>
      <c r="B196" s="134" t="str">
        <f ca="1">IFERROR(__xludf.DUMMYFUNCTION("""COMPUTED_VALUE"""),"")</f>
        <v/>
      </c>
      <c r="C196" s="134" t="str">
        <f ca="1">IFERROR(__xludf.DUMMYFUNCTION("""COMPUTED_VALUE"""),"")</f>
        <v/>
      </c>
      <c r="D196" s="134" t="str">
        <f ca="1">IFERROR(__xludf.DUMMYFUNCTION("""COMPUTED_VALUE"""),"")</f>
        <v/>
      </c>
      <c r="E196" s="134" t="str">
        <f ca="1">IFERROR(__xludf.DUMMYFUNCTION("""COMPUTED_VALUE"""),"")</f>
        <v/>
      </c>
      <c r="F196" s="134" t="str">
        <f ca="1">IFERROR(__xludf.DUMMYFUNCTION("""COMPUTED_VALUE"""),"")</f>
        <v/>
      </c>
      <c r="G196" s="134" t="str">
        <f ca="1">IFERROR(__xludf.DUMMYFUNCTION("""COMPUTED_VALUE"""),"")</f>
        <v/>
      </c>
      <c r="H196" s="134" t="str">
        <f ca="1">IFERROR(__xludf.DUMMYFUNCTION("""COMPUTED_VALUE"""),"")</f>
        <v/>
      </c>
      <c r="I196" s="134" t="str">
        <f ca="1">IFERROR(__xludf.DUMMYFUNCTION("""COMPUTED_VALUE"""),"")</f>
        <v/>
      </c>
      <c r="J196" s="134" t="str">
        <f ca="1">IFERROR(__xludf.DUMMYFUNCTION("""COMPUTED_VALUE"""),"")</f>
        <v/>
      </c>
    </row>
    <row r="197" spans="1:10">
      <c r="A197" s="134" t="str">
        <f ca="1">IFERROR(__xludf.DUMMYFUNCTION("""COMPUTED_VALUE"""),"")</f>
        <v/>
      </c>
      <c r="B197" s="134" t="str">
        <f ca="1">IFERROR(__xludf.DUMMYFUNCTION("""COMPUTED_VALUE"""),"")</f>
        <v/>
      </c>
      <c r="C197" s="134" t="str">
        <f ca="1">IFERROR(__xludf.DUMMYFUNCTION("""COMPUTED_VALUE"""),"")</f>
        <v/>
      </c>
      <c r="D197" s="134" t="str">
        <f ca="1">IFERROR(__xludf.DUMMYFUNCTION("""COMPUTED_VALUE"""),"")</f>
        <v/>
      </c>
      <c r="E197" s="134" t="str">
        <f ca="1">IFERROR(__xludf.DUMMYFUNCTION("""COMPUTED_VALUE"""),"")</f>
        <v/>
      </c>
      <c r="F197" s="134" t="str">
        <f ca="1">IFERROR(__xludf.DUMMYFUNCTION("""COMPUTED_VALUE"""),"")</f>
        <v/>
      </c>
      <c r="G197" s="134" t="str">
        <f ca="1">IFERROR(__xludf.DUMMYFUNCTION("""COMPUTED_VALUE"""),"")</f>
        <v/>
      </c>
      <c r="H197" s="134" t="str">
        <f ca="1">IFERROR(__xludf.DUMMYFUNCTION("""COMPUTED_VALUE"""),"")</f>
        <v/>
      </c>
      <c r="I197" s="134" t="str">
        <f ca="1">IFERROR(__xludf.DUMMYFUNCTION("""COMPUTED_VALUE"""),"")</f>
        <v/>
      </c>
      <c r="J197" s="134" t="str">
        <f ca="1">IFERROR(__xludf.DUMMYFUNCTION("""COMPUTED_VALUE"""),"")</f>
        <v/>
      </c>
    </row>
    <row r="198" spans="1:10">
      <c r="A198" s="134" t="str">
        <f ca="1">IFERROR(__xludf.DUMMYFUNCTION("""COMPUTED_VALUE"""),"")</f>
        <v/>
      </c>
      <c r="B198" s="134" t="str">
        <f ca="1">IFERROR(__xludf.DUMMYFUNCTION("""COMPUTED_VALUE"""),"")</f>
        <v/>
      </c>
      <c r="C198" s="134" t="str">
        <f ca="1">IFERROR(__xludf.DUMMYFUNCTION("""COMPUTED_VALUE"""),"")</f>
        <v/>
      </c>
      <c r="D198" s="134" t="str">
        <f ca="1">IFERROR(__xludf.DUMMYFUNCTION("""COMPUTED_VALUE"""),"")</f>
        <v/>
      </c>
      <c r="E198" s="134" t="str">
        <f ca="1">IFERROR(__xludf.DUMMYFUNCTION("""COMPUTED_VALUE"""),"")</f>
        <v/>
      </c>
      <c r="F198" s="134" t="str">
        <f ca="1">IFERROR(__xludf.DUMMYFUNCTION("""COMPUTED_VALUE"""),"")</f>
        <v/>
      </c>
      <c r="G198" s="134" t="str">
        <f ca="1">IFERROR(__xludf.DUMMYFUNCTION("""COMPUTED_VALUE"""),"")</f>
        <v/>
      </c>
      <c r="H198" s="134" t="str">
        <f ca="1">IFERROR(__xludf.DUMMYFUNCTION("""COMPUTED_VALUE"""),"")</f>
        <v/>
      </c>
      <c r="I198" s="134" t="str">
        <f ca="1">IFERROR(__xludf.DUMMYFUNCTION("""COMPUTED_VALUE"""),"")</f>
        <v/>
      </c>
      <c r="J198" s="134" t="str">
        <f ca="1">IFERROR(__xludf.DUMMYFUNCTION("""COMPUTED_VALUE"""),"")</f>
        <v/>
      </c>
    </row>
    <row r="199" spans="1:10">
      <c r="A199" s="134" t="str">
        <f ca="1">IFERROR(__xludf.DUMMYFUNCTION("""COMPUTED_VALUE"""),"")</f>
        <v/>
      </c>
      <c r="B199" s="134" t="str">
        <f ca="1">IFERROR(__xludf.DUMMYFUNCTION("""COMPUTED_VALUE"""),"")</f>
        <v/>
      </c>
      <c r="C199" s="134" t="str">
        <f ca="1">IFERROR(__xludf.DUMMYFUNCTION("""COMPUTED_VALUE"""),"")</f>
        <v/>
      </c>
      <c r="D199" s="134" t="str">
        <f ca="1">IFERROR(__xludf.DUMMYFUNCTION("""COMPUTED_VALUE"""),"")</f>
        <v/>
      </c>
      <c r="E199" s="134" t="str">
        <f ca="1">IFERROR(__xludf.DUMMYFUNCTION("""COMPUTED_VALUE"""),"")</f>
        <v/>
      </c>
      <c r="F199" s="134" t="str">
        <f ca="1">IFERROR(__xludf.DUMMYFUNCTION("""COMPUTED_VALUE"""),"")</f>
        <v/>
      </c>
      <c r="G199" s="134" t="str">
        <f ca="1">IFERROR(__xludf.DUMMYFUNCTION("""COMPUTED_VALUE"""),"")</f>
        <v/>
      </c>
      <c r="H199" s="134" t="str">
        <f ca="1">IFERROR(__xludf.DUMMYFUNCTION("""COMPUTED_VALUE"""),"")</f>
        <v/>
      </c>
      <c r="I199" s="134" t="str">
        <f ca="1">IFERROR(__xludf.DUMMYFUNCTION("""COMPUTED_VALUE"""),"")</f>
        <v/>
      </c>
      <c r="J199" s="134" t="str">
        <f ca="1">IFERROR(__xludf.DUMMYFUNCTION("""COMPUTED_VALUE"""),"")</f>
        <v/>
      </c>
    </row>
    <row r="200" spans="1:10">
      <c r="A200" s="134" t="str">
        <f ca="1">IFERROR(__xludf.DUMMYFUNCTION("""COMPUTED_VALUE"""),"")</f>
        <v/>
      </c>
      <c r="B200" s="134" t="str">
        <f ca="1">IFERROR(__xludf.DUMMYFUNCTION("""COMPUTED_VALUE"""),"")</f>
        <v/>
      </c>
      <c r="C200" s="134" t="str">
        <f ca="1">IFERROR(__xludf.DUMMYFUNCTION("""COMPUTED_VALUE"""),"")</f>
        <v/>
      </c>
      <c r="D200" s="134" t="str">
        <f ca="1">IFERROR(__xludf.DUMMYFUNCTION("""COMPUTED_VALUE"""),"")</f>
        <v/>
      </c>
      <c r="E200" s="134" t="str">
        <f ca="1">IFERROR(__xludf.DUMMYFUNCTION("""COMPUTED_VALUE"""),"")</f>
        <v/>
      </c>
      <c r="F200" s="134" t="str">
        <f ca="1">IFERROR(__xludf.DUMMYFUNCTION("""COMPUTED_VALUE"""),"")</f>
        <v/>
      </c>
      <c r="G200" s="134" t="str">
        <f ca="1">IFERROR(__xludf.DUMMYFUNCTION("""COMPUTED_VALUE"""),"")</f>
        <v/>
      </c>
      <c r="H200" s="134" t="str">
        <f ca="1">IFERROR(__xludf.DUMMYFUNCTION("""COMPUTED_VALUE"""),"")</f>
        <v/>
      </c>
      <c r="I200" s="134" t="str">
        <f ca="1">IFERROR(__xludf.DUMMYFUNCTION("""COMPUTED_VALUE"""),"")</f>
        <v/>
      </c>
      <c r="J200" s="134" t="str">
        <f ca="1">IFERROR(__xludf.DUMMYFUNCTION("""COMPUTED_VALUE"""),"")</f>
        <v/>
      </c>
    </row>
    <row r="201" spans="1:10">
      <c r="A201" s="134" t="str">
        <f ca="1">IFERROR(__xludf.DUMMYFUNCTION("""COMPUTED_VALUE"""),"")</f>
        <v/>
      </c>
      <c r="B201" s="134" t="str">
        <f ca="1">IFERROR(__xludf.DUMMYFUNCTION("""COMPUTED_VALUE"""),"")</f>
        <v/>
      </c>
      <c r="C201" s="134" t="str">
        <f ca="1">IFERROR(__xludf.DUMMYFUNCTION("""COMPUTED_VALUE"""),"")</f>
        <v/>
      </c>
      <c r="D201" s="134" t="str">
        <f ca="1">IFERROR(__xludf.DUMMYFUNCTION("""COMPUTED_VALUE"""),"")</f>
        <v/>
      </c>
      <c r="E201" s="134" t="str">
        <f ca="1">IFERROR(__xludf.DUMMYFUNCTION("""COMPUTED_VALUE"""),"")</f>
        <v/>
      </c>
      <c r="F201" s="134" t="str">
        <f ca="1">IFERROR(__xludf.DUMMYFUNCTION("""COMPUTED_VALUE"""),"")</f>
        <v/>
      </c>
      <c r="G201" s="134" t="str">
        <f ca="1">IFERROR(__xludf.DUMMYFUNCTION("""COMPUTED_VALUE"""),"")</f>
        <v/>
      </c>
      <c r="H201" s="134" t="str">
        <f ca="1">IFERROR(__xludf.DUMMYFUNCTION("""COMPUTED_VALUE"""),"")</f>
        <v/>
      </c>
      <c r="I201" s="134" t="str">
        <f ca="1">IFERROR(__xludf.DUMMYFUNCTION("""COMPUTED_VALUE"""),"")</f>
        <v/>
      </c>
      <c r="J201" s="134" t="str">
        <f ca="1">IFERROR(__xludf.DUMMYFUNCTION("""COMPUTED_VALUE"""),"")</f>
        <v/>
      </c>
    </row>
    <row r="202" spans="1:10">
      <c r="A202" s="134" t="str">
        <f ca="1">IFERROR(__xludf.DUMMYFUNCTION("""COMPUTED_VALUE"""),"")</f>
        <v/>
      </c>
      <c r="B202" s="134" t="str">
        <f ca="1">IFERROR(__xludf.DUMMYFUNCTION("""COMPUTED_VALUE"""),"")</f>
        <v/>
      </c>
      <c r="C202" s="134" t="str">
        <f ca="1">IFERROR(__xludf.DUMMYFUNCTION("""COMPUTED_VALUE"""),"")</f>
        <v/>
      </c>
      <c r="D202" s="134" t="str">
        <f ca="1">IFERROR(__xludf.DUMMYFUNCTION("""COMPUTED_VALUE"""),"")</f>
        <v/>
      </c>
      <c r="E202" s="134" t="str">
        <f ca="1">IFERROR(__xludf.DUMMYFUNCTION("""COMPUTED_VALUE"""),"")</f>
        <v/>
      </c>
      <c r="F202" s="134" t="str">
        <f ca="1">IFERROR(__xludf.DUMMYFUNCTION("""COMPUTED_VALUE"""),"")</f>
        <v/>
      </c>
      <c r="G202" s="134" t="str">
        <f ca="1">IFERROR(__xludf.DUMMYFUNCTION("""COMPUTED_VALUE"""),"")</f>
        <v/>
      </c>
      <c r="H202" s="134" t="str">
        <f ca="1">IFERROR(__xludf.DUMMYFUNCTION("""COMPUTED_VALUE"""),"")</f>
        <v/>
      </c>
      <c r="I202" s="134" t="str">
        <f ca="1">IFERROR(__xludf.DUMMYFUNCTION("""COMPUTED_VALUE"""),"")</f>
        <v/>
      </c>
      <c r="J202" s="134" t="str">
        <f ca="1">IFERROR(__xludf.DUMMYFUNCTION("""COMPUTED_VALUE"""),"")</f>
        <v/>
      </c>
    </row>
    <row r="203" spans="1:10">
      <c r="A203" s="134" t="str">
        <f ca="1">IFERROR(__xludf.DUMMYFUNCTION("""COMPUTED_VALUE"""),"")</f>
        <v/>
      </c>
      <c r="B203" s="134" t="str">
        <f ca="1">IFERROR(__xludf.DUMMYFUNCTION("""COMPUTED_VALUE"""),"")</f>
        <v/>
      </c>
      <c r="C203" s="134" t="str">
        <f ca="1">IFERROR(__xludf.DUMMYFUNCTION("""COMPUTED_VALUE"""),"")</f>
        <v/>
      </c>
      <c r="D203" s="134" t="str">
        <f ca="1">IFERROR(__xludf.DUMMYFUNCTION("""COMPUTED_VALUE"""),"")</f>
        <v/>
      </c>
      <c r="E203" s="134" t="str">
        <f ca="1">IFERROR(__xludf.DUMMYFUNCTION("""COMPUTED_VALUE"""),"")</f>
        <v/>
      </c>
      <c r="F203" s="134" t="str">
        <f ca="1">IFERROR(__xludf.DUMMYFUNCTION("""COMPUTED_VALUE"""),"")</f>
        <v/>
      </c>
      <c r="G203" s="134" t="str">
        <f ca="1">IFERROR(__xludf.DUMMYFUNCTION("""COMPUTED_VALUE"""),"")</f>
        <v/>
      </c>
      <c r="H203" s="134" t="str">
        <f ca="1">IFERROR(__xludf.DUMMYFUNCTION("""COMPUTED_VALUE"""),"")</f>
        <v/>
      </c>
      <c r="I203" s="134" t="str">
        <f ca="1">IFERROR(__xludf.DUMMYFUNCTION("""COMPUTED_VALUE"""),"")</f>
        <v/>
      </c>
      <c r="J203" s="134" t="str">
        <f ca="1">IFERROR(__xludf.DUMMYFUNCTION("""COMPUTED_VALUE"""),"")</f>
        <v/>
      </c>
    </row>
    <row r="204" spans="1:10">
      <c r="A204" s="134" t="str">
        <f ca="1">IFERROR(__xludf.DUMMYFUNCTION("""COMPUTED_VALUE"""),"")</f>
        <v/>
      </c>
      <c r="B204" s="134" t="str">
        <f ca="1">IFERROR(__xludf.DUMMYFUNCTION("""COMPUTED_VALUE"""),"")</f>
        <v/>
      </c>
      <c r="C204" s="134" t="str">
        <f ca="1">IFERROR(__xludf.DUMMYFUNCTION("""COMPUTED_VALUE"""),"")</f>
        <v/>
      </c>
      <c r="D204" s="134" t="str">
        <f ca="1">IFERROR(__xludf.DUMMYFUNCTION("""COMPUTED_VALUE"""),"")</f>
        <v/>
      </c>
      <c r="E204" s="134" t="str">
        <f ca="1">IFERROR(__xludf.DUMMYFUNCTION("""COMPUTED_VALUE"""),"")</f>
        <v/>
      </c>
      <c r="F204" s="134" t="str">
        <f ca="1">IFERROR(__xludf.DUMMYFUNCTION("""COMPUTED_VALUE"""),"")</f>
        <v/>
      </c>
      <c r="G204" s="134" t="str">
        <f ca="1">IFERROR(__xludf.DUMMYFUNCTION("""COMPUTED_VALUE"""),"")</f>
        <v/>
      </c>
      <c r="H204" s="134" t="str">
        <f ca="1">IFERROR(__xludf.DUMMYFUNCTION("""COMPUTED_VALUE"""),"")</f>
        <v/>
      </c>
      <c r="I204" s="134" t="str">
        <f ca="1">IFERROR(__xludf.DUMMYFUNCTION("""COMPUTED_VALUE"""),"")</f>
        <v/>
      </c>
      <c r="J204" s="134" t="str">
        <f ca="1">IFERROR(__xludf.DUMMYFUNCTION("""COMPUTED_VALUE"""),"")</f>
        <v/>
      </c>
    </row>
    <row r="205" spans="1:10">
      <c r="A205" s="134" t="str">
        <f ca="1">IFERROR(__xludf.DUMMYFUNCTION("""COMPUTED_VALUE"""),"")</f>
        <v/>
      </c>
      <c r="B205" s="134" t="str">
        <f ca="1">IFERROR(__xludf.DUMMYFUNCTION("""COMPUTED_VALUE"""),"")</f>
        <v/>
      </c>
      <c r="C205" s="134" t="str">
        <f ca="1">IFERROR(__xludf.DUMMYFUNCTION("""COMPUTED_VALUE"""),"")</f>
        <v/>
      </c>
      <c r="D205" s="134" t="str">
        <f ca="1">IFERROR(__xludf.DUMMYFUNCTION("""COMPUTED_VALUE"""),"")</f>
        <v/>
      </c>
      <c r="E205" s="134" t="str">
        <f ca="1">IFERROR(__xludf.DUMMYFUNCTION("""COMPUTED_VALUE"""),"")</f>
        <v/>
      </c>
      <c r="F205" s="134" t="str">
        <f ca="1">IFERROR(__xludf.DUMMYFUNCTION("""COMPUTED_VALUE"""),"")</f>
        <v/>
      </c>
      <c r="G205" s="134" t="str">
        <f ca="1">IFERROR(__xludf.DUMMYFUNCTION("""COMPUTED_VALUE"""),"")</f>
        <v/>
      </c>
      <c r="H205" s="134" t="str">
        <f ca="1">IFERROR(__xludf.DUMMYFUNCTION("""COMPUTED_VALUE"""),"")</f>
        <v/>
      </c>
      <c r="I205" s="134" t="str">
        <f ca="1">IFERROR(__xludf.DUMMYFUNCTION("""COMPUTED_VALUE"""),"")</f>
        <v/>
      </c>
      <c r="J205" s="134" t="str">
        <f ca="1">IFERROR(__xludf.DUMMYFUNCTION("""COMPUTED_VALUE"""),"")</f>
        <v/>
      </c>
    </row>
    <row r="206" spans="1:10">
      <c r="A206" s="134" t="str">
        <f ca="1">IFERROR(__xludf.DUMMYFUNCTION("""COMPUTED_VALUE"""),"")</f>
        <v/>
      </c>
      <c r="B206" s="134" t="str">
        <f ca="1">IFERROR(__xludf.DUMMYFUNCTION("""COMPUTED_VALUE"""),"")</f>
        <v/>
      </c>
      <c r="C206" s="134" t="str">
        <f ca="1">IFERROR(__xludf.DUMMYFUNCTION("""COMPUTED_VALUE"""),"")</f>
        <v/>
      </c>
      <c r="D206" s="134" t="str">
        <f ca="1">IFERROR(__xludf.DUMMYFUNCTION("""COMPUTED_VALUE"""),"")</f>
        <v/>
      </c>
      <c r="E206" s="134" t="str">
        <f ca="1">IFERROR(__xludf.DUMMYFUNCTION("""COMPUTED_VALUE"""),"")</f>
        <v/>
      </c>
      <c r="F206" s="134" t="str">
        <f ca="1">IFERROR(__xludf.DUMMYFUNCTION("""COMPUTED_VALUE"""),"")</f>
        <v/>
      </c>
      <c r="G206" s="134" t="str">
        <f ca="1">IFERROR(__xludf.DUMMYFUNCTION("""COMPUTED_VALUE"""),"")</f>
        <v/>
      </c>
      <c r="H206" s="134" t="str">
        <f ca="1">IFERROR(__xludf.DUMMYFUNCTION("""COMPUTED_VALUE"""),"")</f>
        <v/>
      </c>
      <c r="I206" s="134" t="str">
        <f ca="1">IFERROR(__xludf.DUMMYFUNCTION("""COMPUTED_VALUE"""),"")</f>
        <v/>
      </c>
      <c r="J206" s="134" t="str">
        <f ca="1">IFERROR(__xludf.DUMMYFUNCTION("""COMPUTED_VALUE"""),"")</f>
        <v/>
      </c>
    </row>
    <row r="207" spans="1:10">
      <c r="A207" s="134" t="str">
        <f ca="1">IFERROR(__xludf.DUMMYFUNCTION("""COMPUTED_VALUE"""),"")</f>
        <v/>
      </c>
      <c r="B207" s="134" t="str">
        <f ca="1">IFERROR(__xludf.DUMMYFUNCTION("""COMPUTED_VALUE"""),"")</f>
        <v/>
      </c>
      <c r="C207" s="134" t="str">
        <f ca="1">IFERROR(__xludf.DUMMYFUNCTION("""COMPUTED_VALUE"""),"")</f>
        <v/>
      </c>
      <c r="D207" s="134" t="str">
        <f ca="1">IFERROR(__xludf.DUMMYFUNCTION("""COMPUTED_VALUE"""),"")</f>
        <v/>
      </c>
      <c r="E207" s="134" t="str">
        <f ca="1">IFERROR(__xludf.DUMMYFUNCTION("""COMPUTED_VALUE"""),"")</f>
        <v/>
      </c>
      <c r="F207" s="134" t="str">
        <f ca="1">IFERROR(__xludf.DUMMYFUNCTION("""COMPUTED_VALUE"""),"")</f>
        <v/>
      </c>
      <c r="G207" s="134" t="str">
        <f ca="1">IFERROR(__xludf.DUMMYFUNCTION("""COMPUTED_VALUE"""),"")</f>
        <v/>
      </c>
      <c r="H207" s="134" t="str">
        <f ca="1">IFERROR(__xludf.DUMMYFUNCTION("""COMPUTED_VALUE"""),"")</f>
        <v/>
      </c>
      <c r="I207" s="134" t="str">
        <f ca="1">IFERROR(__xludf.DUMMYFUNCTION("""COMPUTED_VALUE"""),"")</f>
        <v/>
      </c>
      <c r="J207" s="134" t="str">
        <f ca="1">IFERROR(__xludf.DUMMYFUNCTION("""COMPUTED_VALUE"""),"")</f>
        <v/>
      </c>
    </row>
    <row r="208" spans="1:10">
      <c r="A208" s="134" t="str">
        <f ca="1">IFERROR(__xludf.DUMMYFUNCTION("""COMPUTED_VALUE"""),"")</f>
        <v/>
      </c>
      <c r="B208" s="134" t="str">
        <f ca="1">IFERROR(__xludf.DUMMYFUNCTION("""COMPUTED_VALUE"""),"")</f>
        <v/>
      </c>
      <c r="C208" s="134" t="str">
        <f ca="1">IFERROR(__xludf.DUMMYFUNCTION("""COMPUTED_VALUE"""),"")</f>
        <v/>
      </c>
      <c r="D208" s="134" t="str">
        <f ca="1">IFERROR(__xludf.DUMMYFUNCTION("""COMPUTED_VALUE"""),"")</f>
        <v/>
      </c>
      <c r="E208" s="134" t="str">
        <f ca="1">IFERROR(__xludf.DUMMYFUNCTION("""COMPUTED_VALUE"""),"")</f>
        <v/>
      </c>
      <c r="F208" s="134" t="str">
        <f ca="1">IFERROR(__xludf.DUMMYFUNCTION("""COMPUTED_VALUE"""),"")</f>
        <v/>
      </c>
      <c r="G208" s="134" t="str">
        <f ca="1">IFERROR(__xludf.DUMMYFUNCTION("""COMPUTED_VALUE"""),"")</f>
        <v/>
      </c>
      <c r="H208" s="134" t="str">
        <f ca="1">IFERROR(__xludf.DUMMYFUNCTION("""COMPUTED_VALUE"""),"")</f>
        <v/>
      </c>
      <c r="I208" s="134" t="str">
        <f ca="1">IFERROR(__xludf.DUMMYFUNCTION("""COMPUTED_VALUE"""),"")</f>
        <v/>
      </c>
      <c r="J208" s="134" t="str">
        <f ca="1">IFERROR(__xludf.DUMMYFUNCTION("""COMPUTED_VALUE"""),"")</f>
        <v/>
      </c>
    </row>
    <row r="209" spans="1:10">
      <c r="A209" s="134" t="str">
        <f ca="1">IFERROR(__xludf.DUMMYFUNCTION("""COMPUTED_VALUE"""),"")</f>
        <v/>
      </c>
      <c r="B209" s="134" t="str">
        <f ca="1">IFERROR(__xludf.DUMMYFUNCTION("""COMPUTED_VALUE"""),"")</f>
        <v/>
      </c>
      <c r="C209" s="134" t="str">
        <f ca="1">IFERROR(__xludf.DUMMYFUNCTION("""COMPUTED_VALUE"""),"")</f>
        <v/>
      </c>
      <c r="D209" s="134" t="str">
        <f ca="1">IFERROR(__xludf.DUMMYFUNCTION("""COMPUTED_VALUE"""),"")</f>
        <v/>
      </c>
      <c r="E209" s="134" t="str">
        <f ca="1">IFERROR(__xludf.DUMMYFUNCTION("""COMPUTED_VALUE"""),"")</f>
        <v/>
      </c>
      <c r="F209" s="134" t="str">
        <f ca="1">IFERROR(__xludf.DUMMYFUNCTION("""COMPUTED_VALUE"""),"")</f>
        <v/>
      </c>
      <c r="G209" s="134" t="str">
        <f ca="1">IFERROR(__xludf.DUMMYFUNCTION("""COMPUTED_VALUE"""),"")</f>
        <v/>
      </c>
      <c r="H209" s="134" t="str">
        <f ca="1">IFERROR(__xludf.DUMMYFUNCTION("""COMPUTED_VALUE"""),"")</f>
        <v/>
      </c>
      <c r="I209" s="134" t="str">
        <f ca="1">IFERROR(__xludf.DUMMYFUNCTION("""COMPUTED_VALUE"""),"")</f>
        <v/>
      </c>
      <c r="J209" s="134" t="str">
        <f ca="1">IFERROR(__xludf.DUMMYFUNCTION("""COMPUTED_VALUE"""),"")</f>
        <v/>
      </c>
    </row>
    <row r="210" spans="1:10">
      <c r="A210" s="134" t="str">
        <f ca="1">IFERROR(__xludf.DUMMYFUNCTION("""COMPUTED_VALUE"""),"")</f>
        <v/>
      </c>
      <c r="B210" s="134" t="str">
        <f ca="1">IFERROR(__xludf.DUMMYFUNCTION("""COMPUTED_VALUE"""),"")</f>
        <v/>
      </c>
      <c r="C210" s="134" t="str">
        <f ca="1">IFERROR(__xludf.DUMMYFUNCTION("""COMPUTED_VALUE"""),"")</f>
        <v/>
      </c>
      <c r="D210" s="134" t="str">
        <f ca="1">IFERROR(__xludf.DUMMYFUNCTION("""COMPUTED_VALUE"""),"")</f>
        <v/>
      </c>
      <c r="E210" s="134" t="str">
        <f ca="1">IFERROR(__xludf.DUMMYFUNCTION("""COMPUTED_VALUE"""),"")</f>
        <v/>
      </c>
      <c r="F210" s="134" t="str">
        <f ca="1">IFERROR(__xludf.DUMMYFUNCTION("""COMPUTED_VALUE"""),"")</f>
        <v/>
      </c>
      <c r="G210" s="134" t="str">
        <f ca="1">IFERROR(__xludf.DUMMYFUNCTION("""COMPUTED_VALUE"""),"")</f>
        <v/>
      </c>
      <c r="H210" s="134" t="str">
        <f ca="1">IFERROR(__xludf.DUMMYFUNCTION("""COMPUTED_VALUE"""),"")</f>
        <v/>
      </c>
      <c r="I210" s="134" t="str">
        <f ca="1">IFERROR(__xludf.DUMMYFUNCTION("""COMPUTED_VALUE"""),"")</f>
        <v/>
      </c>
      <c r="J210" s="134" t="str">
        <f ca="1">IFERROR(__xludf.DUMMYFUNCTION("""COMPUTED_VALUE"""),"")</f>
        <v/>
      </c>
    </row>
    <row r="211" spans="1:10">
      <c r="A211" s="134" t="str">
        <f ca="1">IFERROR(__xludf.DUMMYFUNCTION("""COMPUTED_VALUE"""),"")</f>
        <v/>
      </c>
      <c r="B211" s="134" t="str">
        <f ca="1">IFERROR(__xludf.DUMMYFUNCTION("""COMPUTED_VALUE"""),"")</f>
        <v/>
      </c>
      <c r="C211" s="134" t="str">
        <f ca="1">IFERROR(__xludf.DUMMYFUNCTION("""COMPUTED_VALUE"""),"")</f>
        <v/>
      </c>
      <c r="D211" s="134" t="str">
        <f ca="1">IFERROR(__xludf.DUMMYFUNCTION("""COMPUTED_VALUE"""),"")</f>
        <v/>
      </c>
      <c r="E211" s="134" t="str">
        <f ca="1">IFERROR(__xludf.DUMMYFUNCTION("""COMPUTED_VALUE"""),"")</f>
        <v/>
      </c>
      <c r="F211" s="134" t="str">
        <f ca="1">IFERROR(__xludf.DUMMYFUNCTION("""COMPUTED_VALUE"""),"")</f>
        <v/>
      </c>
      <c r="G211" s="134" t="str">
        <f ca="1">IFERROR(__xludf.DUMMYFUNCTION("""COMPUTED_VALUE"""),"")</f>
        <v/>
      </c>
      <c r="H211" s="134" t="str">
        <f ca="1">IFERROR(__xludf.DUMMYFUNCTION("""COMPUTED_VALUE"""),"")</f>
        <v/>
      </c>
      <c r="I211" s="134" t="str">
        <f ca="1">IFERROR(__xludf.DUMMYFUNCTION("""COMPUTED_VALUE"""),"")</f>
        <v/>
      </c>
      <c r="J211" s="134" t="str">
        <f ca="1">IFERROR(__xludf.DUMMYFUNCTION("""COMPUTED_VALUE"""),"")</f>
        <v/>
      </c>
    </row>
    <row r="212" spans="1:10">
      <c r="A212" s="134" t="str">
        <f ca="1">IFERROR(__xludf.DUMMYFUNCTION("""COMPUTED_VALUE"""),"")</f>
        <v/>
      </c>
      <c r="B212" s="134" t="str">
        <f ca="1">IFERROR(__xludf.DUMMYFUNCTION("""COMPUTED_VALUE"""),"")</f>
        <v/>
      </c>
      <c r="C212" s="134" t="str">
        <f ca="1">IFERROR(__xludf.DUMMYFUNCTION("""COMPUTED_VALUE"""),"")</f>
        <v/>
      </c>
      <c r="D212" s="134" t="str">
        <f ca="1">IFERROR(__xludf.DUMMYFUNCTION("""COMPUTED_VALUE"""),"")</f>
        <v/>
      </c>
      <c r="E212" s="134" t="str">
        <f ca="1">IFERROR(__xludf.DUMMYFUNCTION("""COMPUTED_VALUE"""),"")</f>
        <v/>
      </c>
      <c r="F212" s="134" t="str">
        <f ca="1">IFERROR(__xludf.DUMMYFUNCTION("""COMPUTED_VALUE"""),"")</f>
        <v/>
      </c>
      <c r="G212" s="134" t="str">
        <f ca="1">IFERROR(__xludf.DUMMYFUNCTION("""COMPUTED_VALUE"""),"")</f>
        <v/>
      </c>
      <c r="H212" s="134" t="str">
        <f ca="1">IFERROR(__xludf.DUMMYFUNCTION("""COMPUTED_VALUE"""),"")</f>
        <v/>
      </c>
      <c r="I212" s="134" t="str">
        <f ca="1">IFERROR(__xludf.DUMMYFUNCTION("""COMPUTED_VALUE"""),"")</f>
        <v/>
      </c>
      <c r="J212" s="134" t="str">
        <f ca="1">IFERROR(__xludf.DUMMYFUNCTION("""COMPUTED_VALUE"""),"")</f>
        <v/>
      </c>
    </row>
    <row r="213" spans="1:10">
      <c r="A213" s="134" t="str">
        <f ca="1">IFERROR(__xludf.DUMMYFUNCTION("""COMPUTED_VALUE"""),"")</f>
        <v/>
      </c>
      <c r="B213" s="134" t="str">
        <f ca="1">IFERROR(__xludf.DUMMYFUNCTION("""COMPUTED_VALUE"""),"")</f>
        <v/>
      </c>
      <c r="C213" s="134" t="str">
        <f ca="1">IFERROR(__xludf.DUMMYFUNCTION("""COMPUTED_VALUE"""),"")</f>
        <v/>
      </c>
      <c r="D213" s="134" t="str">
        <f ca="1">IFERROR(__xludf.DUMMYFUNCTION("""COMPUTED_VALUE"""),"")</f>
        <v/>
      </c>
      <c r="E213" s="134" t="str">
        <f ca="1">IFERROR(__xludf.DUMMYFUNCTION("""COMPUTED_VALUE"""),"")</f>
        <v/>
      </c>
      <c r="F213" s="134" t="str">
        <f ca="1">IFERROR(__xludf.DUMMYFUNCTION("""COMPUTED_VALUE"""),"")</f>
        <v/>
      </c>
      <c r="G213" s="134" t="str">
        <f ca="1">IFERROR(__xludf.DUMMYFUNCTION("""COMPUTED_VALUE"""),"")</f>
        <v/>
      </c>
      <c r="H213" s="134" t="str">
        <f ca="1">IFERROR(__xludf.DUMMYFUNCTION("""COMPUTED_VALUE"""),"")</f>
        <v/>
      </c>
      <c r="I213" s="134" t="str">
        <f ca="1">IFERROR(__xludf.DUMMYFUNCTION("""COMPUTED_VALUE"""),"")</f>
        <v/>
      </c>
      <c r="J213" s="134" t="str">
        <f ca="1">IFERROR(__xludf.DUMMYFUNCTION("""COMPUTED_VALUE"""),"")</f>
        <v/>
      </c>
    </row>
    <row r="214" spans="1:10">
      <c r="A214" s="134" t="str">
        <f ca="1">IFERROR(__xludf.DUMMYFUNCTION("""COMPUTED_VALUE"""),"")</f>
        <v/>
      </c>
      <c r="B214" s="134" t="str">
        <f ca="1">IFERROR(__xludf.DUMMYFUNCTION("""COMPUTED_VALUE"""),"")</f>
        <v/>
      </c>
      <c r="C214" s="134" t="str">
        <f ca="1">IFERROR(__xludf.DUMMYFUNCTION("""COMPUTED_VALUE"""),"")</f>
        <v/>
      </c>
      <c r="D214" s="134" t="str">
        <f ca="1">IFERROR(__xludf.DUMMYFUNCTION("""COMPUTED_VALUE"""),"")</f>
        <v/>
      </c>
      <c r="E214" s="134" t="str">
        <f ca="1">IFERROR(__xludf.DUMMYFUNCTION("""COMPUTED_VALUE"""),"")</f>
        <v/>
      </c>
      <c r="F214" s="134" t="str">
        <f ca="1">IFERROR(__xludf.DUMMYFUNCTION("""COMPUTED_VALUE"""),"")</f>
        <v/>
      </c>
      <c r="G214" s="134" t="str">
        <f ca="1">IFERROR(__xludf.DUMMYFUNCTION("""COMPUTED_VALUE"""),"")</f>
        <v/>
      </c>
      <c r="H214" s="134" t="str">
        <f ca="1">IFERROR(__xludf.DUMMYFUNCTION("""COMPUTED_VALUE"""),"")</f>
        <v/>
      </c>
      <c r="I214" s="134" t="str">
        <f ca="1">IFERROR(__xludf.DUMMYFUNCTION("""COMPUTED_VALUE"""),"")</f>
        <v/>
      </c>
      <c r="J214" s="134" t="str">
        <f ca="1">IFERROR(__xludf.DUMMYFUNCTION("""COMPUTED_VALUE"""),"")</f>
        <v/>
      </c>
    </row>
    <row r="215" spans="1:10">
      <c r="A215" s="134" t="str">
        <f ca="1">IFERROR(__xludf.DUMMYFUNCTION("""COMPUTED_VALUE"""),"")</f>
        <v/>
      </c>
      <c r="B215" s="134" t="str">
        <f ca="1">IFERROR(__xludf.DUMMYFUNCTION("""COMPUTED_VALUE"""),"")</f>
        <v/>
      </c>
      <c r="C215" s="134" t="str">
        <f ca="1">IFERROR(__xludf.DUMMYFUNCTION("""COMPUTED_VALUE"""),"")</f>
        <v/>
      </c>
      <c r="D215" s="134" t="str">
        <f ca="1">IFERROR(__xludf.DUMMYFUNCTION("""COMPUTED_VALUE"""),"")</f>
        <v/>
      </c>
      <c r="E215" s="134" t="str">
        <f ca="1">IFERROR(__xludf.DUMMYFUNCTION("""COMPUTED_VALUE"""),"")</f>
        <v/>
      </c>
      <c r="F215" s="134" t="str">
        <f ca="1">IFERROR(__xludf.DUMMYFUNCTION("""COMPUTED_VALUE"""),"")</f>
        <v/>
      </c>
      <c r="G215" s="134" t="str">
        <f ca="1">IFERROR(__xludf.DUMMYFUNCTION("""COMPUTED_VALUE"""),"")</f>
        <v/>
      </c>
      <c r="H215" s="134" t="str">
        <f ca="1">IFERROR(__xludf.DUMMYFUNCTION("""COMPUTED_VALUE"""),"")</f>
        <v/>
      </c>
      <c r="I215" s="134" t="str">
        <f ca="1">IFERROR(__xludf.DUMMYFUNCTION("""COMPUTED_VALUE"""),"")</f>
        <v/>
      </c>
      <c r="J215" s="134" t="str">
        <f ca="1">IFERROR(__xludf.DUMMYFUNCTION("""COMPUTED_VALUE"""),"")</f>
        <v/>
      </c>
    </row>
    <row r="216" spans="1:10">
      <c r="A216" s="134" t="str">
        <f ca="1">IFERROR(__xludf.DUMMYFUNCTION("""COMPUTED_VALUE"""),"")</f>
        <v/>
      </c>
      <c r="B216" s="134" t="str">
        <f ca="1">IFERROR(__xludf.DUMMYFUNCTION("""COMPUTED_VALUE"""),"")</f>
        <v/>
      </c>
      <c r="C216" s="134" t="str">
        <f ca="1">IFERROR(__xludf.DUMMYFUNCTION("""COMPUTED_VALUE"""),"")</f>
        <v/>
      </c>
      <c r="D216" s="134" t="str">
        <f ca="1">IFERROR(__xludf.DUMMYFUNCTION("""COMPUTED_VALUE"""),"")</f>
        <v/>
      </c>
      <c r="E216" s="134" t="str">
        <f ca="1">IFERROR(__xludf.DUMMYFUNCTION("""COMPUTED_VALUE"""),"")</f>
        <v/>
      </c>
      <c r="F216" s="134" t="str">
        <f ca="1">IFERROR(__xludf.DUMMYFUNCTION("""COMPUTED_VALUE"""),"")</f>
        <v/>
      </c>
      <c r="G216" s="134" t="str">
        <f ca="1">IFERROR(__xludf.DUMMYFUNCTION("""COMPUTED_VALUE"""),"")</f>
        <v/>
      </c>
      <c r="H216" s="134" t="str">
        <f ca="1">IFERROR(__xludf.DUMMYFUNCTION("""COMPUTED_VALUE"""),"")</f>
        <v/>
      </c>
      <c r="I216" s="134" t="str">
        <f ca="1">IFERROR(__xludf.DUMMYFUNCTION("""COMPUTED_VALUE"""),"")</f>
        <v/>
      </c>
      <c r="J216" s="134" t="str">
        <f ca="1">IFERROR(__xludf.DUMMYFUNCTION("""COMPUTED_VALUE"""),"")</f>
        <v/>
      </c>
    </row>
    <row r="217" spans="1:10">
      <c r="A217" s="134" t="str">
        <f ca="1">IFERROR(__xludf.DUMMYFUNCTION("""COMPUTED_VALUE"""),"")</f>
        <v/>
      </c>
      <c r="B217" s="134" t="str">
        <f ca="1">IFERROR(__xludf.DUMMYFUNCTION("""COMPUTED_VALUE"""),"")</f>
        <v/>
      </c>
      <c r="C217" s="134" t="str">
        <f ca="1">IFERROR(__xludf.DUMMYFUNCTION("""COMPUTED_VALUE"""),"")</f>
        <v/>
      </c>
      <c r="D217" s="134" t="str">
        <f ca="1">IFERROR(__xludf.DUMMYFUNCTION("""COMPUTED_VALUE"""),"")</f>
        <v/>
      </c>
      <c r="E217" s="134" t="str">
        <f ca="1">IFERROR(__xludf.DUMMYFUNCTION("""COMPUTED_VALUE"""),"")</f>
        <v/>
      </c>
      <c r="F217" s="134" t="str">
        <f ca="1">IFERROR(__xludf.DUMMYFUNCTION("""COMPUTED_VALUE"""),"")</f>
        <v/>
      </c>
      <c r="G217" s="134" t="str">
        <f ca="1">IFERROR(__xludf.DUMMYFUNCTION("""COMPUTED_VALUE"""),"")</f>
        <v/>
      </c>
      <c r="H217" s="134" t="str">
        <f ca="1">IFERROR(__xludf.DUMMYFUNCTION("""COMPUTED_VALUE"""),"")</f>
        <v/>
      </c>
      <c r="I217" s="134" t="str">
        <f ca="1">IFERROR(__xludf.DUMMYFUNCTION("""COMPUTED_VALUE"""),"")</f>
        <v/>
      </c>
      <c r="J217" s="134" t="str">
        <f ca="1">IFERROR(__xludf.DUMMYFUNCTION("""COMPUTED_VALUE"""),"")</f>
        <v/>
      </c>
    </row>
    <row r="218" spans="1:10">
      <c r="A218" s="134" t="str">
        <f ca="1">IFERROR(__xludf.DUMMYFUNCTION("""COMPUTED_VALUE"""),"")</f>
        <v/>
      </c>
      <c r="B218" s="134" t="str">
        <f ca="1">IFERROR(__xludf.DUMMYFUNCTION("""COMPUTED_VALUE"""),"")</f>
        <v/>
      </c>
      <c r="C218" s="134" t="str">
        <f ca="1">IFERROR(__xludf.DUMMYFUNCTION("""COMPUTED_VALUE"""),"")</f>
        <v/>
      </c>
      <c r="D218" s="134" t="str">
        <f ca="1">IFERROR(__xludf.DUMMYFUNCTION("""COMPUTED_VALUE"""),"")</f>
        <v/>
      </c>
      <c r="E218" s="134" t="str">
        <f ca="1">IFERROR(__xludf.DUMMYFUNCTION("""COMPUTED_VALUE"""),"")</f>
        <v/>
      </c>
      <c r="F218" s="134" t="str">
        <f ca="1">IFERROR(__xludf.DUMMYFUNCTION("""COMPUTED_VALUE"""),"")</f>
        <v/>
      </c>
      <c r="G218" s="134" t="str">
        <f ca="1">IFERROR(__xludf.DUMMYFUNCTION("""COMPUTED_VALUE"""),"")</f>
        <v/>
      </c>
      <c r="H218" s="134" t="str">
        <f ca="1">IFERROR(__xludf.DUMMYFUNCTION("""COMPUTED_VALUE"""),"")</f>
        <v/>
      </c>
      <c r="I218" s="134" t="str">
        <f ca="1">IFERROR(__xludf.DUMMYFUNCTION("""COMPUTED_VALUE"""),"")</f>
        <v/>
      </c>
      <c r="J218" s="134" t="str">
        <f ca="1">IFERROR(__xludf.DUMMYFUNCTION("""COMPUTED_VALUE"""),"")</f>
        <v/>
      </c>
    </row>
    <row r="219" spans="1:10">
      <c r="A219" s="134" t="str">
        <f ca="1">IFERROR(__xludf.DUMMYFUNCTION("""COMPUTED_VALUE"""),"")</f>
        <v/>
      </c>
      <c r="B219" s="134" t="str">
        <f ca="1">IFERROR(__xludf.DUMMYFUNCTION("""COMPUTED_VALUE"""),"")</f>
        <v/>
      </c>
      <c r="C219" s="134" t="str">
        <f ca="1">IFERROR(__xludf.DUMMYFUNCTION("""COMPUTED_VALUE"""),"")</f>
        <v/>
      </c>
      <c r="D219" s="134" t="str">
        <f ca="1">IFERROR(__xludf.DUMMYFUNCTION("""COMPUTED_VALUE"""),"")</f>
        <v/>
      </c>
      <c r="E219" s="134" t="str">
        <f ca="1">IFERROR(__xludf.DUMMYFUNCTION("""COMPUTED_VALUE"""),"")</f>
        <v/>
      </c>
      <c r="F219" s="134" t="str">
        <f ca="1">IFERROR(__xludf.DUMMYFUNCTION("""COMPUTED_VALUE"""),"")</f>
        <v/>
      </c>
      <c r="G219" s="134" t="str">
        <f ca="1">IFERROR(__xludf.DUMMYFUNCTION("""COMPUTED_VALUE"""),"")</f>
        <v/>
      </c>
      <c r="H219" s="134" t="str">
        <f ca="1">IFERROR(__xludf.DUMMYFUNCTION("""COMPUTED_VALUE"""),"")</f>
        <v/>
      </c>
      <c r="I219" s="134" t="str">
        <f ca="1">IFERROR(__xludf.DUMMYFUNCTION("""COMPUTED_VALUE"""),"")</f>
        <v/>
      </c>
      <c r="J219" s="134" t="str">
        <f ca="1">IFERROR(__xludf.DUMMYFUNCTION("""COMPUTED_VALUE"""),"")</f>
        <v/>
      </c>
    </row>
    <row r="220" spans="1:10">
      <c r="A220" s="134" t="str">
        <f ca="1">IFERROR(__xludf.DUMMYFUNCTION("""COMPUTED_VALUE"""),"")</f>
        <v/>
      </c>
      <c r="B220" s="134" t="str">
        <f ca="1">IFERROR(__xludf.DUMMYFUNCTION("""COMPUTED_VALUE"""),"")</f>
        <v/>
      </c>
      <c r="C220" s="134" t="str">
        <f ca="1">IFERROR(__xludf.DUMMYFUNCTION("""COMPUTED_VALUE"""),"")</f>
        <v/>
      </c>
      <c r="D220" s="134" t="str">
        <f ca="1">IFERROR(__xludf.DUMMYFUNCTION("""COMPUTED_VALUE"""),"")</f>
        <v/>
      </c>
      <c r="E220" s="134" t="str">
        <f ca="1">IFERROR(__xludf.DUMMYFUNCTION("""COMPUTED_VALUE"""),"")</f>
        <v/>
      </c>
      <c r="F220" s="134" t="str">
        <f ca="1">IFERROR(__xludf.DUMMYFUNCTION("""COMPUTED_VALUE"""),"")</f>
        <v/>
      </c>
      <c r="G220" s="134" t="str">
        <f ca="1">IFERROR(__xludf.DUMMYFUNCTION("""COMPUTED_VALUE"""),"")</f>
        <v/>
      </c>
      <c r="H220" s="134" t="str">
        <f ca="1">IFERROR(__xludf.DUMMYFUNCTION("""COMPUTED_VALUE"""),"")</f>
        <v/>
      </c>
      <c r="I220" s="134" t="str">
        <f ca="1">IFERROR(__xludf.DUMMYFUNCTION("""COMPUTED_VALUE"""),"")</f>
        <v/>
      </c>
      <c r="J220" s="134" t="str">
        <f ca="1">IFERROR(__xludf.DUMMYFUNCTION("""COMPUTED_VALUE"""),"")</f>
        <v/>
      </c>
    </row>
    <row r="221" spans="1:10">
      <c r="A221" s="134" t="str">
        <f ca="1">IFERROR(__xludf.DUMMYFUNCTION("""COMPUTED_VALUE"""),"")</f>
        <v/>
      </c>
      <c r="B221" s="134" t="str">
        <f ca="1">IFERROR(__xludf.DUMMYFUNCTION("""COMPUTED_VALUE"""),"")</f>
        <v/>
      </c>
      <c r="C221" s="134" t="str">
        <f ca="1">IFERROR(__xludf.DUMMYFUNCTION("""COMPUTED_VALUE"""),"")</f>
        <v/>
      </c>
      <c r="D221" s="134" t="str">
        <f ca="1">IFERROR(__xludf.DUMMYFUNCTION("""COMPUTED_VALUE"""),"")</f>
        <v/>
      </c>
      <c r="E221" s="134" t="str">
        <f ca="1">IFERROR(__xludf.DUMMYFUNCTION("""COMPUTED_VALUE"""),"")</f>
        <v/>
      </c>
      <c r="F221" s="134" t="str">
        <f ca="1">IFERROR(__xludf.DUMMYFUNCTION("""COMPUTED_VALUE"""),"")</f>
        <v/>
      </c>
      <c r="G221" s="134" t="str">
        <f ca="1">IFERROR(__xludf.DUMMYFUNCTION("""COMPUTED_VALUE"""),"")</f>
        <v/>
      </c>
      <c r="H221" s="134" t="str">
        <f ca="1">IFERROR(__xludf.DUMMYFUNCTION("""COMPUTED_VALUE"""),"")</f>
        <v/>
      </c>
      <c r="I221" s="134" t="str">
        <f ca="1">IFERROR(__xludf.DUMMYFUNCTION("""COMPUTED_VALUE"""),"")</f>
        <v/>
      </c>
      <c r="J221" s="134" t="str">
        <f ca="1">IFERROR(__xludf.DUMMYFUNCTION("""COMPUTED_VALUE"""),"")</f>
        <v/>
      </c>
    </row>
    <row r="222" spans="1:10">
      <c r="A222" s="134" t="str">
        <f ca="1">IFERROR(__xludf.DUMMYFUNCTION("""COMPUTED_VALUE"""),"")</f>
        <v/>
      </c>
      <c r="B222" s="134" t="str">
        <f ca="1">IFERROR(__xludf.DUMMYFUNCTION("""COMPUTED_VALUE"""),"")</f>
        <v/>
      </c>
      <c r="C222" s="134" t="str">
        <f ca="1">IFERROR(__xludf.DUMMYFUNCTION("""COMPUTED_VALUE"""),"")</f>
        <v/>
      </c>
      <c r="D222" s="134" t="str">
        <f ca="1">IFERROR(__xludf.DUMMYFUNCTION("""COMPUTED_VALUE"""),"")</f>
        <v/>
      </c>
      <c r="E222" s="134" t="str">
        <f ca="1">IFERROR(__xludf.DUMMYFUNCTION("""COMPUTED_VALUE"""),"")</f>
        <v/>
      </c>
      <c r="F222" s="134" t="str">
        <f ca="1">IFERROR(__xludf.DUMMYFUNCTION("""COMPUTED_VALUE"""),"")</f>
        <v/>
      </c>
      <c r="G222" s="134" t="str">
        <f ca="1">IFERROR(__xludf.DUMMYFUNCTION("""COMPUTED_VALUE"""),"")</f>
        <v/>
      </c>
      <c r="H222" s="134" t="str">
        <f ca="1">IFERROR(__xludf.DUMMYFUNCTION("""COMPUTED_VALUE"""),"")</f>
        <v/>
      </c>
      <c r="I222" s="134" t="str">
        <f ca="1">IFERROR(__xludf.DUMMYFUNCTION("""COMPUTED_VALUE"""),"")</f>
        <v/>
      </c>
      <c r="J222" s="134" t="str">
        <f ca="1">IFERROR(__xludf.DUMMYFUNCTION("""COMPUTED_VALUE"""),"")</f>
        <v/>
      </c>
    </row>
    <row r="223" spans="1:10">
      <c r="A223" s="134" t="str">
        <f ca="1">IFERROR(__xludf.DUMMYFUNCTION("""COMPUTED_VALUE"""),"")</f>
        <v/>
      </c>
      <c r="B223" s="134" t="str">
        <f ca="1">IFERROR(__xludf.DUMMYFUNCTION("""COMPUTED_VALUE"""),"")</f>
        <v/>
      </c>
      <c r="C223" s="134" t="str">
        <f ca="1">IFERROR(__xludf.DUMMYFUNCTION("""COMPUTED_VALUE"""),"")</f>
        <v/>
      </c>
      <c r="D223" s="134" t="str">
        <f ca="1">IFERROR(__xludf.DUMMYFUNCTION("""COMPUTED_VALUE"""),"")</f>
        <v/>
      </c>
      <c r="E223" s="134" t="str">
        <f ca="1">IFERROR(__xludf.DUMMYFUNCTION("""COMPUTED_VALUE"""),"")</f>
        <v/>
      </c>
      <c r="F223" s="134" t="str">
        <f ca="1">IFERROR(__xludf.DUMMYFUNCTION("""COMPUTED_VALUE"""),"")</f>
        <v/>
      </c>
      <c r="G223" s="134" t="str">
        <f ca="1">IFERROR(__xludf.DUMMYFUNCTION("""COMPUTED_VALUE"""),"")</f>
        <v/>
      </c>
      <c r="H223" s="134" t="str">
        <f ca="1">IFERROR(__xludf.DUMMYFUNCTION("""COMPUTED_VALUE"""),"")</f>
        <v/>
      </c>
      <c r="I223" s="134" t="str">
        <f ca="1">IFERROR(__xludf.DUMMYFUNCTION("""COMPUTED_VALUE"""),"")</f>
        <v/>
      </c>
      <c r="J223" s="134" t="str">
        <f ca="1">IFERROR(__xludf.DUMMYFUNCTION("""COMPUTED_VALUE"""),"")</f>
        <v/>
      </c>
    </row>
    <row r="224" spans="1:10">
      <c r="A224" s="134" t="str">
        <f ca="1">IFERROR(__xludf.DUMMYFUNCTION("""COMPUTED_VALUE"""),"")</f>
        <v/>
      </c>
      <c r="B224" s="134" t="str">
        <f ca="1">IFERROR(__xludf.DUMMYFUNCTION("""COMPUTED_VALUE"""),"")</f>
        <v/>
      </c>
      <c r="C224" s="134" t="str">
        <f ca="1">IFERROR(__xludf.DUMMYFUNCTION("""COMPUTED_VALUE"""),"")</f>
        <v/>
      </c>
      <c r="D224" s="134" t="str">
        <f ca="1">IFERROR(__xludf.DUMMYFUNCTION("""COMPUTED_VALUE"""),"")</f>
        <v/>
      </c>
      <c r="E224" s="134" t="str">
        <f ca="1">IFERROR(__xludf.DUMMYFUNCTION("""COMPUTED_VALUE"""),"")</f>
        <v/>
      </c>
      <c r="F224" s="134" t="str">
        <f ca="1">IFERROR(__xludf.DUMMYFUNCTION("""COMPUTED_VALUE"""),"")</f>
        <v/>
      </c>
      <c r="G224" s="134" t="str">
        <f ca="1">IFERROR(__xludf.DUMMYFUNCTION("""COMPUTED_VALUE"""),"")</f>
        <v/>
      </c>
      <c r="H224" s="134" t="str">
        <f ca="1">IFERROR(__xludf.DUMMYFUNCTION("""COMPUTED_VALUE"""),"")</f>
        <v/>
      </c>
      <c r="I224" s="134" t="str">
        <f ca="1">IFERROR(__xludf.DUMMYFUNCTION("""COMPUTED_VALUE"""),"")</f>
        <v/>
      </c>
      <c r="J224" s="134" t="str">
        <f ca="1">IFERROR(__xludf.DUMMYFUNCTION("""COMPUTED_VALUE"""),"")</f>
        <v/>
      </c>
    </row>
    <row r="225" spans="1:10">
      <c r="A225" s="134" t="str">
        <f ca="1">IFERROR(__xludf.DUMMYFUNCTION("""COMPUTED_VALUE"""),"")</f>
        <v/>
      </c>
      <c r="B225" s="134" t="str">
        <f ca="1">IFERROR(__xludf.DUMMYFUNCTION("""COMPUTED_VALUE"""),"")</f>
        <v/>
      </c>
      <c r="C225" s="134" t="str">
        <f ca="1">IFERROR(__xludf.DUMMYFUNCTION("""COMPUTED_VALUE"""),"")</f>
        <v/>
      </c>
      <c r="D225" s="134" t="str">
        <f ca="1">IFERROR(__xludf.DUMMYFUNCTION("""COMPUTED_VALUE"""),"")</f>
        <v/>
      </c>
      <c r="E225" s="134" t="str">
        <f ca="1">IFERROR(__xludf.DUMMYFUNCTION("""COMPUTED_VALUE"""),"")</f>
        <v/>
      </c>
      <c r="F225" s="134" t="str">
        <f ca="1">IFERROR(__xludf.DUMMYFUNCTION("""COMPUTED_VALUE"""),"")</f>
        <v/>
      </c>
      <c r="G225" s="134" t="str">
        <f ca="1">IFERROR(__xludf.DUMMYFUNCTION("""COMPUTED_VALUE"""),"")</f>
        <v/>
      </c>
      <c r="H225" s="134" t="str">
        <f ca="1">IFERROR(__xludf.DUMMYFUNCTION("""COMPUTED_VALUE"""),"")</f>
        <v/>
      </c>
      <c r="I225" s="134" t="str">
        <f ca="1">IFERROR(__xludf.DUMMYFUNCTION("""COMPUTED_VALUE"""),"")</f>
        <v/>
      </c>
      <c r="J225" s="134" t="str">
        <f ca="1">IFERROR(__xludf.DUMMYFUNCTION("""COMPUTED_VALUE"""),"")</f>
        <v/>
      </c>
    </row>
    <row r="226" spans="1:10">
      <c r="A226" s="134" t="str">
        <f ca="1">IFERROR(__xludf.DUMMYFUNCTION("""COMPUTED_VALUE"""),"")</f>
        <v/>
      </c>
      <c r="B226" s="134" t="str">
        <f ca="1">IFERROR(__xludf.DUMMYFUNCTION("""COMPUTED_VALUE"""),"")</f>
        <v/>
      </c>
      <c r="C226" s="134" t="str">
        <f ca="1">IFERROR(__xludf.DUMMYFUNCTION("""COMPUTED_VALUE"""),"")</f>
        <v/>
      </c>
      <c r="D226" s="134" t="str">
        <f ca="1">IFERROR(__xludf.DUMMYFUNCTION("""COMPUTED_VALUE"""),"")</f>
        <v/>
      </c>
      <c r="E226" s="134" t="str">
        <f ca="1">IFERROR(__xludf.DUMMYFUNCTION("""COMPUTED_VALUE"""),"")</f>
        <v/>
      </c>
      <c r="F226" s="134" t="str">
        <f ca="1">IFERROR(__xludf.DUMMYFUNCTION("""COMPUTED_VALUE"""),"")</f>
        <v/>
      </c>
      <c r="G226" s="134" t="str">
        <f ca="1">IFERROR(__xludf.DUMMYFUNCTION("""COMPUTED_VALUE"""),"")</f>
        <v/>
      </c>
      <c r="H226" s="134" t="str">
        <f ca="1">IFERROR(__xludf.DUMMYFUNCTION("""COMPUTED_VALUE"""),"")</f>
        <v/>
      </c>
      <c r="I226" s="134" t="str">
        <f ca="1">IFERROR(__xludf.DUMMYFUNCTION("""COMPUTED_VALUE"""),"")</f>
        <v/>
      </c>
      <c r="J226" s="134" t="str">
        <f ca="1">IFERROR(__xludf.DUMMYFUNCTION("""COMPUTED_VALUE"""),"")</f>
        <v/>
      </c>
    </row>
    <row r="227" spans="1:10">
      <c r="A227" s="134" t="str">
        <f ca="1">IFERROR(__xludf.DUMMYFUNCTION("""COMPUTED_VALUE"""),"")</f>
        <v/>
      </c>
      <c r="B227" s="134" t="str">
        <f ca="1">IFERROR(__xludf.DUMMYFUNCTION("""COMPUTED_VALUE"""),"")</f>
        <v/>
      </c>
      <c r="C227" s="134" t="str">
        <f ca="1">IFERROR(__xludf.DUMMYFUNCTION("""COMPUTED_VALUE"""),"")</f>
        <v/>
      </c>
      <c r="D227" s="134" t="str">
        <f ca="1">IFERROR(__xludf.DUMMYFUNCTION("""COMPUTED_VALUE"""),"")</f>
        <v/>
      </c>
      <c r="E227" s="134" t="str">
        <f ca="1">IFERROR(__xludf.DUMMYFUNCTION("""COMPUTED_VALUE"""),"")</f>
        <v/>
      </c>
      <c r="F227" s="134" t="str">
        <f ca="1">IFERROR(__xludf.DUMMYFUNCTION("""COMPUTED_VALUE"""),"")</f>
        <v/>
      </c>
      <c r="G227" s="134" t="str">
        <f ca="1">IFERROR(__xludf.DUMMYFUNCTION("""COMPUTED_VALUE"""),"")</f>
        <v/>
      </c>
      <c r="H227" s="134" t="str">
        <f ca="1">IFERROR(__xludf.DUMMYFUNCTION("""COMPUTED_VALUE"""),"")</f>
        <v/>
      </c>
      <c r="I227" s="134" t="str">
        <f ca="1">IFERROR(__xludf.DUMMYFUNCTION("""COMPUTED_VALUE"""),"")</f>
        <v/>
      </c>
      <c r="J227" s="134" t="str">
        <f ca="1">IFERROR(__xludf.DUMMYFUNCTION("""COMPUTED_VALUE"""),"")</f>
        <v/>
      </c>
    </row>
    <row r="228" spans="1:10">
      <c r="A228" s="134" t="str">
        <f ca="1">IFERROR(__xludf.DUMMYFUNCTION("""COMPUTED_VALUE"""),"")</f>
        <v/>
      </c>
      <c r="B228" s="134" t="str">
        <f ca="1">IFERROR(__xludf.DUMMYFUNCTION("""COMPUTED_VALUE"""),"")</f>
        <v/>
      </c>
      <c r="C228" s="134" t="str">
        <f ca="1">IFERROR(__xludf.DUMMYFUNCTION("""COMPUTED_VALUE"""),"")</f>
        <v/>
      </c>
      <c r="D228" s="134" t="str">
        <f ca="1">IFERROR(__xludf.DUMMYFUNCTION("""COMPUTED_VALUE"""),"")</f>
        <v/>
      </c>
      <c r="E228" s="134" t="str">
        <f ca="1">IFERROR(__xludf.DUMMYFUNCTION("""COMPUTED_VALUE"""),"")</f>
        <v/>
      </c>
      <c r="F228" s="134" t="str">
        <f ca="1">IFERROR(__xludf.DUMMYFUNCTION("""COMPUTED_VALUE"""),"")</f>
        <v/>
      </c>
      <c r="G228" s="134" t="str">
        <f ca="1">IFERROR(__xludf.DUMMYFUNCTION("""COMPUTED_VALUE"""),"")</f>
        <v/>
      </c>
      <c r="H228" s="134" t="str">
        <f ca="1">IFERROR(__xludf.DUMMYFUNCTION("""COMPUTED_VALUE"""),"")</f>
        <v/>
      </c>
      <c r="I228" s="134" t="str">
        <f ca="1">IFERROR(__xludf.DUMMYFUNCTION("""COMPUTED_VALUE"""),"")</f>
        <v/>
      </c>
      <c r="J228" s="134" t="str">
        <f ca="1">IFERROR(__xludf.DUMMYFUNCTION("""COMPUTED_VALUE"""),"")</f>
        <v/>
      </c>
    </row>
    <row r="229" spans="1:10">
      <c r="A229" s="134" t="str">
        <f ca="1">IFERROR(__xludf.DUMMYFUNCTION("""COMPUTED_VALUE"""),"")</f>
        <v/>
      </c>
      <c r="B229" s="134" t="str">
        <f ca="1">IFERROR(__xludf.DUMMYFUNCTION("""COMPUTED_VALUE"""),"")</f>
        <v/>
      </c>
      <c r="C229" s="134" t="str">
        <f ca="1">IFERROR(__xludf.DUMMYFUNCTION("""COMPUTED_VALUE"""),"")</f>
        <v/>
      </c>
      <c r="D229" s="134" t="str">
        <f ca="1">IFERROR(__xludf.DUMMYFUNCTION("""COMPUTED_VALUE"""),"")</f>
        <v/>
      </c>
      <c r="E229" s="134" t="str">
        <f ca="1">IFERROR(__xludf.DUMMYFUNCTION("""COMPUTED_VALUE"""),"")</f>
        <v/>
      </c>
      <c r="F229" s="134" t="str">
        <f ca="1">IFERROR(__xludf.DUMMYFUNCTION("""COMPUTED_VALUE"""),"")</f>
        <v/>
      </c>
      <c r="G229" s="134" t="str">
        <f ca="1">IFERROR(__xludf.DUMMYFUNCTION("""COMPUTED_VALUE"""),"")</f>
        <v/>
      </c>
      <c r="H229" s="134" t="str">
        <f ca="1">IFERROR(__xludf.DUMMYFUNCTION("""COMPUTED_VALUE"""),"")</f>
        <v/>
      </c>
      <c r="I229" s="134" t="str">
        <f ca="1">IFERROR(__xludf.DUMMYFUNCTION("""COMPUTED_VALUE"""),"")</f>
        <v/>
      </c>
      <c r="J229" s="134" t="str">
        <f ca="1">IFERROR(__xludf.DUMMYFUNCTION("""COMPUTED_VALUE"""),"")</f>
        <v/>
      </c>
    </row>
    <row r="230" spans="1:10">
      <c r="A230" s="134" t="str">
        <f ca="1">IFERROR(__xludf.DUMMYFUNCTION("""COMPUTED_VALUE"""),"")</f>
        <v/>
      </c>
      <c r="B230" s="134" t="str">
        <f ca="1">IFERROR(__xludf.DUMMYFUNCTION("""COMPUTED_VALUE"""),"")</f>
        <v/>
      </c>
      <c r="C230" s="134" t="str">
        <f ca="1">IFERROR(__xludf.DUMMYFUNCTION("""COMPUTED_VALUE"""),"")</f>
        <v/>
      </c>
      <c r="D230" s="134" t="str">
        <f ca="1">IFERROR(__xludf.DUMMYFUNCTION("""COMPUTED_VALUE"""),"")</f>
        <v/>
      </c>
      <c r="E230" s="134" t="str">
        <f ca="1">IFERROR(__xludf.DUMMYFUNCTION("""COMPUTED_VALUE"""),"")</f>
        <v/>
      </c>
      <c r="F230" s="134" t="str">
        <f ca="1">IFERROR(__xludf.DUMMYFUNCTION("""COMPUTED_VALUE"""),"")</f>
        <v/>
      </c>
      <c r="G230" s="134" t="str">
        <f ca="1">IFERROR(__xludf.DUMMYFUNCTION("""COMPUTED_VALUE"""),"")</f>
        <v/>
      </c>
      <c r="H230" s="134" t="str">
        <f ca="1">IFERROR(__xludf.DUMMYFUNCTION("""COMPUTED_VALUE"""),"")</f>
        <v/>
      </c>
      <c r="I230" s="134" t="str">
        <f ca="1">IFERROR(__xludf.DUMMYFUNCTION("""COMPUTED_VALUE"""),"")</f>
        <v/>
      </c>
      <c r="J230" s="134" t="str">
        <f ca="1">IFERROR(__xludf.DUMMYFUNCTION("""COMPUTED_VALUE"""),"")</f>
        <v/>
      </c>
    </row>
    <row r="231" spans="1:10">
      <c r="A231" s="134" t="str">
        <f ca="1">IFERROR(__xludf.DUMMYFUNCTION("""COMPUTED_VALUE"""),"")</f>
        <v/>
      </c>
      <c r="B231" s="134" t="str">
        <f ca="1">IFERROR(__xludf.DUMMYFUNCTION("""COMPUTED_VALUE"""),"")</f>
        <v/>
      </c>
      <c r="C231" s="134" t="str">
        <f ca="1">IFERROR(__xludf.DUMMYFUNCTION("""COMPUTED_VALUE"""),"")</f>
        <v/>
      </c>
      <c r="D231" s="134" t="str">
        <f ca="1">IFERROR(__xludf.DUMMYFUNCTION("""COMPUTED_VALUE"""),"")</f>
        <v/>
      </c>
      <c r="E231" s="134" t="str">
        <f ca="1">IFERROR(__xludf.DUMMYFUNCTION("""COMPUTED_VALUE"""),"")</f>
        <v/>
      </c>
      <c r="F231" s="134" t="str">
        <f ca="1">IFERROR(__xludf.DUMMYFUNCTION("""COMPUTED_VALUE"""),"")</f>
        <v/>
      </c>
      <c r="G231" s="134" t="str">
        <f ca="1">IFERROR(__xludf.DUMMYFUNCTION("""COMPUTED_VALUE"""),"")</f>
        <v/>
      </c>
      <c r="H231" s="134" t="str">
        <f ca="1">IFERROR(__xludf.DUMMYFUNCTION("""COMPUTED_VALUE"""),"")</f>
        <v/>
      </c>
      <c r="I231" s="134" t="str">
        <f ca="1">IFERROR(__xludf.DUMMYFUNCTION("""COMPUTED_VALUE"""),"")</f>
        <v/>
      </c>
      <c r="J231" s="134" t="str">
        <f ca="1">IFERROR(__xludf.DUMMYFUNCTION("""COMPUTED_VALUE"""),"")</f>
        <v/>
      </c>
    </row>
    <row r="232" spans="1:10">
      <c r="A232" s="134" t="str">
        <f ca="1">IFERROR(__xludf.DUMMYFUNCTION("""COMPUTED_VALUE"""),"")</f>
        <v/>
      </c>
      <c r="B232" s="134" t="str">
        <f ca="1">IFERROR(__xludf.DUMMYFUNCTION("""COMPUTED_VALUE"""),"")</f>
        <v/>
      </c>
      <c r="C232" s="134" t="str">
        <f ca="1">IFERROR(__xludf.DUMMYFUNCTION("""COMPUTED_VALUE"""),"")</f>
        <v/>
      </c>
      <c r="D232" s="134" t="str">
        <f ca="1">IFERROR(__xludf.DUMMYFUNCTION("""COMPUTED_VALUE"""),"")</f>
        <v/>
      </c>
      <c r="E232" s="134" t="str">
        <f ca="1">IFERROR(__xludf.DUMMYFUNCTION("""COMPUTED_VALUE"""),"")</f>
        <v/>
      </c>
      <c r="F232" s="134" t="str">
        <f ca="1">IFERROR(__xludf.DUMMYFUNCTION("""COMPUTED_VALUE"""),"")</f>
        <v/>
      </c>
      <c r="G232" s="134" t="str">
        <f ca="1">IFERROR(__xludf.DUMMYFUNCTION("""COMPUTED_VALUE"""),"")</f>
        <v/>
      </c>
      <c r="H232" s="134" t="str">
        <f ca="1">IFERROR(__xludf.DUMMYFUNCTION("""COMPUTED_VALUE"""),"")</f>
        <v/>
      </c>
      <c r="I232" s="134" t="str">
        <f ca="1">IFERROR(__xludf.DUMMYFUNCTION("""COMPUTED_VALUE"""),"")</f>
        <v/>
      </c>
      <c r="J232" s="134" t="str">
        <f ca="1">IFERROR(__xludf.DUMMYFUNCTION("""COMPUTED_VALUE"""),"")</f>
        <v/>
      </c>
    </row>
    <row r="233" spans="1:10">
      <c r="A233" s="134" t="str">
        <f ca="1">IFERROR(__xludf.DUMMYFUNCTION("""COMPUTED_VALUE"""),"")</f>
        <v/>
      </c>
      <c r="B233" s="134" t="str">
        <f ca="1">IFERROR(__xludf.DUMMYFUNCTION("""COMPUTED_VALUE"""),"")</f>
        <v/>
      </c>
      <c r="C233" s="134" t="str">
        <f ca="1">IFERROR(__xludf.DUMMYFUNCTION("""COMPUTED_VALUE"""),"")</f>
        <v/>
      </c>
      <c r="D233" s="134" t="str">
        <f ca="1">IFERROR(__xludf.DUMMYFUNCTION("""COMPUTED_VALUE"""),"")</f>
        <v/>
      </c>
      <c r="E233" s="134" t="str">
        <f ca="1">IFERROR(__xludf.DUMMYFUNCTION("""COMPUTED_VALUE"""),"")</f>
        <v/>
      </c>
      <c r="F233" s="134" t="str">
        <f ca="1">IFERROR(__xludf.DUMMYFUNCTION("""COMPUTED_VALUE"""),"")</f>
        <v/>
      </c>
      <c r="G233" s="134" t="str">
        <f ca="1">IFERROR(__xludf.DUMMYFUNCTION("""COMPUTED_VALUE"""),"")</f>
        <v/>
      </c>
      <c r="H233" s="134" t="str">
        <f ca="1">IFERROR(__xludf.DUMMYFUNCTION("""COMPUTED_VALUE"""),"")</f>
        <v/>
      </c>
      <c r="I233" s="134" t="str">
        <f ca="1">IFERROR(__xludf.DUMMYFUNCTION("""COMPUTED_VALUE"""),"")</f>
        <v/>
      </c>
      <c r="J233" s="134" t="str">
        <f ca="1">IFERROR(__xludf.DUMMYFUNCTION("""COMPUTED_VALUE"""),"")</f>
        <v/>
      </c>
    </row>
    <row r="234" spans="1:10">
      <c r="A234" s="134" t="str">
        <f ca="1">IFERROR(__xludf.DUMMYFUNCTION("""COMPUTED_VALUE"""),"")</f>
        <v/>
      </c>
      <c r="B234" s="134" t="str">
        <f ca="1">IFERROR(__xludf.DUMMYFUNCTION("""COMPUTED_VALUE"""),"")</f>
        <v/>
      </c>
      <c r="C234" s="134" t="str">
        <f ca="1">IFERROR(__xludf.DUMMYFUNCTION("""COMPUTED_VALUE"""),"")</f>
        <v/>
      </c>
      <c r="D234" s="134" t="str">
        <f ca="1">IFERROR(__xludf.DUMMYFUNCTION("""COMPUTED_VALUE"""),"")</f>
        <v/>
      </c>
      <c r="E234" s="134" t="str">
        <f ca="1">IFERROR(__xludf.DUMMYFUNCTION("""COMPUTED_VALUE"""),"")</f>
        <v/>
      </c>
      <c r="F234" s="134" t="str">
        <f ca="1">IFERROR(__xludf.DUMMYFUNCTION("""COMPUTED_VALUE"""),"")</f>
        <v/>
      </c>
      <c r="G234" s="134" t="str">
        <f ca="1">IFERROR(__xludf.DUMMYFUNCTION("""COMPUTED_VALUE"""),"")</f>
        <v/>
      </c>
      <c r="H234" s="134" t="str">
        <f ca="1">IFERROR(__xludf.DUMMYFUNCTION("""COMPUTED_VALUE"""),"")</f>
        <v/>
      </c>
      <c r="I234" s="134" t="str">
        <f ca="1">IFERROR(__xludf.DUMMYFUNCTION("""COMPUTED_VALUE"""),"")</f>
        <v/>
      </c>
      <c r="J234" s="134" t="str">
        <f ca="1">IFERROR(__xludf.DUMMYFUNCTION("""COMPUTED_VALUE"""),"")</f>
        <v/>
      </c>
    </row>
    <row r="235" spans="1:10">
      <c r="A235" s="134" t="str">
        <f ca="1">IFERROR(__xludf.DUMMYFUNCTION("""COMPUTED_VALUE"""),"")</f>
        <v/>
      </c>
      <c r="B235" s="134" t="str">
        <f ca="1">IFERROR(__xludf.DUMMYFUNCTION("""COMPUTED_VALUE"""),"")</f>
        <v/>
      </c>
      <c r="C235" s="134" t="str">
        <f ca="1">IFERROR(__xludf.DUMMYFUNCTION("""COMPUTED_VALUE"""),"")</f>
        <v/>
      </c>
      <c r="D235" s="134" t="str">
        <f ca="1">IFERROR(__xludf.DUMMYFUNCTION("""COMPUTED_VALUE"""),"")</f>
        <v/>
      </c>
      <c r="E235" s="134" t="str">
        <f ca="1">IFERROR(__xludf.DUMMYFUNCTION("""COMPUTED_VALUE"""),"")</f>
        <v/>
      </c>
      <c r="F235" s="134" t="str">
        <f ca="1">IFERROR(__xludf.DUMMYFUNCTION("""COMPUTED_VALUE"""),"")</f>
        <v/>
      </c>
      <c r="G235" s="134" t="str">
        <f ca="1">IFERROR(__xludf.DUMMYFUNCTION("""COMPUTED_VALUE"""),"")</f>
        <v/>
      </c>
      <c r="H235" s="134" t="str">
        <f ca="1">IFERROR(__xludf.DUMMYFUNCTION("""COMPUTED_VALUE"""),"")</f>
        <v/>
      </c>
      <c r="I235" s="134" t="str">
        <f ca="1">IFERROR(__xludf.DUMMYFUNCTION("""COMPUTED_VALUE"""),"")</f>
        <v/>
      </c>
      <c r="J235" s="134" t="str">
        <f ca="1">IFERROR(__xludf.DUMMYFUNCTION("""COMPUTED_VALUE"""),"")</f>
        <v/>
      </c>
    </row>
    <row r="236" spans="1:10">
      <c r="A236" s="134" t="str">
        <f ca="1">IFERROR(__xludf.DUMMYFUNCTION("""COMPUTED_VALUE"""),"")</f>
        <v/>
      </c>
      <c r="B236" s="134" t="str">
        <f ca="1">IFERROR(__xludf.DUMMYFUNCTION("""COMPUTED_VALUE"""),"")</f>
        <v/>
      </c>
      <c r="C236" s="134" t="str">
        <f ca="1">IFERROR(__xludf.DUMMYFUNCTION("""COMPUTED_VALUE"""),"")</f>
        <v/>
      </c>
      <c r="D236" s="134" t="str">
        <f ca="1">IFERROR(__xludf.DUMMYFUNCTION("""COMPUTED_VALUE"""),"")</f>
        <v/>
      </c>
      <c r="E236" s="134" t="str">
        <f ca="1">IFERROR(__xludf.DUMMYFUNCTION("""COMPUTED_VALUE"""),"")</f>
        <v/>
      </c>
      <c r="F236" s="134" t="str">
        <f ca="1">IFERROR(__xludf.DUMMYFUNCTION("""COMPUTED_VALUE"""),"")</f>
        <v/>
      </c>
      <c r="G236" s="134" t="str">
        <f ca="1">IFERROR(__xludf.DUMMYFUNCTION("""COMPUTED_VALUE"""),"")</f>
        <v/>
      </c>
      <c r="H236" s="134" t="str">
        <f ca="1">IFERROR(__xludf.DUMMYFUNCTION("""COMPUTED_VALUE"""),"")</f>
        <v/>
      </c>
      <c r="I236" s="134" t="str">
        <f ca="1">IFERROR(__xludf.DUMMYFUNCTION("""COMPUTED_VALUE"""),"")</f>
        <v/>
      </c>
      <c r="J236" s="134" t="str">
        <f ca="1">IFERROR(__xludf.DUMMYFUNCTION("""COMPUTED_VALUE"""),"")</f>
        <v/>
      </c>
    </row>
    <row r="237" spans="1:10">
      <c r="A237" s="134" t="str">
        <f ca="1">IFERROR(__xludf.DUMMYFUNCTION("""COMPUTED_VALUE"""),"")</f>
        <v/>
      </c>
      <c r="B237" s="134" t="str">
        <f ca="1">IFERROR(__xludf.DUMMYFUNCTION("""COMPUTED_VALUE"""),"")</f>
        <v/>
      </c>
      <c r="C237" s="134" t="str">
        <f ca="1">IFERROR(__xludf.DUMMYFUNCTION("""COMPUTED_VALUE"""),"")</f>
        <v/>
      </c>
      <c r="D237" s="134" t="str">
        <f ca="1">IFERROR(__xludf.DUMMYFUNCTION("""COMPUTED_VALUE"""),"")</f>
        <v/>
      </c>
      <c r="E237" s="134" t="str">
        <f ca="1">IFERROR(__xludf.DUMMYFUNCTION("""COMPUTED_VALUE"""),"")</f>
        <v/>
      </c>
      <c r="F237" s="134" t="str">
        <f ca="1">IFERROR(__xludf.DUMMYFUNCTION("""COMPUTED_VALUE"""),"")</f>
        <v/>
      </c>
      <c r="G237" s="134" t="str">
        <f ca="1">IFERROR(__xludf.DUMMYFUNCTION("""COMPUTED_VALUE"""),"")</f>
        <v/>
      </c>
      <c r="H237" s="134" t="str">
        <f ca="1">IFERROR(__xludf.DUMMYFUNCTION("""COMPUTED_VALUE"""),"")</f>
        <v/>
      </c>
      <c r="I237" s="134" t="str">
        <f ca="1">IFERROR(__xludf.DUMMYFUNCTION("""COMPUTED_VALUE"""),"")</f>
        <v/>
      </c>
      <c r="J237" s="134" t="str">
        <f ca="1">IFERROR(__xludf.DUMMYFUNCTION("""COMPUTED_VALUE"""),"")</f>
        <v/>
      </c>
    </row>
    <row r="238" spans="1:10">
      <c r="A238" s="134" t="str">
        <f ca="1">IFERROR(__xludf.DUMMYFUNCTION("""COMPUTED_VALUE"""),"")</f>
        <v/>
      </c>
      <c r="B238" s="134" t="str">
        <f ca="1">IFERROR(__xludf.DUMMYFUNCTION("""COMPUTED_VALUE"""),"")</f>
        <v/>
      </c>
      <c r="C238" s="134" t="str">
        <f ca="1">IFERROR(__xludf.DUMMYFUNCTION("""COMPUTED_VALUE"""),"")</f>
        <v/>
      </c>
      <c r="D238" s="134" t="str">
        <f ca="1">IFERROR(__xludf.DUMMYFUNCTION("""COMPUTED_VALUE"""),"")</f>
        <v/>
      </c>
      <c r="E238" s="134" t="str">
        <f ca="1">IFERROR(__xludf.DUMMYFUNCTION("""COMPUTED_VALUE"""),"")</f>
        <v/>
      </c>
      <c r="F238" s="134" t="str">
        <f ca="1">IFERROR(__xludf.DUMMYFUNCTION("""COMPUTED_VALUE"""),"")</f>
        <v/>
      </c>
      <c r="G238" s="134" t="str">
        <f ca="1">IFERROR(__xludf.DUMMYFUNCTION("""COMPUTED_VALUE"""),"")</f>
        <v/>
      </c>
      <c r="H238" s="134" t="str">
        <f ca="1">IFERROR(__xludf.DUMMYFUNCTION("""COMPUTED_VALUE"""),"")</f>
        <v/>
      </c>
      <c r="I238" s="134" t="str">
        <f ca="1">IFERROR(__xludf.DUMMYFUNCTION("""COMPUTED_VALUE"""),"")</f>
        <v/>
      </c>
      <c r="J238" s="134" t="str">
        <f ca="1">IFERROR(__xludf.DUMMYFUNCTION("""COMPUTED_VALUE"""),"")</f>
        <v/>
      </c>
    </row>
    <row r="239" spans="1:10">
      <c r="A239" s="134" t="str">
        <f ca="1">IFERROR(__xludf.DUMMYFUNCTION("""COMPUTED_VALUE"""),"")</f>
        <v/>
      </c>
      <c r="B239" s="134" t="str">
        <f ca="1">IFERROR(__xludf.DUMMYFUNCTION("""COMPUTED_VALUE"""),"")</f>
        <v/>
      </c>
      <c r="C239" s="134" t="str">
        <f ca="1">IFERROR(__xludf.DUMMYFUNCTION("""COMPUTED_VALUE"""),"")</f>
        <v/>
      </c>
      <c r="D239" s="134" t="str">
        <f ca="1">IFERROR(__xludf.DUMMYFUNCTION("""COMPUTED_VALUE"""),"")</f>
        <v/>
      </c>
      <c r="E239" s="134" t="str">
        <f ca="1">IFERROR(__xludf.DUMMYFUNCTION("""COMPUTED_VALUE"""),"")</f>
        <v/>
      </c>
      <c r="F239" s="134" t="str">
        <f ca="1">IFERROR(__xludf.DUMMYFUNCTION("""COMPUTED_VALUE"""),"")</f>
        <v/>
      </c>
      <c r="G239" s="134" t="str">
        <f ca="1">IFERROR(__xludf.DUMMYFUNCTION("""COMPUTED_VALUE"""),"")</f>
        <v/>
      </c>
      <c r="H239" s="134" t="str">
        <f ca="1">IFERROR(__xludf.DUMMYFUNCTION("""COMPUTED_VALUE"""),"")</f>
        <v/>
      </c>
      <c r="I239" s="134" t="str">
        <f ca="1">IFERROR(__xludf.DUMMYFUNCTION("""COMPUTED_VALUE"""),"")</f>
        <v/>
      </c>
      <c r="J239" s="134" t="str">
        <f ca="1">IFERROR(__xludf.DUMMYFUNCTION("""COMPUTED_VALUE"""),"")</f>
        <v/>
      </c>
    </row>
    <row r="240" spans="1:10">
      <c r="A240" s="134" t="str">
        <f ca="1">IFERROR(__xludf.DUMMYFUNCTION("""COMPUTED_VALUE"""),"")</f>
        <v/>
      </c>
      <c r="B240" s="134" t="str">
        <f ca="1">IFERROR(__xludf.DUMMYFUNCTION("""COMPUTED_VALUE"""),"")</f>
        <v/>
      </c>
      <c r="C240" s="134" t="str">
        <f ca="1">IFERROR(__xludf.DUMMYFUNCTION("""COMPUTED_VALUE"""),"")</f>
        <v/>
      </c>
      <c r="D240" s="134" t="str">
        <f ca="1">IFERROR(__xludf.DUMMYFUNCTION("""COMPUTED_VALUE"""),"")</f>
        <v/>
      </c>
      <c r="E240" s="134" t="str">
        <f ca="1">IFERROR(__xludf.DUMMYFUNCTION("""COMPUTED_VALUE"""),"")</f>
        <v/>
      </c>
      <c r="F240" s="134" t="str">
        <f ca="1">IFERROR(__xludf.DUMMYFUNCTION("""COMPUTED_VALUE"""),"")</f>
        <v/>
      </c>
      <c r="G240" s="134" t="str">
        <f ca="1">IFERROR(__xludf.DUMMYFUNCTION("""COMPUTED_VALUE"""),"")</f>
        <v/>
      </c>
      <c r="H240" s="134" t="str">
        <f ca="1">IFERROR(__xludf.DUMMYFUNCTION("""COMPUTED_VALUE"""),"")</f>
        <v/>
      </c>
      <c r="I240" s="134" t="str">
        <f ca="1">IFERROR(__xludf.DUMMYFUNCTION("""COMPUTED_VALUE"""),"")</f>
        <v/>
      </c>
      <c r="J240" s="134" t="str">
        <f ca="1">IFERROR(__xludf.DUMMYFUNCTION("""COMPUTED_VALUE"""),"")</f>
        <v/>
      </c>
    </row>
    <row r="241" spans="1:10">
      <c r="A241" s="134" t="str">
        <f ca="1">IFERROR(__xludf.DUMMYFUNCTION("""COMPUTED_VALUE"""),"")</f>
        <v/>
      </c>
      <c r="B241" s="134" t="str">
        <f ca="1">IFERROR(__xludf.DUMMYFUNCTION("""COMPUTED_VALUE"""),"")</f>
        <v/>
      </c>
      <c r="C241" s="134" t="str">
        <f ca="1">IFERROR(__xludf.DUMMYFUNCTION("""COMPUTED_VALUE"""),"")</f>
        <v/>
      </c>
      <c r="D241" s="134" t="str">
        <f ca="1">IFERROR(__xludf.DUMMYFUNCTION("""COMPUTED_VALUE"""),"")</f>
        <v/>
      </c>
      <c r="E241" s="134" t="str">
        <f ca="1">IFERROR(__xludf.DUMMYFUNCTION("""COMPUTED_VALUE"""),"")</f>
        <v/>
      </c>
      <c r="F241" s="134" t="str">
        <f ca="1">IFERROR(__xludf.DUMMYFUNCTION("""COMPUTED_VALUE"""),"")</f>
        <v/>
      </c>
      <c r="G241" s="134" t="str">
        <f ca="1">IFERROR(__xludf.DUMMYFUNCTION("""COMPUTED_VALUE"""),"")</f>
        <v/>
      </c>
      <c r="H241" s="134" t="str">
        <f ca="1">IFERROR(__xludf.DUMMYFUNCTION("""COMPUTED_VALUE"""),"")</f>
        <v/>
      </c>
      <c r="I241" s="134" t="str">
        <f ca="1">IFERROR(__xludf.DUMMYFUNCTION("""COMPUTED_VALUE"""),"")</f>
        <v/>
      </c>
      <c r="J241" s="134" t="str">
        <f ca="1">IFERROR(__xludf.DUMMYFUNCTION("""COMPUTED_VALUE"""),"")</f>
        <v/>
      </c>
    </row>
    <row r="242" spans="1:10">
      <c r="A242" s="134" t="str">
        <f ca="1">IFERROR(__xludf.DUMMYFUNCTION("""COMPUTED_VALUE"""),"")</f>
        <v/>
      </c>
      <c r="B242" s="134" t="str">
        <f ca="1">IFERROR(__xludf.DUMMYFUNCTION("""COMPUTED_VALUE"""),"")</f>
        <v/>
      </c>
      <c r="C242" s="134" t="str">
        <f ca="1">IFERROR(__xludf.DUMMYFUNCTION("""COMPUTED_VALUE"""),"")</f>
        <v/>
      </c>
      <c r="D242" s="134" t="str">
        <f ca="1">IFERROR(__xludf.DUMMYFUNCTION("""COMPUTED_VALUE"""),"")</f>
        <v/>
      </c>
      <c r="E242" s="134" t="str">
        <f ca="1">IFERROR(__xludf.DUMMYFUNCTION("""COMPUTED_VALUE"""),"")</f>
        <v/>
      </c>
      <c r="F242" s="134" t="str">
        <f ca="1">IFERROR(__xludf.DUMMYFUNCTION("""COMPUTED_VALUE"""),"")</f>
        <v/>
      </c>
      <c r="G242" s="134" t="str">
        <f ca="1">IFERROR(__xludf.DUMMYFUNCTION("""COMPUTED_VALUE"""),"")</f>
        <v/>
      </c>
      <c r="H242" s="134" t="str">
        <f ca="1">IFERROR(__xludf.DUMMYFUNCTION("""COMPUTED_VALUE"""),"")</f>
        <v/>
      </c>
      <c r="I242" s="134" t="str">
        <f ca="1">IFERROR(__xludf.DUMMYFUNCTION("""COMPUTED_VALUE"""),"")</f>
        <v/>
      </c>
      <c r="J242" s="134" t="str">
        <f ca="1">IFERROR(__xludf.DUMMYFUNCTION("""COMPUTED_VALUE"""),"")</f>
        <v/>
      </c>
    </row>
    <row r="243" spans="1:10">
      <c r="A243" s="134" t="str">
        <f ca="1">IFERROR(__xludf.DUMMYFUNCTION("""COMPUTED_VALUE"""),"")</f>
        <v/>
      </c>
      <c r="B243" s="134" t="str">
        <f ca="1">IFERROR(__xludf.DUMMYFUNCTION("""COMPUTED_VALUE"""),"")</f>
        <v/>
      </c>
      <c r="C243" s="134" t="str">
        <f ca="1">IFERROR(__xludf.DUMMYFUNCTION("""COMPUTED_VALUE"""),"")</f>
        <v/>
      </c>
      <c r="D243" s="134" t="str">
        <f ca="1">IFERROR(__xludf.DUMMYFUNCTION("""COMPUTED_VALUE"""),"")</f>
        <v/>
      </c>
      <c r="E243" s="134" t="str">
        <f ca="1">IFERROR(__xludf.DUMMYFUNCTION("""COMPUTED_VALUE"""),"")</f>
        <v/>
      </c>
      <c r="F243" s="134" t="str">
        <f ca="1">IFERROR(__xludf.DUMMYFUNCTION("""COMPUTED_VALUE"""),"")</f>
        <v/>
      </c>
      <c r="G243" s="134" t="str">
        <f ca="1">IFERROR(__xludf.DUMMYFUNCTION("""COMPUTED_VALUE"""),"")</f>
        <v/>
      </c>
      <c r="H243" s="134" t="str">
        <f ca="1">IFERROR(__xludf.DUMMYFUNCTION("""COMPUTED_VALUE"""),"")</f>
        <v/>
      </c>
      <c r="I243" s="134" t="str">
        <f ca="1">IFERROR(__xludf.DUMMYFUNCTION("""COMPUTED_VALUE"""),"")</f>
        <v/>
      </c>
      <c r="J243" s="134" t="str">
        <f ca="1">IFERROR(__xludf.DUMMYFUNCTION("""COMPUTED_VALUE"""),"")</f>
        <v/>
      </c>
    </row>
    <row r="244" spans="1:10">
      <c r="A244" s="134" t="str">
        <f ca="1">IFERROR(__xludf.DUMMYFUNCTION("""COMPUTED_VALUE"""),"")</f>
        <v/>
      </c>
      <c r="B244" s="134" t="str">
        <f ca="1">IFERROR(__xludf.DUMMYFUNCTION("""COMPUTED_VALUE"""),"")</f>
        <v/>
      </c>
      <c r="C244" s="134" t="str">
        <f ca="1">IFERROR(__xludf.DUMMYFUNCTION("""COMPUTED_VALUE"""),"")</f>
        <v/>
      </c>
      <c r="D244" s="134" t="str">
        <f ca="1">IFERROR(__xludf.DUMMYFUNCTION("""COMPUTED_VALUE"""),"")</f>
        <v/>
      </c>
      <c r="E244" s="134" t="str">
        <f ca="1">IFERROR(__xludf.DUMMYFUNCTION("""COMPUTED_VALUE"""),"")</f>
        <v/>
      </c>
      <c r="F244" s="134" t="str">
        <f ca="1">IFERROR(__xludf.DUMMYFUNCTION("""COMPUTED_VALUE"""),"")</f>
        <v/>
      </c>
      <c r="G244" s="134" t="str">
        <f ca="1">IFERROR(__xludf.DUMMYFUNCTION("""COMPUTED_VALUE"""),"")</f>
        <v/>
      </c>
      <c r="H244" s="134" t="str">
        <f ca="1">IFERROR(__xludf.DUMMYFUNCTION("""COMPUTED_VALUE"""),"")</f>
        <v/>
      </c>
      <c r="I244" s="134" t="str">
        <f ca="1">IFERROR(__xludf.DUMMYFUNCTION("""COMPUTED_VALUE"""),"")</f>
        <v/>
      </c>
      <c r="J244" s="134" t="str">
        <f ca="1">IFERROR(__xludf.DUMMYFUNCTION("""COMPUTED_VALUE"""),"")</f>
        <v/>
      </c>
    </row>
    <row r="245" spans="1:10">
      <c r="A245" s="134" t="str">
        <f ca="1">IFERROR(__xludf.DUMMYFUNCTION("""COMPUTED_VALUE"""),"")</f>
        <v/>
      </c>
      <c r="B245" s="134" t="str">
        <f ca="1">IFERROR(__xludf.DUMMYFUNCTION("""COMPUTED_VALUE"""),"")</f>
        <v/>
      </c>
      <c r="C245" s="134" t="str">
        <f ca="1">IFERROR(__xludf.DUMMYFUNCTION("""COMPUTED_VALUE"""),"")</f>
        <v/>
      </c>
      <c r="D245" s="134" t="str">
        <f ca="1">IFERROR(__xludf.DUMMYFUNCTION("""COMPUTED_VALUE"""),"")</f>
        <v/>
      </c>
      <c r="E245" s="134" t="str">
        <f ca="1">IFERROR(__xludf.DUMMYFUNCTION("""COMPUTED_VALUE"""),"")</f>
        <v/>
      </c>
      <c r="F245" s="134" t="str">
        <f ca="1">IFERROR(__xludf.DUMMYFUNCTION("""COMPUTED_VALUE"""),"")</f>
        <v/>
      </c>
      <c r="G245" s="134" t="str">
        <f ca="1">IFERROR(__xludf.DUMMYFUNCTION("""COMPUTED_VALUE"""),"")</f>
        <v/>
      </c>
      <c r="H245" s="134" t="str">
        <f ca="1">IFERROR(__xludf.DUMMYFUNCTION("""COMPUTED_VALUE"""),"")</f>
        <v/>
      </c>
      <c r="I245" s="134" t="str">
        <f ca="1">IFERROR(__xludf.DUMMYFUNCTION("""COMPUTED_VALUE"""),"")</f>
        <v/>
      </c>
      <c r="J245" s="134" t="str">
        <f ca="1">IFERROR(__xludf.DUMMYFUNCTION("""COMPUTED_VALUE"""),"")</f>
        <v/>
      </c>
    </row>
    <row r="246" spans="1:10">
      <c r="A246" s="134" t="str">
        <f ca="1">IFERROR(__xludf.DUMMYFUNCTION("""COMPUTED_VALUE"""),"")</f>
        <v/>
      </c>
      <c r="B246" s="134" t="str">
        <f ca="1">IFERROR(__xludf.DUMMYFUNCTION("""COMPUTED_VALUE"""),"")</f>
        <v/>
      </c>
      <c r="C246" s="134" t="str">
        <f ca="1">IFERROR(__xludf.DUMMYFUNCTION("""COMPUTED_VALUE"""),"")</f>
        <v/>
      </c>
      <c r="D246" s="134" t="str">
        <f ca="1">IFERROR(__xludf.DUMMYFUNCTION("""COMPUTED_VALUE"""),"")</f>
        <v/>
      </c>
      <c r="E246" s="134" t="str">
        <f ca="1">IFERROR(__xludf.DUMMYFUNCTION("""COMPUTED_VALUE"""),"")</f>
        <v/>
      </c>
      <c r="F246" s="134" t="str">
        <f ca="1">IFERROR(__xludf.DUMMYFUNCTION("""COMPUTED_VALUE"""),"")</f>
        <v/>
      </c>
      <c r="G246" s="134" t="str">
        <f ca="1">IFERROR(__xludf.DUMMYFUNCTION("""COMPUTED_VALUE"""),"")</f>
        <v/>
      </c>
      <c r="H246" s="134" t="str">
        <f ca="1">IFERROR(__xludf.DUMMYFUNCTION("""COMPUTED_VALUE"""),"")</f>
        <v/>
      </c>
      <c r="I246" s="134" t="str">
        <f ca="1">IFERROR(__xludf.DUMMYFUNCTION("""COMPUTED_VALUE"""),"")</f>
        <v/>
      </c>
      <c r="J246" s="134" t="str">
        <f ca="1">IFERROR(__xludf.DUMMYFUNCTION("""COMPUTED_VALUE"""),"")</f>
        <v/>
      </c>
    </row>
    <row r="247" spans="1:10">
      <c r="A247" s="134" t="str">
        <f ca="1">IFERROR(__xludf.DUMMYFUNCTION("""COMPUTED_VALUE"""),"")</f>
        <v/>
      </c>
      <c r="B247" s="134" t="str">
        <f ca="1">IFERROR(__xludf.DUMMYFUNCTION("""COMPUTED_VALUE"""),"")</f>
        <v/>
      </c>
      <c r="C247" s="134" t="str">
        <f ca="1">IFERROR(__xludf.DUMMYFUNCTION("""COMPUTED_VALUE"""),"")</f>
        <v/>
      </c>
      <c r="D247" s="134" t="str">
        <f ca="1">IFERROR(__xludf.DUMMYFUNCTION("""COMPUTED_VALUE"""),"")</f>
        <v/>
      </c>
      <c r="E247" s="134" t="str">
        <f ca="1">IFERROR(__xludf.DUMMYFUNCTION("""COMPUTED_VALUE"""),"")</f>
        <v/>
      </c>
      <c r="F247" s="134" t="str">
        <f ca="1">IFERROR(__xludf.DUMMYFUNCTION("""COMPUTED_VALUE"""),"")</f>
        <v/>
      </c>
      <c r="G247" s="134" t="str">
        <f ca="1">IFERROR(__xludf.DUMMYFUNCTION("""COMPUTED_VALUE"""),"")</f>
        <v/>
      </c>
      <c r="H247" s="134" t="str">
        <f ca="1">IFERROR(__xludf.DUMMYFUNCTION("""COMPUTED_VALUE"""),"")</f>
        <v/>
      </c>
      <c r="I247" s="134" t="str">
        <f ca="1">IFERROR(__xludf.DUMMYFUNCTION("""COMPUTED_VALUE"""),"")</f>
        <v/>
      </c>
      <c r="J247" s="134" t="str">
        <f ca="1">IFERROR(__xludf.DUMMYFUNCTION("""COMPUTED_VALUE"""),"")</f>
        <v/>
      </c>
    </row>
    <row r="248" spans="1:10">
      <c r="A248" s="134" t="str">
        <f ca="1">IFERROR(__xludf.DUMMYFUNCTION("""COMPUTED_VALUE"""),"")</f>
        <v/>
      </c>
      <c r="B248" s="134" t="str">
        <f ca="1">IFERROR(__xludf.DUMMYFUNCTION("""COMPUTED_VALUE"""),"")</f>
        <v/>
      </c>
      <c r="C248" s="134" t="str">
        <f ca="1">IFERROR(__xludf.DUMMYFUNCTION("""COMPUTED_VALUE"""),"")</f>
        <v/>
      </c>
      <c r="D248" s="134" t="str">
        <f ca="1">IFERROR(__xludf.DUMMYFUNCTION("""COMPUTED_VALUE"""),"")</f>
        <v/>
      </c>
      <c r="E248" s="134" t="str">
        <f ca="1">IFERROR(__xludf.DUMMYFUNCTION("""COMPUTED_VALUE"""),"")</f>
        <v/>
      </c>
      <c r="F248" s="134" t="str">
        <f ca="1">IFERROR(__xludf.DUMMYFUNCTION("""COMPUTED_VALUE"""),"")</f>
        <v/>
      </c>
      <c r="G248" s="134" t="str">
        <f ca="1">IFERROR(__xludf.DUMMYFUNCTION("""COMPUTED_VALUE"""),"")</f>
        <v/>
      </c>
      <c r="H248" s="134" t="str">
        <f ca="1">IFERROR(__xludf.DUMMYFUNCTION("""COMPUTED_VALUE"""),"")</f>
        <v/>
      </c>
      <c r="I248" s="134" t="str">
        <f ca="1">IFERROR(__xludf.DUMMYFUNCTION("""COMPUTED_VALUE"""),"")</f>
        <v/>
      </c>
      <c r="J248" s="134" t="str">
        <f ca="1">IFERROR(__xludf.DUMMYFUNCTION("""COMPUTED_VALUE"""),"")</f>
        <v/>
      </c>
    </row>
    <row r="249" spans="1:10">
      <c r="A249" s="134" t="str">
        <f ca="1">IFERROR(__xludf.DUMMYFUNCTION("""COMPUTED_VALUE"""),"")</f>
        <v/>
      </c>
      <c r="B249" s="134" t="str">
        <f ca="1">IFERROR(__xludf.DUMMYFUNCTION("""COMPUTED_VALUE"""),"")</f>
        <v/>
      </c>
      <c r="C249" s="134" t="str">
        <f ca="1">IFERROR(__xludf.DUMMYFUNCTION("""COMPUTED_VALUE"""),"")</f>
        <v/>
      </c>
      <c r="D249" s="134" t="str">
        <f ca="1">IFERROR(__xludf.DUMMYFUNCTION("""COMPUTED_VALUE"""),"")</f>
        <v/>
      </c>
      <c r="E249" s="134" t="str">
        <f ca="1">IFERROR(__xludf.DUMMYFUNCTION("""COMPUTED_VALUE"""),"")</f>
        <v/>
      </c>
      <c r="F249" s="134" t="str">
        <f ca="1">IFERROR(__xludf.DUMMYFUNCTION("""COMPUTED_VALUE"""),"")</f>
        <v/>
      </c>
      <c r="G249" s="134" t="str">
        <f ca="1">IFERROR(__xludf.DUMMYFUNCTION("""COMPUTED_VALUE"""),"")</f>
        <v/>
      </c>
      <c r="H249" s="134" t="str">
        <f ca="1">IFERROR(__xludf.DUMMYFUNCTION("""COMPUTED_VALUE"""),"")</f>
        <v/>
      </c>
      <c r="I249" s="134" t="str">
        <f ca="1">IFERROR(__xludf.DUMMYFUNCTION("""COMPUTED_VALUE"""),"")</f>
        <v/>
      </c>
      <c r="J249" s="134" t="str">
        <f ca="1">IFERROR(__xludf.DUMMYFUNCTION("""COMPUTED_VALUE"""),"")</f>
        <v/>
      </c>
    </row>
    <row r="250" spans="1:10">
      <c r="A250" s="134" t="str">
        <f ca="1">IFERROR(__xludf.DUMMYFUNCTION("""COMPUTED_VALUE"""),"")</f>
        <v/>
      </c>
      <c r="B250" s="134" t="str">
        <f ca="1">IFERROR(__xludf.DUMMYFUNCTION("""COMPUTED_VALUE"""),"")</f>
        <v/>
      </c>
      <c r="C250" s="134" t="str">
        <f ca="1">IFERROR(__xludf.DUMMYFUNCTION("""COMPUTED_VALUE"""),"")</f>
        <v/>
      </c>
      <c r="D250" s="134" t="str">
        <f ca="1">IFERROR(__xludf.DUMMYFUNCTION("""COMPUTED_VALUE"""),"")</f>
        <v/>
      </c>
      <c r="E250" s="134" t="str">
        <f ca="1">IFERROR(__xludf.DUMMYFUNCTION("""COMPUTED_VALUE"""),"")</f>
        <v/>
      </c>
      <c r="F250" s="134" t="str">
        <f ca="1">IFERROR(__xludf.DUMMYFUNCTION("""COMPUTED_VALUE"""),"")</f>
        <v/>
      </c>
      <c r="G250" s="134" t="str">
        <f ca="1">IFERROR(__xludf.DUMMYFUNCTION("""COMPUTED_VALUE"""),"")</f>
        <v/>
      </c>
      <c r="H250" s="134" t="str">
        <f ca="1">IFERROR(__xludf.DUMMYFUNCTION("""COMPUTED_VALUE"""),"")</f>
        <v/>
      </c>
      <c r="I250" s="134" t="str">
        <f ca="1">IFERROR(__xludf.DUMMYFUNCTION("""COMPUTED_VALUE"""),"")</f>
        <v/>
      </c>
      <c r="J250" s="134" t="str">
        <f ca="1">IFERROR(__xludf.DUMMYFUNCTION("""COMPUTED_VALUE"""),"")</f>
        <v/>
      </c>
    </row>
    <row r="251" spans="1:10">
      <c r="A251" s="134" t="str">
        <f ca="1">IFERROR(__xludf.DUMMYFUNCTION("""COMPUTED_VALUE"""),"")</f>
        <v/>
      </c>
      <c r="B251" s="134" t="str">
        <f ca="1">IFERROR(__xludf.DUMMYFUNCTION("""COMPUTED_VALUE"""),"")</f>
        <v/>
      </c>
      <c r="C251" s="134" t="str">
        <f ca="1">IFERROR(__xludf.DUMMYFUNCTION("""COMPUTED_VALUE"""),"")</f>
        <v/>
      </c>
      <c r="D251" s="134" t="str">
        <f ca="1">IFERROR(__xludf.DUMMYFUNCTION("""COMPUTED_VALUE"""),"")</f>
        <v/>
      </c>
      <c r="E251" s="134" t="str">
        <f ca="1">IFERROR(__xludf.DUMMYFUNCTION("""COMPUTED_VALUE"""),"")</f>
        <v/>
      </c>
      <c r="F251" s="134" t="str">
        <f ca="1">IFERROR(__xludf.DUMMYFUNCTION("""COMPUTED_VALUE"""),"")</f>
        <v/>
      </c>
      <c r="G251" s="134" t="str">
        <f ca="1">IFERROR(__xludf.DUMMYFUNCTION("""COMPUTED_VALUE"""),"")</f>
        <v/>
      </c>
      <c r="H251" s="134" t="str">
        <f ca="1">IFERROR(__xludf.DUMMYFUNCTION("""COMPUTED_VALUE"""),"")</f>
        <v/>
      </c>
      <c r="I251" s="134" t="str">
        <f ca="1">IFERROR(__xludf.DUMMYFUNCTION("""COMPUTED_VALUE"""),"")</f>
        <v/>
      </c>
      <c r="J251" s="134" t="str">
        <f ca="1">IFERROR(__xludf.DUMMYFUNCTION("""COMPUTED_VALUE"""),"")</f>
        <v/>
      </c>
    </row>
    <row r="252" spans="1:10">
      <c r="A252" s="134" t="str">
        <f ca="1">IFERROR(__xludf.DUMMYFUNCTION("""COMPUTED_VALUE"""),"")</f>
        <v/>
      </c>
      <c r="B252" s="134" t="str">
        <f ca="1">IFERROR(__xludf.DUMMYFUNCTION("""COMPUTED_VALUE"""),"")</f>
        <v/>
      </c>
      <c r="C252" s="134" t="str">
        <f ca="1">IFERROR(__xludf.DUMMYFUNCTION("""COMPUTED_VALUE"""),"")</f>
        <v/>
      </c>
      <c r="D252" s="134" t="str">
        <f ca="1">IFERROR(__xludf.DUMMYFUNCTION("""COMPUTED_VALUE"""),"")</f>
        <v/>
      </c>
      <c r="E252" s="134" t="str">
        <f ca="1">IFERROR(__xludf.DUMMYFUNCTION("""COMPUTED_VALUE"""),"")</f>
        <v/>
      </c>
      <c r="F252" s="134" t="str">
        <f ca="1">IFERROR(__xludf.DUMMYFUNCTION("""COMPUTED_VALUE"""),"")</f>
        <v/>
      </c>
      <c r="G252" s="134" t="str">
        <f ca="1">IFERROR(__xludf.DUMMYFUNCTION("""COMPUTED_VALUE"""),"")</f>
        <v/>
      </c>
      <c r="H252" s="134" t="str">
        <f ca="1">IFERROR(__xludf.DUMMYFUNCTION("""COMPUTED_VALUE"""),"")</f>
        <v/>
      </c>
      <c r="I252" s="134" t="str">
        <f ca="1">IFERROR(__xludf.DUMMYFUNCTION("""COMPUTED_VALUE"""),"")</f>
        <v/>
      </c>
      <c r="J252" s="134" t="str">
        <f ca="1">IFERROR(__xludf.DUMMYFUNCTION("""COMPUTED_VALUE"""),"")</f>
        <v/>
      </c>
    </row>
    <row r="253" spans="1:10">
      <c r="A253" s="134" t="str">
        <f ca="1">IFERROR(__xludf.DUMMYFUNCTION("""COMPUTED_VALUE"""),"")</f>
        <v/>
      </c>
      <c r="B253" s="134" t="str">
        <f ca="1">IFERROR(__xludf.DUMMYFUNCTION("""COMPUTED_VALUE"""),"")</f>
        <v/>
      </c>
      <c r="C253" s="134" t="str">
        <f ca="1">IFERROR(__xludf.DUMMYFUNCTION("""COMPUTED_VALUE"""),"")</f>
        <v/>
      </c>
      <c r="D253" s="134" t="str">
        <f ca="1">IFERROR(__xludf.DUMMYFUNCTION("""COMPUTED_VALUE"""),"")</f>
        <v/>
      </c>
      <c r="E253" s="134" t="str">
        <f ca="1">IFERROR(__xludf.DUMMYFUNCTION("""COMPUTED_VALUE"""),"")</f>
        <v/>
      </c>
      <c r="F253" s="134" t="str">
        <f ca="1">IFERROR(__xludf.DUMMYFUNCTION("""COMPUTED_VALUE"""),"")</f>
        <v/>
      </c>
      <c r="G253" s="134" t="str">
        <f ca="1">IFERROR(__xludf.DUMMYFUNCTION("""COMPUTED_VALUE"""),"")</f>
        <v/>
      </c>
      <c r="H253" s="134" t="str">
        <f ca="1">IFERROR(__xludf.DUMMYFUNCTION("""COMPUTED_VALUE"""),"")</f>
        <v/>
      </c>
      <c r="I253" s="134" t="str">
        <f ca="1">IFERROR(__xludf.DUMMYFUNCTION("""COMPUTED_VALUE"""),"")</f>
        <v/>
      </c>
      <c r="J253" s="134" t="str">
        <f ca="1">IFERROR(__xludf.DUMMYFUNCTION("""COMPUTED_VALUE"""),"")</f>
        <v/>
      </c>
    </row>
    <row r="254" spans="1:10">
      <c r="A254" s="134" t="str">
        <f ca="1">IFERROR(__xludf.DUMMYFUNCTION("""COMPUTED_VALUE"""),"")</f>
        <v/>
      </c>
      <c r="B254" s="134" t="str">
        <f ca="1">IFERROR(__xludf.DUMMYFUNCTION("""COMPUTED_VALUE"""),"")</f>
        <v/>
      </c>
      <c r="C254" s="134" t="str">
        <f ca="1">IFERROR(__xludf.DUMMYFUNCTION("""COMPUTED_VALUE"""),"")</f>
        <v/>
      </c>
      <c r="D254" s="134" t="str">
        <f ca="1">IFERROR(__xludf.DUMMYFUNCTION("""COMPUTED_VALUE"""),"")</f>
        <v/>
      </c>
      <c r="E254" s="134" t="str">
        <f ca="1">IFERROR(__xludf.DUMMYFUNCTION("""COMPUTED_VALUE"""),"")</f>
        <v/>
      </c>
      <c r="F254" s="134" t="str">
        <f ca="1">IFERROR(__xludf.DUMMYFUNCTION("""COMPUTED_VALUE"""),"")</f>
        <v/>
      </c>
      <c r="G254" s="134" t="str">
        <f ca="1">IFERROR(__xludf.DUMMYFUNCTION("""COMPUTED_VALUE"""),"")</f>
        <v/>
      </c>
      <c r="H254" s="134" t="str">
        <f ca="1">IFERROR(__xludf.DUMMYFUNCTION("""COMPUTED_VALUE"""),"")</f>
        <v/>
      </c>
      <c r="I254" s="134" t="str">
        <f ca="1">IFERROR(__xludf.DUMMYFUNCTION("""COMPUTED_VALUE"""),"")</f>
        <v/>
      </c>
      <c r="J254" s="134" t="str">
        <f ca="1">IFERROR(__xludf.DUMMYFUNCTION("""COMPUTED_VALUE"""),"")</f>
        <v/>
      </c>
    </row>
    <row r="255" spans="1:10">
      <c r="A255" s="134" t="str">
        <f ca="1">IFERROR(__xludf.DUMMYFUNCTION("""COMPUTED_VALUE"""),"")</f>
        <v/>
      </c>
      <c r="B255" s="134" t="str">
        <f ca="1">IFERROR(__xludf.DUMMYFUNCTION("""COMPUTED_VALUE"""),"")</f>
        <v/>
      </c>
      <c r="C255" s="134" t="str">
        <f ca="1">IFERROR(__xludf.DUMMYFUNCTION("""COMPUTED_VALUE"""),"")</f>
        <v/>
      </c>
      <c r="D255" s="134" t="str">
        <f ca="1">IFERROR(__xludf.DUMMYFUNCTION("""COMPUTED_VALUE"""),"")</f>
        <v/>
      </c>
      <c r="E255" s="134" t="str">
        <f ca="1">IFERROR(__xludf.DUMMYFUNCTION("""COMPUTED_VALUE"""),"")</f>
        <v/>
      </c>
      <c r="F255" s="134" t="str">
        <f ca="1">IFERROR(__xludf.DUMMYFUNCTION("""COMPUTED_VALUE"""),"")</f>
        <v/>
      </c>
      <c r="G255" s="134" t="str">
        <f ca="1">IFERROR(__xludf.DUMMYFUNCTION("""COMPUTED_VALUE"""),"")</f>
        <v/>
      </c>
      <c r="H255" s="134" t="str">
        <f ca="1">IFERROR(__xludf.DUMMYFUNCTION("""COMPUTED_VALUE"""),"")</f>
        <v/>
      </c>
      <c r="I255" s="134" t="str">
        <f ca="1">IFERROR(__xludf.DUMMYFUNCTION("""COMPUTED_VALUE"""),"")</f>
        <v/>
      </c>
      <c r="J255" s="134" t="str">
        <f ca="1">IFERROR(__xludf.DUMMYFUNCTION("""COMPUTED_VALUE"""),"")</f>
        <v/>
      </c>
    </row>
    <row r="256" spans="1:10">
      <c r="A256" s="134" t="str">
        <f ca="1">IFERROR(__xludf.DUMMYFUNCTION("""COMPUTED_VALUE"""),"")</f>
        <v/>
      </c>
      <c r="B256" s="134" t="str">
        <f ca="1">IFERROR(__xludf.DUMMYFUNCTION("""COMPUTED_VALUE"""),"")</f>
        <v/>
      </c>
      <c r="C256" s="134" t="str">
        <f ca="1">IFERROR(__xludf.DUMMYFUNCTION("""COMPUTED_VALUE"""),"")</f>
        <v/>
      </c>
      <c r="D256" s="134" t="str">
        <f ca="1">IFERROR(__xludf.DUMMYFUNCTION("""COMPUTED_VALUE"""),"")</f>
        <v/>
      </c>
      <c r="E256" s="134" t="str">
        <f ca="1">IFERROR(__xludf.DUMMYFUNCTION("""COMPUTED_VALUE"""),"")</f>
        <v/>
      </c>
      <c r="F256" s="134" t="str">
        <f ca="1">IFERROR(__xludf.DUMMYFUNCTION("""COMPUTED_VALUE"""),"")</f>
        <v/>
      </c>
      <c r="G256" s="134" t="str">
        <f ca="1">IFERROR(__xludf.DUMMYFUNCTION("""COMPUTED_VALUE"""),"")</f>
        <v/>
      </c>
      <c r="H256" s="134" t="str">
        <f ca="1">IFERROR(__xludf.DUMMYFUNCTION("""COMPUTED_VALUE"""),"")</f>
        <v/>
      </c>
      <c r="I256" s="134" t="str">
        <f ca="1">IFERROR(__xludf.DUMMYFUNCTION("""COMPUTED_VALUE"""),"")</f>
        <v/>
      </c>
      <c r="J256" s="134" t="str">
        <f ca="1">IFERROR(__xludf.DUMMYFUNCTION("""COMPUTED_VALUE"""),"")</f>
        <v/>
      </c>
    </row>
    <row r="257" spans="1:10">
      <c r="A257" s="134" t="str">
        <f ca="1">IFERROR(__xludf.DUMMYFUNCTION("""COMPUTED_VALUE"""),"")</f>
        <v/>
      </c>
      <c r="B257" s="134" t="str">
        <f ca="1">IFERROR(__xludf.DUMMYFUNCTION("""COMPUTED_VALUE"""),"")</f>
        <v/>
      </c>
      <c r="C257" s="134" t="str">
        <f ca="1">IFERROR(__xludf.DUMMYFUNCTION("""COMPUTED_VALUE"""),"")</f>
        <v/>
      </c>
      <c r="D257" s="134" t="str">
        <f ca="1">IFERROR(__xludf.DUMMYFUNCTION("""COMPUTED_VALUE"""),"")</f>
        <v/>
      </c>
      <c r="E257" s="134" t="str">
        <f ca="1">IFERROR(__xludf.DUMMYFUNCTION("""COMPUTED_VALUE"""),"")</f>
        <v/>
      </c>
      <c r="F257" s="134" t="str">
        <f ca="1">IFERROR(__xludf.DUMMYFUNCTION("""COMPUTED_VALUE"""),"")</f>
        <v/>
      </c>
      <c r="G257" s="134" t="str">
        <f ca="1">IFERROR(__xludf.DUMMYFUNCTION("""COMPUTED_VALUE"""),"")</f>
        <v/>
      </c>
      <c r="H257" s="134" t="str">
        <f ca="1">IFERROR(__xludf.DUMMYFUNCTION("""COMPUTED_VALUE"""),"")</f>
        <v/>
      </c>
      <c r="I257" s="134" t="str">
        <f ca="1">IFERROR(__xludf.DUMMYFUNCTION("""COMPUTED_VALUE"""),"")</f>
        <v/>
      </c>
      <c r="J257" s="134" t="str">
        <f ca="1">IFERROR(__xludf.DUMMYFUNCTION("""COMPUTED_VALUE"""),"")</f>
        <v/>
      </c>
    </row>
    <row r="258" spans="1:10">
      <c r="A258" s="134" t="str">
        <f ca="1">IFERROR(__xludf.DUMMYFUNCTION("""COMPUTED_VALUE"""),"")</f>
        <v/>
      </c>
      <c r="B258" s="134" t="str">
        <f ca="1">IFERROR(__xludf.DUMMYFUNCTION("""COMPUTED_VALUE"""),"")</f>
        <v/>
      </c>
      <c r="C258" s="134" t="str">
        <f ca="1">IFERROR(__xludf.DUMMYFUNCTION("""COMPUTED_VALUE"""),"")</f>
        <v/>
      </c>
      <c r="D258" s="134" t="str">
        <f ca="1">IFERROR(__xludf.DUMMYFUNCTION("""COMPUTED_VALUE"""),"")</f>
        <v/>
      </c>
      <c r="E258" s="134" t="str">
        <f ca="1">IFERROR(__xludf.DUMMYFUNCTION("""COMPUTED_VALUE"""),"")</f>
        <v/>
      </c>
      <c r="F258" s="134" t="str">
        <f ca="1">IFERROR(__xludf.DUMMYFUNCTION("""COMPUTED_VALUE"""),"")</f>
        <v/>
      </c>
      <c r="G258" s="134" t="str">
        <f ca="1">IFERROR(__xludf.DUMMYFUNCTION("""COMPUTED_VALUE"""),"")</f>
        <v/>
      </c>
      <c r="H258" s="134" t="str">
        <f ca="1">IFERROR(__xludf.DUMMYFUNCTION("""COMPUTED_VALUE"""),"")</f>
        <v/>
      </c>
      <c r="I258" s="134" t="str">
        <f ca="1">IFERROR(__xludf.DUMMYFUNCTION("""COMPUTED_VALUE"""),"")</f>
        <v/>
      </c>
      <c r="J258" s="134" t="str">
        <f ca="1">IFERROR(__xludf.DUMMYFUNCTION("""COMPUTED_VALUE"""),"")</f>
        <v/>
      </c>
    </row>
    <row r="259" spans="1:10">
      <c r="A259" s="134" t="str">
        <f ca="1">IFERROR(__xludf.DUMMYFUNCTION("""COMPUTED_VALUE"""),"")</f>
        <v/>
      </c>
      <c r="B259" s="134" t="str">
        <f ca="1">IFERROR(__xludf.DUMMYFUNCTION("""COMPUTED_VALUE"""),"")</f>
        <v/>
      </c>
      <c r="C259" s="134" t="str">
        <f ca="1">IFERROR(__xludf.DUMMYFUNCTION("""COMPUTED_VALUE"""),"")</f>
        <v/>
      </c>
      <c r="D259" s="134" t="str">
        <f ca="1">IFERROR(__xludf.DUMMYFUNCTION("""COMPUTED_VALUE"""),"")</f>
        <v/>
      </c>
      <c r="E259" s="134" t="str">
        <f ca="1">IFERROR(__xludf.DUMMYFUNCTION("""COMPUTED_VALUE"""),"")</f>
        <v/>
      </c>
      <c r="F259" s="134" t="str">
        <f ca="1">IFERROR(__xludf.DUMMYFUNCTION("""COMPUTED_VALUE"""),"")</f>
        <v/>
      </c>
      <c r="G259" s="134" t="str">
        <f ca="1">IFERROR(__xludf.DUMMYFUNCTION("""COMPUTED_VALUE"""),"")</f>
        <v/>
      </c>
      <c r="H259" s="134" t="str">
        <f ca="1">IFERROR(__xludf.DUMMYFUNCTION("""COMPUTED_VALUE"""),"")</f>
        <v/>
      </c>
      <c r="I259" s="134" t="str">
        <f ca="1">IFERROR(__xludf.DUMMYFUNCTION("""COMPUTED_VALUE"""),"")</f>
        <v/>
      </c>
      <c r="J259" s="134" t="str">
        <f ca="1">IFERROR(__xludf.DUMMYFUNCTION("""COMPUTED_VALUE"""),"")</f>
        <v/>
      </c>
    </row>
    <row r="260" spans="1:10">
      <c r="A260" s="134" t="str">
        <f ca="1">IFERROR(__xludf.DUMMYFUNCTION("""COMPUTED_VALUE"""),"")</f>
        <v/>
      </c>
      <c r="B260" s="134" t="str">
        <f ca="1">IFERROR(__xludf.DUMMYFUNCTION("""COMPUTED_VALUE"""),"")</f>
        <v/>
      </c>
      <c r="C260" s="134" t="str">
        <f ca="1">IFERROR(__xludf.DUMMYFUNCTION("""COMPUTED_VALUE"""),"")</f>
        <v/>
      </c>
      <c r="D260" s="134" t="str">
        <f ca="1">IFERROR(__xludf.DUMMYFUNCTION("""COMPUTED_VALUE"""),"")</f>
        <v/>
      </c>
      <c r="E260" s="134" t="str">
        <f ca="1">IFERROR(__xludf.DUMMYFUNCTION("""COMPUTED_VALUE"""),"")</f>
        <v/>
      </c>
      <c r="F260" s="134" t="str">
        <f ca="1">IFERROR(__xludf.DUMMYFUNCTION("""COMPUTED_VALUE"""),"")</f>
        <v/>
      </c>
      <c r="G260" s="134" t="str">
        <f ca="1">IFERROR(__xludf.DUMMYFUNCTION("""COMPUTED_VALUE"""),"")</f>
        <v/>
      </c>
      <c r="H260" s="134" t="str">
        <f ca="1">IFERROR(__xludf.DUMMYFUNCTION("""COMPUTED_VALUE"""),"")</f>
        <v/>
      </c>
      <c r="I260" s="134" t="str">
        <f ca="1">IFERROR(__xludf.DUMMYFUNCTION("""COMPUTED_VALUE"""),"")</f>
        <v/>
      </c>
      <c r="J260" s="134" t="str">
        <f ca="1">IFERROR(__xludf.DUMMYFUNCTION("""COMPUTED_VALUE"""),"")</f>
        <v/>
      </c>
    </row>
    <row r="261" spans="1:10">
      <c r="A261" s="134" t="str">
        <f ca="1">IFERROR(__xludf.DUMMYFUNCTION("""COMPUTED_VALUE"""),"")</f>
        <v/>
      </c>
      <c r="B261" s="134" t="str">
        <f ca="1">IFERROR(__xludf.DUMMYFUNCTION("""COMPUTED_VALUE"""),"")</f>
        <v/>
      </c>
      <c r="C261" s="134" t="str">
        <f ca="1">IFERROR(__xludf.DUMMYFUNCTION("""COMPUTED_VALUE"""),"")</f>
        <v/>
      </c>
      <c r="D261" s="134" t="str">
        <f ca="1">IFERROR(__xludf.DUMMYFUNCTION("""COMPUTED_VALUE"""),"")</f>
        <v/>
      </c>
      <c r="E261" s="134" t="str">
        <f ca="1">IFERROR(__xludf.DUMMYFUNCTION("""COMPUTED_VALUE"""),"")</f>
        <v/>
      </c>
      <c r="F261" s="134" t="str">
        <f ca="1">IFERROR(__xludf.DUMMYFUNCTION("""COMPUTED_VALUE"""),"")</f>
        <v/>
      </c>
      <c r="G261" s="134" t="str">
        <f ca="1">IFERROR(__xludf.DUMMYFUNCTION("""COMPUTED_VALUE"""),"")</f>
        <v/>
      </c>
      <c r="H261" s="134" t="str">
        <f ca="1">IFERROR(__xludf.DUMMYFUNCTION("""COMPUTED_VALUE"""),"")</f>
        <v/>
      </c>
      <c r="I261" s="134" t="str">
        <f ca="1">IFERROR(__xludf.DUMMYFUNCTION("""COMPUTED_VALUE"""),"")</f>
        <v/>
      </c>
      <c r="J261" s="134" t="str">
        <f ca="1">IFERROR(__xludf.DUMMYFUNCTION("""COMPUTED_VALUE"""),"")</f>
        <v/>
      </c>
    </row>
    <row r="262" spans="1:10">
      <c r="A262" s="134" t="str">
        <f ca="1">IFERROR(__xludf.DUMMYFUNCTION("""COMPUTED_VALUE"""),"")</f>
        <v/>
      </c>
      <c r="B262" s="134" t="str">
        <f ca="1">IFERROR(__xludf.DUMMYFUNCTION("""COMPUTED_VALUE"""),"")</f>
        <v/>
      </c>
      <c r="C262" s="134" t="str">
        <f ca="1">IFERROR(__xludf.DUMMYFUNCTION("""COMPUTED_VALUE"""),"")</f>
        <v/>
      </c>
      <c r="D262" s="134" t="str">
        <f ca="1">IFERROR(__xludf.DUMMYFUNCTION("""COMPUTED_VALUE"""),"")</f>
        <v/>
      </c>
      <c r="E262" s="134" t="str">
        <f ca="1">IFERROR(__xludf.DUMMYFUNCTION("""COMPUTED_VALUE"""),"")</f>
        <v/>
      </c>
      <c r="F262" s="134" t="str">
        <f ca="1">IFERROR(__xludf.DUMMYFUNCTION("""COMPUTED_VALUE"""),"")</f>
        <v/>
      </c>
      <c r="G262" s="134" t="str">
        <f ca="1">IFERROR(__xludf.DUMMYFUNCTION("""COMPUTED_VALUE"""),"")</f>
        <v/>
      </c>
      <c r="H262" s="134" t="str">
        <f ca="1">IFERROR(__xludf.DUMMYFUNCTION("""COMPUTED_VALUE"""),"")</f>
        <v/>
      </c>
      <c r="I262" s="134" t="str">
        <f ca="1">IFERROR(__xludf.DUMMYFUNCTION("""COMPUTED_VALUE"""),"")</f>
        <v/>
      </c>
      <c r="J262" s="134" t="str">
        <f ca="1">IFERROR(__xludf.DUMMYFUNCTION("""COMPUTED_VALUE"""),"")</f>
        <v/>
      </c>
    </row>
    <row r="263" spans="1:10">
      <c r="A263" s="134" t="str">
        <f ca="1">IFERROR(__xludf.DUMMYFUNCTION("""COMPUTED_VALUE"""),"")</f>
        <v/>
      </c>
      <c r="B263" s="134" t="str">
        <f ca="1">IFERROR(__xludf.DUMMYFUNCTION("""COMPUTED_VALUE"""),"")</f>
        <v/>
      </c>
      <c r="C263" s="134" t="str">
        <f ca="1">IFERROR(__xludf.DUMMYFUNCTION("""COMPUTED_VALUE"""),"")</f>
        <v/>
      </c>
      <c r="D263" s="134" t="str">
        <f ca="1">IFERROR(__xludf.DUMMYFUNCTION("""COMPUTED_VALUE"""),"")</f>
        <v/>
      </c>
      <c r="E263" s="134" t="str">
        <f ca="1">IFERROR(__xludf.DUMMYFUNCTION("""COMPUTED_VALUE"""),"")</f>
        <v/>
      </c>
      <c r="F263" s="134" t="str">
        <f ca="1">IFERROR(__xludf.DUMMYFUNCTION("""COMPUTED_VALUE"""),"")</f>
        <v/>
      </c>
      <c r="G263" s="134" t="str">
        <f ca="1">IFERROR(__xludf.DUMMYFUNCTION("""COMPUTED_VALUE"""),"")</f>
        <v/>
      </c>
      <c r="H263" s="134" t="str">
        <f ca="1">IFERROR(__xludf.DUMMYFUNCTION("""COMPUTED_VALUE"""),"")</f>
        <v/>
      </c>
      <c r="I263" s="134" t="str">
        <f ca="1">IFERROR(__xludf.DUMMYFUNCTION("""COMPUTED_VALUE"""),"")</f>
        <v/>
      </c>
      <c r="J263" s="134" t="str">
        <f ca="1">IFERROR(__xludf.DUMMYFUNCTION("""COMPUTED_VALUE"""),"")</f>
        <v/>
      </c>
    </row>
    <row r="264" spans="1:10">
      <c r="A264" s="134" t="str">
        <f ca="1">IFERROR(__xludf.DUMMYFUNCTION("""COMPUTED_VALUE"""),"")</f>
        <v/>
      </c>
      <c r="B264" s="134" t="str">
        <f ca="1">IFERROR(__xludf.DUMMYFUNCTION("""COMPUTED_VALUE"""),"")</f>
        <v/>
      </c>
      <c r="C264" s="134" t="str">
        <f ca="1">IFERROR(__xludf.DUMMYFUNCTION("""COMPUTED_VALUE"""),"")</f>
        <v/>
      </c>
      <c r="D264" s="134" t="str">
        <f ca="1">IFERROR(__xludf.DUMMYFUNCTION("""COMPUTED_VALUE"""),"")</f>
        <v/>
      </c>
      <c r="E264" s="134" t="str">
        <f ca="1">IFERROR(__xludf.DUMMYFUNCTION("""COMPUTED_VALUE"""),"")</f>
        <v/>
      </c>
      <c r="F264" s="134" t="str">
        <f ca="1">IFERROR(__xludf.DUMMYFUNCTION("""COMPUTED_VALUE"""),"")</f>
        <v/>
      </c>
      <c r="G264" s="134" t="str">
        <f ca="1">IFERROR(__xludf.DUMMYFUNCTION("""COMPUTED_VALUE"""),"")</f>
        <v/>
      </c>
      <c r="H264" s="134" t="str">
        <f ca="1">IFERROR(__xludf.DUMMYFUNCTION("""COMPUTED_VALUE"""),"")</f>
        <v/>
      </c>
      <c r="I264" s="134" t="str">
        <f ca="1">IFERROR(__xludf.DUMMYFUNCTION("""COMPUTED_VALUE"""),"")</f>
        <v/>
      </c>
      <c r="J264" s="134" t="str">
        <f ca="1">IFERROR(__xludf.DUMMYFUNCTION("""COMPUTED_VALUE"""),"")</f>
        <v/>
      </c>
    </row>
    <row r="265" spans="1:10">
      <c r="A265" s="134" t="str">
        <f ca="1">IFERROR(__xludf.DUMMYFUNCTION("""COMPUTED_VALUE"""),"")</f>
        <v/>
      </c>
      <c r="B265" s="134" t="str">
        <f ca="1">IFERROR(__xludf.DUMMYFUNCTION("""COMPUTED_VALUE"""),"")</f>
        <v/>
      </c>
      <c r="C265" s="134" t="str">
        <f ca="1">IFERROR(__xludf.DUMMYFUNCTION("""COMPUTED_VALUE"""),"")</f>
        <v/>
      </c>
      <c r="D265" s="134" t="str">
        <f ca="1">IFERROR(__xludf.DUMMYFUNCTION("""COMPUTED_VALUE"""),"")</f>
        <v/>
      </c>
      <c r="E265" s="134" t="str">
        <f ca="1">IFERROR(__xludf.DUMMYFUNCTION("""COMPUTED_VALUE"""),"")</f>
        <v/>
      </c>
      <c r="F265" s="134" t="str">
        <f ca="1">IFERROR(__xludf.DUMMYFUNCTION("""COMPUTED_VALUE"""),"")</f>
        <v/>
      </c>
      <c r="G265" s="134" t="str">
        <f ca="1">IFERROR(__xludf.DUMMYFUNCTION("""COMPUTED_VALUE"""),"")</f>
        <v/>
      </c>
      <c r="H265" s="134" t="str">
        <f ca="1">IFERROR(__xludf.DUMMYFUNCTION("""COMPUTED_VALUE"""),"")</f>
        <v/>
      </c>
      <c r="I265" s="134" t="str">
        <f ca="1">IFERROR(__xludf.DUMMYFUNCTION("""COMPUTED_VALUE"""),"")</f>
        <v/>
      </c>
      <c r="J265" s="134" t="str">
        <f ca="1">IFERROR(__xludf.DUMMYFUNCTION("""COMPUTED_VALUE"""),"")</f>
        <v/>
      </c>
    </row>
    <row r="266" spans="1:10">
      <c r="A266" s="134" t="str">
        <f ca="1">IFERROR(__xludf.DUMMYFUNCTION("""COMPUTED_VALUE"""),"")</f>
        <v/>
      </c>
      <c r="B266" s="134" t="str">
        <f ca="1">IFERROR(__xludf.DUMMYFUNCTION("""COMPUTED_VALUE"""),"")</f>
        <v/>
      </c>
      <c r="C266" s="134" t="str">
        <f ca="1">IFERROR(__xludf.DUMMYFUNCTION("""COMPUTED_VALUE"""),"")</f>
        <v/>
      </c>
      <c r="D266" s="134" t="str">
        <f ca="1">IFERROR(__xludf.DUMMYFUNCTION("""COMPUTED_VALUE"""),"")</f>
        <v/>
      </c>
      <c r="E266" s="134" t="str">
        <f ca="1">IFERROR(__xludf.DUMMYFUNCTION("""COMPUTED_VALUE"""),"")</f>
        <v/>
      </c>
      <c r="F266" s="134" t="str">
        <f ca="1">IFERROR(__xludf.DUMMYFUNCTION("""COMPUTED_VALUE"""),"")</f>
        <v/>
      </c>
      <c r="G266" s="134" t="str">
        <f ca="1">IFERROR(__xludf.DUMMYFUNCTION("""COMPUTED_VALUE"""),"")</f>
        <v/>
      </c>
      <c r="H266" s="134" t="str">
        <f ca="1">IFERROR(__xludf.DUMMYFUNCTION("""COMPUTED_VALUE"""),"")</f>
        <v/>
      </c>
      <c r="I266" s="134" t="str">
        <f ca="1">IFERROR(__xludf.DUMMYFUNCTION("""COMPUTED_VALUE"""),"")</f>
        <v/>
      </c>
      <c r="J266" s="134" t="str">
        <f ca="1">IFERROR(__xludf.DUMMYFUNCTION("""COMPUTED_VALUE"""),"")</f>
        <v/>
      </c>
    </row>
    <row r="267" spans="1:10">
      <c r="A267" s="134" t="str">
        <f ca="1">IFERROR(__xludf.DUMMYFUNCTION("""COMPUTED_VALUE"""),"")</f>
        <v/>
      </c>
      <c r="B267" s="134" t="str">
        <f ca="1">IFERROR(__xludf.DUMMYFUNCTION("""COMPUTED_VALUE"""),"")</f>
        <v/>
      </c>
      <c r="C267" s="134" t="str">
        <f ca="1">IFERROR(__xludf.DUMMYFUNCTION("""COMPUTED_VALUE"""),"")</f>
        <v/>
      </c>
      <c r="D267" s="134" t="str">
        <f ca="1">IFERROR(__xludf.DUMMYFUNCTION("""COMPUTED_VALUE"""),"")</f>
        <v/>
      </c>
      <c r="E267" s="134" t="str">
        <f ca="1">IFERROR(__xludf.DUMMYFUNCTION("""COMPUTED_VALUE"""),"")</f>
        <v/>
      </c>
      <c r="F267" s="134" t="str">
        <f ca="1">IFERROR(__xludf.DUMMYFUNCTION("""COMPUTED_VALUE"""),"")</f>
        <v/>
      </c>
      <c r="G267" s="134" t="str">
        <f ca="1">IFERROR(__xludf.DUMMYFUNCTION("""COMPUTED_VALUE"""),"")</f>
        <v/>
      </c>
      <c r="H267" s="134" t="str">
        <f ca="1">IFERROR(__xludf.DUMMYFUNCTION("""COMPUTED_VALUE"""),"")</f>
        <v/>
      </c>
      <c r="I267" s="134" t="str">
        <f ca="1">IFERROR(__xludf.DUMMYFUNCTION("""COMPUTED_VALUE"""),"")</f>
        <v/>
      </c>
      <c r="J267" s="134" t="str">
        <f ca="1">IFERROR(__xludf.DUMMYFUNCTION("""COMPUTED_VALUE"""),"")</f>
        <v/>
      </c>
    </row>
    <row r="268" spans="1:10">
      <c r="A268" s="134" t="str">
        <f ca="1">IFERROR(__xludf.DUMMYFUNCTION("""COMPUTED_VALUE"""),"")</f>
        <v/>
      </c>
      <c r="B268" s="134" t="str">
        <f ca="1">IFERROR(__xludf.DUMMYFUNCTION("""COMPUTED_VALUE"""),"")</f>
        <v/>
      </c>
      <c r="C268" s="134" t="str">
        <f ca="1">IFERROR(__xludf.DUMMYFUNCTION("""COMPUTED_VALUE"""),"")</f>
        <v/>
      </c>
      <c r="D268" s="134" t="str">
        <f ca="1">IFERROR(__xludf.DUMMYFUNCTION("""COMPUTED_VALUE"""),"")</f>
        <v/>
      </c>
      <c r="E268" s="134" t="str">
        <f ca="1">IFERROR(__xludf.DUMMYFUNCTION("""COMPUTED_VALUE"""),"")</f>
        <v/>
      </c>
      <c r="F268" s="134" t="str">
        <f ca="1">IFERROR(__xludf.DUMMYFUNCTION("""COMPUTED_VALUE"""),"")</f>
        <v/>
      </c>
      <c r="G268" s="134" t="str">
        <f ca="1">IFERROR(__xludf.DUMMYFUNCTION("""COMPUTED_VALUE"""),"")</f>
        <v/>
      </c>
      <c r="H268" s="134" t="str">
        <f ca="1">IFERROR(__xludf.DUMMYFUNCTION("""COMPUTED_VALUE"""),"")</f>
        <v/>
      </c>
      <c r="I268" s="134" t="str">
        <f ca="1">IFERROR(__xludf.DUMMYFUNCTION("""COMPUTED_VALUE"""),"")</f>
        <v/>
      </c>
      <c r="J268" s="134" t="str">
        <f ca="1">IFERROR(__xludf.DUMMYFUNCTION("""COMPUTED_VALUE"""),"")</f>
        <v/>
      </c>
    </row>
    <row r="269" spans="1:10">
      <c r="A269" s="134" t="str">
        <f ca="1">IFERROR(__xludf.DUMMYFUNCTION("""COMPUTED_VALUE"""),"")</f>
        <v/>
      </c>
      <c r="B269" s="134" t="str">
        <f ca="1">IFERROR(__xludf.DUMMYFUNCTION("""COMPUTED_VALUE"""),"")</f>
        <v/>
      </c>
      <c r="C269" s="134" t="str">
        <f ca="1">IFERROR(__xludf.DUMMYFUNCTION("""COMPUTED_VALUE"""),"")</f>
        <v/>
      </c>
      <c r="D269" s="134" t="str">
        <f ca="1">IFERROR(__xludf.DUMMYFUNCTION("""COMPUTED_VALUE"""),"")</f>
        <v/>
      </c>
      <c r="E269" s="134" t="str">
        <f ca="1">IFERROR(__xludf.DUMMYFUNCTION("""COMPUTED_VALUE"""),"")</f>
        <v/>
      </c>
      <c r="F269" s="134" t="str">
        <f ca="1">IFERROR(__xludf.DUMMYFUNCTION("""COMPUTED_VALUE"""),"")</f>
        <v/>
      </c>
      <c r="G269" s="134" t="str">
        <f ca="1">IFERROR(__xludf.DUMMYFUNCTION("""COMPUTED_VALUE"""),"")</f>
        <v/>
      </c>
      <c r="H269" s="134" t="str">
        <f ca="1">IFERROR(__xludf.DUMMYFUNCTION("""COMPUTED_VALUE"""),"")</f>
        <v/>
      </c>
      <c r="I269" s="134" t="str">
        <f ca="1">IFERROR(__xludf.DUMMYFUNCTION("""COMPUTED_VALUE"""),"")</f>
        <v/>
      </c>
      <c r="J269" s="134" t="str">
        <f ca="1">IFERROR(__xludf.DUMMYFUNCTION("""COMPUTED_VALUE"""),"")</f>
        <v/>
      </c>
    </row>
    <row r="270" spans="1:10">
      <c r="A270" s="134" t="str">
        <f ca="1">IFERROR(__xludf.DUMMYFUNCTION("""COMPUTED_VALUE"""),"")</f>
        <v/>
      </c>
      <c r="B270" s="134" t="str">
        <f ca="1">IFERROR(__xludf.DUMMYFUNCTION("""COMPUTED_VALUE"""),"")</f>
        <v/>
      </c>
      <c r="C270" s="134" t="str">
        <f ca="1">IFERROR(__xludf.DUMMYFUNCTION("""COMPUTED_VALUE"""),"")</f>
        <v/>
      </c>
      <c r="D270" s="134" t="str">
        <f ca="1">IFERROR(__xludf.DUMMYFUNCTION("""COMPUTED_VALUE"""),"")</f>
        <v/>
      </c>
      <c r="E270" s="134" t="str">
        <f ca="1">IFERROR(__xludf.DUMMYFUNCTION("""COMPUTED_VALUE"""),"")</f>
        <v/>
      </c>
      <c r="F270" s="134" t="str">
        <f ca="1">IFERROR(__xludf.DUMMYFUNCTION("""COMPUTED_VALUE"""),"")</f>
        <v/>
      </c>
      <c r="G270" s="134" t="str">
        <f ca="1">IFERROR(__xludf.DUMMYFUNCTION("""COMPUTED_VALUE"""),"")</f>
        <v/>
      </c>
      <c r="H270" s="134" t="str">
        <f ca="1">IFERROR(__xludf.DUMMYFUNCTION("""COMPUTED_VALUE"""),"")</f>
        <v/>
      </c>
      <c r="I270" s="134" t="str">
        <f ca="1">IFERROR(__xludf.DUMMYFUNCTION("""COMPUTED_VALUE"""),"")</f>
        <v/>
      </c>
      <c r="J270" s="134" t="str">
        <f ca="1">IFERROR(__xludf.DUMMYFUNCTION("""COMPUTED_VALUE"""),"")</f>
        <v/>
      </c>
    </row>
    <row r="271" spans="1:10">
      <c r="A271" s="134" t="str">
        <f ca="1">IFERROR(__xludf.DUMMYFUNCTION("""COMPUTED_VALUE"""),"")</f>
        <v/>
      </c>
      <c r="B271" s="134" t="str">
        <f ca="1">IFERROR(__xludf.DUMMYFUNCTION("""COMPUTED_VALUE"""),"")</f>
        <v/>
      </c>
      <c r="C271" s="134" t="str">
        <f ca="1">IFERROR(__xludf.DUMMYFUNCTION("""COMPUTED_VALUE"""),"")</f>
        <v/>
      </c>
      <c r="D271" s="134" t="str">
        <f ca="1">IFERROR(__xludf.DUMMYFUNCTION("""COMPUTED_VALUE"""),"")</f>
        <v/>
      </c>
      <c r="E271" s="134" t="str">
        <f ca="1">IFERROR(__xludf.DUMMYFUNCTION("""COMPUTED_VALUE"""),"")</f>
        <v/>
      </c>
      <c r="F271" s="134" t="str">
        <f ca="1">IFERROR(__xludf.DUMMYFUNCTION("""COMPUTED_VALUE"""),"")</f>
        <v/>
      </c>
      <c r="G271" s="134" t="str">
        <f ca="1">IFERROR(__xludf.DUMMYFUNCTION("""COMPUTED_VALUE"""),"")</f>
        <v/>
      </c>
      <c r="H271" s="134" t="str">
        <f ca="1">IFERROR(__xludf.DUMMYFUNCTION("""COMPUTED_VALUE"""),"")</f>
        <v/>
      </c>
      <c r="I271" s="134" t="str">
        <f ca="1">IFERROR(__xludf.DUMMYFUNCTION("""COMPUTED_VALUE"""),"")</f>
        <v/>
      </c>
      <c r="J271" s="134" t="str">
        <f ca="1">IFERROR(__xludf.DUMMYFUNCTION("""COMPUTED_VALUE"""),"")</f>
        <v/>
      </c>
    </row>
    <row r="272" spans="1:10">
      <c r="A272" s="134" t="str">
        <f ca="1">IFERROR(__xludf.DUMMYFUNCTION("""COMPUTED_VALUE"""),"")</f>
        <v/>
      </c>
      <c r="B272" s="134" t="str">
        <f ca="1">IFERROR(__xludf.DUMMYFUNCTION("""COMPUTED_VALUE"""),"")</f>
        <v/>
      </c>
      <c r="C272" s="134" t="str">
        <f ca="1">IFERROR(__xludf.DUMMYFUNCTION("""COMPUTED_VALUE"""),"")</f>
        <v/>
      </c>
      <c r="D272" s="134" t="str">
        <f ca="1">IFERROR(__xludf.DUMMYFUNCTION("""COMPUTED_VALUE"""),"")</f>
        <v/>
      </c>
      <c r="E272" s="134" t="str">
        <f ca="1">IFERROR(__xludf.DUMMYFUNCTION("""COMPUTED_VALUE"""),"")</f>
        <v/>
      </c>
      <c r="F272" s="134" t="str">
        <f ca="1">IFERROR(__xludf.DUMMYFUNCTION("""COMPUTED_VALUE"""),"")</f>
        <v/>
      </c>
      <c r="G272" s="134" t="str">
        <f ca="1">IFERROR(__xludf.DUMMYFUNCTION("""COMPUTED_VALUE"""),"")</f>
        <v/>
      </c>
      <c r="H272" s="134" t="str">
        <f ca="1">IFERROR(__xludf.DUMMYFUNCTION("""COMPUTED_VALUE"""),"")</f>
        <v/>
      </c>
      <c r="I272" s="134" t="str">
        <f ca="1">IFERROR(__xludf.DUMMYFUNCTION("""COMPUTED_VALUE"""),"")</f>
        <v/>
      </c>
      <c r="J272" s="134" t="str">
        <f ca="1">IFERROR(__xludf.DUMMYFUNCTION("""COMPUTED_VALUE"""),"")</f>
        <v/>
      </c>
    </row>
    <row r="273" spans="1:10">
      <c r="A273" s="134" t="str">
        <f ca="1">IFERROR(__xludf.DUMMYFUNCTION("""COMPUTED_VALUE"""),"")</f>
        <v/>
      </c>
      <c r="B273" s="134" t="str">
        <f ca="1">IFERROR(__xludf.DUMMYFUNCTION("""COMPUTED_VALUE"""),"")</f>
        <v/>
      </c>
      <c r="C273" s="134" t="str">
        <f ca="1">IFERROR(__xludf.DUMMYFUNCTION("""COMPUTED_VALUE"""),"")</f>
        <v/>
      </c>
      <c r="D273" s="134" t="str">
        <f ca="1">IFERROR(__xludf.DUMMYFUNCTION("""COMPUTED_VALUE"""),"")</f>
        <v/>
      </c>
      <c r="E273" s="134" t="str">
        <f ca="1">IFERROR(__xludf.DUMMYFUNCTION("""COMPUTED_VALUE"""),"")</f>
        <v/>
      </c>
      <c r="F273" s="134" t="str">
        <f ca="1">IFERROR(__xludf.DUMMYFUNCTION("""COMPUTED_VALUE"""),"")</f>
        <v/>
      </c>
      <c r="G273" s="134" t="str">
        <f ca="1">IFERROR(__xludf.DUMMYFUNCTION("""COMPUTED_VALUE"""),"")</f>
        <v/>
      </c>
      <c r="H273" s="134" t="str">
        <f ca="1">IFERROR(__xludf.DUMMYFUNCTION("""COMPUTED_VALUE"""),"")</f>
        <v/>
      </c>
      <c r="I273" s="134" t="str">
        <f ca="1">IFERROR(__xludf.DUMMYFUNCTION("""COMPUTED_VALUE"""),"")</f>
        <v/>
      </c>
      <c r="J273" s="134" t="str">
        <f ca="1">IFERROR(__xludf.DUMMYFUNCTION("""COMPUTED_VALUE"""),"")</f>
        <v/>
      </c>
    </row>
    <row r="274" spans="1:10">
      <c r="A274" s="134" t="str">
        <f ca="1">IFERROR(__xludf.DUMMYFUNCTION("""COMPUTED_VALUE"""),"")</f>
        <v/>
      </c>
      <c r="B274" s="134" t="str">
        <f ca="1">IFERROR(__xludf.DUMMYFUNCTION("""COMPUTED_VALUE"""),"")</f>
        <v/>
      </c>
      <c r="C274" s="134" t="str">
        <f ca="1">IFERROR(__xludf.DUMMYFUNCTION("""COMPUTED_VALUE"""),"")</f>
        <v/>
      </c>
      <c r="D274" s="134" t="str">
        <f ca="1">IFERROR(__xludf.DUMMYFUNCTION("""COMPUTED_VALUE"""),"")</f>
        <v/>
      </c>
      <c r="E274" s="134" t="str">
        <f ca="1">IFERROR(__xludf.DUMMYFUNCTION("""COMPUTED_VALUE"""),"")</f>
        <v/>
      </c>
      <c r="F274" s="134" t="str">
        <f ca="1">IFERROR(__xludf.DUMMYFUNCTION("""COMPUTED_VALUE"""),"")</f>
        <v/>
      </c>
      <c r="G274" s="134" t="str">
        <f ca="1">IFERROR(__xludf.DUMMYFUNCTION("""COMPUTED_VALUE"""),"")</f>
        <v/>
      </c>
      <c r="H274" s="134" t="str">
        <f ca="1">IFERROR(__xludf.DUMMYFUNCTION("""COMPUTED_VALUE"""),"")</f>
        <v/>
      </c>
      <c r="I274" s="134" t="str">
        <f ca="1">IFERROR(__xludf.DUMMYFUNCTION("""COMPUTED_VALUE"""),"")</f>
        <v/>
      </c>
      <c r="J274" s="134" t="str">
        <f ca="1">IFERROR(__xludf.DUMMYFUNCTION("""COMPUTED_VALUE"""),"")</f>
        <v/>
      </c>
    </row>
    <row r="275" spans="1:10">
      <c r="A275" s="134" t="str">
        <f ca="1">IFERROR(__xludf.DUMMYFUNCTION("""COMPUTED_VALUE"""),"")</f>
        <v/>
      </c>
      <c r="B275" s="134" t="str">
        <f ca="1">IFERROR(__xludf.DUMMYFUNCTION("""COMPUTED_VALUE"""),"")</f>
        <v/>
      </c>
      <c r="C275" s="134" t="str">
        <f ca="1">IFERROR(__xludf.DUMMYFUNCTION("""COMPUTED_VALUE"""),"")</f>
        <v/>
      </c>
      <c r="D275" s="134" t="str">
        <f ca="1">IFERROR(__xludf.DUMMYFUNCTION("""COMPUTED_VALUE"""),"")</f>
        <v/>
      </c>
      <c r="E275" s="134" t="str">
        <f ca="1">IFERROR(__xludf.DUMMYFUNCTION("""COMPUTED_VALUE"""),"")</f>
        <v/>
      </c>
      <c r="F275" s="134" t="str">
        <f ca="1">IFERROR(__xludf.DUMMYFUNCTION("""COMPUTED_VALUE"""),"")</f>
        <v/>
      </c>
      <c r="G275" s="134" t="str">
        <f ca="1">IFERROR(__xludf.DUMMYFUNCTION("""COMPUTED_VALUE"""),"")</f>
        <v/>
      </c>
      <c r="H275" s="134" t="str">
        <f ca="1">IFERROR(__xludf.DUMMYFUNCTION("""COMPUTED_VALUE"""),"")</f>
        <v/>
      </c>
      <c r="I275" s="134" t="str">
        <f ca="1">IFERROR(__xludf.DUMMYFUNCTION("""COMPUTED_VALUE"""),"")</f>
        <v/>
      </c>
      <c r="J275" s="134" t="str">
        <f ca="1">IFERROR(__xludf.DUMMYFUNCTION("""COMPUTED_VALUE"""),"")</f>
        <v/>
      </c>
    </row>
    <row r="276" spans="1:10">
      <c r="A276" s="134" t="str">
        <f ca="1">IFERROR(__xludf.DUMMYFUNCTION("""COMPUTED_VALUE"""),"")</f>
        <v/>
      </c>
      <c r="B276" s="134" t="str">
        <f ca="1">IFERROR(__xludf.DUMMYFUNCTION("""COMPUTED_VALUE"""),"")</f>
        <v/>
      </c>
      <c r="C276" s="134" t="str">
        <f ca="1">IFERROR(__xludf.DUMMYFUNCTION("""COMPUTED_VALUE"""),"")</f>
        <v/>
      </c>
      <c r="D276" s="134" t="str">
        <f ca="1">IFERROR(__xludf.DUMMYFUNCTION("""COMPUTED_VALUE"""),"")</f>
        <v/>
      </c>
      <c r="E276" s="134" t="str">
        <f ca="1">IFERROR(__xludf.DUMMYFUNCTION("""COMPUTED_VALUE"""),"")</f>
        <v/>
      </c>
      <c r="F276" s="134" t="str">
        <f ca="1">IFERROR(__xludf.DUMMYFUNCTION("""COMPUTED_VALUE"""),"")</f>
        <v/>
      </c>
      <c r="G276" s="134" t="str">
        <f ca="1">IFERROR(__xludf.DUMMYFUNCTION("""COMPUTED_VALUE"""),"")</f>
        <v/>
      </c>
      <c r="H276" s="134" t="str">
        <f ca="1">IFERROR(__xludf.DUMMYFUNCTION("""COMPUTED_VALUE"""),"")</f>
        <v/>
      </c>
      <c r="I276" s="134" t="str">
        <f ca="1">IFERROR(__xludf.DUMMYFUNCTION("""COMPUTED_VALUE"""),"")</f>
        <v/>
      </c>
      <c r="J276" s="134" t="str">
        <f ca="1">IFERROR(__xludf.DUMMYFUNCTION("""COMPUTED_VALUE"""),"")</f>
        <v/>
      </c>
    </row>
    <row r="277" spans="1:10">
      <c r="A277" s="134" t="str">
        <f ca="1">IFERROR(__xludf.DUMMYFUNCTION("""COMPUTED_VALUE"""),"")</f>
        <v/>
      </c>
      <c r="B277" s="134" t="str">
        <f ca="1">IFERROR(__xludf.DUMMYFUNCTION("""COMPUTED_VALUE"""),"")</f>
        <v/>
      </c>
      <c r="C277" s="134" t="str">
        <f ca="1">IFERROR(__xludf.DUMMYFUNCTION("""COMPUTED_VALUE"""),"")</f>
        <v/>
      </c>
      <c r="D277" s="134" t="str">
        <f ca="1">IFERROR(__xludf.DUMMYFUNCTION("""COMPUTED_VALUE"""),"")</f>
        <v/>
      </c>
      <c r="E277" s="134" t="str">
        <f ca="1">IFERROR(__xludf.DUMMYFUNCTION("""COMPUTED_VALUE"""),"")</f>
        <v/>
      </c>
      <c r="F277" s="134" t="str">
        <f ca="1">IFERROR(__xludf.DUMMYFUNCTION("""COMPUTED_VALUE"""),"")</f>
        <v/>
      </c>
      <c r="G277" s="134" t="str">
        <f ca="1">IFERROR(__xludf.DUMMYFUNCTION("""COMPUTED_VALUE"""),"")</f>
        <v/>
      </c>
      <c r="H277" s="134" t="str">
        <f ca="1">IFERROR(__xludf.DUMMYFUNCTION("""COMPUTED_VALUE"""),"")</f>
        <v/>
      </c>
      <c r="I277" s="134" t="str">
        <f ca="1">IFERROR(__xludf.DUMMYFUNCTION("""COMPUTED_VALUE"""),"")</f>
        <v/>
      </c>
      <c r="J277" s="134" t="str">
        <f ca="1">IFERROR(__xludf.DUMMYFUNCTION("""COMPUTED_VALUE"""),"")</f>
        <v/>
      </c>
    </row>
    <row r="278" spans="1:10">
      <c r="A278" s="134" t="str">
        <f ca="1">IFERROR(__xludf.DUMMYFUNCTION("""COMPUTED_VALUE"""),"")</f>
        <v/>
      </c>
      <c r="B278" s="134" t="str">
        <f ca="1">IFERROR(__xludf.DUMMYFUNCTION("""COMPUTED_VALUE"""),"")</f>
        <v/>
      </c>
      <c r="C278" s="134" t="str">
        <f ca="1">IFERROR(__xludf.DUMMYFUNCTION("""COMPUTED_VALUE"""),"")</f>
        <v/>
      </c>
      <c r="D278" s="134" t="str">
        <f ca="1">IFERROR(__xludf.DUMMYFUNCTION("""COMPUTED_VALUE"""),"")</f>
        <v/>
      </c>
      <c r="E278" s="134" t="str">
        <f ca="1">IFERROR(__xludf.DUMMYFUNCTION("""COMPUTED_VALUE"""),"")</f>
        <v/>
      </c>
      <c r="F278" s="134" t="str">
        <f ca="1">IFERROR(__xludf.DUMMYFUNCTION("""COMPUTED_VALUE"""),"")</f>
        <v/>
      </c>
      <c r="G278" s="134" t="str">
        <f ca="1">IFERROR(__xludf.DUMMYFUNCTION("""COMPUTED_VALUE"""),"")</f>
        <v/>
      </c>
      <c r="H278" s="134" t="str">
        <f ca="1">IFERROR(__xludf.DUMMYFUNCTION("""COMPUTED_VALUE"""),"")</f>
        <v/>
      </c>
      <c r="I278" s="134" t="str">
        <f ca="1">IFERROR(__xludf.DUMMYFUNCTION("""COMPUTED_VALUE"""),"")</f>
        <v/>
      </c>
      <c r="J278" s="134" t="str">
        <f ca="1">IFERROR(__xludf.DUMMYFUNCTION("""COMPUTED_VALUE"""),"")</f>
        <v/>
      </c>
    </row>
    <row r="279" spans="1:10">
      <c r="A279" s="134" t="str">
        <f ca="1">IFERROR(__xludf.DUMMYFUNCTION("""COMPUTED_VALUE"""),"")</f>
        <v/>
      </c>
      <c r="B279" s="134" t="str">
        <f ca="1">IFERROR(__xludf.DUMMYFUNCTION("""COMPUTED_VALUE"""),"")</f>
        <v/>
      </c>
      <c r="C279" s="134" t="str">
        <f ca="1">IFERROR(__xludf.DUMMYFUNCTION("""COMPUTED_VALUE"""),"")</f>
        <v/>
      </c>
      <c r="D279" s="134" t="str">
        <f ca="1">IFERROR(__xludf.DUMMYFUNCTION("""COMPUTED_VALUE"""),"")</f>
        <v/>
      </c>
      <c r="E279" s="134" t="str">
        <f ca="1">IFERROR(__xludf.DUMMYFUNCTION("""COMPUTED_VALUE"""),"")</f>
        <v/>
      </c>
      <c r="F279" s="134" t="str">
        <f ca="1">IFERROR(__xludf.DUMMYFUNCTION("""COMPUTED_VALUE"""),"")</f>
        <v/>
      </c>
      <c r="G279" s="134" t="str">
        <f ca="1">IFERROR(__xludf.DUMMYFUNCTION("""COMPUTED_VALUE"""),"")</f>
        <v/>
      </c>
      <c r="H279" s="134" t="str">
        <f ca="1">IFERROR(__xludf.DUMMYFUNCTION("""COMPUTED_VALUE"""),"")</f>
        <v/>
      </c>
      <c r="I279" s="134" t="str">
        <f ca="1">IFERROR(__xludf.DUMMYFUNCTION("""COMPUTED_VALUE"""),"")</f>
        <v/>
      </c>
      <c r="J279" s="134" t="str">
        <f ca="1">IFERROR(__xludf.DUMMYFUNCTION("""COMPUTED_VALUE"""),"")</f>
        <v/>
      </c>
    </row>
    <row r="280" spans="1:10">
      <c r="A280" s="134" t="str">
        <f ca="1">IFERROR(__xludf.DUMMYFUNCTION("""COMPUTED_VALUE"""),"")</f>
        <v/>
      </c>
      <c r="B280" s="134" t="str">
        <f ca="1">IFERROR(__xludf.DUMMYFUNCTION("""COMPUTED_VALUE"""),"")</f>
        <v/>
      </c>
      <c r="C280" s="134" t="str">
        <f ca="1">IFERROR(__xludf.DUMMYFUNCTION("""COMPUTED_VALUE"""),"")</f>
        <v/>
      </c>
      <c r="D280" s="134" t="str">
        <f ca="1">IFERROR(__xludf.DUMMYFUNCTION("""COMPUTED_VALUE"""),"")</f>
        <v/>
      </c>
      <c r="E280" s="134" t="str">
        <f ca="1">IFERROR(__xludf.DUMMYFUNCTION("""COMPUTED_VALUE"""),"")</f>
        <v/>
      </c>
      <c r="F280" s="134" t="str">
        <f ca="1">IFERROR(__xludf.DUMMYFUNCTION("""COMPUTED_VALUE"""),"")</f>
        <v/>
      </c>
      <c r="G280" s="134" t="str">
        <f ca="1">IFERROR(__xludf.DUMMYFUNCTION("""COMPUTED_VALUE"""),"")</f>
        <v/>
      </c>
      <c r="H280" s="134" t="str">
        <f ca="1">IFERROR(__xludf.DUMMYFUNCTION("""COMPUTED_VALUE"""),"")</f>
        <v/>
      </c>
      <c r="I280" s="134" t="str">
        <f ca="1">IFERROR(__xludf.DUMMYFUNCTION("""COMPUTED_VALUE"""),"")</f>
        <v/>
      </c>
      <c r="J280" s="134" t="str">
        <f ca="1">IFERROR(__xludf.DUMMYFUNCTION("""COMPUTED_VALUE"""),"")</f>
        <v/>
      </c>
    </row>
    <row r="281" spans="1:10">
      <c r="A281" s="134" t="str">
        <f ca="1">IFERROR(__xludf.DUMMYFUNCTION("""COMPUTED_VALUE"""),"")</f>
        <v/>
      </c>
      <c r="B281" s="134" t="str">
        <f ca="1">IFERROR(__xludf.DUMMYFUNCTION("""COMPUTED_VALUE"""),"")</f>
        <v/>
      </c>
      <c r="C281" s="134" t="str">
        <f ca="1">IFERROR(__xludf.DUMMYFUNCTION("""COMPUTED_VALUE"""),"")</f>
        <v/>
      </c>
      <c r="D281" s="134" t="str">
        <f ca="1">IFERROR(__xludf.DUMMYFUNCTION("""COMPUTED_VALUE"""),"")</f>
        <v/>
      </c>
      <c r="E281" s="134" t="str">
        <f ca="1">IFERROR(__xludf.DUMMYFUNCTION("""COMPUTED_VALUE"""),"")</f>
        <v/>
      </c>
      <c r="F281" s="134" t="str">
        <f ca="1">IFERROR(__xludf.DUMMYFUNCTION("""COMPUTED_VALUE"""),"")</f>
        <v/>
      </c>
      <c r="G281" s="134" t="str">
        <f ca="1">IFERROR(__xludf.DUMMYFUNCTION("""COMPUTED_VALUE"""),"")</f>
        <v/>
      </c>
      <c r="H281" s="134" t="str">
        <f ca="1">IFERROR(__xludf.DUMMYFUNCTION("""COMPUTED_VALUE"""),"")</f>
        <v/>
      </c>
      <c r="I281" s="134" t="str">
        <f ca="1">IFERROR(__xludf.DUMMYFUNCTION("""COMPUTED_VALUE"""),"")</f>
        <v/>
      </c>
      <c r="J281" s="134" t="str">
        <f ca="1">IFERROR(__xludf.DUMMYFUNCTION("""COMPUTED_VALUE"""),"")</f>
        <v/>
      </c>
    </row>
    <row r="282" spans="1:10">
      <c r="A282" s="134" t="str">
        <f ca="1">IFERROR(__xludf.DUMMYFUNCTION("""COMPUTED_VALUE"""),"")</f>
        <v/>
      </c>
      <c r="B282" s="134" t="str">
        <f ca="1">IFERROR(__xludf.DUMMYFUNCTION("""COMPUTED_VALUE"""),"")</f>
        <v/>
      </c>
      <c r="C282" s="134" t="str">
        <f ca="1">IFERROR(__xludf.DUMMYFUNCTION("""COMPUTED_VALUE"""),"")</f>
        <v/>
      </c>
      <c r="D282" s="134" t="str">
        <f ca="1">IFERROR(__xludf.DUMMYFUNCTION("""COMPUTED_VALUE"""),"")</f>
        <v/>
      </c>
      <c r="E282" s="134" t="str">
        <f ca="1">IFERROR(__xludf.DUMMYFUNCTION("""COMPUTED_VALUE"""),"")</f>
        <v/>
      </c>
      <c r="F282" s="134" t="str">
        <f ca="1">IFERROR(__xludf.DUMMYFUNCTION("""COMPUTED_VALUE"""),"")</f>
        <v/>
      </c>
      <c r="G282" s="134" t="str">
        <f ca="1">IFERROR(__xludf.DUMMYFUNCTION("""COMPUTED_VALUE"""),"")</f>
        <v/>
      </c>
      <c r="H282" s="134" t="str">
        <f ca="1">IFERROR(__xludf.DUMMYFUNCTION("""COMPUTED_VALUE"""),"")</f>
        <v/>
      </c>
      <c r="I282" s="134" t="str">
        <f ca="1">IFERROR(__xludf.DUMMYFUNCTION("""COMPUTED_VALUE"""),"")</f>
        <v/>
      </c>
      <c r="J282" s="134" t="str">
        <f ca="1">IFERROR(__xludf.DUMMYFUNCTION("""COMPUTED_VALUE"""),"")</f>
        <v/>
      </c>
    </row>
    <row r="283" spans="1:10">
      <c r="A283" s="134" t="str">
        <f ca="1">IFERROR(__xludf.DUMMYFUNCTION("""COMPUTED_VALUE"""),"")</f>
        <v/>
      </c>
      <c r="B283" s="134" t="str">
        <f ca="1">IFERROR(__xludf.DUMMYFUNCTION("""COMPUTED_VALUE"""),"")</f>
        <v/>
      </c>
      <c r="C283" s="134" t="str">
        <f ca="1">IFERROR(__xludf.DUMMYFUNCTION("""COMPUTED_VALUE"""),"")</f>
        <v/>
      </c>
      <c r="D283" s="134" t="str">
        <f ca="1">IFERROR(__xludf.DUMMYFUNCTION("""COMPUTED_VALUE"""),"")</f>
        <v/>
      </c>
      <c r="E283" s="134" t="str">
        <f ca="1">IFERROR(__xludf.DUMMYFUNCTION("""COMPUTED_VALUE"""),"")</f>
        <v/>
      </c>
      <c r="F283" s="134" t="str">
        <f ca="1">IFERROR(__xludf.DUMMYFUNCTION("""COMPUTED_VALUE"""),"")</f>
        <v/>
      </c>
      <c r="G283" s="134" t="str">
        <f ca="1">IFERROR(__xludf.DUMMYFUNCTION("""COMPUTED_VALUE"""),"")</f>
        <v/>
      </c>
      <c r="H283" s="134" t="str">
        <f ca="1">IFERROR(__xludf.DUMMYFUNCTION("""COMPUTED_VALUE"""),"")</f>
        <v/>
      </c>
      <c r="I283" s="134" t="str">
        <f ca="1">IFERROR(__xludf.DUMMYFUNCTION("""COMPUTED_VALUE"""),"")</f>
        <v/>
      </c>
      <c r="J283" s="134" t="str">
        <f ca="1">IFERROR(__xludf.DUMMYFUNCTION("""COMPUTED_VALUE"""),"")</f>
        <v/>
      </c>
    </row>
    <row r="284" spans="1:10">
      <c r="C284" s="134" t="str">
        <f ca="1">IFERROR(__xludf.DUMMYFUNCTION("""COMPUTED_VALUE"""),"")</f>
        <v/>
      </c>
      <c r="D284" s="134" t="str">
        <f ca="1">IFERROR(__xludf.DUMMYFUNCTION("""COMPUTED_VALUE"""),"")</f>
        <v/>
      </c>
      <c r="E284" s="134" t="str">
        <f ca="1">IFERROR(__xludf.DUMMYFUNCTION("""COMPUTED_VALUE"""),"")</f>
        <v/>
      </c>
      <c r="F284" s="134" t="str">
        <f ca="1">IFERROR(__xludf.DUMMYFUNCTION("""COMPUTED_VALUE"""),"")</f>
        <v/>
      </c>
      <c r="G284" s="134" t="str">
        <f ca="1">IFERROR(__xludf.DUMMYFUNCTION("""COMPUTED_VALUE"""),"")</f>
        <v/>
      </c>
      <c r="H284" s="134" t="str">
        <f ca="1">IFERROR(__xludf.DUMMYFUNCTION("""COMPUTED_VALUE"""),"")</f>
        <v/>
      </c>
      <c r="I284" s="134" t="str">
        <f ca="1">IFERROR(__xludf.DUMMYFUNCTION("""COMPUTED_VALUE"""),"")</f>
        <v/>
      </c>
      <c r="J284" s="134" t="str">
        <f ca="1">IFERROR(__xludf.DUMMYFUNCTION("""COMPUTED_VALUE"""),"")</f>
        <v/>
      </c>
    </row>
    <row r="285" spans="1:10" ht="14.25"/>
    <row r="286" spans="1:10" ht="14.25"/>
    <row r="287" spans="1:10" ht="14.25"/>
    <row r="288" spans="1:10" ht="14.25"/>
    <row r="289" ht="14.25"/>
    <row r="290" ht="14.25"/>
    <row r="291" ht="14.25"/>
    <row r="292" ht="14.25"/>
    <row r="293" ht="14.25"/>
    <row r="294" ht="14.25"/>
    <row r="295" ht="14.25"/>
    <row r="296" ht="14.25"/>
    <row r="297" ht="14.25"/>
    <row r="298" ht="14.25"/>
    <row r="299" ht="14.25"/>
    <row r="300" ht="14.25"/>
    <row r="301" ht="14.25"/>
    <row r="302" ht="14.25"/>
    <row r="303" ht="14.25"/>
    <row r="304" ht="14.25"/>
    <row r="305" ht="14.25"/>
    <row r="306" ht="14.25"/>
    <row r="307" ht="14.25"/>
    <row r="308" ht="14.25"/>
    <row r="309" ht="14.25"/>
    <row r="310" ht="14.25"/>
    <row r="311" ht="14.25"/>
    <row r="312" ht="14.25"/>
    <row r="313" ht="14.25"/>
    <row r="314" ht="14.25"/>
    <row r="315" ht="14.25"/>
    <row r="316" ht="14.25"/>
    <row r="317" ht="14.25"/>
    <row r="318" ht="14.25"/>
    <row r="319" ht="14.25"/>
    <row r="320" ht="14.25"/>
    <row r="321" ht="14.25"/>
    <row r="322" ht="14.25"/>
    <row r="323" ht="14.25"/>
    <row r="324" ht="14.25"/>
    <row r="325" ht="14.25"/>
    <row r="326" ht="14.25"/>
    <row r="327" ht="14.25"/>
    <row r="328" ht="14.25"/>
    <row r="329" ht="14.25"/>
    <row r="330" ht="14.25"/>
    <row r="331" ht="14.25"/>
    <row r="332" ht="14.25"/>
    <row r="333" ht="14.25"/>
    <row r="334" ht="14.25"/>
    <row r="335" ht="14.25"/>
    <row r="336" ht="14.25"/>
    <row r="337" ht="14.25"/>
    <row r="338" ht="14.25"/>
    <row r="339" ht="14.25"/>
    <row r="340" ht="14.25"/>
    <row r="341" ht="14.25"/>
    <row r="342" ht="14.25"/>
    <row r="343" ht="14.25"/>
    <row r="344" ht="14.25"/>
    <row r="345" ht="14.25"/>
    <row r="346" ht="14.25"/>
    <row r="347" ht="14.25"/>
    <row r="348" ht="14.25"/>
    <row r="349" ht="14.25"/>
    <row r="350" ht="14.25"/>
    <row r="351" ht="14.25"/>
    <row r="352" ht="14.25"/>
    <row r="353" ht="14.25"/>
    <row r="354" ht="14.25"/>
    <row r="355" ht="14.25"/>
    <row r="356" ht="14.25"/>
    <row r="357" ht="14.25"/>
    <row r="358" ht="14.25"/>
    <row r="359" ht="14.25"/>
    <row r="360" ht="14.25"/>
    <row r="361" ht="14.25"/>
    <row r="362" ht="14.25"/>
    <row r="363" ht="14.25"/>
    <row r="364" ht="14.25"/>
    <row r="365" ht="14.25"/>
    <row r="366" ht="14.25"/>
    <row r="367" ht="14.25"/>
    <row r="368" ht="14.25"/>
    <row r="369" ht="14.25"/>
    <row r="370" ht="14.25"/>
    <row r="371" ht="14.25"/>
  </sheetData>
  <autoFilter ref="A1:AA371" xr:uid="{00000000-0009-0000-0000-00000A000000}"/>
  <mergeCells count="2">
    <mergeCell ref="D33:G33"/>
    <mergeCell ref="A33:B3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00"/>
    <outlinePr summaryBelow="0" summaryRight="0"/>
  </sheetPr>
  <dimension ref="A1:AA420"/>
  <sheetViews>
    <sheetView zoomScale="70" zoomScaleNormal="70" workbookViewId="0">
      <selection activeCell="Q1" sqref="Q1:W1048576"/>
    </sheetView>
  </sheetViews>
  <sheetFormatPr defaultColWidth="12.625" defaultRowHeight="15" customHeight="1"/>
  <cols>
    <col min="1" max="1" width="31" style="28" customWidth="1"/>
    <col min="2" max="2" width="12.375" style="28" customWidth="1"/>
    <col min="3" max="3" width="10.375" style="28" customWidth="1"/>
    <col min="4" max="4" width="15.75" style="28" customWidth="1"/>
    <col min="5" max="5" width="22.75" style="28" customWidth="1"/>
    <col min="6" max="6" width="18.75" style="28" customWidth="1"/>
    <col min="7" max="7" width="18.125" style="28" customWidth="1"/>
    <col min="8" max="8" width="8.5" style="28" customWidth="1"/>
    <col min="9" max="9" width="15.5" style="28" customWidth="1"/>
    <col min="10" max="10" width="12.75" style="28" hidden="1" customWidth="1"/>
    <col min="11" max="11" width="0" hidden="1" customWidth="1"/>
    <col min="12" max="13" width="13.875" hidden="1" customWidth="1"/>
    <col min="14" max="14" width="0" style="31" hidden="1" customWidth="1"/>
    <col min="15" max="16" width="12.625" style="28"/>
    <col min="17" max="17" width="0" style="195" hidden="1" customWidth="1"/>
    <col min="18" max="18" width="12.625" style="28" hidden="1" customWidth="1"/>
    <col min="19" max="19" width="7" style="51" hidden="1" customWidth="1"/>
    <col min="20" max="20" width="10.875" style="31" hidden="1" customWidth="1"/>
    <col min="21" max="23" width="0" style="28" hidden="1" customWidth="1"/>
    <col min="24" max="16384" width="12.625" style="28"/>
  </cols>
  <sheetData>
    <row r="1" spans="1:27" s="236" customFormat="1" ht="45">
      <c r="A1" s="166" t="s">
        <v>1224</v>
      </c>
      <c r="B1" s="166" t="s">
        <v>1225</v>
      </c>
      <c r="C1" s="166" t="s">
        <v>1228</v>
      </c>
      <c r="D1" s="166" t="s">
        <v>1246</v>
      </c>
      <c r="E1" s="166" t="s">
        <v>1247</v>
      </c>
      <c r="F1" s="166" t="s">
        <v>1248</v>
      </c>
      <c r="G1" s="166" t="s">
        <v>18</v>
      </c>
      <c r="H1" s="166" t="s">
        <v>1249</v>
      </c>
      <c r="I1" s="166" t="s">
        <v>1250</v>
      </c>
      <c r="J1" s="166" t="s">
        <v>10</v>
      </c>
      <c r="K1" s="167" t="s">
        <v>3651</v>
      </c>
      <c r="L1" s="167" t="s">
        <v>3652</v>
      </c>
      <c r="M1" s="167" t="s">
        <v>3653</v>
      </c>
      <c r="N1" s="167" t="s">
        <v>3654</v>
      </c>
      <c r="O1" s="235">
        <v>43991</v>
      </c>
      <c r="P1" s="53" t="s">
        <v>3655</v>
      </c>
      <c r="Q1" s="89" t="s">
        <v>3656</v>
      </c>
      <c r="R1" s="53"/>
      <c r="S1" s="53" t="s">
        <v>3657</v>
      </c>
      <c r="T1" s="167" t="s">
        <v>3658</v>
      </c>
    </row>
    <row r="2" spans="1:27" s="168" customFormat="1">
      <c r="A2" s="181" t="s">
        <v>438</v>
      </c>
      <c r="B2" s="181" t="s">
        <v>2148</v>
      </c>
      <c r="C2" s="181" t="s">
        <v>1259</v>
      </c>
      <c r="D2" s="181" t="s">
        <v>2161</v>
      </c>
      <c r="E2" s="181" t="s">
        <v>2162</v>
      </c>
      <c r="F2" s="181" t="s">
        <v>1392</v>
      </c>
      <c r="G2" s="181" t="s">
        <v>18</v>
      </c>
      <c r="H2" s="181" t="s">
        <v>1298</v>
      </c>
      <c r="I2" s="181">
        <v>35</v>
      </c>
      <c r="J2" s="181" t="s">
        <v>3659</v>
      </c>
      <c r="K2" s="142">
        <v>0.97222222222222221</v>
      </c>
      <c r="L2" s="142">
        <v>1.7222222222222223</v>
      </c>
      <c r="M2" s="194">
        <v>20</v>
      </c>
      <c r="N2" s="144">
        <v>1</v>
      </c>
      <c r="O2" s="151">
        <f t="shared" ref="O2:O40" si="0">$O$1+N2</f>
        <v>43992</v>
      </c>
      <c r="P2" s="181" t="s">
        <v>3885</v>
      </c>
      <c r="Q2" s="204">
        <f t="shared" ref="Q2:Q48" si="1">ROUNDUP(I2/$R$2,0)</f>
        <v>1</v>
      </c>
      <c r="R2" s="181">
        <v>50</v>
      </c>
      <c r="S2" s="132" t="s">
        <v>3661</v>
      </c>
      <c r="T2" s="132">
        <v>7</v>
      </c>
      <c r="U2" s="57"/>
      <c r="V2" s="181"/>
      <c r="W2" s="181"/>
      <c r="X2" s="181"/>
      <c r="Y2" s="181"/>
      <c r="Z2" s="181"/>
      <c r="AA2" s="181"/>
    </row>
    <row r="3" spans="1:27" s="55" customFormat="1">
      <c r="A3" s="181" t="s">
        <v>1415</v>
      </c>
      <c r="B3" s="181" t="s">
        <v>1312</v>
      </c>
      <c r="C3" s="181" t="s">
        <v>1259</v>
      </c>
      <c r="D3" s="181" t="s">
        <v>1416</v>
      </c>
      <c r="E3" s="181" t="s">
        <v>1417</v>
      </c>
      <c r="F3" s="181" t="s">
        <v>1392</v>
      </c>
      <c r="G3" s="181" t="s">
        <v>18</v>
      </c>
      <c r="H3" s="181" t="s">
        <v>1298</v>
      </c>
      <c r="I3" s="181">
        <v>111</v>
      </c>
      <c r="J3" s="181" t="s">
        <v>3659</v>
      </c>
      <c r="K3" s="142">
        <v>3.0833333333333335</v>
      </c>
      <c r="L3" s="142">
        <v>3.8333333333333335</v>
      </c>
      <c r="M3" s="194"/>
      <c r="N3" s="161">
        <v>3</v>
      </c>
      <c r="O3" s="151">
        <f t="shared" si="0"/>
        <v>43994</v>
      </c>
      <c r="P3" s="181" t="s">
        <v>3851</v>
      </c>
      <c r="Q3" s="204">
        <f t="shared" si="1"/>
        <v>3</v>
      </c>
      <c r="R3" s="143"/>
      <c r="S3" s="209"/>
      <c r="T3" s="132"/>
      <c r="U3" s="143"/>
      <c r="V3" s="143"/>
      <c r="W3" s="143"/>
      <c r="X3" s="143"/>
      <c r="Y3" s="143"/>
      <c r="Z3" s="143"/>
      <c r="AA3" s="143"/>
    </row>
    <row r="4" spans="1:27" s="55" customFormat="1">
      <c r="A4" s="181" t="s">
        <v>1387</v>
      </c>
      <c r="B4" s="181" t="s">
        <v>343</v>
      </c>
      <c r="C4" s="181" t="s">
        <v>1259</v>
      </c>
      <c r="D4" s="181" t="s">
        <v>1390</v>
      </c>
      <c r="E4" s="181" t="s">
        <v>1391</v>
      </c>
      <c r="F4" s="181" t="s">
        <v>1392</v>
      </c>
      <c r="G4" s="181" t="s">
        <v>18</v>
      </c>
      <c r="H4" s="181" t="s">
        <v>1298</v>
      </c>
      <c r="I4" s="181">
        <v>99</v>
      </c>
      <c r="J4" s="181" t="s">
        <v>3659</v>
      </c>
      <c r="K4" s="142">
        <v>2.75</v>
      </c>
      <c r="L4" s="142">
        <v>3.5</v>
      </c>
      <c r="M4" s="194"/>
      <c r="N4" s="144">
        <v>3</v>
      </c>
      <c r="O4" s="151">
        <f t="shared" si="0"/>
        <v>43994</v>
      </c>
      <c r="P4" s="181" t="s">
        <v>3852</v>
      </c>
      <c r="Q4" s="204">
        <f t="shared" si="1"/>
        <v>2</v>
      </c>
      <c r="R4" s="143"/>
      <c r="S4" s="209"/>
      <c r="T4" s="132"/>
      <c r="U4" s="143"/>
      <c r="V4" s="143"/>
      <c r="W4" s="143"/>
      <c r="X4" s="143"/>
      <c r="Y4" s="143"/>
      <c r="Z4" s="143"/>
      <c r="AA4" s="143"/>
    </row>
    <row r="5" spans="1:27" s="57" customFormat="1">
      <c r="A5" s="181" t="s">
        <v>791</v>
      </c>
      <c r="B5" s="181" t="s">
        <v>3659</v>
      </c>
      <c r="C5" s="181" t="s">
        <v>2782</v>
      </c>
      <c r="D5" s="181" t="s">
        <v>2878</v>
      </c>
      <c r="E5" s="181" t="s">
        <v>2879</v>
      </c>
      <c r="F5" s="181" t="s">
        <v>2785</v>
      </c>
      <c r="G5" s="181" t="s">
        <v>18</v>
      </c>
      <c r="H5" s="181" t="s">
        <v>30</v>
      </c>
      <c r="I5" s="181">
        <v>65</v>
      </c>
      <c r="J5" s="181" t="s">
        <v>795</v>
      </c>
      <c r="K5" s="142">
        <v>1.8055555555555556</v>
      </c>
      <c r="L5" s="142">
        <v>2.5555555555555554</v>
      </c>
      <c r="M5" s="194"/>
      <c r="N5" s="144">
        <v>4</v>
      </c>
      <c r="O5" s="151">
        <f t="shared" si="0"/>
        <v>43995</v>
      </c>
      <c r="P5" s="181" t="s">
        <v>3925</v>
      </c>
      <c r="Q5" s="204">
        <f t="shared" si="1"/>
        <v>2</v>
      </c>
      <c r="R5" s="181"/>
      <c r="S5" s="144"/>
      <c r="T5" s="144"/>
      <c r="U5" s="181"/>
      <c r="V5" s="181"/>
      <c r="W5" s="181"/>
      <c r="X5" s="181"/>
      <c r="Y5" s="181"/>
      <c r="Z5" s="181"/>
      <c r="AA5" s="181"/>
    </row>
    <row r="6" spans="1:27" s="55" customFormat="1">
      <c r="A6" s="181" t="s">
        <v>961</v>
      </c>
      <c r="B6" s="181" t="s">
        <v>3659</v>
      </c>
      <c r="C6" s="181" t="s">
        <v>2782</v>
      </c>
      <c r="D6" s="181" t="s">
        <v>3287</v>
      </c>
      <c r="E6" s="181" t="s">
        <v>3288</v>
      </c>
      <c r="F6" s="181" t="s">
        <v>2785</v>
      </c>
      <c r="G6" s="181" t="s">
        <v>18</v>
      </c>
      <c r="H6" s="181" t="s">
        <v>30</v>
      </c>
      <c r="I6" s="181">
        <v>50</v>
      </c>
      <c r="J6" s="181" t="s">
        <v>3659</v>
      </c>
      <c r="K6" s="142">
        <v>1.3888888888888888</v>
      </c>
      <c r="L6" s="142">
        <v>2.1388888888888888</v>
      </c>
      <c r="M6" s="194"/>
      <c r="N6" s="161">
        <v>4</v>
      </c>
      <c r="O6" s="151">
        <f t="shared" si="0"/>
        <v>43995</v>
      </c>
      <c r="P6" s="181" t="s">
        <v>3926</v>
      </c>
      <c r="Q6" s="204">
        <f t="shared" si="1"/>
        <v>1</v>
      </c>
      <c r="R6" s="143"/>
      <c r="S6" s="209"/>
      <c r="T6" s="132"/>
      <c r="U6" s="143"/>
      <c r="V6" s="143"/>
      <c r="W6" s="143"/>
      <c r="X6" s="143"/>
      <c r="Y6" s="143"/>
      <c r="Z6" s="143"/>
      <c r="AA6" s="143"/>
    </row>
    <row r="7" spans="1:27" s="57" customFormat="1">
      <c r="A7" s="181" t="s">
        <v>186</v>
      </c>
      <c r="B7" s="181" t="s">
        <v>1561</v>
      </c>
      <c r="C7" s="181" t="s">
        <v>1577</v>
      </c>
      <c r="D7" s="181" t="s">
        <v>1579</v>
      </c>
      <c r="E7" s="181" t="s">
        <v>1580</v>
      </c>
      <c r="F7" s="181" t="s">
        <v>1581</v>
      </c>
      <c r="G7" s="181" t="s">
        <v>18</v>
      </c>
      <c r="H7" s="181" t="s">
        <v>30</v>
      </c>
      <c r="I7" s="181">
        <v>70</v>
      </c>
      <c r="J7" s="181" t="s">
        <v>190</v>
      </c>
      <c r="K7" s="142">
        <v>1.9444444444444444</v>
      </c>
      <c r="L7" s="142">
        <v>2.6944444444444446</v>
      </c>
      <c r="M7" s="194"/>
      <c r="N7" s="144">
        <v>4</v>
      </c>
      <c r="O7" s="151">
        <f t="shared" si="0"/>
        <v>43995</v>
      </c>
      <c r="P7" s="181" t="s">
        <v>3927</v>
      </c>
      <c r="Q7" s="204">
        <f t="shared" si="1"/>
        <v>2</v>
      </c>
      <c r="R7" s="181"/>
      <c r="S7" s="144"/>
      <c r="T7" s="144"/>
      <c r="U7" s="181"/>
      <c r="V7" s="181"/>
      <c r="W7" s="181"/>
      <c r="X7" s="181"/>
      <c r="Y7" s="181"/>
      <c r="Z7" s="181"/>
      <c r="AA7" s="181"/>
    </row>
    <row r="8" spans="1:27" s="55" customFormat="1">
      <c r="A8" s="181" t="s">
        <v>2780</v>
      </c>
      <c r="B8" s="181" t="s">
        <v>1312</v>
      </c>
      <c r="C8" s="181" t="s">
        <v>2782</v>
      </c>
      <c r="D8" s="181" t="s">
        <v>2783</v>
      </c>
      <c r="E8" s="181" t="s">
        <v>2784</v>
      </c>
      <c r="F8" s="181" t="s">
        <v>2785</v>
      </c>
      <c r="G8" s="181" t="s">
        <v>18</v>
      </c>
      <c r="H8" s="181" t="s">
        <v>1298</v>
      </c>
      <c r="I8" s="181">
        <v>159</v>
      </c>
      <c r="J8" s="181" t="s">
        <v>3659</v>
      </c>
      <c r="K8" s="142">
        <v>4.416666666666667</v>
      </c>
      <c r="L8" s="142">
        <v>5.166666666666667</v>
      </c>
      <c r="M8" s="194"/>
      <c r="N8" s="144">
        <v>6</v>
      </c>
      <c r="O8" s="151">
        <f t="shared" si="0"/>
        <v>43997</v>
      </c>
      <c r="P8" s="181" t="s">
        <v>3864</v>
      </c>
      <c r="Q8" s="204">
        <f t="shared" si="1"/>
        <v>4</v>
      </c>
      <c r="R8" s="143"/>
      <c r="S8" s="209"/>
      <c r="T8" s="132"/>
      <c r="U8" s="143"/>
      <c r="V8" s="143"/>
      <c r="W8" s="143"/>
      <c r="X8" s="143"/>
      <c r="Y8" s="143"/>
      <c r="Z8" s="143"/>
      <c r="AA8" s="143"/>
    </row>
    <row r="9" spans="1:27" s="55" customFormat="1">
      <c r="A9" s="181" t="s">
        <v>3149</v>
      </c>
      <c r="B9" s="181" t="s">
        <v>1300</v>
      </c>
      <c r="C9" s="181" t="s">
        <v>2782</v>
      </c>
      <c r="D9" s="181" t="s">
        <v>3928</v>
      </c>
      <c r="E9" s="181" t="s">
        <v>3151</v>
      </c>
      <c r="F9" s="181" t="s">
        <v>3929</v>
      </c>
      <c r="G9" s="181" t="s">
        <v>18</v>
      </c>
      <c r="H9" s="181" t="s">
        <v>30</v>
      </c>
      <c r="I9" s="181">
        <v>100</v>
      </c>
      <c r="J9" s="181" t="s">
        <v>3665</v>
      </c>
      <c r="K9" s="142">
        <v>2.7777777777777777</v>
      </c>
      <c r="L9" s="142">
        <v>3.5277777777777777</v>
      </c>
      <c r="M9" s="194"/>
      <c r="N9" s="161">
        <v>6</v>
      </c>
      <c r="O9" s="151">
        <f t="shared" si="0"/>
        <v>43997</v>
      </c>
      <c r="P9" s="181" t="s">
        <v>3889</v>
      </c>
      <c r="Q9" s="204">
        <f t="shared" si="1"/>
        <v>2</v>
      </c>
      <c r="R9" s="143"/>
      <c r="S9" s="209"/>
      <c r="T9" s="132"/>
      <c r="U9" s="143"/>
      <c r="V9" s="143"/>
      <c r="W9" s="143"/>
      <c r="X9" s="143"/>
      <c r="Y9" s="143"/>
      <c r="Z9" s="143"/>
      <c r="AA9" s="143"/>
    </row>
    <row r="10" spans="1:27" s="55" customFormat="1">
      <c r="A10" s="181" t="s">
        <v>2963</v>
      </c>
      <c r="B10" s="181" t="s">
        <v>1312</v>
      </c>
      <c r="C10" s="181" t="s">
        <v>2356</v>
      </c>
      <c r="D10" s="181" t="s">
        <v>2965</v>
      </c>
      <c r="E10" s="181" t="s">
        <v>2966</v>
      </c>
      <c r="F10" s="181" t="s">
        <v>2967</v>
      </c>
      <c r="G10" s="181" t="s">
        <v>18</v>
      </c>
      <c r="H10" s="181" t="s">
        <v>1298</v>
      </c>
      <c r="I10" s="181">
        <v>117</v>
      </c>
      <c r="J10" s="181" t="s">
        <v>3659</v>
      </c>
      <c r="K10" s="142">
        <v>3.25</v>
      </c>
      <c r="L10" s="142">
        <v>4</v>
      </c>
      <c r="M10" s="194"/>
      <c r="N10" s="144">
        <v>7</v>
      </c>
      <c r="O10" s="151">
        <f t="shared" si="0"/>
        <v>43998</v>
      </c>
      <c r="P10" s="181" t="s">
        <v>3851</v>
      </c>
      <c r="Q10" s="204">
        <f t="shared" si="1"/>
        <v>3</v>
      </c>
      <c r="R10" s="143"/>
      <c r="S10" s="209"/>
      <c r="T10" s="132"/>
      <c r="U10" s="143"/>
      <c r="V10" s="143"/>
      <c r="W10" s="143"/>
      <c r="X10" s="143"/>
      <c r="Y10" s="143"/>
      <c r="Z10" s="143"/>
      <c r="AA10" s="143"/>
    </row>
    <row r="11" spans="1:27" s="57" customFormat="1">
      <c r="A11" s="181" t="s">
        <v>608</v>
      </c>
      <c r="B11" s="181" t="s">
        <v>3659</v>
      </c>
      <c r="C11" s="181" t="s">
        <v>2356</v>
      </c>
      <c r="D11" s="181" t="s">
        <v>2357</v>
      </c>
      <c r="E11" s="181" t="s">
        <v>2358</v>
      </c>
      <c r="F11" s="181" t="s">
        <v>2359</v>
      </c>
      <c r="G11" s="181" t="s">
        <v>18</v>
      </c>
      <c r="H11" s="181" t="s">
        <v>30</v>
      </c>
      <c r="I11" s="181">
        <v>80</v>
      </c>
      <c r="J11" s="181" t="s">
        <v>612</v>
      </c>
      <c r="K11" s="142">
        <v>2.2222222222222223</v>
      </c>
      <c r="L11" s="142">
        <v>2.9722222222222223</v>
      </c>
      <c r="M11" s="194"/>
      <c r="N11" s="161">
        <v>7</v>
      </c>
      <c r="O11" s="151">
        <f t="shared" si="0"/>
        <v>43998</v>
      </c>
      <c r="P11" s="181" t="s">
        <v>3847</v>
      </c>
      <c r="Q11" s="204">
        <f t="shared" si="1"/>
        <v>2</v>
      </c>
      <c r="R11" s="181"/>
      <c r="S11" s="144"/>
      <c r="T11" s="144"/>
      <c r="U11" s="181"/>
      <c r="V11" s="181"/>
      <c r="W11" s="181"/>
      <c r="X11" s="181"/>
      <c r="Y11" s="181"/>
      <c r="Z11" s="181"/>
      <c r="AA11" s="181"/>
    </row>
    <row r="12" spans="1:27" s="55" customFormat="1">
      <c r="A12" s="181" t="s">
        <v>3141</v>
      </c>
      <c r="B12" s="181" t="s">
        <v>1300</v>
      </c>
      <c r="C12" s="181" t="s">
        <v>2356</v>
      </c>
      <c r="D12" s="181" t="s">
        <v>3930</v>
      </c>
      <c r="E12" s="181" t="s">
        <v>3931</v>
      </c>
      <c r="F12" s="181" t="s">
        <v>3932</v>
      </c>
      <c r="G12" s="181" t="s">
        <v>18</v>
      </c>
      <c r="H12" s="181" t="s">
        <v>30</v>
      </c>
      <c r="I12" s="181">
        <v>60</v>
      </c>
      <c r="J12" s="181" t="s">
        <v>3665</v>
      </c>
      <c r="K12" s="142">
        <v>1.6666666666666667</v>
      </c>
      <c r="L12" s="142">
        <v>2.416666666666667</v>
      </c>
      <c r="M12" s="194"/>
      <c r="N12" s="161">
        <v>7</v>
      </c>
      <c r="O12" s="151">
        <f t="shared" si="0"/>
        <v>43998</v>
      </c>
      <c r="P12" s="181" t="s">
        <v>3933</v>
      </c>
      <c r="Q12" s="204">
        <f t="shared" si="1"/>
        <v>2</v>
      </c>
      <c r="R12" s="143"/>
      <c r="S12" s="209"/>
      <c r="T12" s="132"/>
      <c r="U12" s="143"/>
      <c r="V12" s="143"/>
      <c r="W12" s="143"/>
      <c r="X12" s="143"/>
      <c r="Y12" s="143"/>
      <c r="Z12" s="143"/>
      <c r="AA12" s="143"/>
    </row>
    <row r="13" spans="1:27" s="57" customFormat="1">
      <c r="A13" s="181" t="s">
        <v>595</v>
      </c>
      <c r="B13" s="181" t="s">
        <v>2329</v>
      </c>
      <c r="C13" s="181" t="s">
        <v>2342</v>
      </c>
      <c r="D13" s="181" t="s">
        <v>2343</v>
      </c>
      <c r="E13" s="181" t="s">
        <v>2344</v>
      </c>
      <c r="F13" s="181" t="s">
        <v>2345</v>
      </c>
      <c r="G13" s="181" t="s">
        <v>18</v>
      </c>
      <c r="H13" s="181" t="s">
        <v>1298</v>
      </c>
      <c r="I13" s="181">
        <v>100</v>
      </c>
      <c r="J13" s="181" t="s">
        <v>3659</v>
      </c>
      <c r="K13" s="142">
        <v>2.7777777777777777</v>
      </c>
      <c r="L13" s="142">
        <v>3.5277777777777777</v>
      </c>
      <c r="M13" s="194"/>
      <c r="N13" s="161">
        <v>8</v>
      </c>
      <c r="O13" s="151">
        <f t="shared" si="0"/>
        <v>43999</v>
      </c>
      <c r="P13" s="181" t="s">
        <v>3851</v>
      </c>
      <c r="Q13" s="204">
        <f t="shared" si="1"/>
        <v>2</v>
      </c>
      <c r="R13" s="181"/>
      <c r="S13" s="144"/>
      <c r="T13" s="144"/>
      <c r="U13" s="181"/>
      <c r="V13" s="181"/>
      <c r="W13" s="181"/>
      <c r="X13" s="181"/>
      <c r="Y13" s="181"/>
      <c r="Z13" s="181"/>
      <c r="AA13" s="181"/>
    </row>
    <row r="14" spans="1:27" s="55" customFormat="1">
      <c r="A14" s="181" t="s">
        <v>765</v>
      </c>
      <c r="B14" s="181" t="s">
        <v>3659</v>
      </c>
      <c r="C14" s="181" t="s">
        <v>2356</v>
      </c>
      <c r="D14" s="181" t="s">
        <v>2788</v>
      </c>
      <c r="E14" s="181" t="s">
        <v>2789</v>
      </c>
      <c r="F14" s="181" t="s">
        <v>2790</v>
      </c>
      <c r="G14" s="181" t="s">
        <v>18</v>
      </c>
      <c r="H14" s="181" t="s">
        <v>30</v>
      </c>
      <c r="I14" s="181">
        <v>153</v>
      </c>
      <c r="J14" s="181" t="s">
        <v>769</v>
      </c>
      <c r="K14" s="142">
        <v>4.25</v>
      </c>
      <c r="L14" s="142">
        <v>5</v>
      </c>
      <c r="M14" s="194"/>
      <c r="N14" s="161">
        <v>8</v>
      </c>
      <c r="O14" s="151">
        <f t="shared" si="0"/>
        <v>43999</v>
      </c>
      <c r="P14" s="181" t="s">
        <v>3934</v>
      </c>
      <c r="Q14" s="204">
        <f t="shared" si="1"/>
        <v>4</v>
      </c>
      <c r="R14" s="143"/>
      <c r="S14" s="209"/>
      <c r="T14" s="132"/>
      <c r="U14" s="143"/>
      <c r="V14" s="143"/>
      <c r="W14" s="143"/>
      <c r="X14" s="143"/>
      <c r="Y14" s="143"/>
      <c r="Z14" s="143"/>
      <c r="AA14" s="143"/>
    </row>
    <row r="15" spans="1:27" s="55" customFormat="1">
      <c r="A15" s="181" t="s">
        <v>2072</v>
      </c>
      <c r="B15" s="181" t="s">
        <v>1312</v>
      </c>
      <c r="C15" s="181" t="s">
        <v>2074</v>
      </c>
      <c r="D15" s="181" t="s">
        <v>2075</v>
      </c>
      <c r="E15" s="181" t="s">
        <v>2076</v>
      </c>
      <c r="F15" s="181" t="s">
        <v>2077</v>
      </c>
      <c r="G15" s="181" t="s">
        <v>18</v>
      </c>
      <c r="H15" s="181" t="s">
        <v>1298</v>
      </c>
      <c r="I15" s="181">
        <v>107</v>
      </c>
      <c r="J15" s="181" t="s">
        <v>3659</v>
      </c>
      <c r="K15" s="142">
        <v>2.9722222222222223</v>
      </c>
      <c r="L15" s="142">
        <v>3.7222222222222223</v>
      </c>
      <c r="M15" s="194"/>
      <c r="N15" s="161">
        <v>9</v>
      </c>
      <c r="O15" s="151">
        <f t="shared" si="0"/>
        <v>44000</v>
      </c>
      <c r="P15" s="181" t="s">
        <v>3851</v>
      </c>
      <c r="Q15" s="204">
        <f t="shared" si="1"/>
        <v>3</v>
      </c>
      <c r="R15" s="143"/>
      <c r="S15" s="209"/>
      <c r="T15" s="132"/>
      <c r="U15" s="143"/>
      <c r="V15" s="143"/>
      <c r="W15" s="143"/>
      <c r="X15" s="143"/>
      <c r="Y15" s="143"/>
      <c r="Z15" s="143"/>
      <c r="AA15" s="143"/>
    </row>
    <row r="16" spans="1:27" s="55" customFormat="1">
      <c r="A16" s="181" t="s">
        <v>2261</v>
      </c>
      <c r="B16" s="181" t="s">
        <v>343</v>
      </c>
      <c r="C16" s="181" t="s">
        <v>2074</v>
      </c>
      <c r="D16" s="181" t="s">
        <v>2262</v>
      </c>
      <c r="E16" s="181" t="s">
        <v>2263</v>
      </c>
      <c r="F16" s="181" t="s">
        <v>2077</v>
      </c>
      <c r="G16" s="181" t="s">
        <v>18</v>
      </c>
      <c r="H16" s="181" t="s">
        <v>1298</v>
      </c>
      <c r="I16" s="181">
        <v>79</v>
      </c>
      <c r="J16" s="181" t="s">
        <v>3659</v>
      </c>
      <c r="K16" s="142">
        <v>2.1944444444444446</v>
      </c>
      <c r="L16" s="142">
        <v>2.9444444444444446</v>
      </c>
      <c r="M16" s="194"/>
      <c r="N16" s="161">
        <v>9</v>
      </c>
      <c r="O16" s="151">
        <f t="shared" si="0"/>
        <v>44000</v>
      </c>
      <c r="P16" s="181" t="s">
        <v>3847</v>
      </c>
      <c r="Q16" s="204">
        <f t="shared" si="1"/>
        <v>2</v>
      </c>
      <c r="R16" s="143"/>
      <c r="S16" s="209"/>
      <c r="T16" s="132"/>
      <c r="U16" s="143"/>
      <c r="V16" s="143"/>
      <c r="W16" s="143"/>
      <c r="X16" s="143"/>
      <c r="Y16" s="143"/>
      <c r="Z16" s="143"/>
      <c r="AA16" s="143"/>
    </row>
    <row r="17" spans="1:27" s="55" customFormat="1">
      <c r="A17" s="181" t="s">
        <v>914</v>
      </c>
      <c r="B17" s="181" t="s">
        <v>1300</v>
      </c>
      <c r="C17" s="181" t="s">
        <v>2074</v>
      </c>
      <c r="D17" s="181" t="s">
        <v>3183</v>
      </c>
      <c r="E17" s="181" t="s">
        <v>3184</v>
      </c>
      <c r="F17" s="181" t="s">
        <v>2077</v>
      </c>
      <c r="G17" s="181" t="s">
        <v>18</v>
      </c>
      <c r="H17" s="181" t="s">
        <v>30</v>
      </c>
      <c r="I17" s="181">
        <v>65</v>
      </c>
      <c r="J17" s="181" t="s">
        <v>3659</v>
      </c>
      <c r="K17" s="142">
        <v>1.8055555555555556</v>
      </c>
      <c r="L17" s="142">
        <v>2.5555555555555554</v>
      </c>
      <c r="M17" s="194"/>
      <c r="N17" s="161">
        <v>10</v>
      </c>
      <c r="O17" s="151">
        <f t="shared" si="0"/>
        <v>44001</v>
      </c>
      <c r="P17" s="181" t="s">
        <v>3848</v>
      </c>
      <c r="Q17" s="204">
        <f t="shared" si="1"/>
        <v>2</v>
      </c>
      <c r="R17" s="143"/>
      <c r="S17" s="209"/>
      <c r="T17" s="132"/>
      <c r="U17" s="143"/>
      <c r="V17" s="143"/>
      <c r="W17" s="143"/>
      <c r="X17" s="143"/>
      <c r="Y17" s="143"/>
      <c r="Z17" s="143"/>
      <c r="AA17" s="143"/>
    </row>
    <row r="18" spans="1:27" s="55" customFormat="1">
      <c r="A18" s="181" t="s">
        <v>455</v>
      </c>
      <c r="B18" s="181" t="s">
        <v>2148</v>
      </c>
      <c r="C18" s="181" t="s">
        <v>2074</v>
      </c>
      <c r="D18" s="181" t="s">
        <v>2185</v>
      </c>
      <c r="E18" s="181" t="s">
        <v>2186</v>
      </c>
      <c r="F18" s="181" t="s">
        <v>2077</v>
      </c>
      <c r="G18" s="181" t="s">
        <v>18</v>
      </c>
      <c r="H18" s="181" t="s">
        <v>1298</v>
      </c>
      <c r="I18" s="181">
        <v>46</v>
      </c>
      <c r="J18" s="181" t="s">
        <v>3659</v>
      </c>
      <c r="K18" s="142">
        <v>1.2777777777777777</v>
      </c>
      <c r="L18" s="142">
        <v>2.0277777777777777</v>
      </c>
      <c r="M18" s="194"/>
      <c r="N18" s="161">
        <v>10</v>
      </c>
      <c r="O18" s="151">
        <f t="shared" si="0"/>
        <v>44001</v>
      </c>
      <c r="P18" s="181" t="s">
        <v>3862</v>
      </c>
      <c r="Q18" s="204">
        <f t="shared" si="1"/>
        <v>1</v>
      </c>
      <c r="R18" s="143"/>
      <c r="S18" s="209"/>
      <c r="T18" s="132"/>
      <c r="U18" s="143"/>
      <c r="V18" s="143"/>
      <c r="W18" s="143"/>
      <c r="X18" s="143"/>
      <c r="Y18" s="143"/>
      <c r="Z18" s="143"/>
      <c r="AA18" s="143"/>
    </row>
    <row r="19" spans="1:27" s="149" customFormat="1">
      <c r="A19" s="182" t="s">
        <v>2795</v>
      </c>
      <c r="B19" s="182" t="s">
        <v>1312</v>
      </c>
      <c r="C19" s="182" t="s">
        <v>2079</v>
      </c>
      <c r="D19" s="182" t="s">
        <v>2796</v>
      </c>
      <c r="E19" s="182" t="s">
        <v>2797</v>
      </c>
      <c r="F19" s="182" t="s">
        <v>2173</v>
      </c>
      <c r="G19" s="182" t="s">
        <v>18</v>
      </c>
      <c r="H19" s="182" t="s">
        <v>1298</v>
      </c>
      <c r="I19" s="182">
        <v>109</v>
      </c>
      <c r="J19" s="182" t="s">
        <v>3659</v>
      </c>
      <c r="K19" s="147">
        <v>3.0277777777777777</v>
      </c>
      <c r="L19" s="147">
        <v>3.7777777777777777</v>
      </c>
      <c r="M19" s="222">
        <v>21</v>
      </c>
      <c r="N19" s="170">
        <v>1</v>
      </c>
      <c r="O19" s="150">
        <f t="shared" si="0"/>
        <v>43992</v>
      </c>
      <c r="P19" s="169" t="s">
        <v>3851</v>
      </c>
      <c r="Q19" s="205">
        <f t="shared" si="1"/>
        <v>3</v>
      </c>
      <c r="S19" s="210" t="s">
        <v>3661</v>
      </c>
      <c r="T19" s="133">
        <v>2</v>
      </c>
    </row>
    <row r="20" spans="1:27" s="60" customFormat="1">
      <c r="A20" s="182" t="s">
        <v>3143</v>
      </c>
      <c r="B20" s="182" t="s">
        <v>1300</v>
      </c>
      <c r="C20" s="182" t="s">
        <v>2079</v>
      </c>
      <c r="D20" s="182" t="s">
        <v>3935</v>
      </c>
      <c r="E20" s="182" t="s">
        <v>3144</v>
      </c>
      <c r="F20" s="182" t="s">
        <v>3936</v>
      </c>
      <c r="G20" s="182" t="s">
        <v>18</v>
      </c>
      <c r="H20" s="182" t="s">
        <v>30</v>
      </c>
      <c r="I20" s="182">
        <v>80</v>
      </c>
      <c r="J20" s="182" t="s">
        <v>3665</v>
      </c>
      <c r="K20" s="147">
        <v>2.2222222222222223</v>
      </c>
      <c r="L20" s="147">
        <v>2.9722222222222223</v>
      </c>
      <c r="M20" s="229"/>
      <c r="N20" s="170">
        <v>1</v>
      </c>
      <c r="O20" s="150">
        <f t="shared" si="0"/>
        <v>43992</v>
      </c>
      <c r="P20" s="169" t="s">
        <v>3847</v>
      </c>
      <c r="Q20" s="205">
        <f t="shared" si="1"/>
        <v>2</v>
      </c>
      <c r="R20" s="182"/>
      <c r="S20" s="61"/>
      <c r="T20" s="61"/>
      <c r="U20" s="182"/>
      <c r="V20" s="182"/>
      <c r="W20" s="182"/>
      <c r="X20" s="182"/>
      <c r="Y20" s="182"/>
      <c r="Z20" s="182"/>
      <c r="AA20" s="182"/>
    </row>
    <row r="21" spans="1:27" s="59" customFormat="1">
      <c r="A21" s="182" t="s">
        <v>442</v>
      </c>
      <c r="B21" s="182" t="s">
        <v>2148</v>
      </c>
      <c r="C21" s="182" t="s">
        <v>2079</v>
      </c>
      <c r="D21" s="182" t="s">
        <v>2171</v>
      </c>
      <c r="E21" s="182" t="s">
        <v>2172</v>
      </c>
      <c r="F21" s="182" t="s">
        <v>2173</v>
      </c>
      <c r="G21" s="182" t="s">
        <v>18</v>
      </c>
      <c r="H21" s="182" t="s">
        <v>1298</v>
      </c>
      <c r="I21" s="182">
        <v>40</v>
      </c>
      <c r="J21" s="182" t="s">
        <v>3659</v>
      </c>
      <c r="K21" s="147">
        <v>1.1111111111111112</v>
      </c>
      <c r="L21" s="147">
        <v>1.8611111111111112</v>
      </c>
      <c r="M21" s="147"/>
      <c r="N21" s="170">
        <v>1</v>
      </c>
      <c r="O21" s="150">
        <f t="shared" si="0"/>
        <v>43992</v>
      </c>
      <c r="P21" s="169" t="s">
        <v>3937</v>
      </c>
      <c r="Q21" s="205">
        <f t="shared" si="1"/>
        <v>1</v>
      </c>
      <c r="R21" s="149"/>
      <c r="S21" s="210"/>
      <c r="T21" s="133"/>
      <c r="U21" s="149"/>
      <c r="V21" s="149"/>
      <c r="W21" s="149"/>
      <c r="X21" s="149"/>
      <c r="Y21" s="149"/>
      <c r="Z21" s="149"/>
      <c r="AA21" s="149"/>
    </row>
    <row r="22" spans="1:27" s="59" customFormat="1">
      <c r="A22" s="182" t="s">
        <v>382</v>
      </c>
      <c r="B22" s="182" t="s">
        <v>1527</v>
      </c>
      <c r="C22" s="182" t="s">
        <v>2079</v>
      </c>
      <c r="D22" s="182" t="s">
        <v>2081</v>
      </c>
      <c r="E22" s="182" t="s">
        <v>2082</v>
      </c>
      <c r="F22" s="182" t="s">
        <v>2083</v>
      </c>
      <c r="G22" s="182" t="s">
        <v>18</v>
      </c>
      <c r="H22" s="182" t="s">
        <v>19</v>
      </c>
      <c r="I22" s="182">
        <v>100</v>
      </c>
      <c r="J22" s="182" t="s">
        <v>386</v>
      </c>
      <c r="K22" s="147">
        <v>2.7777777777777777</v>
      </c>
      <c r="L22" s="147">
        <v>3.5277777777777777</v>
      </c>
      <c r="M22" s="147"/>
      <c r="N22" s="170">
        <v>2</v>
      </c>
      <c r="O22" s="150">
        <f t="shared" si="0"/>
        <v>43993</v>
      </c>
      <c r="P22" s="169" t="s">
        <v>3851</v>
      </c>
      <c r="Q22" s="205">
        <f t="shared" si="1"/>
        <v>2</v>
      </c>
      <c r="R22" s="149"/>
      <c r="S22" s="210"/>
      <c r="T22" s="133"/>
      <c r="U22" s="149"/>
      <c r="V22" s="149"/>
      <c r="W22" s="149"/>
      <c r="X22" s="149"/>
      <c r="Y22" s="149"/>
      <c r="Z22" s="149"/>
      <c r="AA22" s="149"/>
    </row>
    <row r="23" spans="1:27" s="59" customFormat="1">
      <c r="A23" s="182" t="s">
        <v>3042</v>
      </c>
      <c r="B23" s="182" t="s">
        <v>1312</v>
      </c>
      <c r="C23" s="182" t="s">
        <v>2079</v>
      </c>
      <c r="D23" s="182" t="s">
        <v>3043</v>
      </c>
      <c r="E23" s="182" t="s">
        <v>3044</v>
      </c>
      <c r="F23" s="182" t="s">
        <v>2083</v>
      </c>
      <c r="G23" s="182" t="s">
        <v>18</v>
      </c>
      <c r="H23" s="182" t="s">
        <v>1298</v>
      </c>
      <c r="I23" s="182">
        <v>81</v>
      </c>
      <c r="J23" s="182" t="s">
        <v>3659</v>
      </c>
      <c r="K23" s="147">
        <v>2.25</v>
      </c>
      <c r="L23" s="147">
        <v>3</v>
      </c>
      <c r="M23" s="147"/>
      <c r="N23" s="170">
        <v>2</v>
      </c>
      <c r="O23" s="150">
        <f t="shared" si="0"/>
        <v>43993</v>
      </c>
      <c r="P23" s="169" t="s">
        <v>3847</v>
      </c>
      <c r="Q23" s="205">
        <f t="shared" si="1"/>
        <v>2</v>
      </c>
      <c r="R23" s="149"/>
      <c r="S23" s="210"/>
      <c r="T23" s="133"/>
      <c r="U23" s="149"/>
      <c r="V23" s="149"/>
      <c r="W23" s="149"/>
      <c r="X23" s="149"/>
      <c r="Y23" s="149"/>
      <c r="Z23" s="149"/>
      <c r="AA23" s="149"/>
    </row>
    <row r="24" spans="1:27" s="59" customFormat="1">
      <c r="A24" s="182" t="s">
        <v>910</v>
      </c>
      <c r="B24" s="182" t="s">
        <v>1300</v>
      </c>
      <c r="C24" s="182" t="s">
        <v>3177</v>
      </c>
      <c r="D24" s="182" t="s">
        <v>3179</v>
      </c>
      <c r="E24" s="182" t="s">
        <v>3180</v>
      </c>
      <c r="F24" s="182" t="s">
        <v>3181</v>
      </c>
      <c r="G24" s="182" t="s">
        <v>18</v>
      </c>
      <c r="H24" s="182" t="s">
        <v>30</v>
      </c>
      <c r="I24" s="182">
        <v>60</v>
      </c>
      <c r="J24" s="182" t="s">
        <v>3659</v>
      </c>
      <c r="K24" s="147">
        <v>1.5277777777777777</v>
      </c>
      <c r="L24" s="147">
        <v>2.2777777777777777</v>
      </c>
      <c r="M24" s="147"/>
      <c r="N24" s="170">
        <v>2</v>
      </c>
      <c r="O24" s="150">
        <f t="shared" si="0"/>
        <v>43993</v>
      </c>
      <c r="P24" s="169" t="s">
        <v>3938</v>
      </c>
      <c r="Q24" s="205">
        <f t="shared" si="1"/>
        <v>2</v>
      </c>
      <c r="R24" s="149"/>
      <c r="S24" s="210"/>
      <c r="T24" s="133"/>
      <c r="U24" s="149"/>
      <c r="V24" s="149"/>
      <c r="W24" s="149"/>
      <c r="X24" s="149"/>
      <c r="Y24" s="149"/>
      <c r="Z24" s="149"/>
      <c r="AA24" s="149"/>
    </row>
    <row r="25" spans="1:27" s="59" customFormat="1">
      <c r="A25" s="182" t="s">
        <v>3010</v>
      </c>
      <c r="B25" s="182" t="s">
        <v>343</v>
      </c>
      <c r="C25" s="182" t="s">
        <v>3012</v>
      </c>
      <c r="D25" s="182" t="s">
        <v>3013</v>
      </c>
      <c r="E25" s="182" t="s">
        <v>3014</v>
      </c>
      <c r="F25" s="182" t="s">
        <v>3015</v>
      </c>
      <c r="G25" s="182" t="s">
        <v>18</v>
      </c>
      <c r="H25" s="182" t="s">
        <v>1298</v>
      </c>
      <c r="I25" s="182">
        <v>65</v>
      </c>
      <c r="J25" s="182" t="s">
        <v>3659</v>
      </c>
      <c r="K25" s="147">
        <v>1.8055555555555556</v>
      </c>
      <c r="L25" s="147">
        <v>2.5555555555555554</v>
      </c>
      <c r="M25" s="147"/>
      <c r="N25" s="170">
        <v>3</v>
      </c>
      <c r="O25" s="150">
        <f t="shared" si="0"/>
        <v>43994</v>
      </c>
      <c r="P25" s="169" t="s">
        <v>3925</v>
      </c>
      <c r="Q25" s="205">
        <f t="shared" si="1"/>
        <v>2</v>
      </c>
      <c r="R25" s="149"/>
      <c r="S25" s="210"/>
      <c r="T25" s="133"/>
      <c r="U25" s="149"/>
      <c r="V25" s="149"/>
      <c r="W25" s="149"/>
      <c r="X25" s="149"/>
      <c r="Y25" s="149"/>
      <c r="Z25" s="149"/>
      <c r="AA25" s="149"/>
    </row>
    <row r="26" spans="1:27" s="59" customFormat="1">
      <c r="A26" s="182" t="s">
        <v>974</v>
      </c>
      <c r="B26" s="182" t="s">
        <v>3659</v>
      </c>
      <c r="C26" s="182" t="s">
        <v>1665</v>
      </c>
      <c r="D26" s="182" t="s">
        <v>3230</v>
      </c>
      <c r="E26" s="182" t="s">
        <v>3231</v>
      </c>
      <c r="F26" s="182" t="s">
        <v>1669</v>
      </c>
      <c r="G26" s="182" t="s">
        <v>18</v>
      </c>
      <c r="H26" s="182" t="s">
        <v>30</v>
      </c>
      <c r="I26" s="182">
        <v>200</v>
      </c>
      <c r="J26" s="182" t="s">
        <v>3665</v>
      </c>
      <c r="K26" s="147">
        <v>5.5555555555555554</v>
      </c>
      <c r="L26" s="147">
        <v>6.3055555555555554</v>
      </c>
      <c r="M26" s="147"/>
      <c r="N26" s="171">
        <v>3</v>
      </c>
      <c r="O26" s="150">
        <f t="shared" si="0"/>
        <v>43994</v>
      </c>
      <c r="P26" s="169" t="s">
        <v>3849</v>
      </c>
      <c r="Q26" s="205">
        <f t="shared" si="1"/>
        <v>4</v>
      </c>
      <c r="R26" s="149"/>
      <c r="S26" s="210"/>
      <c r="T26" s="133"/>
      <c r="U26" s="149"/>
      <c r="V26" s="149"/>
      <c r="W26" s="149"/>
      <c r="X26" s="149"/>
      <c r="Y26" s="149"/>
      <c r="Z26" s="149"/>
      <c r="AA26" s="149"/>
    </row>
    <row r="27" spans="1:27" s="59" customFormat="1">
      <c r="A27" s="182" t="s">
        <v>1663</v>
      </c>
      <c r="B27" s="182" t="s">
        <v>343</v>
      </c>
      <c r="C27" s="182" t="s">
        <v>1665</v>
      </c>
      <c r="D27" s="182" t="s">
        <v>1667</v>
      </c>
      <c r="E27" s="182" t="s">
        <v>1668</v>
      </c>
      <c r="F27" s="182" t="s">
        <v>1669</v>
      </c>
      <c r="G27" s="182" t="s">
        <v>18</v>
      </c>
      <c r="H27" s="182" t="s">
        <v>1298</v>
      </c>
      <c r="I27" s="182">
        <v>80</v>
      </c>
      <c r="J27" s="182" t="s">
        <v>3659</v>
      </c>
      <c r="K27" s="147">
        <v>2.2222222222222223</v>
      </c>
      <c r="L27" s="147">
        <v>2.9722222222222223</v>
      </c>
      <c r="M27" s="147"/>
      <c r="N27" s="170">
        <v>4</v>
      </c>
      <c r="O27" s="150">
        <f t="shared" si="0"/>
        <v>43995</v>
      </c>
      <c r="P27" s="169" t="s">
        <v>3925</v>
      </c>
      <c r="Q27" s="205">
        <f t="shared" si="1"/>
        <v>2</v>
      </c>
      <c r="R27" s="149"/>
      <c r="S27" s="210"/>
      <c r="T27" s="133"/>
      <c r="U27" s="149"/>
      <c r="V27" s="149"/>
      <c r="W27" s="149"/>
      <c r="X27" s="149"/>
      <c r="Y27" s="149"/>
      <c r="Z27" s="149"/>
      <c r="AA27" s="149"/>
    </row>
    <row r="28" spans="1:27" s="59" customFormat="1">
      <c r="A28" s="182" t="s">
        <v>2201</v>
      </c>
      <c r="B28" s="182" t="s">
        <v>343</v>
      </c>
      <c r="C28" s="182" t="s">
        <v>1665</v>
      </c>
      <c r="D28" s="182" t="s">
        <v>2203</v>
      </c>
      <c r="E28" s="182" t="s">
        <v>2204</v>
      </c>
      <c r="F28" s="182" t="s">
        <v>2205</v>
      </c>
      <c r="G28" s="182" t="s">
        <v>18</v>
      </c>
      <c r="H28" s="182" t="s">
        <v>1298</v>
      </c>
      <c r="I28" s="182">
        <v>95</v>
      </c>
      <c r="J28" s="182" t="s">
        <v>3659</v>
      </c>
      <c r="K28" s="147">
        <v>2.6388888888888888</v>
      </c>
      <c r="L28" s="147">
        <v>3.3888888888888888</v>
      </c>
      <c r="M28" s="147"/>
      <c r="N28" s="170">
        <v>4</v>
      </c>
      <c r="O28" s="150">
        <f t="shared" si="0"/>
        <v>43995</v>
      </c>
      <c r="P28" s="169" t="s">
        <v>3939</v>
      </c>
      <c r="Q28" s="205">
        <f t="shared" si="1"/>
        <v>2</v>
      </c>
      <c r="R28" s="149"/>
      <c r="S28" s="210"/>
      <c r="T28" s="133"/>
      <c r="U28" s="149"/>
      <c r="V28" s="149"/>
      <c r="W28" s="149"/>
      <c r="X28" s="149"/>
      <c r="Y28" s="149"/>
      <c r="Z28" s="149"/>
      <c r="AA28" s="149"/>
    </row>
    <row r="29" spans="1:27" s="59" customFormat="1">
      <c r="A29" s="182" t="s">
        <v>2812</v>
      </c>
      <c r="B29" s="182" t="s">
        <v>343</v>
      </c>
      <c r="C29" s="182" t="s">
        <v>1665</v>
      </c>
      <c r="D29" s="182" t="s">
        <v>2813</v>
      </c>
      <c r="E29" s="182" t="s">
        <v>2814</v>
      </c>
      <c r="F29" s="182" t="s">
        <v>1669</v>
      </c>
      <c r="G29" s="182" t="s">
        <v>18</v>
      </c>
      <c r="H29" s="182" t="s">
        <v>1298</v>
      </c>
      <c r="I29" s="182">
        <v>92</v>
      </c>
      <c r="J29" s="182" t="s">
        <v>3659</v>
      </c>
      <c r="K29" s="147">
        <v>2.5555555555555554</v>
      </c>
      <c r="L29" s="147">
        <v>3.3055555555555554</v>
      </c>
      <c r="M29" s="147"/>
      <c r="N29" s="170">
        <v>6</v>
      </c>
      <c r="O29" s="150">
        <f t="shared" si="0"/>
        <v>43997</v>
      </c>
      <c r="P29" s="169" t="s">
        <v>3842</v>
      </c>
      <c r="Q29" s="205">
        <f t="shared" si="1"/>
        <v>2</v>
      </c>
      <c r="R29" s="149"/>
      <c r="S29" s="210"/>
      <c r="T29" s="133"/>
      <c r="U29" s="149"/>
      <c r="V29" s="149"/>
      <c r="W29" s="149"/>
      <c r="X29" s="149"/>
      <c r="Y29" s="149"/>
      <c r="Z29" s="149"/>
      <c r="AA29" s="149"/>
    </row>
    <row r="30" spans="1:27" s="60" customFormat="1">
      <c r="A30" s="182" t="s">
        <v>884</v>
      </c>
      <c r="B30" s="182" t="s">
        <v>3659</v>
      </c>
      <c r="C30" s="182" t="s">
        <v>1442</v>
      </c>
      <c r="D30" s="182" t="s">
        <v>3115</v>
      </c>
      <c r="E30" s="182" t="s">
        <v>3116</v>
      </c>
      <c r="F30" s="182" t="s">
        <v>3117</v>
      </c>
      <c r="G30" s="182" t="s">
        <v>18</v>
      </c>
      <c r="H30" s="182" t="s">
        <v>30</v>
      </c>
      <c r="I30" s="182">
        <v>150</v>
      </c>
      <c r="J30" s="182" t="s">
        <v>887</v>
      </c>
      <c r="K30" s="147">
        <v>4.166666666666667</v>
      </c>
      <c r="L30" s="147">
        <v>4.916666666666667</v>
      </c>
      <c r="M30" s="147"/>
      <c r="N30" s="170">
        <v>6</v>
      </c>
      <c r="O30" s="150">
        <f t="shared" si="0"/>
        <v>43997</v>
      </c>
      <c r="P30" s="169" t="s">
        <v>3843</v>
      </c>
      <c r="Q30" s="205">
        <f t="shared" si="1"/>
        <v>3</v>
      </c>
      <c r="R30" s="182"/>
      <c r="S30" s="61"/>
      <c r="T30" s="61"/>
      <c r="U30" s="182"/>
      <c r="V30" s="182"/>
      <c r="W30" s="182"/>
      <c r="X30" s="182"/>
      <c r="Y30" s="182"/>
      <c r="Z30" s="182"/>
      <c r="AA30" s="182"/>
    </row>
    <row r="31" spans="1:27" s="59" customFormat="1">
      <c r="A31" s="182" t="s">
        <v>1086</v>
      </c>
      <c r="B31" s="182" t="s">
        <v>3659</v>
      </c>
      <c r="C31" s="182" t="s">
        <v>1442</v>
      </c>
      <c r="D31" s="182" t="s">
        <v>1774</v>
      </c>
      <c r="E31" s="182" t="s">
        <v>1775</v>
      </c>
      <c r="F31" s="182" t="s">
        <v>1445</v>
      </c>
      <c r="G31" s="182" t="s">
        <v>18</v>
      </c>
      <c r="H31" s="182" t="s">
        <v>30</v>
      </c>
      <c r="I31" s="182">
        <v>125</v>
      </c>
      <c r="J31" s="182" t="s">
        <v>3665</v>
      </c>
      <c r="K31" s="147">
        <v>3.4722222222222223</v>
      </c>
      <c r="L31" s="147">
        <v>4.2222222222222223</v>
      </c>
      <c r="M31" s="147"/>
      <c r="N31" s="170">
        <v>7</v>
      </c>
      <c r="O31" s="150">
        <f t="shared" si="0"/>
        <v>43998</v>
      </c>
      <c r="P31" s="169" t="s">
        <v>3867</v>
      </c>
      <c r="Q31" s="205">
        <f t="shared" si="1"/>
        <v>3</v>
      </c>
      <c r="R31" s="149"/>
      <c r="S31" s="210"/>
      <c r="T31" s="133"/>
      <c r="U31" s="149"/>
      <c r="V31" s="149"/>
      <c r="W31" s="149"/>
      <c r="X31" s="149"/>
      <c r="Y31" s="149"/>
      <c r="Z31" s="149"/>
      <c r="AA31" s="149"/>
    </row>
    <row r="32" spans="1:27" s="59" customFormat="1">
      <c r="A32" s="182" t="s">
        <v>365</v>
      </c>
      <c r="B32" s="182" t="s">
        <v>2027</v>
      </c>
      <c r="C32" s="182" t="s">
        <v>1442</v>
      </c>
      <c r="D32" s="182" t="s">
        <v>2029</v>
      </c>
      <c r="E32" s="182" t="s">
        <v>2030</v>
      </c>
      <c r="F32" s="182" t="s">
        <v>1445</v>
      </c>
      <c r="G32" s="182" t="s">
        <v>18</v>
      </c>
      <c r="H32" s="182" t="s">
        <v>19</v>
      </c>
      <c r="I32" s="182">
        <v>145</v>
      </c>
      <c r="J32" s="182" t="s">
        <v>369</v>
      </c>
      <c r="K32" s="147">
        <v>4.0277777777777777</v>
      </c>
      <c r="L32" s="147">
        <v>4.7777777777777777</v>
      </c>
      <c r="M32" s="147"/>
      <c r="N32" s="170">
        <v>7</v>
      </c>
      <c r="O32" s="150">
        <f t="shared" si="0"/>
        <v>43998</v>
      </c>
      <c r="P32" s="169" t="s">
        <v>3940</v>
      </c>
      <c r="Q32" s="205">
        <f t="shared" si="1"/>
        <v>3</v>
      </c>
      <c r="R32" s="149"/>
      <c r="S32" s="210"/>
      <c r="T32" s="133"/>
      <c r="U32" s="149"/>
      <c r="V32" s="149"/>
      <c r="W32" s="149"/>
      <c r="X32" s="149"/>
      <c r="Y32" s="149"/>
      <c r="Z32" s="149"/>
      <c r="AA32" s="149"/>
    </row>
    <row r="33" spans="1:20" s="59" customFormat="1">
      <c r="A33" s="182" t="s">
        <v>3038</v>
      </c>
      <c r="B33" s="182" t="s">
        <v>1312</v>
      </c>
      <c r="C33" s="182" t="s">
        <v>1442</v>
      </c>
      <c r="D33" s="182" t="s">
        <v>3039</v>
      </c>
      <c r="E33" s="182" t="s">
        <v>3040</v>
      </c>
      <c r="F33" s="182" t="s">
        <v>3041</v>
      </c>
      <c r="G33" s="182" t="s">
        <v>18</v>
      </c>
      <c r="H33" s="182" t="s">
        <v>1298</v>
      </c>
      <c r="I33" s="182">
        <v>141</v>
      </c>
      <c r="J33" s="182" t="s">
        <v>3659</v>
      </c>
      <c r="K33" s="147">
        <v>3.9166666666666665</v>
      </c>
      <c r="L33" s="147">
        <v>4.6666666666666661</v>
      </c>
      <c r="M33" s="147"/>
      <c r="N33" s="170">
        <v>8</v>
      </c>
      <c r="O33" s="150">
        <f t="shared" si="0"/>
        <v>43999</v>
      </c>
      <c r="P33" s="169" t="s">
        <v>3867</v>
      </c>
      <c r="Q33" s="205">
        <f t="shared" si="1"/>
        <v>3</v>
      </c>
      <c r="R33" s="149"/>
      <c r="S33" s="210"/>
      <c r="T33" s="133"/>
    </row>
    <row r="34" spans="1:20" s="59" customFormat="1">
      <c r="A34" s="182" t="s">
        <v>1440</v>
      </c>
      <c r="B34" s="182" t="s">
        <v>1312</v>
      </c>
      <c r="C34" s="182" t="s">
        <v>1442</v>
      </c>
      <c r="D34" s="182" t="s">
        <v>1443</v>
      </c>
      <c r="E34" s="182" t="s">
        <v>1444</v>
      </c>
      <c r="F34" s="182" t="s">
        <v>1445</v>
      </c>
      <c r="G34" s="182" t="s">
        <v>18</v>
      </c>
      <c r="H34" s="182" t="s">
        <v>1298</v>
      </c>
      <c r="I34" s="182">
        <v>137</v>
      </c>
      <c r="J34" s="182" t="s">
        <v>3659</v>
      </c>
      <c r="K34" s="147">
        <v>3.8055555555555554</v>
      </c>
      <c r="L34" s="147">
        <v>4.5555555555555554</v>
      </c>
      <c r="M34" s="147"/>
      <c r="N34" s="170">
        <v>8</v>
      </c>
      <c r="O34" s="150">
        <f t="shared" si="0"/>
        <v>43999</v>
      </c>
      <c r="P34" s="169" t="s">
        <v>3940</v>
      </c>
      <c r="Q34" s="205">
        <f t="shared" si="1"/>
        <v>3</v>
      </c>
      <c r="R34" s="149"/>
      <c r="S34" s="210"/>
      <c r="T34" s="133"/>
    </row>
    <row r="35" spans="1:20" s="59" customFormat="1">
      <c r="A35" s="182" t="s">
        <v>677</v>
      </c>
      <c r="B35" s="182" t="s">
        <v>1527</v>
      </c>
      <c r="C35" s="182" t="s">
        <v>1442</v>
      </c>
      <c r="D35" s="182" t="s">
        <v>2606</v>
      </c>
      <c r="E35" s="182" t="s">
        <v>2607</v>
      </c>
      <c r="F35" s="182" t="s">
        <v>1445</v>
      </c>
      <c r="G35" s="182" t="s">
        <v>18</v>
      </c>
      <c r="H35" s="182" t="s">
        <v>30</v>
      </c>
      <c r="I35" s="182">
        <v>126</v>
      </c>
      <c r="J35" s="182" t="s">
        <v>3659</v>
      </c>
      <c r="K35" s="147">
        <v>3.5</v>
      </c>
      <c r="L35" s="147">
        <v>4.25</v>
      </c>
      <c r="M35" s="147"/>
      <c r="N35" s="170">
        <v>9</v>
      </c>
      <c r="O35" s="150">
        <f t="shared" si="0"/>
        <v>44000</v>
      </c>
      <c r="P35" s="169" t="s">
        <v>3867</v>
      </c>
      <c r="Q35" s="205">
        <f t="shared" si="1"/>
        <v>3</v>
      </c>
      <c r="R35" s="149"/>
      <c r="S35" s="210"/>
      <c r="T35" s="133"/>
    </row>
    <row r="36" spans="1:20" s="59" customFormat="1">
      <c r="A36" s="182" t="s">
        <v>2094</v>
      </c>
      <c r="B36" s="182" t="s">
        <v>1312</v>
      </c>
      <c r="C36" s="182" t="s">
        <v>2088</v>
      </c>
      <c r="D36" s="182" t="s">
        <v>2095</v>
      </c>
      <c r="E36" s="182" t="s">
        <v>2096</v>
      </c>
      <c r="F36" s="182" t="s">
        <v>2093</v>
      </c>
      <c r="G36" s="182" t="s">
        <v>18</v>
      </c>
      <c r="H36" s="182" t="s">
        <v>30</v>
      </c>
      <c r="I36" s="182">
        <v>121</v>
      </c>
      <c r="J36" s="182" t="s">
        <v>3665</v>
      </c>
      <c r="K36" s="147">
        <v>3.3611111111111112</v>
      </c>
      <c r="L36" s="147">
        <v>4.1111111111111107</v>
      </c>
      <c r="M36" s="147"/>
      <c r="N36" s="170">
        <v>9</v>
      </c>
      <c r="O36" s="150">
        <f t="shared" si="0"/>
        <v>44000</v>
      </c>
      <c r="P36" s="169" t="s">
        <v>3901</v>
      </c>
      <c r="Q36" s="205">
        <f t="shared" si="1"/>
        <v>3</v>
      </c>
      <c r="R36" s="149"/>
      <c r="S36" s="210"/>
      <c r="T36" s="133"/>
    </row>
    <row r="37" spans="1:20" s="59" customFormat="1">
      <c r="A37" s="182" t="s">
        <v>2294</v>
      </c>
      <c r="B37" s="182" t="s">
        <v>1303</v>
      </c>
      <c r="C37" s="182" t="s">
        <v>3941</v>
      </c>
      <c r="D37" s="182" t="s">
        <v>3665</v>
      </c>
      <c r="E37" s="182" t="s">
        <v>3942</v>
      </c>
      <c r="F37" s="182" t="s">
        <v>3943</v>
      </c>
      <c r="G37" s="182" t="s">
        <v>18</v>
      </c>
      <c r="H37" s="182" t="s">
        <v>1298</v>
      </c>
      <c r="I37" s="182">
        <v>79</v>
      </c>
      <c r="J37" s="146" t="s">
        <v>3659</v>
      </c>
      <c r="K37" s="147">
        <v>2.1944444444444446</v>
      </c>
      <c r="L37" s="147">
        <v>2.9444444444444446</v>
      </c>
      <c r="M37" s="147"/>
      <c r="N37" s="170">
        <v>10</v>
      </c>
      <c r="O37" s="150">
        <f t="shared" si="0"/>
        <v>44001</v>
      </c>
      <c r="P37" s="169" t="s">
        <v>3944</v>
      </c>
      <c r="Q37" s="205">
        <f t="shared" si="1"/>
        <v>2</v>
      </c>
      <c r="R37" s="149"/>
      <c r="S37" s="210"/>
      <c r="T37" s="133"/>
    </row>
    <row r="38" spans="1:20" s="59" customFormat="1">
      <c r="A38" s="182" t="s">
        <v>3945</v>
      </c>
      <c r="B38" s="182" t="s">
        <v>2423</v>
      </c>
      <c r="C38" s="182" t="s">
        <v>1371</v>
      </c>
      <c r="D38" s="182" t="s">
        <v>2511</v>
      </c>
      <c r="E38" s="182" t="s">
        <v>2512</v>
      </c>
      <c r="F38" s="182" t="s">
        <v>2513</v>
      </c>
      <c r="G38" s="182" t="s">
        <v>18</v>
      </c>
      <c r="H38" s="182" t="s">
        <v>1298</v>
      </c>
      <c r="I38" s="182">
        <v>76</v>
      </c>
      <c r="J38" s="146" t="s">
        <v>3665</v>
      </c>
      <c r="K38" s="147">
        <v>2.1111111111111112</v>
      </c>
      <c r="L38" s="147">
        <v>2.8611111111111112</v>
      </c>
      <c r="M38" s="148"/>
      <c r="N38" s="170">
        <v>10</v>
      </c>
      <c r="O38" s="150">
        <f t="shared" si="0"/>
        <v>44001</v>
      </c>
      <c r="P38" s="169" t="s">
        <v>3946</v>
      </c>
      <c r="Q38" s="205">
        <f t="shared" si="1"/>
        <v>2</v>
      </c>
      <c r="R38" s="149"/>
      <c r="S38" s="210"/>
      <c r="T38" s="133"/>
    </row>
    <row r="39" spans="1:20" s="149" customFormat="1">
      <c r="A39" s="182" t="s">
        <v>248</v>
      </c>
      <c r="B39" s="182" t="s">
        <v>3659</v>
      </c>
      <c r="C39" s="182" t="s">
        <v>1371</v>
      </c>
      <c r="D39" s="182" t="s">
        <v>1714</v>
      </c>
      <c r="E39" s="182" t="s">
        <v>1715</v>
      </c>
      <c r="F39" s="182" t="s">
        <v>1716</v>
      </c>
      <c r="G39" s="182" t="s">
        <v>18</v>
      </c>
      <c r="H39" s="182" t="s">
        <v>19</v>
      </c>
      <c r="I39" s="182">
        <v>60</v>
      </c>
      <c r="J39" s="146" t="s">
        <v>3665</v>
      </c>
      <c r="K39" s="147">
        <v>1.6666666666666667</v>
      </c>
      <c r="L39" s="147">
        <v>2.416666666666667</v>
      </c>
      <c r="M39" s="147"/>
      <c r="N39" s="170">
        <v>11</v>
      </c>
      <c r="O39" s="150">
        <f t="shared" si="0"/>
        <v>44002</v>
      </c>
      <c r="P39" s="169" t="s">
        <v>3871</v>
      </c>
      <c r="Q39" s="205">
        <f t="shared" si="1"/>
        <v>2</v>
      </c>
      <c r="S39" s="210"/>
      <c r="T39" s="133"/>
    </row>
    <row r="40" spans="1:20" s="149" customFormat="1">
      <c r="A40" s="182" t="s">
        <v>3276</v>
      </c>
      <c r="B40" s="182" t="s">
        <v>343</v>
      </c>
      <c r="C40" s="182" t="s">
        <v>1371</v>
      </c>
      <c r="D40" s="182" t="s">
        <v>3277</v>
      </c>
      <c r="E40" s="182" t="s">
        <v>3278</v>
      </c>
      <c r="F40" s="182" t="s">
        <v>1716</v>
      </c>
      <c r="G40" s="182" t="s">
        <v>18</v>
      </c>
      <c r="H40" s="182" t="s">
        <v>1298</v>
      </c>
      <c r="I40" s="182">
        <v>52</v>
      </c>
      <c r="J40" s="146" t="s">
        <v>3659</v>
      </c>
      <c r="K40" s="147">
        <v>1.4444444444444444</v>
      </c>
      <c r="L40" s="147">
        <v>2.1944444444444446</v>
      </c>
      <c r="M40" s="147"/>
      <c r="N40" s="170">
        <v>11</v>
      </c>
      <c r="O40" s="150">
        <f t="shared" si="0"/>
        <v>44002</v>
      </c>
      <c r="P40" s="169" t="s">
        <v>3947</v>
      </c>
      <c r="Q40" s="205">
        <f t="shared" si="1"/>
        <v>2</v>
      </c>
      <c r="S40" s="210"/>
      <c r="T40" s="133"/>
    </row>
    <row r="41" spans="1:20" s="353" customFormat="1">
      <c r="A41" s="348" t="s">
        <v>387</v>
      </c>
      <c r="B41" s="348" t="s">
        <v>1288</v>
      </c>
      <c r="C41" s="348" t="s">
        <v>2088</v>
      </c>
      <c r="D41" s="348" t="s">
        <v>2091</v>
      </c>
      <c r="E41" s="348" t="s">
        <v>2092</v>
      </c>
      <c r="F41" s="348" t="s">
        <v>2093</v>
      </c>
      <c r="G41" s="348" t="s">
        <v>91</v>
      </c>
      <c r="H41" s="348" t="s">
        <v>30</v>
      </c>
      <c r="I41" s="348">
        <v>95</v>
      </c>
      <c r="J41" s="348" t="s">
        <v>3659</v>
      </c>
      <c r="K41" s="349">
        <v>6.25</v>
      </c>
      <c r="L41" s="349">
        <v>8.75</v>
      </c>
      <c r="M41" s="349" t="s">
        <v>3631</v>
      </c>
      <c r="N41" s="351">
        <v>1</v>
      </c>
      <c r="O41" s="360">
        <v>44005</v>
      </c>
      <c r="P41" s="353" t="s">
        <v>6940</v>
      </c>
      <c r="Q41" s="351">
        <f t="shared" si="1"/>
        <v>2</v>
      </c>
      <c r="S41" s="351"/>
      <c r="T41" s="351"/>
    </row>
    <row r="42" spans="1:20" s="353" customFormat="1">
      <c r="A42" s="348" t="s">
        <v>621</v>
      </c>
      <c r="B42" s="348" t="s">
        <v>3659</v>
      </c>
      <c r="C42" s="348" t="s">
        <v>1665</v>
      </c>
      <c r="D42" s="348" t="s">
        <v>2368</v>
      </c>
      <c r="E42" s="348" t="s">
        <v>2369</v>
      </c>
      <c r="F42" s="348" t="s">
        <v>2370</v>
      </c>
      <c r="G42" s="348" t="s">
        <v>91</v>
      </c>
      <c r="H42" s="348" t="s">
        <v>3659</v>
      </c>
      <c r="I42" s="348">
        <v>60</v>
      </c>
      <c r="J42" s="348" t="s">
        <v>626</v>
      </c>
      <c r="K42" s="349">
        <v>6.25</v>
      </c>
      <c r="L42" s="349">
        <v>8.75</v>
      </c>
      <c r="M42" s="349" t="s">
        <v>3631</v>
      </c>
      <c r="N42" s="351">
        <v>2</v>
      </c>
      <c r="O42" s="360">
        <v>44006</v>
      </c>
      <c r="P42" s="353" t="s">
        <v>6940</v>
      </c>
      <c r="Q42" s="351">
        <f t="shared" si="1"/>
        <v>2</v>
      </c>
      <c r="S42" s="351"/>
      <c r="T42" s="351"/>
    </row>
    <row r="43" spans="1:20" s="353" customFormat="1">
      <c r="A43" s="348" t="s">
        <v>3185</v>
      </c>
      <c r="B43" s="348" t="s">
        <v>1288</v>
      </c>
      <c r="C43" s="348" t="s">
        <v>1665</v>
      </c>
      <c r="D43" s="348" t="s">
        <v>3186</v>
      </c>
      <c r="E43" s="348" t="s">
        <v>3187</v>
      </c>
      <c r="F43" s="348" t="s">
        <v>1669</v>
      </c>
      <c r="G43" s="348" t="s">
        <v>91</v>
      </c>
      <c r="H43" s="348" t="s">
        <v>30</v>
      </c>
      <c r="I43" s="348">
        <v>68</v>
      </c>
      <c r="J43" s="348" t="s">
        <v>3659</v>
      </c>
      <c r="K43" s="349">
        <v>6.25</v>
      </c>
      <c r="L43" s="349">
        <v>8.75</v>
      </c>
      <c r="M43" s="349" t="s">
        <v>3631</v>
      </c>
      <c r="N43" s="351">
        <v>3</v>
      </c>
      <c r="O43" s="360">
        <v>44007</v>
      </c>
      <c r="P43" s="353" t="s">
        <v>6940</v>
      </c>
      <c r="Q43" s="351">
        <f t="shared" si="1"/>
        <v>2</v>
      </c>
      <c r="S43" s="351"/>
      <c r="T43" s="351"/>
    </row>
    <row r="44" spans="1:20" s="353" customFormat="1">
      <c r="A44" s="348" t="s">
        <v>2867</v>
      </c>
      <c r="B44" s="348" t="s">
        <v>1288</v>
      </c>
      <c r="C44" s="348" t="s">
        <v>1665</v>
      </c>
      <c r="D44" s="348" t="s">
        <v>2870</v>
      </c>
      <c r="E44" s="348" t="s">
        <v>2871</v>
      </c>
      <c r="F44" s="348" t="s">
        <v>2370</v>
      </c>
      <c r="G44" s="348" t="s">
        <v>91</v>
      </c>
      <c r="H44" s="348" t="s">
        <v>30</v>
      </c>
      <c r="I44" s="348">
        <v>75</v>
      </c>
      <c r="J44" s="348" t="s">
        <v>3659</v>
      </c>
      <c r="K44" s="349">
        <v>6.25</v>
      </c>
      <c r="L44" s="349">
        <v>8.75</v>
      </c>
      <c r="M44" s="349" t="s">
        <v>3631</v>
      </c>
      <c r="N44" s="351">
        <v>4</v>
      </c>
      <c r="O44" s="360">
        <v>44008</v>
      </c>
      <c r="P44" s="353" t="s">
        <v>6940</v>
      </c>
      <c r="Q44" s="351">
        <f t="shared" si="1"/>
        <v>2</v>
      </c>
      <c r="S44" s="351"/>
      <c r="T44" s="351"/>
    </row>
    <row r="45" spans="1:20" s="353" customFormat="1">
      <c r="A45" s="348" t="s">
        <v>2901</v>
      </c>
      <c r="B45" s="348" t="s">
        <v>1624</v>
      </c>
      <c r="C45" s="348" t="s">
        <v>2356</v>
      </c>
      <c r="D45" s="348" t="s">
        <v>2903</v>
      </c>
      <c r="E45" s="348" t="s">
        <v>2904</v>
      </c>
      <c r="F45" s="348" t="s">
        <v>2905</v>
      </c>
      <c r="G45" s="348" t="s">
        <v>91</v>
      </c>
      <c r="H45" s="348"/>
      <c r="I45" s="348">
        <v>30</v>
      </c>
      <c r="J45" s="348" t="s">
        <v>3665</v>
      </c>
      <c r="K45" s="349">
        <v>3.125</v>
      </c>
      <c r="L45" s="349">
        <v>5.625</v>
      </c>
      <c r="M45" s="349" t="s">
        <v>3631</v>
      </c>
      <c r="N45" s="351">
        <v>5</v>
      </c>
      <c r="O45" s="360">
        <v>44009</v>
      </c>
      <c r="P45" s="353" t="s">
        <v>3850</v>
      </c>
      <c r="Q45" s="351">
        <f t="shared" si="1"/>
        <v>1</v>
      </c>
      <c r="S45" s="351"/>
      <c r="T45" s="351"/>
    </row>
    <row r="46" spans="1:20" s="358" customFormat="1">
      <c r="A46" s="355" t="s">
        <v>490</v>
      </c>
      <c r="B46" s="355" t="s">
        <v>1288</v>
      </c>
      <c r="C46" s="355" t="s">
        <v>2088</v>
      </c>
      <c r="D46" s="355" t="s">
        <v>2235</v>
      </c>
      <c r="E46" s="355" t="s">
        <v>2236</v>
      </c>
      <c r="F46" s="355" t="s">
        <v>2093</v>
      </c>
      <c r="G46" s="355" t="s">
        <v>91</v>
      </c>
      <c r="H46" s="355" t="s">
        <v>30</v>
      </c>
      <c r="I46" s="355">
        <v>200</v>
      </c>
      <c r="J46" s="355" t="s">
        <v>3659</v>
      </c>
      <c r="K46" s="356">
        <v>12.5</v>
      </c>
      <c r="L46" s="356">
        <v>15</v>
      </c>
      <c r="M46" s="356" t="s">
        <v>3608</v>
      </c>
      <c r="N46" s="357" t="s">
        <v>3736</v>
      </c>
      <c r="O46" s="361" t="s">
        <v>6922</v>
      </c>
      <c r="P46" s="358" t="s">
        <v>3863</v>
      </c>
      <c r="Q46" s="357">
        <f t="shared" si="1"/>
        <v>4</v>
      </c>
      <c r="S46" s="357"/>
      <c r="T46" s="357"/>
    </row>
    <row r="47" spans="1:20" s="358" customFormat="1">
      <c r="A47" s="355" t="s">
        <v>2821</v>
      </c>
      <c r="B47" s="355" t="s">
        <v>1288</v>
      </c>
      <c r="C47" s="355" t="s">
        <v>1442</v>
      </c>
      <c r="D47" s="355" t="s">
        <v>2824</v>
      </c>
      <c r="E47" s="355" t="s">
        <v>2825</v>
      </c>
      <c r="F47" s="355" t="s">
        <v>1445</v>
      </c>
      <c r="G47" s="355" t="s">
        <v>91</v>
      </c>
      <c r="H47" s="355" t="s">
        <v>30</v>
      </c>
      <c r="I47" s="355">
        <v>108</v>
      </c>
      <c r="J47" s="355" t="s">
        <v>3659</v>
      </c>
      <c r="K47" s="356">
        <v>9.375</v>
      </c>
      <c r="L47" s="356">
        <v>11.875</v>
      </c>
      <c r="M47" s="356" t="s">
        <v>3608</v>
      </c>
      <c r="N47" s="357">
        <v>5</v>
      </c>
      <c r="O47" s="361">
        <v>44009</v>
      </c>
      <c r="P47" s="358" t="s">
        <v>3985</v>
      </c>
      <c r="Q47" s="357">
        <f t="shared" si="1"/>
        <v>3</v>
      </c>
      <c r="S47" s="357"/>
      <c r="T47" s="357"/>
    </row>
    <row r="48" spans="1:20" s="358" customFormat="1">
      <c r="A48" s="355" t="s">
        <v>2916</v>
      </c>
      <c r="B48" s="355" t="s">
        <v>3659</v>
      </c>
      <c r="C48" s="355" t="s">
        <v>1442</v>
      </c>
      <c r="D48" s="355" t="s">
        <v>2918</v>
      </c>
      <c r="E48" s="355" t="s">
        <v>2919</v>
      </c>
      <c r="F48" s="355" t="s">
        <v>1445</v>
      </c>
      <c r="G48" s="355" t="s">
        <v>91</v>
      </c>
      <c r="H48" s="355"/>
      <c r="I48" s="355">
        <v>155</v>
      </c>
      <c r="J48" s="355" t="s">
        <v>3665</v>
      </c>
      <c r="K48" s="356">
        <v>12.5</v>
      </c>
      <c r="L48" s="356">
        <v>15</v>
      </c>
      <c r="M48" s="356" t="s">
        <v>3608</v>
      </c>
      <c r="N48" s="357" t="s">
        <v>3733</v>
      </c>
      <c r="O48" s="361" t="s">
        <v>3734</v>
      </c>
      <c r="P48" s="358" t="s">
        <v>3863</v>
      </c>
      <c r="Q48" s="357">
        <f t="shared" si="1"/>
        <v>4</v>
      </c>
      <c r="S48" s="357"/>
      <c r="T48" s="357"/>
    </row>
    <row r="49" spans="1:27" s="141" customFormat="1">
      <c r="A49" s="140" t="s">
        <v>2577</v>
      </c>
      <c r="B49" s="140" t="s">
        <v>1646</v>
      </c>
      <c r="C49" s="140" t="s">
        <v>1259</v>
      </c>
      <c r="D49" s="266" t="s">
        <v>3948</v>
      </c>
      <c r="E49" s="140" t="s">
        <v>2578</v>
      </c>
      <c r="F49" s="140" t="s">
        <v>3949</v>
      </c>
      <c r="G49" s="140" t="s">
        <v>54</v>
      </c>
      <c r="H49" s="140"/>
      <c r="I49" s="140"/>
      <c r="J49" s="140" t="s">
        <v>3665</v>
      </c>
      <c r="K49" s="164"/>
      <c r="L49" s="164"/>
      <c r="M49" s="164"/>
      <c r="N49" s="215"/>
      <c r="O49" s="216"/>
      <c r="P49" s="140"/>
      <c r="Q49" s="217"/>
      <c r="S49" s="52"/>
      <c r="T49" s="165"/>
    </row>
    <row r="50" spans="1:27" s="252" customFormat="1">
      <c r="A50" s="140" t="s">
        <v>406</v>
      </c>
      <c r="B50" s="140" t="s">
        <v>2119</v>
      </c>
      <c r="C50" s="140" t="s">
        <v>1259</v>
      </c>
      <c r="D50" s="140" t="s">
        <v>2121</v>
      </c>
      <c r="E50" s="140" t="s">
        <v>2122</v>
      </c>
      <c r="F50" s="140" t="s">
        <v>1392</v>
      </c>
      <c r="G50" s="140" t="s">
        <v>54</v>
      </c>
      <c r="H50" s="140" t="s">
        <v>19</v>
      </c>
      <c r="I50" s="140">
        <v>325</v>
      </c>
      <c r="J50" s="140" t="s">
        <v>3950</v>
      </c>
      <c r="K50" s="164">
        <v>9.0277777777777786</v>
      </c>
      <c r="L50" s="164">
        <v>9.7777777777777786</v>
      </c>
      <c r="M50" s="249"/>
      <c r="N50" s="215">
        <v>2</v>
      </c>
      <c r="O50" s="216">
        <f>$O$1+N50</f>
        <v>43993</v>
      </c>
      <c r="P50" s="250" t="s">
        <v>3951</v>
      </c>
      <c r="Q50" s="217">
        <f>ROUNDUP(I50/$R$2,0)</f>
        <v>7</v>
      </c>
      <c r="R50" s="166"/>
      <c r="S50" s="251"/>
      <c r="T50" s="251"/>
      <c r="U50" s="166"/>
      <c r="V50" s="166"/>
      <c r="W50" s="166"/>
      <c r="X50" s="166"/>
      <c r="Y50" s="166"/>
      <c r="Z50" s="166"/>
      <c r="AA50" s="166"/>
    </row>
    <row r="51" spans="1:27" s="252" customFormat="1" ht="15.75" hidden="1" thickBot="1">
      <c r="A51" s="140"/>
      <c r="B51" s="140"/>
      <c r="C51" s="140"/>
      <c r="D51" s="140"/>
      <c r="E51" s="140"/>
      <c r="F51" s="140"/>
      <c r="G51" s="140"/>
      <c r="H51" s="140"/>
      <c r="I51" s="140"/>
      <c r="J51" s="140"/>
      <c r="K51" s="164"/>
      <c r="L51" s="164"/>
      <c r="M51" s="249"/>
      <c r="N51" s="215"/>
      <c r="O51" s="216"/>
      <c r="P51" s="250"/>
      <c r="Q51" s="217"/>
      <c r="R51" s="166"/>
      <c r="S51" s="251"/>
      <c r="T51" s="251"/>
      <c r="U51" s="166"/>
      <c r="V51" s="166"/>
      <c r="W51" s="166"/>
      <c r="X51" s="166"/>
      <c r="Y51" s="166"/>
      <c r="Z51" s="166"/>
      <c r="AA51" s="166"/>
    </row>
    <row r="52" spans="1:27" customFormat="1" hidden="1">
      <c r="A52" s="43"/>
      <c r="B52" s="36" t="s">
        <v>3365</v>
      </c>
      <c r="C52" s="134" t="str">
        <f ca="1">IFERROR(__xludf.DUMMYFUNCTION("""COMPUTED_VALUE"""),"")</f>
        <v/>
      </c>
      <c r="D52" s="43"/>
      <c r="E52" s="44" t="s">
        <v>3366</v>
      </c>
      <c r="F52" s="50" t="s">
        <v>3367</v>
      </c>
      <c r="G52" s="36"/>
      <c r="H52" s="134" t="str">
        <f ca="1">IFERROR(__xludf.DUMMYFUNCTION("""COMPUTED_VALUE"""),"")</f>
        <v/>
      </c>
      <c r="I52" s="134" t="str">
        <f ca="1">IFERROR(__xludf.DUMMYFUNCTION("""COMPUTED_VALUE"""),"")</f>
        <v/>
      </c>
      <c r="N52" s="31"/>
      <c r="Q52" s="195"/>
      <c r="S52" s="51"/>
      <c r="T52" s="31"/>
    </row>
    <row r="53" spans="1:27" s="30" customFormat="1" ht="29.45" hidden="1" customHeight="1">
      <c r="A53" s="197" t="s">
        <v>3368</v>
      </c>
      <c r="B53" s="198">
        <v>5</v>
      </c>
      <c r="C53" s="199" t="str">
        <f ca="1">IFERROR(__xludf.DUMMYFUNCTION("""COMPUTED_VALUE"""),"")</f>
        <v/>
      </c>
      <c r="D53" s="197" t="s">
        <v>3369</v>
      </c>
      <c r="E53" s="200">
        <f>(50/$F$56)*60</f>
        <v>187.5</v>
      </c>
      <c r="F53" s="201">
        <v>15</v>
      </c>
      <c r="G53" s="202" t="s">
        <v>3370</v>
      </c>
      <c r="H53" s="199" t="str">
        <f ca="1">IFERROR(__xludf.DUMMYFUNCTION("""COMPUTED_VALUE"""),"")</f>
        <v/>
      </c>
      <c r="I53" s="203">
        <v>43992</v>
      </c>
      <c r="J53" s="203" t="s">
        <v>3952</v>
      </c>
      <c r="K53" s="203">
        <v>43993</v>
      </c>
      <c r="L53" s="203" t="s">
        <v>3952</v>
      </c>
      <c r="M53" s="203">
        <v>43994</v>
      </c>
      <c r="N53" s="203" t="s">
        <v>3952</v>
      </c>
      <c r="O53" s="203">
        <v>43995</v>
      </c>
      <c r="P53" s="203" t="s">
        <v>3952</v>
      </c>
      <c r="Q53" s="203">
        <v>43997</v>
      </c>
      <c r="R53" s="203"/>
      <c r="S53" s="206">
        <v>43998</v>
      </c>
      <c r="T53" s="206"/>
    </row>
    <row r="54" spans="1:27" customFormat="1" hidden="1">
      <c r="A54" s="45" t="s">
        <v>3371</v>
      </c>
      <c r="B54" s="48">
        <v>3</v>
      </c>
      <c r="C54" s="134" t="str">
        <f ca="1">IFERROR(__xludf.DUMMYFUNCTION("""COMPUTED_VALUE"""),"")</f>
        <v/>
      </c>
      <c r="D54" s="45" t="s">
        <v>3372</v>
      </c>
      <c r="E54" s="27">
        <f>(100/$F$56)*60</f>
        <v>375</v>
      </c>
      <c r="F54" s="37">
        <v>5</v>
      </c>
      <c r="G54" s="38" t="s">
        <v>3373</v>
      </c>
      <c r="H54" s="134" t="str">
        <f ca="1">IFERROR(__xludf.DUMMYFUNCTION("""COMPUTED_VALUE"""),"")</f>
        <v/>
      </c>
      <c r="I54" s="134">
        <f>SUM(I50,I19:I21)</f>
        <v>554</v>
      </c>
      <c r="J54" s="134">
        <f>SUM(Q50,Q19:Q21)</f>
        <v>13</v>
      </c>
      <c r="K54" s="134">
        <f>SUM(I22,I23:I24,I2)</f>
        <v>276</v>
      </c>
      <c r="L54" s="134">
        <f>SUM(Q22,Q23:Q24,Q2)</f>
        <v>7</v>
      </c>
      <c r="M54" s="134">
        <f>SUM(I25,I26,I3:I49)</f>
        <v>4731</v>
      </c>
      <c r="N54" s="134">
        <f>SUM(Q25,Q26,Q3:Q49)</f>
        <v>116</v>
      </c>
      <c r="O54" s="134">
        <f>SUM(I5:I7,I27:I28)</f>
        <v>360</v>
      </c>
      <c r="P54" s="134">
        <f>SUM(Q5:Q7,Q27:Q28)</f>
        <v>9</v>
      </c>
      <c r="Q54" s="4">
        <f>SUM(I8:I9,I29:I30)</f>
        <v>501</v>
      </c>
      <c r="R54" s="134">
        <f>SUM(Q8:Q9,Q29:Q30)</f>
        <v>11</v>
      </c>
      <c r="S54" s="135">
        <f>SUM(I31,I32,I10:I12)</f>
        <v>527</v>
      </c>
      <c r="T54" s="135">
        <f>SUM(Q31,Q32,Q10:Q12)</f>
        <v>13</v>
      </c>
    </row>
    <row r="55" spans="1:27" customFormat="1" hidden="1">
      <c r="A55" s="45" t="s">
        <v>3374</v>
      </c>
      <c r="B55" s="48">
        <v>15</v>
      </c>
      <c r="C55" s="134" t="str">
        <f ca="1">IFERROR(__xludf.DUMMYFUNCTION("""COMPUTED_VALUE"""),"")</f>
        <v/>
      </c>
      <c r="D55" s="45" t="s">
        <v>3375</v>
      </c>
      <c r="E55" s="27">
        <f>(150/$F$56)*60</f>
        <v>562.5</v>
      </c>
      <c r="F55" s="37">
        <v>5.5</v>
      </c>
      <c r="G55" s="38" t="s">
        <v>3376</v>
      </c>
      <c r="H55" s="134" t="str">
        <f ca="1">IFERROR(__xludf.DUMMYFUNCTION("""COMPUTED_VALUE"""),"")</f>
        <v/>
      </c>
      <c r="I55" s="134" t="str">
        <f ca="1">IFERROR(__xludf.DUMMYFUNCTION("""COMPUTED_VALUE"""),"")</f>
        <v/>
      </c>
      <c r="J55" s="134" t="str">
        <f ca="1">IFERROR(__xludf.DUMMYFUNCTION("""COMPUTED_VALUE"""),"")</f>
        <v/>
      </c>
      <c r="K55" s="134" t="str">
        <f ca="1">IFERROR(__xludf.DUMMYFUNCTION("""COMPUTED_VALUE"""),"")</f>
        <v/>
      </c>
      <c r="L55" s="134" t="str">
        <f ca="1">IFERROR(__xludf.DUMMYFUNCTION("""COMPUTED_VALUE"""),"")</f>
        <v/>
      </c>
      <c r="M55" s="137"/>
      <c r="N55" s="137"/>
      <c r="Q55" s="195"/>
      <c r="S55" s="51"/>
      <c r="T55" s="31"/>
    </row>
    <row r="56" spans="1:27" customFormat="1" hidden="1">
      <c r="A56" s="45" t="s">
        <v>3377</v>
      </c>
      <c r="B56" s="48">
        <v>30</v>
      </c>
      <c r="C56" s="134" t="str">
        <f ca="1">IFERROR(__xludf.DUMMYFUNCTION("""COMPUTED_VALUE"""),"")</f>
        <v/>
      </c>
      <c r="D56" s="45" t="s">
        <v>3378</v>
      </c>
      <c r="E56" s="27">
        <f>(200/$F$56)*60</f>
        <v>750</v>
      </c>
      <c r="F56" s="37">
        <f>ROUNDDOWN(F55*3,0)</f>
        <v>16</v>
      </c>
      <c r="G56" s="38" t="s">
        <v>3698</v>
      </c>
      <c r="H56" s="134" t="str">
        <f ca="1">IFERROR(__xludf.DUMMYFUNCTION("""COMPUTED_VALUE"""),"")</f>
        <v/>
      </c>
      <c r="I56" s="135" t="str">
        <f ca="1">IFERROR(__xludf.DUMMYFUNCTION("""COMPUTED_VALUE"""),"")</f>
        <v/>
      </c>
      <c r="J56" s="135" t="str">
        <f ca="1">IFERROR(__xludf.DUMMYFUNCTION("""COMPUTED_VALUE"""),"")</f>
        <v/>
      </c>
      <c r="N56" s="31"/>
      <c r="Q56" s="195"/>
      <c r="S56" s="51"/>
      <c r="T56" s="31"/>
    </row>
    <row r="57" spans="1:27" customFormat="1" hidden="1">
      <c r="A57" s="45"/>
      <c r="B57" s="48"/>
      <c r="C57" s="134" t="str">
        <f ca="1">IFERROR(__xludf.DUMMYFUNCTION("""COMPUTED_VALUE"""),"")</f>
        <v/>
      </c>
      <c r="D57" s="45" t="s">
        <v>3381</v>
      </c>
      <c r="E57" s="27">
        <f>(250/$F$56)*60</f>
        <v>937.5</v>
      </c>
      <c r="F57" s="37">
        <v>45</v>
      </c>
      <c r="G57" s="38" t="s">
        <v>3382</v>
      </c>
      <c r="H57" s="134" t="str">
        <f ca="1">IFERROR(__xludf.DUMMYFUNCTION("""COMPUTED_VALUE"""),"")</f>
        <v/>
      </c>
      <c r="I57" s="135" t="str">
        <f ca="1">IFERROR(__xludf.DUMMYFUNCTION("""COMPUTED_VALUE"""),"")</f>
        <v/>
      </c>
      <c r="J57" s="135" t="str">
        <f ca="1">IFERROR(__xludf.DUMMYFUNCTION("""COMPUTED_VALUE"""),"")</f>
        <v/>
      </c>
      <c r="Q57" s="195"/>
      <c r="S57" s="51"/>
      <c r="T57" s="31"/>
    </row>
    <row r="58" spans="1:27" customFormat="1" ht="30" hidden="1">
      <c r="A58" s="45" t="s">
        <v>3380</v>
      </c>
      <c r="B58" s="48">
        <f>(60/B53)*B54</f>
        <v>36</v>
      </c>
      <c r="C58" s="134" t="str">
        <f ca="1">IFERROR(__xludf.DUMMYFUNCTION("""COMPUTED_VALUE"""),"")</f>
        <v/>
      </c>
      <c r="D58" s="45" t="s">
        <v>3385</v>
      </c>
      <c r="E58" s="27">
        <f>(300/$F$56)*60</f>
        <v>1125</v>
      </c>
      <c r="F58" s="39">
        <v>60</v>
      </c>
      <c r="G58" s="40" t="s">
        <v>3386</v>
      </c>
      <c r="H58" s="134" t="str">
        <f ca="1">IFERROR(__xludf.DUMMYFUNCTION("""COMPUTED_VALUE"""),"")</f>
        <v/>
      </c>
      <c r="I58" s="159">
        <v>43999</v>
      </c>
      <c r="J58" s="203" t="s">
        <v>3952</v>
      </c>
      <c r="K58" s="159">
        <v>44000</v>
      </c>
      <c r="L58" s="159"/>
      <c r="M58" s="159">
        <v>44001</v>
      </c>
      <c r="N58" s="159"/>
      <c r="O58" s="159">
        <v>44002</v>
      </c>
      <c r="P58" s="159"/>
      <c r="Q58" s="193">
        <v>44004</v>
      </c>
      <c r="R58" s="159"/>
      <c r="S58" s="196"/>
      <c r="T58" s="31"/>
    </row>
    <row r="59" spans="1:27" customFormat="1" ht="15.75" hidden="1" thickBot="1">
      <c r="A59" s="46" t="s">
        <v>3383</v>
      </c>
      <c r="B59" s="49" t="s">
        <v>3384</v>
      </c>
      <c r="C59" s="134" t="str">
        <f ca="1">IFERROR(__xludf.DUMMYFUNCTION("""COMPUTED_VALUE"""),"")</f>
        <v/>
      </c>
      <c r="D59" s="46" t="s">
        <v>3387</v>
      </c>
      <c r="E59" s="47">
        <f>(350/$F$56)*60</f>
        <v>1312.5</v>
      </c>
      <c r="F59" s="41">
        <v>45</v>
      </c>
      <c r="G59" s="42" t="s">
        <v>3388</v>
      </c>
      <c r="H59" s="134" t="str">
        <f ca="1">IFERROR(__xludf.DUMMYFUNCTION("""COMPUTED_VALUE"""),"")</f>
        <v/>
      </c>
      <c r="I59" s="130">
        <f>SUM(I34,I33,I13:I14)</f>
        <v>531</v>
      </c>
      <c r="J59" s="130">
        <f>SUM(Q34,Q33,Q13:Q14)</f>
        <v>12</v>
      </c>
      <c r="K59" s="130">
        <f>SUM(I35:I36,I15:I16)</f>
        <v>433</v>
      </c>
      <c r="L59" s="130">
        <f>SUM(Q35:Q36,Q15:Q16)</f>
        <v>11</v>
      </c>
      <c r="M59" s="130">
        <f>SUM(I37:I38,I17:I18)</f>
        <v>266</v>
      </c>
      <c r="N59" s="130">
        <f>SUM(Q37:Q38,Q17:Q18)</f>
        <v>7</v>
      </c>
      <c r="O59" s="130">
        <f>SUM(I39:I40)</f>
        <v>112</v>
      </c>
      <c r="P59" s="130">
        <f>SUM(Q39:Q40)</f>
        <v>4</v>
      </c>
      <c r="Q59" s="195">
        <v>0</v>
      </c>
      <c r="R59" s="130">
        <v>8</v>
      </c>
      <c r="S59" s="51"/>
      <c r="T59" s="31"/>
    </row>
    <row r="60" spans="1:27" customFormat="1" hidden="1">
      <c r="A60" s="134" t="str">
        <f ca="1">IFERROR(__xludf.DUMMYFUNCTION("""COMPUTED_VALUE"""),"")</f>
        <v/>
      </c>
      <c r="B60" s="134" t="str">
        <f ca="1">IFERROR(__xludf.DUMMYFUNCTION("""COMPUTED_VALUE"""),"")</f>
        <v/>
      </c>
      <c r="C60" s="134" t="str">
        <f ca="1">IFERROR(__xludf.DUMMYFUNCTION("""COMPUTED_VALUE"""),"")</f>
        <v/>
      </c>
      <c r="D60" s="134" t="str">
        <f ca="1">IFERROR(__xludf.DUMMYFUNCTION("""COMPUTED_VALUE"""),"")</f>
        <v/>
      </c>
      <c r="E60" s="134" t="str">
        <f ca="1">IFERROR(__xludf.DUMMYFUNCTION("""COMPUTED_VALUE"""),"")</f>
        <v/>
      </c>
      <c r="F60" s="134" t="str">
        <f ca="1">IFERROR(__xludf.DUMMYFUNCTION("""COMPUTED_VALUE"""),"")</f>
        <v/>
      </c>
      <c r="G60" s="134" t="str">
        <f ca="1">IFERROR(__xludf.DUMMYFUNCTION("""COMPUTED_VALUE"""),"")</f>
        <v/>
      </c>
      <c r="H60" s="134" t="str">
        <f ca="1">IFERROR(__xludf.DUMMYFUNCTION("""COMPUTED_VALUE"""),"")</f>
        <v/>
      </c>
      <c r="I60" s="134" t="str">
        <f ca="1">IFERROR(__xludf.DUMMYFUNCTION("""COMPUTED_VALUE"""),"")</f>
        <v/>
      </c>
      <c r="J60" s="134" t="str">
        <f ca="1">IFERROR(__xludf.DUMMYFUNCTION("""COMPUTED_VALUE"""),"")</f>
        <v/>
      </c>
      <c r="Q60" s="195"/>
      <c r="S60" s="51"/>
      <c r="T60" s="31"/>
    </row>
    <row r="61" spans="1:27" customFormat="1" hidden="1">
      <c r="A61" s="134" t="str">
        <f ca="1">IFERROR(__xludf.DUMMYFUNCTION("""COMPUTED_VALUE"""),"")</f>
        <v/>
      </c>
      <c r="B61" s="134" t="str">
        <f ca="1">IFERROR(__xludf.DUMMYFUNCTION("""COMPUTED_VALUE"""),"")</f>
        <v/>
      </c>
      <c r="C61" s="134" t="str">
        <f ca="1">IFERROR(__xludf.DUMMYFUNCTION("""COMPUTED_VALUE"""),"")</f>
        <v/>
      </c>
      <c r="D61" s="134" t="str">
        <f ca="1">IFERROR(__xludf.DUMMYFUNCTION("""COMPUTED_VALUE"""),"")</f>
        <v/>
      </c>
      <c r="E61" s="134" t="str">
        <f ca="1">IFERROR(__xludf.DUMMYFUNCTION("""COMPUTED_VALUE"""),"")</f>
        <v/>
      </c>
      <c r="F61" s="134" t="str">
        <f ca="1">IFERROR(__xludf.DUMMYFUNCTION("""COMPUTED_VALUE"""),"")</f>
        <v/>
      </c>
      <c r="G61" s="134" t="str">
        <f ca="1">IFERROR(__xludf.DUMMYFUNCTION("""COMPUTED_VALUE"""),"")</f>
        <v/>
      </c>
      <c r="H61" s="134" t="str">
        <f ca="1">IFERROR(__xludf.DUMMYFUNCTION("""COMPUTED_VALUE"""),"")</f>
        <v/>
      </c>
      <c r="I61" s="28"/>
      <c r="J61" s="28"/>
      <c r="Q61" s="195"/>
      <c r="S61" s="51"/>
      <c r="T61" s="31"/>
    </row>
    <row r="62" spans="1:27" customFormat="1" hidden="1">
      <c r="A62" s="134" t="str">
        <f ca="1">IFERROR(__xludf.DUMMYFUNCTION("""COMPUTED_VALUE"""),"")</f>
        <v/>
      </c>
      <c r="B62" s="134" t="str">
        <f ca="1">IFERROR(__xludf.DUMMYFUNCTION("""COMPUTED_VALUE"""),"")</f>
        <v/>
      </c>
      <c r="C62" s="134" t="str">
        <f ca="1">IFERROR(__xludf.DUMMYFUNCTION("""COMPUTED_VALUE"""),"")</f>
        <v/>
      </c>
      <c r="D62" s="134" t="str">
        <f ca="1">IFERROR(__xludf.DUMMYFUNCTION("""COMPUTED_VALUE"""),"")</f>
        <v/>
      </c>
      <c r="E62" s="134" t="str">
        <f ca="1">IFERROR(__xludf.DUMMYFUNCTION("""COMPUTED_VALUE"""),"")</f>
        <v/>
      </c>
      <c r="F62" s="134" t="str">
        <f ca="1">IFERROR(__xludf.DUMMYFUNCTION("""COMPUTED_VALUE"""),"")</f>
        <v/>
      </c>
      <c r="G62" s="134" t="str">
        <f ca="1">IFERROR(__xludf.DUMMYFUNCTION("""COMPUTED_VALUE"""),"")</f>
        <v/>
      </c>
      <c r="H62" s="134" t="str">
        <f ca="1">IFERROR(__xludf.DUMMYFUNCTION("""COMPUTED_VALUE"""),"")</f>
        <v/>
      </c>
      <c r="I62" s="28"/>
      <c r="J62" s="28"/>
      <c r="Q62" s="195"/>
      <c r="S62" s="51"/>
      <c r="T62" s="31"/>
    </row>
    <row r="63" spans="1:27" customFormat="1" hidden="1">
      <c r="A63" s="134" t="str">
        <f ca="1">IFERROR(__xludf.DUMMYFUNCTION("""COMPUTED_VALUE"""),"")</f>
        <v/>
      </c>
      <c r="B63" s="134" t="str">
        <f ca="1">IFERROR(__xludf.DUMMYFUNCTION("""COMPUTED_VALUE"""),"")</f>
        <v/>
      </c>
      <c r="C63" s="134" t="str">
        <f ca="1">IFERROR(__xludf.DUMMYFUNCTION("""COMPUTED_VALUE"""),"")</f>
        <v/>
      </c>
      <c r="D63" s="134" t="str">
        <f ca="1">IFERROR(__xludf.DUMMYFUNCTION("""COMPUTED_VALUE"""),"")</f>
        <v/>
      </c>
      <c r="E63" s="134" t="str">
        <f ca="1">IFERROR(__xludf.DUMMYFUNCTION("""COMPUTED_VALUE"""),"")</f>
        <v/>
      </c>
      <c r="F63" s="134" t="str">
        <f ca="1">IFERROR(__xludf.DUMMYFUNCTION("""COMPUTED_VALUE"""),"")</f>
        <v/>
      </c>
      <c r="G63" s="134" t="str">
        <f ca="1">IFERROR(__xludf.DUMMYFUNCTION("""COMPUTED_VALUE"""),"")</f>
        <v/>
      </c>
      <c r="H63" s="134" t="str">
        <f ca="1">IFERROR(__xludf.DUMMYFUNCTION("""COMPUTED_VALUE"""),"")</f>
        <v/>
      </c>
      <c r="I63" s="28"/>
      <c r="J63" s="28"/>
      <c r="Q63" s="195"/>
      <c r="S63" s="51"/>
      <c r="T63" s="31"/>
    </row>
    <row r="64" spans="1:27" customFormat="1">
      <c r="A64" s="134" t="str">
        <f ca="1">IFERROR(__xludf.DUMMYFUNCTION("""COMPUTED_VALUE"""),"")</f>
        <v/>
      </c>
      <c r="B64" s="134" t="str">
        <f ca="1">IFERROR(__xludf.DUMMYFUNCTION("""COMPUTED_VALUE"""),"")</f>
        <v/>
      </c>
      <c r="C64" s="134" t="str">
        <f ca="1">IFERROR(__xludf.DUMMYFUNCTION("""COMPUTED_VALUE"""),"")</f>
        <v/>
      </c>
      <c r="D64" s="134" t="str">
        <f ca="1">IFERROR(__xludf.DUMMYFUNCTION("""COMPUTED_VALUE"""),"")</f>
        <v/>
      </c>
      <c r="E64" s="134" t="str">
        <f ca="1">IFERROR(__xludf.DUMMYFUNCTION("""COMPUTED_VALUE"""),"")</f>
        <v/>
      </c>
      <c r="F64" s="134" t="str">
        <f ca="1">IFERROR(__xludf.DUMMYFUNCTION("""COMPUTED_VALUE"""),"")</f>
        <v/>
      </c>
      <c r="G64" s="134" t="str">
        <f ca="1">IFERROR(__xludf.DUMMYFUNCTION("""COMPUTED_VALUE"""),"")</f>
        <v/>
      </c>
      <c r="H64" s="134" t="str">
        <f ca="1">IFERROR(__xludf.DUMMYFUNCTION("""COMPUTED_VALUE"""),"")</f>
        <v/>
      </c>
      <c r="I64" s="135" t="str">
        <f ca="1">IFERROR(__xludf.DUMMYFUNCTION("""COMPUTED_VALUE"""),"")</f>
        <v/>
      </c>
      <c r="J64" s="135" t="str">
        <f ca="1">IFERROR(__xludf.DUMMYFUNCTION("""COMPUTED_VALUE"""),"")</f>
        <v/>
      </c>
      <c r="Q64" s="195"/>
      <c r="S64" s="51"/>
      <c r="T64" s="31"/>
    </row>
    <row r="65" spans="1:20" customFormat="1">
      <c r="A65" s="134" t="str">
        <f ca="1">IFERROR(__xludf.DUMMYFUNCTION("""COMPUTED_VALUE"""),"")</f>
        <v/>
      </c>
      <c r="B65" s="134" t="str">
        <f ca="1">IFERROR(__xludf.DUMMYFUNCTION("""COMPUTED_VALUE"""),"")</f>
        <v/>
      </c>
      <c r="C65" s="134" t="str">
        <f ca="1">IFERROR(__xludf.DUMMYFUNCTION("""COMPUTED_VALUE"""),"")</f>
        <v/>
      </c>
      <c r="D65" s="134" t="str">
        <f ca="1">IFERROR(__xludf.DUMMYFUNCTION("""COMPUTED_VALUE"""),"")</f>
        <v/>
      </c>
      <c r="E65" s="134" t="str">
        <f ca="1">IFERROR(__xludf.DUMMYFUNCTION("""COMPUTED_VALUE"""),"")</f>
        <v/>
      </c>
      <c r="F65" s="134" t="str">
        <f ca="1">IFERROR(__xludf.DUMMYFUNCTION("""COMPUTED_VALUE"""),"")</f>
        <v/>
      </c>
      <c r="G65" s="134" t="str">
        <f ca="1">IFERROR(__xludf.DUMMYFUNCTION("""COMPUTED_VALUE"""),"")</f>
        <v/>
      </c>
      <c r="H65" s="134" t="str">
        <f ca="1">IFERROR(__xludf.DUMMYFUNCTION("""COMPUTED_VALUE"""),"")</f>
        <v/>
      </c>
      <c r="I65" s="135" t="str">
        <f ca="1">IFERROR(__xludf.DUMMYFUNCTION("""COMPUTED_VALUE"""),"")</f>
        <v/>
      </c>
      <c r="J65" s="135" t="str">
        <f ca="1">IFERROR(__xludf.DUMMYFUNCTION("""COMPUTED_VALUE"""),"")</f>
        <v/>
      </c>
      <c r="Q65" s="195"/>
      <c r="S65" s="51"/>
      <c r="T65" s="31"/>
    </row>
    <row r="66" spans="1:20" customFormat="1">
      <c r="A66" s="134" t="str">
        <f ca="1">IFERROR(__xludf.DUMMYFUNCTION("""COMPUTED_VALUE"""),"")</f>
        <v/>
      </c>
      <c r="B66" s="134" t="str">
        <f ca="1">IFERROR(__xludf.DUMMYFUNCTION("""COMPUTED_VALUE"""),"")</f>
        <v/>
      </c>
      <c r="C66" s="134" t="str">
        <f ca="1">IFERROR(__xludf.DUMMYFUNCTION("""COMPUTED_VALUE"""),"")</f>
        <v/>
      </c>
      <c r="D66" s="134" t="str">
        <f ca="1">IFERROR(__xludf.DUMMYFUNCTION("""COMPUTED_VALUE"""),"")</f>
        <v/>
      </c>
      <c r="E66" s="134" t="str">
        <f ca="1">IFERROR(__xludf.DUMMYFUNCTION("""COMPUTED_VALUE"""),"")</f>
        <v/>
      </c>
      <c r="F66" s="134" t="str">
        <f ca="1">IFERROR(__xludf.DUMMYFUNCTION("""COMPUTED_VALUE"""),"")</f>
        <v/>
      </c>
      <c r="G66" s="134" t="str">
        <f ca="1">IFERROR(__xludf.DUMMYFUNCTION("""COMPUTED_VALUE"""),"")</f>
        <v/>
      </c>
      <c r="H66" s="134" t="str">
        <f ca="1">IFERROR(__xludf.DUMMYFUNCTION("""COMPUTED_VALUE"""),"")</f>
        <v/>
      </c>
      <c r="I66" s="28"/>
      <c r="J66" s="28"/>
      <c r="Q66" s="195"/>
      <c r="S66" s="51"/>
      <c r="T66" s="31"/>
    </row>
    <row r="67" spans="1:20" customFormat="1">
      <c r="A67" s="134" t="str">
        <f ca="1">IFERROR(__xludf.DUMMYFUNCTION("""COMPUTED_VALUE"""),"")</f>
        <v/>
      </c>
      <c r="B67" s="134" t="str">
        <f ca="1">IFERROR(__xludf.DUMMYFUNCTION("""COMPUTED_VALUE"""),"")</f>
        <v/>
      </c>
      <c r="C67" s="134" t="str">
        <f ca="1">IFERROR(__xludf.DUMMYFUNCTION("""COMPUTED_VALUE"""),"")</f>
        <v/>
      </c>
      <c r="D67" s="134" t="str">
        <f ca="1">IFERROR(__xludf.DUMMYFUNCTION("""COMPUTED_VALUE"""),"")</f>
        <v/>
      </c>
      <c r="E67" s="134" t="str">
        <f ca="1">IFERROR(__xludf.DUMMYFUNCTION("""COMPUTED_VALUE"""),"")</f>
        <v/>
      </c>
      <c r="F67" s="134" t="str">
        <f ca="1">IFERROR(__xludf.DUMMYFUNCTION("""COMPUTED_VALUE"""),"")</f>
        <v/>
      </c>
      <c r="G67" s="134" t="str">
        <f ca="1">IFERROR(__xludf.DUMMYFUNCTION("""COMPUTED_VALUE"""),"")</f>
        <v/>
      </c>
      <c r="H67" s="134" t="str">
        <f ca="1">IFERROR(__xludf.DUMMYFUNCTION("""COMPUTED_VALUE"""),"")</f>
        <v/>
      </c>
      <c r="I67" s="28"/>
      <c r="J67" s="28"/>
      <c r="Q67" s="195"/>
      <c r="S67" s="51"/>
      <c r="T67" s="31"/>
    </row>
    <row r="68" spans="1:20" customFormat="1">
      <c r="A68" s="134" t="str">
        <f ca="1">IFERROR(__xludf.DUMMYFUNCTION("""COMPUTED_VALUE"""),"")</f>
        <v/>
      </c>
      <c r="B68" s="134" t="str">
        <f ca="1">IFERROR(__xludf.DUMMYFUNCTION("""COMPUTED_VALUE"""),"")</f>
        <v/>
      </c>
      <c r="C68" s="134" t="str">
        <f ca="1">IFERROR(__xludf.DUMMYFUNCTION("""COMPUTED_VALUE"""),"")</f>
        <v/>
      </c>
      <c r="D68" s="134" t="str">
        <f ca="1">IFERROR(__xludf.DUMMYFUNCTION("""COMPUTED_VALUE"""),"")</f>
        <v/>
      </c>
      <c r="E68" s="134" t="str">
        <f ca="1">IFERROR(__xludf.DUMMYFUNCTION("""COMPUTED_VALUE"""),"")</f>
        <v/>
      </c>
      <c r="F68" s="134" t="str">
        <f ca="1">IFERROR(__xludf.DUMMYFUNCTION("""COMPUTED_VALUE"""),"")</f>
        <v/>
      </c>
      <c r="G68" s="134" t="str">
        <f ca="1">IFERROR(__xludf.DUMMYFUNCTION("""COMPUTED_VALUE"""),"")</f>
        <v/>
      </c>
      <c r="H68" s="134" t="str">
        <f ca="1">IFERROR(__xludf.DUMMYFUNCTION("""COMPUTED_VALUE"""),"")</f>
        <v/>
      </c>
      <c r="I68" s="134" t="str">
        <f ca="1">IFERROR(__xludf.DUMMYFUNCTION("""COMPUTED_VALUE"""),"")</f>
        <v/>
      </c>
      <c r="J68" s="134" t="str">
        <f ca="1">IFERROR(__xludf.DUMMYFUNCTION("""COMPUTED_VALUE"""),"")</f>
        <v/>
      </c>
      <c r="Q68" s="195"/>
      <c r="S68" s="51"/>
      <c r="T68" s="31"/>
    </row>
    <row r="69" spans="1:20" customFormat="1">
      <c r="A69" s="134" t="str">
        <f ca="1">IFERROR(__xludf.DUMMYFUNCTION("""COMPUTED_VALUE"""),"")</f>
        <v/>
      </c>
      <c r="B69" s="134" t="str">
        <f ca="1">IFERROR(__xludf.DUMMYFUNCTION("""COMPUTED_VALUE"""),"")</f>
        <v/>
      </c>
      <c r="C69" s="134" t="str">
        <f ca="1">IFERROR(__xludf.DUMMYFUNCTION("""COMPUTED_VALUE"""),"")</f>
        <v/>
      </c>
      <c r="D69" s="134" t="str">
        <f ca="1">IFERROR(__xludf.DUMMYFUNCTION("""COMPUTED_VALUE"""),"")</f>
        <v/>
      </c>
      <c r="E69" s="134" t="str">
        <f ca="1">IFERROR(__xludf.DUMMYFUNCTION("""COMPUTED_VALUE"""),"")</f>
        <v/>
      </c>
      <c r="F69" s="134" t="str">
        <f ca="1">IFERROR(__xludf.DUMMYFUNCTION("""COMPUTED_VALUE"""),"")</f>
        <v/>
      </c>
      <c r="G69" s="134" t="str">
        <f ca="1">IFERROR(__xludf.DUMMYFUNCTION("""COMPUTED_VALUE"""),"")</f>
        <v/>
      </c>
      <c r="H69" s="134" t="str">
        <f ca="1">IFERROR(__xludf.DUMMYFUNCTION("""COMPUTED_VALUE"""),"")</f>
        <v/>
      </c>
      <c r="I69" s="28"/>
      <c r="J69" s="28"/>
      <c r="Q69" s="195"/>
      <c r="S69" s="51"/>
      <c r="T69" s="31"/>
    </row>
    <row r="70" spans="1:20" customFormat="1">
      <c r="A70" s="134" t="str">
        <f ca="1">IFERROR(__xludf.DUMMYFUNCTION("""COMPUTED_VALUE"""),"")</f>
        <v/>
      </c>
      <c r="B70" s="134" t="str">
        <f ca="1">IFERROR(__xludf.DUMMYFUNCTION("""COMPUTED_VALUE"""),"")</f>
        <v/>
      </c>
      <c r="C70" s="134" t="str">
        <f ca="1">IFERROR(__xludf.DUMMYFUNCTION("""COMPUTED_VALUE"""),"")</f>
        <v/>
      </c>
      <c r="D70" s="134" t="str">
        <f ca="1">IFERROR(__xludf.DUMMYFUNCTION("""COMPUTED_VALUE"""),"")</f>
        <v/>
      </c>
      <c r="E70" s="134" t="str">
        <f ca="1">IFERROR(__xludf.DUMMYFUNCTION("""COMPUTED_VALUE"""),"")</f>
        <v/>
      </c>
      <c r="F70" s="134" t="str">
        <f ca="1">IFERROR(__xludf.DUMMYFUNCTION("""COMPUTED_VALUE"""),"")</f>
        <v/>
      </c>
      <c r="G70" s="134" t="str">
        <f ca="1">IFERROR(__xludf.DUMMYFUNCTION("""COMPUTED_VALUE"""),"")</f>
        <v/>
      </c>
      <c r="H70" s="134" t="str">
        <f ca="1">IFERROR(__xludf.DUMMYFUNCTION("""COMPUTED_VALUE"""),"")</f>
        <v/>
      </c>
      <c r="I70" s="28"/>
      <c r="J70" s="28"/>
      <c r="Q70" s="195"/>
      <c r="S70" s="51"/>
      <c r="T70" s="31"/>
    </row>
    <row r="71" spans="1:20" customFormat="1">
      <c r="A71" s="134" t="str">
        <f ca="1">IFERROR(__xludf.DUMMYFUNCTION("""COMPUTED_VALUE"""),"")</f>
        <v/>
      </c>
      <c r="B71" s="134" t="str">
        <f ca="1">IFERROR(__xludf.DUMMYFUNCTION("""COMPUTED_VALUE"""),"")</f>
        <v/>
      </c>
      <c r="C71" s="134" t="str">
        <f ca="1">IFERROR(__xludf.DUMMYFUNCTION("""COMPUTED_VALUE"""),"")</f>
        <v/>
      </c>
      <c r="D71" s="134" t="str">
        <f ca="1">IFERROR(__xludf.DUMMYFUNCTION("""COMPUTED_VALUE"""),"")</f>
        <v/>
      </c>
      <c r="E71" s="134" t="str">
        <f ca="1">IFERROR(__xludf.DUMMYFUNCTION("""COMPUTED_VALUE"""),"")</f>
        <v/>
      </c>
      <c r="F71" s="134" t="str">
        <f ca="1">IFERROR(__xludf.DUMMYFUNCTION("""COMPUTED_VALUE"""),"")</f>
        <v/>
      </c>
      <c r="G71" s="134" t="str">
        <f ca="1">IFERROR(__xludf.DUMMYFUNCTION("""COMPUTED_VALUE"""),"")</f>
        <v/>
      </c>
      <c r="H71" s="134" t="str">
        <f ca="1">IFERROR(__xludf.DUMMYFUNCTION("""COMPUTED_VALUE"""),"")</f>
        <v/>
      </c>
      <c r="I71" s="28"/>
      <c r="J71" s="28"/>
      <c r="Q71" s="195"/>
      <c r="S71" s="51"/>
      <c r="T71" s="31"/>
    </row>
    <row r="72" spans="1:20" customFormat="1">
      <c r="A72" s="134" t="str">
        <f ca="1">IFERROR(__xludf.DUMMYFUNCTION("""COMPUTED_VALUE"""),"")</f>
        <v/>
      </c>
      <c r="B72" s="134" t="str">
        <f ca="1">IFERROR(__xludf.DUMMYFUNCTION("""COMPUTED_VALUE"""),"")</f>
        <v/>
      </c>
      <c r="C72" s="134" t="str">
        <f ca="1">IFERROR(__xludf.DUMMYFUNCTION("""COMPUTED_VALUE"""),"")</f>
        <v/>
      </c>
      <c r="D72" s="134" t="str">
        <f ca="1">IFERROR(__xludf.DUMMYFUNCTION("""COMPUTED_VALUE"""),"")</f>
        <v/>
      </c>
      <c r="E72" s="134" t="str">
        <f ca="1">IFERROR(__xludf.DUMMYFUNCTION("""COMPUTED_VALUE"""),"")</f>
        <v/>
      </c>
      <c r="F72" s="134" t="str">
        <f ca="1">IFERROR(__xludf.DUMMYFUNCTION("""COMPUTED_VALUE"""),"")</f>
        <v/>
      </c>
      <c r="G72" s="134" t="str">
        <f ca="1">IFERROR(__xludf.DUMMYFUNCTION("""COMPUTED_VALUE"""),"")</f>
        <v/>
      </c>
      <c r="H72" s="134" t="str">
        <f ca="1">IFERROR(__xludf.DUMMYFUNCTION("""COMPUTED_VALUE"""),"")</f>
        <v/>
      </c>
      <c r="I72" s="135"/>
      <c r="J72" s="135"/>
      <c r="Q72" s="195"/>
      <c r="S72" s="51"/>
      <c r="T72" s="31"/>
    </row>
    <row r="73" spans="1:20" customFormat="1">
      <c r="A73" s="134" t="str">
        <f ca="1">IFERROR(__xludf.DUMMYFUNCTION("""COMPUTED_VALUE"""),"")</f>
        <v/>
      </c>
      <c r="B73" s="134" t="str">
        <f ca="1">IFERROR(__xludf.DUMMYFUNCTION("""COMPUTED_VALUE"""),"")</f>
        <v/>
      </c>
      <c r="C73" s="134" t="str">
        <f ca="1">IFERROR(__xludf.DUMMYFUNCTION("""COMPUTED_VALUE"""),"")</f>
        <v/>
      </c>
      <c r="D73" s="134" t="str">
        <f ca="1">IFERROR(__xludf.DUMMYFUNCTION("""COMPUTED_VALUE"""),"")</f>
        <v/>
      </c>
      <c r="E73" s="134" t="str">
        <f ca="1">IFERROR(__xludf.DUMMYFUNCTION("""COMPUTED_VALUE"""),"")</f>
        <v/>
      </c>
      <c r="F73" s="134" t="str">
        <f ca="1">IFERROR(__xludf.DUMMYFUNCTION("""COMPUTED_VALUE"""),"")</f>
        <v/>
      </c>
      <c r="G73" s="134" t="str">
        <f ca="1">IFERROR(__xludf.DUMMYFUNCTION("""COMPUTED_VALUE"""),"")</f>
        <v/>
      </c>
      <c r="H73" s="134" t="str">
        <f ca="1">IFERROR(__xludf.DUMMYFUNCTION("""COMPUTED_VALUE"""),"")</f>
        <v/>
      </c>
      <c r="I73" s="135"/>
      <c r="J73" s="135"/>
      <c r="Q73" s="195"/>
      <c r="S73" s="51"/>
      <c r="T73" s="31"/>
    </row>
    <row r="74" spans="1:20" customFormat="1">
      <c r="A74" s="134" t="str">
        <f ca="1">IFERROR(__xludf.DUMMYFUNCTION("""COMPUTED_VALUE"""),"")</f>
        <v/>
      </c>
      <c r="B74" s="134" t="str">
        <f ca="1">IFERROR(__xludf.DUMMYFUNCTION("""COMPUTED_VALUE"""),"")</f>
        <v/>
      </c>
      <c r="C74" s="134" t="str">
        <f ca="1">IFERROR(__xludf.DUMMYFUNCTION("""COMPUTED_VALUE"""),"")</f>
        <v/>
      </c>
      <c r="D74" s="134" t="str">
        <f ca="1">IFERROR(__xludf.DUMMYFUNCTION("""COMPUTED_VALUE"""),"")</f>
        <v/>
      </c>
      <c r="E74" s="134" t="str">
        <f ca="1">IFERROR(__xludf.DUMMYFUNCTION("""COMPUTED_VALUE"""),"")</f>
        <v/>
      </c>
      <c r="F74" s="134" t="str">
        <f ca="1">IFERROR(__xludf.DUMMYFUNCTION("""COMPUTED_VALUE"""),"")</f>
        <v/>
      </c>
      <c r="G74" s="134" t="str">
        <f ca="1">IFERROR(__xludf.DUMMYFUNCTION("""COMPUTED_VALUE"""),"")</f>
        <v/>
      </c>
      <c r="H74" s="134" t="str">
        <f ca="1">IFERROR(__xludf.DUMMYFUNCTION("""COMPUTED_VALUE"""),"")</f>
        <v/>
      </c>
      <c r="I74" s="28"/>
      <c r="J74" s="28"/>
      <c r="Q74" s="195"/>
      <c r="S74" s="51"/>
      <c r="T74" s="31"/>
    </row>
    <row r="75" spans="1:20" customFormat="1">
      <c r="A75" s="134" t="str">
        <f ca="1">IFERROR(__xludf.DUMMYFUNCTION("""COMPUTED_VALUE"""),"")</f>
        <v/>
      </c>
      <c r="B75" s="134" t="str">
        <f ca="1">IFERROR(__xludf.DUMMYFUNCTION("""COMPUTED_VALUE"""),"")</f>
        <v/>
      </c>
      <c r="C75" s="134" t="str">
        <f ca="1">IFERROR(__xludf.DUMMYFUNCTION("""COMPUTED_VALUE"""),"")</f>
        <v/>
      </c>
      <c r="D75" s="134" t="str">
        <f ca="1">IFERROR(__xludf.DUMMYFUNCTION("""COMPUTED_VALUE"""),"")</f>
        <v/>
      </c>
      <c r="E75" s="134" t="str">
        <f ca="1">IFERROR(__xludf.DUMMYFUNCTION("""COMPUTED_VALUE"""),"")</f>
        <v/>
      </c>
      <c r="F75" s="134" t="str">
        <f ca="1">IFERROR(__xludf.DUMMYFUNCTION("""COMPUTED_VALUE"""),"")</f>
        <v/>
      </c>
      <c r="G75" s="134" t="str">
        <f ca="1">IFERROR(__xludf.DUMMYFUNCTION("""COMPUTED_VALUE"""),"")</f>
        <v/>
      </c>
      <c r="H75" s="134" t="str">
        <f ca="1">IFERROR(__xludf.DUMMYFUNCTION("""COMPUTED_VALUE"""),"")</f>
        <v/>
      </c>
      <c r="I75" s="28"/>
      <c r="J75" s="28"/>
      <c r="Q75" s="195"/>
      <c r="S75" s="51"/>
      <c r="T75" s="31"/>
    </row>
    <row r="76" spans="1:20" customFormat="1">
      <c r="A76" s="134" t="str">
        <f ca="1">IFERROR(__xludf.DUMMYFUNCTION("""COMPUTED_VALUE"""),"")</f>
        <v/>
      </c>
      <c r="B76" s="134" t="str">
        <f ca="1">IFERROR(__xludf.DUMMYFUNCTION("""COMPUTED_VALUE"""),"")</f>
        <v/>
      </c>
      <c r="C76" s="134" t="str">
        <f ca="1">IFERROR(__xludf.DUMMYFUNCTION("""COMPUTED_VALUE"""),"")</f>
        <v/>
      </c>
      <c r="D76" s="134" t="str">
        <f ca="1">IFERROR(__xludf.DUMMYFUNCTION("""COMPUTED_VALUE"""),"")</f>
        <v/>
      </c>
      <c r="E76" s="134" t="str">
        <f ca="1">IFERROR(__xludf.DUMMYFUNCTION("""COMPUTED_VALUE"""),"")</f>
        <v/>
      </c>
      <c r="F76" s="134" t="str">
        <f ca="1">IFERROR(__xludf.DUMMYFUNCTION("""COMPUTED_VALUE"""),"")</f>
        <v/>
      </c>
      <c r="G76" s="134" t="str">
        <f ca="1">IFERROR(__xludf.DUMMYFUNCTION("""COMPUTED_VALUE"""),"")</f>
        <v/>
      </c>
      <c r="H76" s="134" t="str">
        <f ca="1">IFERROR(__xludf.DUMMYFUNCTION("""COMPUTED_VALUE"""),"")</f>
        <v/>
      </c>
      <c r="I76" s="28"/>
      <c r="J76" s="28"/>
      <c r="Q76" s="195"/>
      <c r="S76" s="51"/>
      <c r="T76" s="31"/>
    </row>
    <row r="77" spans="1:20" customFormat="1">
      <c r="A77" s="134" t="str">
        <f ca="1">IFERROR(__xludf.DUMMYFUNCTION("""COMPUTED_VALUE"""),"")</f>
        <v/>
      </c>
      <c r="B77" s="134" t="str">
        <f ca="1">IFERROR(__xludf.DUMMYFUNCTION("""COMPUTED_VALUE"""),"")</f>
        <v/>
      </c>
      <c r="C77" s="134" t="str">
        <f ca="1">IFERROR(__xludf.DUMMYFUNCTION("""COMPUTED_VALUE"""),"")</f>
        <v/>
      </c>
      <c r="D77" s="134" t="str">
        <f ca="1">IFERROR(__xludf.DUMMYFUNCTION("""COMPUTED_VALUE"""),"")</f>
        <v/>
      </c>
      <c r="E77" s="134" t="str">
        <f ca="1">IFERROR(__xludf.DUMMYFUNCTION("""COMPUTED_VALUE"""),"")</f>
        <v/>
      </c>
      <c r="F77" s="134" t="str">
        <f ca="1">IFERROR(__xludf.DUMMYFUNCTION("""COMPUTED_VALUE"""),"")</f>
        <v/>
      </c>
      <c r="G77" s="134" t="str">
        <f ca="1">IFERROR(__xludf.DUMMYFUNCTION("""COMPUTED_VALUE"""),"")</f>
        <v/>
      </c>
      <c r="H77" s="134" t="str">
        <f ca="1">IFERROR(__xludf.DUMMYFUNCTION("""COMPUTED_VALUE"""),"")</f>
        <v/>
      </c>
      <c r="I77" s="28"/>
      <c r="J77" s="28"/>
      <c r="Q77" s="195"/>
      <c r="S77" s="51"/>
      <c r="T77" s="31"/>
    </row>
    <row r="78" spans="1:20" customFormat="1">
      <c r="A78" s="134" t="str">
        <f ca="1">IFERROR(__xludf.DUMMYFUNCTION("""COMPUTED_VALUE"""),"")</f>
        <v/>
      </c>
      <c r="B78" s="134" t="str">
        <f ca="1">IFERROR(__xludf.DUMMYFUNCTION("""COMPUTED_VALUE"""),"")</f>
        <v/>
      </c>
      <c r="C78" s="134" t="str">
        <f ca="1">IFERROR(__xludf.DUMMYFUNCTION("""COMPUTED_VALUE"""),"")</f>
        <v/>
      </c>
      <c r="D78" s="134" t="str">
        <f ca="1">IFERROR(__xludf.DUMMYFUNCTION("""COMPUTED_VALUE"""),"")</f>
        <v/>
      </c>
      <c r="E78" s="134" t="str">
        <f ca="1">IFERROR(__xludf.DUMMYFUNCTION("""COMPUTED_VALUE"""),"")</f>
        <v/>
      </c>
      <c r="F78" s="134" t="str">
        <f ca="1">IFERROR(__xludf.DUMMYFUNCTION("""COMPUTED_VALUE"""),"")</f>
        <v/>
      </c>
      <c r="G78" s="134" t="str">
        <f ca="1">IFERROR(__xludf.DUMMYFUNCTION("""COMPUTED_VALUE"""),"")</f>
        <v/>
      </c>
      <c r="H78" s="134" t="str">
        <f ca="1">IFERROR(__xludf.DUMMYFUNCTION("""COMPUTED_VALUE"""),"")</f>
        <v/>
      </c>
      <c r="I78" s="137"/>
      <c r="J78" s="137"/>
      <c r="Q78" s="195"/>
      <c r="S78" s="51"/>
      <c r="T78" s="31"/>
    </row>
    <row r="79" spans="1:20" customFormat="1">
      <c r="A79" s="134" t="str">
        <f ca="1">IFERROR(__xludf.DUMMYFUNCTION("""COMPUTED_VALUE"""),"")</f>
        <v/>
      </c>
      <c r="B79" s="134" t="str">
        <f ca="1">IFERROR(__xludf.DUMMYFUNCTION("""COMPUTED_VALUE"""),"")</f>
        <v/>
      </c>
      <c r="C79" s="134" t="str">
        <f ca="1">IFERROR(__xludf.DUMMYFUNCTION("""COMPUTED_VALUE"""),"")</f>
        <v/>
      </c>
      <c r="D79" s="134" t="str">
        <f ca="1">IFERROR(__xludf.DUMMYFUNCTION("""COMPUTED_VALUE"""),"")</f>
        <v/>
      </c>
      <c r="E79" s="134" t="str">
        <f ca="1">IFERROR(__xludf.DUMMYFUNCTION("""COMPUTED_VALUE"""),"")</f>
        <v/>
      </c>
      <c r="F79" s="134" t="str">
        <f ca="1">IFERROR(__xludf.DUMMYFUNCTION("""COMPUTED_VALUE"""),"")</f>
        <v/>
      </c>
      <c r="G79" s="134" t="str">
        <f ca="1">IFERROR(__xludf.DUMMYFUNCTION("""COMPUTED_VALUE"""),"")</f>
        <v/>
      </c>
      <c r="H79" s="134" t="str">
        <f ca="1">IFERROR(__xludf.DUMMYFUNCTION("""COMPUTED_VALUE"""),"")</f>
        <v/>
      </c>
      <c r="I79" s="135"/>
      <c r="J79" s="135"/>
      <c r="Q79" s="195"/>
      <c r="S79" s="51"/>
      <c r="T79" s="31"/>
    </row>
    <row r="80" spans="1:20" customFormat="1">
      <c r="A80" s="134" t="str">
        <f ca="1">IFERROR(__xludf.DUMMYFUNCTION("""COMPUTED_VALUE"""),"")</f>
        <v/>
      </c>
      <c r="B80" s="134" t="str">
        <f ca="1">IFERROR(__xludf.DUMMYFUNCTION("""COMPUTED_VALUE"""),"")</f>
        <v/>
      </c>
      <c r="C80" s="134" t="str">
        <f ca="1">IFERROR(__xludf.DUMMYFUNCTION("""COMPUTED_VALUE"""),"")</f>
        <v/>
      </c>
      <c r="D80" s="134" t="str">
        <f ca="1">IFERROR(__xludf.DUMMYFUNCTION("""COMPUTED_VALUE"""),"")</f>
        <v/>
      </c>
      <c r="E80" s="134" t="str">
        <f ca="1">IFERROR(__xludf.DUMMYFUNCTION("""COMPUTED_VALUE"""),"")</f>
        <v/>
      </c>
      <c r="F80" s="134" t="str">
        <f ca="1">IFERROR(__xludf.DUMMYFUNCTION("""COMPUTED_VALUE"""),"")</f>
        <v/>
      </c>
      <c r="G80" s="134" t="str">
        <f ca="1">IFERROR(__xludf.DUMMYFUNCTION("""COMPUTED_VALUE"""),"")</f>
        <v/>
      </c>
      <c r="H80" s="134" t="str">
        <f ca="1">IFERROR(__xludf.DUMMYFUNCTION("""COMPUTED_VALUE"""),"")</f>
        <v/>
      </c>
      <c r="I80" s="135"/>
      <c r="J80" s="135"/>
      <c r="Q80" s="195"/>
      <c r="S80" s="51"/>
      <c r="T80" s="31"/>
    </row>
    <row r="81" spans="1:20" customFormat="1">
      <c r="A81" s="134" t="str">
        <f ca="1">IFERROR(__xludf.DUMMYFUNCTION("""COMPUTED_VALUE"""),"")</f>
        <v/>
      </c>
      <c r="B81" s="134" t="str">
        <f ca="1">IFERROR(__xludf.DUMMYFUNCTION("""COMPUTED_VALUE"""),"")</f>
        <v/>
      </c>
      <c r="C81" s="134" t="str">
        <f ca="1">IFERROR(__xludf.DUMMYFUNCTION("""COMPUTED_VALUE"""),"")</f>
        <v/>
      </c>
      <c r="D81" s="134" t="str">
        <f ca="1">IFERROR(__xludf.DUMMYFUNCTION("""COMPUTED_VALUE"""),"")</f>
        <v/>
      </c>
      <c r="E81" s="134" t="str">
        <f ca="1">IFERROR(__xludf.DUMMYFUNCTION("""COMPUTED_VALUE"""),"")</f>
        <v/>
      </c>
      <c r="F81" s="134" t="str">
        <f ca="1">IFERROR(__xludf.DUMMYFUNCTION("""COMPUTED_VALUE"""),"")</f>
        <v/>
      </c>
      <c r="G81" s="134" t="str">
        <f ca="1">IFERROR(__xludf.DUMMYFUNCTION("""COMPUTED_VALUE"""),"")</f>
        <v/>
      </c>
      <c r="H81" s="134" t="str">
        <f ca="1">IFERROR(__xludf.DUMMYFUNCTION("""COMPUTED_VALUE"""),"")</f>
        <v/>
      </c>
      <c r="I81" s="28"/>
      <c r="J81" s="28"/>
      <c r="Q81" s="195"/>
      <c r="S81" s="51"/>
      <c r="T81" s="31"/>
    </row>
    <row r="82" spans="1:20" customFormat="1">
      <c r="A82" s="134" t="str">
        <f ca="1">IFERROR(__xludf.DUMMYFUNCTION("""COMPUTED_VALUE"""),"")</f>
        <v/>
      </c>
      <c r="B82" s="134" t="str">
        <f ca="1">IFERROR(__xludf.DUMMYFUNCTION("""COMPUTED_VALUE"""),"")</f>
        <v/>
      </c>
      <c r="C82" s="134" t="str">
        <f ca="1">IFERROR(__xludf.DUMMYFUNCTION("""COMPUTED_VALUE"""),"")</f>
        <v/>
      </c>
      <c r="D82" s="134" t="str">
        <f ca="1">IFERROR(__xludf.DUMMYFUNCTION("""COMPUTED_VALUE"""),"")</f>
        <v/>
      </c>
      <c r="E82" s="134" t="str">
        <f ca="1">IFERROR(__xludf.DUMMYFUNCTION("""COMPUTED_VALUE"""),"")</f>
        <v/>
      </c>
      <c r="F82" s="134" t="str">
        <f ca="1">IFERROR(__xludf.DUMMYFUNCTION("""COMPUTED_VALUE"""),"")</f>
        <v/>
      </c>
      <c r="G82" s="134" t="str">
        <f ca="1">IFERROR(__xludf.DUMMYFUNCTION("""COMPUTED_VALUE"""),"")</f>
        <v/>
      </c>
      <c r="H82" s="134" t="str">
        <f ca="1">IFERROR(__xludf.DUMMYFUNCTION("""COMPUTED_VALUE"""),"")</f>
        <v/>
      </c>
      <c r="I82" s="28"/>
      <c r="J82" s="28"/>
      <c r="Q82" s="195"/>
      <c r="S82" s="51"/>
      <c r="T82" s="31"/>
    </row>
    <row r="83" spans="1:20" customFormat="1">
      <c r="A83" s="134" t="str">
        <f ca="1">IFERROR(__xludf.DUMMYFUNCTION("""COMPUTED_VALUE"""),"")</f>
        <v/>
      </c>
      <c r="B83" s="134" t="str">
        <f ca="1">IFERROR(__xludf.DUMMYFUNCTION("""COMPUTED_VALUE"""),"")</f>
        <v/>
      </c>
      <c r="C83" s="134" t="str">
        <f ca="1">IFERROR(__xludf.DUMMYFUNCTION("""COMPUTED_VALUE"""),"")</f>
        <v/>
      </c>
      <c r="D83" s="134" t="str">
        <f ca="1">IFERROR(__xludf.DUMMYFUNCTION("""COMPUTED_VALUE"""),"")</f>
        <v/>
      </c>
      <c r="E83" s="134" t="str">
        <f ca="1">IFERROR(__xludf.DUMMYFUNCTION("""COMPUTED_VALUE"""),"")</f>
        <v/>
      </c>
      <c r="F83" s="134" t="str">
        <f ca="1">IFERROR(__xludf.DUMMYFUNCTION("""COMPUTED_VALUE"""),"")</f>
        <v/>
      </c>
      <c r="G83" s="134" t="str">
        <f ca="1">IFERROR(__xludf.DUMMYFUNCTION("""COMPUTED_VALUE"""),"")</f>
        <v/>
      </c>
      <c r="H83" s="134" t="str">
        <f ca="1">IFERROR(__xludf.DUMMYFUNCTION("""COMPUTED_VALUE"""),"")</f>
        <v/>
      </c>
      <c r="I83" s="134" t="str">
        <f ca="1">IFERROR(__xludf.DUMMYFUNCTION("""COMPUTED_VALUE"""),"")</f>
        <v/>
      </c>
      <c r="J83" s="134" t="str">
        <f ca="1">IFERROR(__xludf.DUMMYFUNCTION("""COMPUTED_VALUE"""),"")</f>
        <v/>
      </c>
      <c r="Q83" s="195"/>
      <c r="S83" s="51"/>
      <c r="T83" s="31"/>
    </row>
    <row r="84" spans="1:20" customFormat="1">
      <c r="A84" s="134" t="str">
        <f ca="1">IFERROR(__xludf.DUMMYFUNCTION("""COMPUTED_VALUE"""),"")</f>
        <v/>
      </c>
      <c r="B84" s="134" t="str">
        <f ca="1">IFERROR(__xludf.DUMMYFUNCTION("""COMPUTED_VALUE"""),"")</f>
        <v/>
      </c>
      <c r="C84" s="134" t="str">
        <f ca="1">IFERROR(__xludf.DUMMYFUNCTION("""COMPUTED_VALUE"""),"")</f>
        <v/>
      </c>
      <c r="D84" s="134" t="str">
        <f ca="1">IFERROR(__xludf.DUMMYFUNCTION("""COMPUTED_VALUE"""),"")</f>
        <v/>
      </c>
      <c r="E84" s="134" t="str">
        <f ca="1">IFERROR(__xludf.DUMMYFUNCTION("""COMPUTED_VALUE"""),"")</f>
        <v/>
      </c>
      <c r="F84" s="134" t="str">
        <f ca="1">IFERROR(__xludf.DUMMYFUNCTION("""COMPUTED_VALUE"""),"")</f>
        <v/>
      </c>
      <c r="G84" s="134" t="str">
        <f ca="1">IFERROR(__xludf.DUMMYFUNCTION("""COMPUTED_VALUE"""),"")</f>
        <v/>
      </c>
      <c r="H84" s="134" t="str">
        <f ca="1">IFERROR(__xludf.DUMMYFUNCTION("""COMPUTED_VALUE"""),"")</f>
        <v/>
      </c>
      <c r="I84" s="28"/>
      <c r="J84" s="28"/>
      <c r="Q84" s="195"/>
      <c r="S84" s="51"/>
      <c r="T84" s="31"/>
    </row>
    <row r="85" spans="1:20" customFormat="1">
      <c r="A85" s="134" t="str">
        <f ca="1">IFERROR(__xludf.DUMMYFUNCTION("""COMPUTED_VALUE"""),"")</f>
        <v/>
      </c>
      <c r="B85" s="134" t="str">
        <f ca="1">IFERROR(__xludf.DUMMYFUNCTION("""COMPUTED_VALUE"""),"")</f>
        <v/>
      </c>
      <c r="C85" s="134" t="str">
        <f ca="1">IFERROR(__xludf.DUMMYFUNCTION("""COMPUTED_VALUE"""),"")</f>
        <v/>
      </c>
      <c r="D85" s="134" t="str">
        <f ca="1">IFERROR(__xludf.DUMMYFUNCTION("""COMPUTED_VALUE"""),"")</f>
        <v/>
      </c>
      <c r="E85" s="134" t="str">
        <f ca="1">IFERROR(__xludf.DUMMYFUNCTION("""COMPUTED_VALUE"""),"")</f>
        <v/>
      </c>
      <c r="F85" s="134" t="str">
        <f ca="1">IFERROR(__xludf.DUMMYFUNCTION("""COMPUTED_VALUE"""),"")</f>
        <v/>
      </c>
      <c r="G85" s="134" t="str">
        <f ca="1">IFERROR(__xludf.DUMMYFUNCTION("""COMPUTED_VALUE"""),"")</f>
        <v/>
      </c>
      <c r="H85" s="134" t="str">
        <f ca="1">IFERROR(__xludf.DUMMYFUNCTION("""COMPUTED_VALUE"""),"")</f>
        <v/>
      </c>
      <c r="I85" s="28"/>
      <c r="J85" s="28"/>
      <c r="Q85" s="195"/>
      <c r="S85" s="51"/>
      <c r="T85" s="31"/>
    </row>
    <row r="86" spans="1:20" customFormat="1">
      <c r="A86" s="134" t="str">
        <f ca="1">IFERROR(__xludf.DUMMYFUNCTION("""COMPUTED_VALUE"""),"")</f>
        <v/>
      </c>
      <c r="B86" s="134" t="str">
        <f ca="1">IFERROR(__xludf.DUMMYFUNCTION("""COMPUTED_VALUE"""),"")</f>
        <v/>
      </c>
      <c r="C86" s="134" t="str">
        <f ca="1">IFERROR(__xludf.DUMMYFUNCTION("""COMPUTED_VALUE"""),"")</f>
        <v/>
      </c>
      <c r="D86" s="134" t="str">
        <f ca="1">IFERROR(__xludf.DUMMYFUNCTION("""COMPUTED_VALUE"""),"")</f>
        <v/>
      </c>
      <c r="E86" s="134" t="str">
        <f ca="1">IFERROR(__xludf.DUMMYFUNCTION("""COMPUTED_VALUE"""),"")</f>
        <v/>
      </c>
      <c r="F86" s="134" t="str">
        <f ca="1">IFERROR(__xludf.DUMMYFUNCTION("""COMPUTED_VALUE"""),"")</f>
        <v/>
      </c>
      <c r="G86" s="134" t="str">
        <f ca="1">IFERROR(__xludf.DUMMYFUNCTION("""COMPUTED_VALUE"""),"")</f>
        <v/>
      </c>
      <c r="H86" s="134" t="str">
        <f ca="1">IFERROR(__xludf.DUMMYFUNCTION("""COMPUTED_VALUE"""),"")</f>
        <v/>
      </c>
      <c r="I86" s="137"/>
      <c r="J86" s="137"/>
      <c r="Q86" s="195"/>
      <c r="S86" s="51"/>
      <c r="T86" s="31"/>
    </row>
    <row r="87" spans="1:20" customFormat="1">
      <c r="A87" s="134" t="str">
        <f ca="1">IFERROR(__xludf.DUMMYFUNCTION("""COMPUTED_VALUE"""),"")</f>
        <v/>
      </c>
      <c r="B87" s="134" t="str">
        <f ca="1">IFERROR(__xludf.DUMMYFUNCTION("""COMPUTED_VALUE"""),"")</f>
        <v/>
      </c>
      <c r="C87" s="134" t="str">
        <f ca="1">IFERROR(__xludf.DUMMYFUNCTION("""COMPUTED_VALUE"""),"")</f>
        <v/>
      </c>
      <c r="D87" s="134" t="str">
        <f ca="1">IFERROR(__xludf.DUMMYFUNCTION("""COMPUTED_VALUE"""),"")</f>
        <v/>
      </c>
      <c r="E87" s="134" t="str">
        <f ca="1">IFERROR(__xludf.DUMMYFUNCTION("""COMPUTED_VALUE"""),"")</f>
        <v/>
      </c>
      <c r="F87" s="134" t="str">
        <f ca="1">IFERROR(__xludf.DUMMYFUNCTION("""COMPUTED_VALUE"""),"")</f>
        <v/>
      </c>
      <c r="G87" s="134" t="str">
        <f ca="1">IFERROR(__xludf.DUMMYFUNCTION("""COMPUTED_VALUE"""),"")</f>
        <v/>
      </c>
      <c r="H87" s="134" t="str">
        <f ca="1">IFERROR(__xludf.DUMMYFUNCTION("""COMPUTED_VALUE"""),"")</f>
        <v/>
      </c>
      <c r="I87" s="135"/>
      <c r="J87" s="135"/>
      <c r="Q87" s="195"/>
      <c r="S87" s="51"/>
      <c r="T87" s="31"/>
    </row>
    <row r="88" spans="1:20" customFormat="1">
      <c r="A88" s="134" t="str">
        <f ca="1">IFERROR(__xludf.DUMMYFUNCTION("""COMPUTED_VALUE"""),"")</f>
        <v/>
      </c>
      <c r="B88" s="134" t="str">
        <f ca="1">IFERROR(__xludf.DUMMYFUNCTION("""COMPUTED_VALUE"""),"")</f>
        <v/>
      </c>
      <c r="C88" s="134" t="str">
        <f ca="1">IFERROR(__xludf.DUMMYFUNCTION("""COMPUTED_VALUE"""),"")</f>
        <v/>
      </c>
      <c r="D88" s="134" t="str">
        <f ca="1">IFERROR(__xludf.DUMMYFUNCTION("""COMPUTED_VALUE"""),"")</f>
        <v/>
      </c>
      <c r="E88" s="134" t="str">
        <f ca="1">IFERROR(__xludf.DUMMYFUNCTION("""COMPUTED_VALUE"""),"")</f>
        <v/>
      </c>
      <c r="F88" s="134" t="str">
        <f ca="1">IFERROR(__xludf.DUMMYFUNCTION("""COMPUTED_VALUE"""),"")</f>
        <v/>
      </c>
      <c r="G88" s="134" t="str">
        <f ca="1">IFERROR(__xludf.DUMMYFUNCTION("""COMPUTED_VALUE"""),"")</f>
        <v/>
      </c>
      <c r="H88" s="134" t="str">
        <f ca="1">IFERROR(__xludf.DUMMYFUNCTION("""COMPUTED_VALUE"""),"")</f>
        <v/>
      </c>
      <c r="I88" s="135"/>
      <c r="J88" s="135"/>
      <c r="Q88" s="195"/>
      <c r="S88" s="51"/>
      <c r="T88" s="31"/>
    </row>
    <row r="89" spans="1:20" customFormat="1">
      <c r="A89" s="134" t="str">
        <f ca="1">IFERROR(__xludf.DUMMYFUNCTION("""COMPUTED_VALUE"""),"")</f>
        <v/>
      </c>
      <c r="B89" s="134" t="str">
        <f ca="1">IFERROR(__xludf.DUMMYFUNCTION("""COMPUTED_VALUE"""),"")</f>
        <v/>
      </c>
      <c r="C89" s="134" t="str">
        <f ca="1">IFERROR(__xludf.DUMMYFUNCTION("""COMPUTED_VALUE"""),"")</f>
        <v/>
      </c>
      <c r="D89" s="134" t="str">
        <f ca="1">IFERROR(__xludf.DUMMYFUNCTION("""COMPUTED_VALUE"""),"")</f>
        <v/>
      </c>
      <c r="E89" s="134" t="str">
        <f ca="1">IFERROR(__xludf.DUMMYFUNCTION("""COMPUTED_VALUE"""),"")</f>
        <v/>
      </c>
      <c r="F89" s="134" t="str">
        <f ca="1">IFERROR(__xludf.DUMMYFUNCTION("""COMPUTED_VALUE"""),"")</f>
        <v/>
      </c>
      <c r="G89" s="134" t="str">
        <f ca="1">IFERROR(__xludf.DUMMYFUNCTION("""COMPUTED_VALUE"""),"")</f>
        <v/>
      </c>
      <c r="H89" s="134" t="str">
        <f ca="1">IFERROR(__xludf.DUMMYFUNCTION("""COMPUTED_VALUE"""),"")</f>
        <v/>
      </c>
      <c r="I89" s="28"/>
      <c r="J89" s="28"/>
      <c r="Q89" s="195"/>
      <c r="S89" s="51"/>
      <c r="T89" s="31"/>
    </row>
    <row r="90" spans="1:20" customFormat="1">
      <c r="A90" s="134" t="str">
        <f ca="1">IFERROR(__xludf.DUMMYFUNCTION("""COMPUTED_VALUE"""),"")</f>
        <v/>
      </c>
      <c r="B90" s="134" t="str">
        <f ca="1">IFERROR(__xludf.DUMMYFUNCTION("""COMPUTED_VALUE"""),"")</f>
        <v/>
      </c>
      <c r="C90" s="134" t="str">
        <f ca="1">IFERROR(__xludf.DUMMYFUNCTION("""COMPUTED_VALUE"""),"")</f>
        <v/>
      </c>
      <c r="D90" s="134" t="str">
        <f ca="1">IFERROR(__xludf.DUMMYFUNCTION("""COMPUTED_VALUE"""),"")</f>
        <v/>
      </c>
      <c r="E90" s="134" t="str">
        <f ca="1">IFERROR(__xludf.DUMMYFUNCTION("""COMPUTED_VALUE"""),"")</f>
        <v/>
      </c>
      <c r="F90" s="134" t="str">
        <f ca="1">IFERROR(__xludf.DUMMYFUNCTION("""COMPUTED_VALUE"""),"")</f>
        <v/>
      </c>
      <c r="G90" s="134" t="str">
        <f ca="1">IFERROR(__xludf.DUMMYFUNCTION("""COMPUTED_VALUE"""),"")</f>
        <v/>
      </c>
      <c r="H90" s="134" t="str">
        <f ca="1">IFERROR(__xludf.DUMMYFUNCTION("""COMPUTED_VALUE"""),"")</f>
        <v/>
      </c>
      <c r="I90" s="28"/>
      <c r="J90" s="28"/>
      <c r="Q90" s="195"/>
      <c r="S90" s="51"/>
      <c r="T90" s="31"/>
    </row>
    <row r="91" spans="1:20" customFormat="1">
      <c r="A91" s="134" t="str">
        <f ca="1">IFERROR(__xludf.DUMMYFUNCTION("""COMPUTED_VALUE"""),"")</f>
        <v/>
      </c>
      <c r="B91" s="134" t="str">
        <f ca="1">IFERROR(__xludf.DUMMYFUNCTION("""COMPUTED_VALUE"""),"")</f>
        <v/>
      </c>
      <c r="C91" s="134" t="str">
        <f ca="1">IFERROR(__xludf.DUMMYFUNCTION("""COMPUTED_VALUE"""),"")</f>
        <v/>
      </c>
      <c r="D91" s="134" t="str">
        <f ca="1">IFERROR(__xludf.DUMMYFUNCTION("""COMPUTED_VALUE"""),"")</f>
        <v/>
      </c>
      <c r="E91" s="134" t="str">
        <f ca="1">IFERROR(__xludf.DUMMYFUNCTION("""COMPUTED_VALUE"""),"")</f>
        <v/>
      </c>
      <c r="F91" s="134" t="str">
        <f ca="1">IFERROR(__xludf.DUMMYFUNCTION("""COMPUTED_VALUE"""),"")</f>
        <v/>
      </c>
      <c r="G91" s="134" t="str">
        <f ca="1">IFERROR(__xludf.DUMMYFUNCTION("""COMPUTED_VALUE"""),"")</f>
        <v/>
      </c>
      <c r="H91" s="134" t="str">
        <f ca="1">IFERROR(__xludf.DUMMYFUNCTION("""COMPUTED_VALUE"""),"")</f>
        <v/>
      </c>
      <c r="I91" s="28"/>
      <c r="J91" s="28"/>
      <c r="Q91" s="195"/>
      <c r="S91" s="51"/>
      <c r="T91" s="31"/>
    </row>
    <row r="92" spans="1:20" customFormat="1">
      <c r="A92" s="134" t="str">
        <f ca="1">IFERROR(__xludf.DUMMYFUNCTION("""COMPUTED_VALUE"""),"")</f>
        <v/>
      </c>
      <c r="B92" s="134" t="str">
        <f ca="1">IFERROR(__xludf.DUMMYFUNCTION("""COMPUTED_VALUE"""),"")</f>
        <v/>
      </c>
      <c r="C92" s="134" t="str">
        <f ca="1">IFERROR(__xludf.DUMMYFUNCTION("""COMPUTED_VALUE"""),"")</f>
        <v/>
      </c>
      <c r="D92" s="134" t="str">
        <f ca="1">IFERROR(__xludf.DUMMYFUNCTION("""COMPUTED_VALUE"""),"")</f>
        <v/>
      </c>
      <c r="E92" s="134" t="str">
        <f ca="1">IFERROR(__xludf.DUMMYFUNCTION("""COMPUTED_VALUE"""),"")</f>
        <v/>
      </c>
      <c r="F92" s="134" t="str">
        <f ca="1">IFERROR(__xludf.DUMMYFUNCTION("""COMPUTED_VALUE"""),"")</f>
        <v/>
      </c>
      <c r="G92" s="134" t="str">
        <f ca="1">IFERROR(__xludf.DUMMYFUNCTION("""COMPUTED_VALUE"""),"")</f>
        <v/>
      </c>
      <c r="H92" s="134" t="str">
        <f ca="1">IFERROR(__xludf.DUMMYFUNCTION("""COMPUTED_VALUE"""),"")</f>
        <v/>
      </c>
      <c r="I92" s="28"/>
      <c r="J92" s="28"/>
      <c r="Q92" s="195"/>
      <c r="S92" s="51"/>
      <c r="T92" s="31"/>
    </row>
    <row r="93" spans="1:20" customFormat="1">
      <c r="A93" s="134" t="str">
        <f ca="1">IFERROR(__xludf.DUMMYFUNCTION("""COMPUTED_VALUE"""),"")</f>
        <v/>
      </c>
      <c r="B93" s="134" t="str">
        <f ca="1">IFERROR(__xludf.DUMMYFUNCTION("""COMPUTED_VALUE"""),"")</f>
        <v/>
      </c>
      <c r="C93" s="134" t="str">
        <f ca="1">IFERROR(__xludf.DUMMYFUNCTION("""COMPUTED_VALUE"""),"")</f>
        <v/>
      </c>
      <c r="D93" s="134" t="str">
        <f ca="1">IFERROR(__xludf.DUMMYFUNCTION("""COMPUTED_VALUE"""),"")</f>
        <v/>
      </c>
      <c r="E93" s="134" t="str">
        <f ca="1">IFERROR(__xludf.DUMMYFUNCTION("""COMPUTED_VALUE"""),"")</f>
        <v/>
      </c>
      <c r="F93" s="134" t="str">
        <f ca="1">IFERROR(__xludf.DUMMYFUNCTION("""COMPUTED_VALUE"""),"")</f>
        <v/>
      </c>
      <c r="G93" s="134" t="str">
        <f ca="1">IFERROR(__xludf.DUMMYFUNCTION("""COMPUTED_VALUE"""),"")</f>
        <v/>
      </c>
      <c r="H93" s="134" t="str">
        <f ca="1">IFERROR(__xludf.DUMMYFUNCTION("""COMPUTED_VALUE"""),"")</f>
        <v/>
      </c>
      <c r="I93" s="134" t="str">
        <f ca="1">IFERROR(__xludf.DUMMYFUNCTION("""COMPUTED_VALUE"""),"")</f>
        <v/>
      </c>
      <c r="J93" s="134" t="str">
        <f ca="1">IFERROR(__xludf.DUMMYFUNCTION("""COMPUTED_VALUE"""),"")</f>
        <v/>
      </c>
      <c r="N93" s="31"/>
      <c r="Q93" s="195"/>
      <c r="S93" s="51"/>
      <c r="T93" s="31"/>
    </row>
    <row r="94" spans="1:20" customFormat="1">
      <c r="A94" s="134" t="str">
        <f ca="1">IFERROR(__xludf.DUMMYFUNCTION("""COMPUTED_VALUE"""),"")</f>
        <v/>
      </c>
      <c r="B94" s="134" t="str">
        <f ca="1">IFERROR(__xludf.DUMMYFUNCTION("""COMPUTED_VALUE"""),"")</f>
        <v/>
      </c>
      <c r="C94" s="134" t="str">
        <f ca="1">IFERROR(__xludf.DUMMYFUNCTION("""COMPUTED_VALUE"""),"")</f>
        <v/>
      </c>
      <c r="D94" s="134" t="str">
        <f ca="1">IFERROR(__xludf.DUMMYFUNCTION("""COMPUTED_VALUE"""),"")</f>
        <v/>
      </c>
      <c r="E94" s="134" t="str">
        <f ca="1">IFERROR(__xludf.DUMMYFUNCTION("""COMPUTED_VALUE"""),"")</f>
        <v/>
      </c>
      <c r="F94" s="134" t="str">
        <f ca="1">IFERROR(__xludf.DUMMYFUNCTION("""COMPUTED_VALUE"""),"")</f>
        <v/>
      </c>
      <c r="G94" s="134" t="str">
        <f ca="1">IFERROR(__xludf.DUMMYFUNCTION("""COMPUTED_VALUE"""),"")</f>
        <v/>
      </c>
      <c r="H94" s="134" t="str">
        <f ca="1">IFERROR(__xludf.DUMMYFUNCTION("""COMPUTED_VALUE"""),"")</f>
        <v/>
      </c>
      <c r="I94" s="134" t="str">
        <f ca="1">IFERROR(__xludf.DUMMYFUNCTION("""COMPUTED_VALUE"""),"")</f>
        <v/>
      </c>
      <c r="J94" s="134" t="str">
        <f ca="1">IFERROR(__xludf.DUMMYFUNCTION("""COMPUTED_VALUE"""),"")</f>
        <v/>
      </c>
      <c r="N94" s="31"/>
      <c r="Q94" s="195"/>
      <c r="S94" s="51"/>
      <c r="T94" s="31"/>
    </row>
    <row r="95" spans="1:20" customFormat="1">
      <c r="A95" s="134" t="str">
        <f ca="1">IFERROR(__xludf.DUMMYFUNCTION("""COMPUTED_VALUE"""),"")</f>
        <v/>
      </c>
      <c r="B95" s="134" t="str">
        <f ca="1">IFERROR(__xludf.DUMMYFUNCTION("""COMPUTED_VALUE"""),"")</f>
        <v/>
      </c>
      <c r="C95" s="134" t="str">
        <f ca="1">IFERROR(__xludf.DUMMYFUNCTION("""COMPUTED_VALUE"""),"")</f>
        <v/>
      </c>
      <c r="D95" s="134" t="str">
        <f ca="1">IFERROR(__xludf.DUMMYFUNCTION("""COMPUTED_VALUE"""),"")</f>
        <v/>
      </c>
      <c r="E95" s="134" t="str">
        <f ca="1">IFERROR(__xludf.DUMMYFUNCTION("""COMPUTED_VALUE"""),"")</f>
        <v/>
      </c>
      <c r="F95" s="134" t="str">
        <f ca="1">IFERROR(__xludf.DUMMYFUNCTION("""COMPUTED_VALUE"""),"")</f>
        <v/>
      </c>
      <c r="G95" s="134" t="str">
        <f ca="1">IFERROR(__xludf.DUMMYFUNCTION("""COMPUTED_VALUE"""),"")</f>
        <v/>
      </c>
      <c r="H95" s="134" t="str">
        <f ca="1">IFERROR(__xludf.DUMMYFUNCTION("""COMPUTED_VALUE"""),"")</f>
        <v/>
      </c>
      <c r="I95" s="134" t="str">
        <f ca="1">IFERROR(__xludf.DUMMYFUNCTION("""COMPUTED_VALUE"""),"")</f>
        <v/>
      </c>
      <c r="J95" s="134" t="str">
        <f ca="1">IFERROR(__xludf.DUMMYFUNCTION("""COMPUTED_VALUE"""),"")</f>
        <v/>
      </c>
      <c r="N95" s="31"/>
      <c r="Q95" s="195"/>
      <c r="S95" s="51"/>
      <c r="T95" s="31"/>
    </row>
    <row r="96" spans="1:20" customFormat="1">
      <c r="A96" s="134" t="str">
        <f ca="1">IFERROR(__xludf.DUMMYFUNCTION("""COMPUTED_VALUE"""),"")</f>
        <v/>
      </c>
      <c r="B96" s="134" t="str">
        <f ca="1">IFERROR(__xludf.DUMMYFUNCTION("""COMPUTED_VALUE"""),"")</f>
        <v/>
      </c>
      <c r="C96" s="134" t="str">
        <f ca="1">IFERROR(__xludf.DUMMYFUNCTION("""COMPUTED_VALUE"""),"")</f>
        <v/>
      </c>
      <c r="D96" s="134" t="str">
        <f ca="1">IFERROR(__xludf.DUMMYFUNCTION("""COMPUTED_VALUE"""),"")</f>
        <v/>
      </c>
      <c r="E96" s="134" t="str">
        <f ca="1">IFERROR(__xludf.DUMMYFUNCTION("""COMPUTED_VALUE"""),"")</f>
        <v/>
      </c>
      <c r="F96" s="134" t="str">
        <f ca="1">IFERROR(__xludf.DUMMYFUNCTION("""COMPUTED_VALUE"""),"")</f>
        <v/>
      </c>
      <c r="G96" s="134" t="str">
        <f ca="1">IFERROR(__xludf.DUMMYFUNCTION("""COMPUTED_VALUE"""),"")</f>
        <v/>
      </c>
      <c r="H96" s="134" t="str">
        <f ca="1">IFERROR(__xludf.DUMMYFUNCTION("""COMPUTED_VALUE"""),"")</f>
        <v/>
      </c>
      <c r="I96" s="134" t="str">
        <f ca="1">IFERROR(__xludf.DUMMYFUNCTION("""COMPUTED_VALUE"""),"")</f>
        <v/>
      </c>
      <c r="J96" s="134" t="str">
        <f ca="1">IFERROR(__xludf.DUMMYFUNCTION("""COMPUTED_VALUE"""),"")</f>
        <v/>
      </c>
      <c r="N96" s="31"/>
      <c r="Q96" s="195"/>
      <c r="S96" s="51"/>
      <c r="T96" s="31"/>
    </row>
    <row r="97" spans="1:20" customFormat="1">
      <c r="A97" s="134" t="str">
        <f ca="1">IFERROR(__xludf.DUMMYFUNCTION("""COMPUTED_VALUE"""),"")</f>
        <v/>
      </c>
      <c r="B97" s="134" t="str">
        <f ca="1">IFERROR(__xludf.DUMMYFUNCTION("""COMPUTED_VALUE"""),"")</f>
        <v/>
      </c>
      <c r="C97" s="134" t="str">
        <f ca="1">IFERROR(__xludf.DUMMYFUNCTION("""COMPUTED_VALUE"""),"")</f>
        <v/>
      </c>
      <c r="D97" s="134" t="str">
        <f ca="1">IFERROR(__xludf.DUMMYFUNCTION("""COMPUTED_VALUE"""),"")</f>
        <v/>
      </c>
      <c r="E97" s="134" t="str">
        <f ca="1">IFERROR(__xludf.DUMMYFUNCTION("""COMPUTED_VALUE"""),"")</f>
        <v/>
      </c>
      <c r="F97" s="134" t="str">
        <f ca="1">IFERROR(__xludf.DUMMYFUNCTION("""COMPUTED_VALUE"""),"")</f>
        <v/>
      </c>
      <c r="G97" s="134" t="str">
        <f ca="1">IFERROR(__xludf.DUMMYFUNCTION("""COMPUTED_VALUE"""),"")</f>
        <v/>
      </c>
      <c r="H97" s="134" t="str">
        <f ca="1">IFERROR(__xludf.DUMMYFUNCTION("""COMPUTED_VALUE"""),"")</f>
        <v/>
      </c>
      <c r="I97" s="134" t="str">
        <f ca="1">IFERROR(__xludf.DUMMYFUNCTION("""COMPUTED_VALUE"""),"")</f>
        <v/>
      </c>
      <c r="J97" s="134" t="str">
        <f ca="1">IFERROR(__xludf.DUMMYFUNCTION("""COMPUTED_VALUE"""),"")</f>
        <v/>
      </c>
      <c r="N97" s="31"/>
      <c r="Q97" s="195"/>
      <c r="S97" s="51"/>
      <c r="T97" s="31"/>
    </row>
    <row r="98" spans="1:20" customFormat="1">
      <c r="A98" s="134" t="str">
        <f ca="1">IFERROR(__xludf.DUMMYFUNCTION("""COMPUTED_VALUE"""),"")</f>
        <v/>
      </c>
      <c r="B98" s="134" t="str">
        <f ca="1">IFERROR(__xludf.DUMMYFUNCTION("""COMPUTED_VALUE"""),"")</f>
        <v/>
      </c>
      <c r="C98" s="134" t="str">
        <f ca="1">IFERROR(__xludf.DUMMYFUNCTION("""COMPUTED_VALUE"""),"")</f>
        <v/>
      </c>
      <c r="D98" s="134" t="str">
        <f ca="1">IFERROR(__xludf.DUMMYFUNCTION("""COMPUTED_VALUE"""),"")</f>
        <v/>
      </c>
      <c r="E98" s="134" t="str">
        <f ca="1">IFERROR(__xludf.DUMMYFUNCTION("""COMPUTED_VALUE"""),"")</f>
        <v/>
      </c>
      <c r="F98" s="134" t="str">
        <f ca="1">IFERROR(__xludf.DUMMYFUNCTION("""COMPUTED_VALUE"""),"")</f>
        <v/>
      </c>
      <c r="G98" s="134" t="str">
        <f ca="1">IFERROR(__xludf.DUMMYFUNCTION("""COMPUTED_VALUE"""),"")</f>
        <v/>
      </c>
      <c r="H98" s="134" t="str">
        <f ca="1">IFERROR(__xludf.DUMMYFUNCTION("""COMPUTED_VALUE"""),"")</f>
        <v/>
      </c>
      <c r="I98" s="134" t="str">
        <f ca="1">IFERROR(__xludf.DUMMYFUNCTION("""COMPUTED_VALUE"""),"")</f>
        <v/>
      </c>
      <c r="J98" s="134" t="str">
        <f ca="1">IFERROR(__xludf.DUMMYFUNCTION("""COMPUTED_VALUE"""),"")</f>
        <v/>
      </c>
      <c r="N98" s="31"/>
      <c r="Q98" s="195"/>
      <c r="S98" s="51"/>
      <c r="T98" s="31"/>
    </row>
    <row r="99" spans="1:20" customFormat="1">
      <c r="A99" s="134" t="str">
        <f ca="1">IFERROR(__xludf.DUMMYFUNCTION("""COMPUTED_VALUE"""),"")</f>
        <v/>
      </c>
      <c r="B99" s="134" t="str">
        <f ca="1">IFERROR(__xludf.DUMMYFUNCTION("""COMPUTED_VALUE"""),"")</f>
        <v/>
      </c>
      <c r="C99" s="134" t="str">
        <f ca="1">IFERROR(__xludf.DUMMYFUNCTION("""COMPUTED_VALUE"""),"")</f>
        <v/>
      </c>
      <c r="D99" s="134" t="str">
        <f ca="1">IFERROR(__xludf.DUMMYFUNCTION("""COMPUTED_VALUE"""),"")</f>
        <v/>
      </c>
      <c r="E99" s="134" t="str">
        <f ca="1">IFERROR(__xludf.DUMMYFUNCTION("""COMPUTED_VALUE"""),"")</f>
        <v/>
      </c>
      <c r="F99" s="134" t="str">
        <f ca="1">IFERROR(__xludf.DUMMYFUNCTION("""COMPUTED_VALUE"""),"")</f>
        <v/>
      </c>
      <c r="G99" s="134" t="str">
        <f ca="1">IFERROR(__xludf.DUMMYFUNCTION("""COMPUTED_VALUE"""),"")</f>
        <v/>
      </c>
      <c r="H99" s="134" t="str">
        <f ca="1">IFERROR(__xludf.DUMMYFUNCTION("""COMPUTED_VALUE"""),"")</f>
        <v/>
      </c>
      <c r="I99" s="134" t="str">
        <f ca="1">IFERROR(__xludf.DUMMYFUNCTION("""COMPUTED_VALUE"""),"")</f>
        <v/>
      </c>
      <c r="J99" s="134" t="str">
        <f ca="1">IFERROR(__xludf.DUMMYFUNCTION("""COMPUTED_VALUE"""),"")</f>
        <v/>
      </c>
      <c r="N99" s="31"/>
      <c r="Q99" s="195"/>
      <c r="S99" s="51"/>
      <c r="T99" s="31"/>
    </row>
    <row r="100" spans="1:20" customFormat="1">
      <c r="A100" s="134" t="str">
        <f ca="1">IFERROR(__xludf.DUMMYFUNCTION("""COMPUTED_VALUE"""),"")</f>
        <v/>
      </c>
      <c r="B100" s="134" t="str">
        <f ca="1">IFERROR(__xludf.DUMMYFUNCTION("""COMPUTED_VALUE"""),"")</f>
        <v/>
      </c>
      <c r="C100" s="134" t="str">
        <f ca="1">IFERROR(__xludf.DUMMYFUNCTION("""COMPUTED_VALUE"""),"")</f>
        <v/>
      </c>
      <c r="D100" s="134" t="str">
        <f ca="1">IFERROR(__xludf.DUMMYFUNCTION("""COMPUTED_VALUE"""),"")</f>
        <v/>
      </c>
      <c r="E100" s="134" t="str">
        <f ca="1">IFERROR(__xludf.DUMMYFUNCTION("""COMPUTED_VALUE"""),"")</f>
        <v/>
      </c>
      <c r="F100" s="134" t="str">
        <f ca="1">IFERROR(__xludf.DUMMYFUNCTION("""COMPUTED_VALUE"""),"")</f>
        <v/>
      </c>
      <c r="G100" s="134" t="str">
        <f ca="1">IFERROR(__xludf.DUMMYFUNCTION("""COMPUTED_VALUE"""),"")</f>
        <v/>
      </c>
      <c r="H100" s="134" t="str">
        <f ca="1">IFERROR(__xludf.DUMMYFUNCTION("""COMPUTED_VALUE"""),"")</f>
        <v/>
      </c>
      <c r="I100" s="134" t="str">
        <f ca="1">IFERROR(__xludf.DUMMYFUNCTION("""COMPUTED_VALUE"""),"")</f>
        <v/>
      </c>
      <c r="J100" s="134" t="str">
        <f ca="1">IFERROR(__xludf.DUMMYFUNCTION("""COMPUTED_VALUE"""),"")</f>
        <v/>
      </c>
      <c r="N100" s="31"/>
      <c r="Q100" s="195"/>
      <c r="S100" s="51"/>
      <c r="T100" s="31"/>
    </row>
    <row r="101" spans="1:20" customFormat="1">
      <c r="A101" s="134" t="str">
        <f ca="1">IFERROR(__xludf.DUMMYFUNCTION("""COMPUTED_VALUE"""),"")</f>
        <v/>
      </c>
      <c r="B101" s="134" t="str">
        <f ca="1">IFERROR(__xludf.DUMMYFUNCTION("""COMPUTED_VALUE"""),"")</f>
        <v/>
      </c>
      <c r="C101" s="134" t="str">
        <f ca="1">IFERROR(__xludf.DUMMYFUNCTION("""COMPUTED_VALUE"""),"")</f>
        <v/>
      </c>
      <c r="D101" s="134" t="str">
        <f ca="1">IFERROR(__xludf.DUMMYFUNCTION("""COMPUTED_VALUE"""),"")</f>
        <v/>
      </c>
      <c r="E101" s="134" t="str">
        <f ca="1">IFERROR(__xludf.DUMMYFUNCTION("""COMPUTED_VALUE"""),"")</f>
        <v/>
      </c>
      <c r="F101" s="134" t="str">
        <f ca="1">IFERROR(__xludf.DUMMYFUNCTION("""COMPUTED_VALUE"""),"")</f>
        <v/>
      </c>
      <c r="G101" s="134" t="str">
        <f ca="1">IFERROR(__xludf.DUMMYFUNCTION("""COMPUTED_VALUE"""),"")</f>
        <v/>
      </c>
      <c r="H101" s="134" t="str">
        <f ca="1">IFERROR(__xludf.DUMMYFUNCTION("""COMPUTED_VALUE"""),"")</f>
        <v/>
      </c>
      <c r="I101" s="134" t="str">
        <f ca="1">IFERROR(__xludf.DUMMYFUNCTION("""COMPUTED_VALUE"""),"")</f>
        <v/>
      </c>
      <c r="J101" s="134" t="str">
        <f ca="1">IFERROR(__xludf.DUMMYFUNCTION("""COMPUTED_VALUE"""),"")</f>
        <v/>
      </c>
      <c r="N101" s="31"/>
      <c r="Q101" s="195"/>
      <c r="S101" s="51"/>
      <c r="T101" s="31"/>
    </row>
    <row r="102" spans="1:20" customFormat="1">
      <c r="A102" s="134" t="str">
        <f ca="1">IFERROR(__xludf.DUMMYFUNCTION("""COMPUTED_VALUE"""),"")</f>
        <v/>
      </c>
      <c r="B102" s="134" t="str">
        <f ca="1">IFERROR(__xludf.DUMMYFUNCTION("""COMPUTED_VALUE"""),"")</f>
        <v/>
      </c>
      <c r="C102" s="134" t="str">
        <f ca="1">IFERROR(__xludf.DUMMYFUNCTION("""COMPUTED_VALUE"""),"")</f>
        <v/>
      </c>
      <c r="D102" s="134" t="str">
        <f ca="1">IFERROR(__xludf.DUMMYFUNCTION("""COMPUTED_VALUE"""),"")</f>
        <v/>
      </c>
      <c r="E102" s="134" t="str">
        <f ca="1">IFERROR(__xludf.DUMMYFUNCTION("""COMPUTED_VALUE"""),"")</f>
        <v/>
      </c>
      <c r="F102" s="134" t="str">
        <f ca="1">IFERROR(__xludf.DUMMYFUNCTION("""COMPUTED_VALUE"""),"")</f>
        <v/>
      </c>
      <c r="G102" s="134" t="str">
        <f ca="1">IFERROR(__xludf.DUMMYFUNCTION("""COMPUTED_VALUE"""),"")</f>
        <v/>
      </c>
      <c r="H102" s="134" t="str">
        <f ca="1">IFERROR(__xludf.DUMMYFUNCTION("""COMPUTED_VALUE"""),"")</f>
        <v/>
      </c>
      <c r="I102" s="134" t="str">
        <f ca="1">IFERROR(__xludf.DUMMYFUNCTION("""COMPUTED_VALUE"""),"")</f>
        <v/>
      </c>
      <c r="J102" s="134" t="str">
        <f ca="1">IFERROR(__xludf.DUMMYFUNCTION("""COMPUTED_VALUE"""),"")</f>
        <v/>
      </c>
      <c r="N102" s="31"/>
      <c r="Q102" s="195"/>
      <c r="S102" s="51"/>
      <c r="T102" s="31"/>
    </row>
    <row r="103" spans="1:20" customFormat="1">
      <c r="A103" s="134" t="str">
        <f ca="1">IFERROR(__xludf.DUMMYFUNCTION("""COMPUTED_VALUE"""),"")</f>
        <v/>
      </c>
      <c r="B103" s="134" t="str">
        <f ca="1">IFERROR(__xludf.DUMMYFUNCTION("""COMPUTED_VALUE"""),"")</f>
        <v/>
      </c>
      <c r="C103" s="134" t="str">
        <f ca="1">IFERROR(__xludf.DUMMYFUNCTION("""COMPUTED_VALUE"""),"")</f>
        <v/>
      </c>
      <c r="D103" s="134" t="str">
        <f ca="1">IFERROR(__xludf.DUMMYFUNCTION("""COMPUTED_VALUE"""),"")</f>
        <v/>
      </c>
      <c r="E103" s="134" t="str">
        <f ca="1">IFERROR(__xludf.DUMMYFUNCTION("""COMPUTED_VALUE"""),"")</f>
        <v/>
      </c>
      <c r="F103" s="134" t="str">
        <f ca="1">IFERROR(__xludf.DUMMYFUNCTION("""COMPUTED_VALUE"""),"")</f>
        <v/>
      </c>
      <c r="G103" s="134" t="str">
        <f ca="1">IFERROR(__xludf.DUMMYFUNCTION("""COMPUTED_VALUE"""),"")</f>
        <v/>
      </c>
      <c r="H103" s="134" t="str">
        <f ca="1">IFERROR(__xludf.DUMMYFUNCTION("""COMPUTED_VALUE"""),"")</f>
        <v/>
      </c>
      <c r="I103" s="134" t="str">
        <f ca="1">IFERROR(__xludf.DUMMYFUNCTION("""COMPUTED_VALUE"""),"")</f>
        <v/>
      </c>
      <c r="J103" s="134" t="str">
        <f ca="1">IFERROR(__xludf.DUMMYFUNCTION("""COMPUTED_VALUE"""),"")</f>
        <v/>
      </c>
      <c r="N103" s="31"/>
      <c r="Q103" s="195"/>
      <c r="S103" s="51"/>
      <c r="T103" s="31"/>
    </row>
    <row r="104" spans="1:20" customFormat="1">
      <c r="A104" s="134" t="str">
        <f ca="1">IFERROR(__xludf.DUMMYFUNCTION("""COMPUTED_VALUE"""),"")</f>
        <v/>
      </c>
      <c r="B104" s="134" t="str">
        <f ca="1">IFERROR(__xludf.DUMMYFUNCTION("""COMPUTED_VALUE"""),"")</f>
        <v/>
      </c>
      <c r="C104" s="134" t="str">
        <f ca="1">IFERROR(__xludf.DUMMYFUNCTION("""COMPUTED_VALUE"""),"")</f>
        <v/>
      </c>
      <c r="D104" s="134" t="str">
        <f ca="1">IFERROR(__xludf.DUMMYFUNCTION("""COMPUTED_VALUE"""),"")</f>
        <v/>
      </c>
      <c r="E104" s="134" t="str">
        <f ca="1">IFERROR(__xludf.DUMMYFUNCTION("""COMPUTED_VALUE"""),"")</f>
        <v/>
      </c>
      <c r="F104" s="134" t="str">
        <f ca="1">IFERROR(__xludf.DUMMYFUNCTION("""COMPUTED_VALUE"""),"")</f>
        <v/>
      </c>
      <c r="G104" s="134" t="str">
        <f ca="1">IFERROR(__xludf.DUMMYFUNCTION("""COMPUTED_VALUE"""),"")</f>
        <v/>
      </c>
      <c r="H104" s="134" t="str">
        <f ca="1">IFERROR(__xludf.DUMMYFUNCTION("""COMPUTED_VALUE"""),"")</f>
        <v/>
      </c>
      <c r="I104" s="134" t="str">
        <f ca="1">IFERROR(__xludf.DUMMYFUNCTION("""COMPUTED_VALUE"""),"")</f>
        <v/>
      </c>
      <c r="J104" s="134" t="str">
        <f ca="1">IFERROR(__xludf.DUMMYFUNCTION("""COMPUTED_VALUE"""),"")</f>
        <v/>
      </c>
      <c r="N104" s="31"/>
      <c r="Q104" s="195"/>
      <c r="S104" s="51"/>
      <c r="T104" s="31"/>
    </row>
    <row r="105" spans="1:20" customFormat="1">
      <c r="A105" s="134" t="str">
        <f ca="1">IFERROR(__xludf.DUMMYFUNCTION("""COMPUTED_VALUE"""),"")</f>
        <v/>
      </c>
      <c r="B105" s="134" t="str">
        <f ca="1">IFERROR(__xludf.DUMMYFUNCTION("""COMPUTED_VALUE"""),"")</f>
        <v/>
      </c>
      <c r="C105" s="134" t="str">
        <f ca="1">IFERROR(__xludf.DUMMYFUNCTION("""COMPUTED_VALUE"""),"")</f>
        <v/>
      </c>
      <c r="D105" s="134" t="str">
        <f ca="1">IFERROR(__xludf.DUMMYFUNCTION("""COMPUTED_VALUE"""),"")</f>
        <v/>
      </c>
      <c r="E105" s="134" t="str">
        <f ca="1">IFERROR(__xludf.DUMMYFUNCTION("""COMPUTED_VALUE"""),"")</f>
        <v/>
      </c>
      <c r="F105" s="134" t="str">
        <f ca="1">IFERROR(__xludf.DUMMYFUNCTION("""COMPUTED_VALUE"""),"")</f>
        <v/>
      </c>
      <c r="G105" s="134" t="str">
        <f ca="1">IFERROR(__xludf.DUMMYFUNCTION("""COMPUTED_VALUE"""),"")</f>
        <v/>
      </c>
      <c r="H105" s="134" t="str">
        <f ca="1">IFERROR(__xludf.DUMMYFUNCTION("""COMPUTED_VALUE"""),"")</f>
        <v/>
      </c>
      <c r="I105" s="134" t="str">
        <f ca="1">IFERROR(__xludf.DUMMYFUNCTION("""COMPUTED_VALUE"""),"")</f>
        <v/>
      </c>
      <c r="J105" s="134" t="str">
        <f ca="1">IFERROR(__xludf.DUMMYFUNCTION("""COMPUTED_VALUE"""),"")</f>
        <v/>
      </c>
      <c r="N105" s="31"/>
      <c r="Q105" s="195"/>
      <c r="S105" s="51"/>
      <c r="T105" s="31"/>
    </row>
    <row r="106" spans="1:20" customFormat="1">
      <c r="A106" s="134" t="str">
        <f ca="1">IFERROR(__xludf.DUMMYFUNCTION("""COMPUTED_VALUE"""),"")</f>
        <v/>
      </c>
      <c r="B106" s="134" t="str">
        <f ca="1">IFERROR(__xludf.DUMMYFUNCTION("""COMPUTED_VALUE"""),"")</f>
        <v/>
      </c>
      <c r="C106" s="134" t="str">
        <f ca="1">IFERROR(__xludf.DUMMYFUNCTION("""COMPUTED_VALUE"""),"")</f>
        <v/>
      </c>
      <c r="D106" s="134" t="str">
        <f ca="1">IFERROR(__xludf.DUMMYFUNCTION("""COMPUTED_VALUE"""),"")</f>
        <v/>
      </c>
      <c r="E106" s="134" t="str">
        <f ca="1">IFERROR(__xludf.DUMMYFUNCTION("""COMPUTED_VALUE"""),"")</f>
        <v/>
      </c>
      <c r="F106" s="134" t="str">
        <f ca="1">IFERROR(__xludf.DUMMYFUNCTION("""COMPUTED_VALUE"""),"")</f>
        <v/>
      </c>
      <c r="G106" s="134" t="str">
        <f ca="1">IFERROR(__xludf.DUMMYFUNCTION("""COMPUTED_VALUE"""),"")</f>
        <v/>
      </c>
      <c r="H106" s="134" t="str">
        <f ca="1">IFERROR(__xludf.DUMMYFUNCTION("""COMPUTED_VALUE"""),"")</f>
        <v/>
      </c>
      <c r="I106" s="134" t="str">
        <f ca="1">IFERROR(__xludf.DUMMYFUNCTION("""COMPUTED_VALUE"""),"")</f>
        <v/>
      </c>
      <c r="J106" s="134" t="str">
        <f ca="1">IFERROR(__xludf.DUMMYFUNCTION("""COMPUTED_VALUE"""),"")</f>
        <v/>
      </c>
      <c r="N106" s="31"/>
      <c r="Q106" s="195"/>
      <c r="S106" s="51"/>
      <c r="T106" s="31"/>
    </row>
    <row r="107" spans="1:20" customFormat="1">
      <c r="A107" s="134" t="str">
        <f ca="1">IFERROR(__xludf.DUMMYFUNCTION("""COMPUTED_VALUE"""),"")</f>
        <v/>
      </c>
      <c r="B107" s="134" t="str">
        <f ca="1">IFERROR(__xludf.DUMMYFUNCTION("""COMPUTED_VALUE"""),"")</f>
        <v/>
      </c>
      <c r="C107" s="134" t="str">
        <f ca="1">IFERROR(__xludf.DUMMYFUNCTION("""COMPUTED_VALUE"""),"")</f>
        <v/>
      </c>
      <c r="D107" s="134" t="str">
        <f ca="1">IFERROR(__xludf.DUMMYFUNCTION("""COMPUTED_VALUE"""),"")</f>
        <v/>
      </c>
      <c r="E107" s="134" t="str">
        <f ca="1">IFERROR(__xludf.DUMMYFUNCTION("""COMPUTED_VALUE"""),"")</f>
        <v/>
      </c>
      <c r="F107" s="134" t="str">
        <f ca="1">IFERROR(__xludf.DUMMYFUNCTION("""COMPUTED_VALUE"""),"")</f>
        <v/>
      </c>
      <c r="G107" s="134" t="str">
        <f ca="1">IFERROR(__xludf.DUMMYFUNCTION("""COMPUTED_VALUE"""),"")</f>
        <v/>
      </c>
      <c r="H107" s="134" t="str">
        <f ca="1">IFERROR(__xludf.DUMMYFUNCTION("""COMPUTED_VALUE"""),"")</f>
        <v/>
      </c>
      <c r="I107" s="134" t="str">
        <f ca="1">IFERROR(__xludf.DUMMYFUNCTION("""COMPUTED_VALUE"""),"")</f>
        <v/>
      </c>
      <c r="J107" s="134" t="str">
        <f ca="1">IFERROR(__xludf.DUMMYFUNCTION("""COMPUTED_VALUE"""),"")</f>
        <v/>
      </c>
      <c r="N107" s="31"/>
      <c r="Q107" s="195"/>
      <c r="S107" s="51"/>
      <c r="T107" s="31"/>
    </row>
    <row r="108" spans="1:20" customFormat="1">
      <c r="A108" s="134" t="str">
        <f ca="1">IFERROR(__xludf.DUMMYFUNCTION("""COMPUTED_VALUE"""),"")</f>
        <v/>
      </c>
      <c r="B108" s="134" t="str">
        <f ca="1">IFERROR(__xludf.DUMMYFUNCTION("""COMPUTED_VALUE"""),"")</f>
        <v/>
      </c>
      <c r="C108" s="134" t="str">
        <f ca="1">IFERROR(__xludf.DUMMYFUNCTION("""COMPUTED_VALUE"""),"")</f>
        <v/>
      </c>
      <c r="D108" s="134" t="str">
        <f ca="1">IFERROR(__xludf.DUMMYFUNCTION("""COMPUTED_VALUE"""),"")</f>
        <v/>
      </c>
      <c r="E108" s="134" t="str">
        <f ca="1">IFERROR(__xludf.DUMMYFUNCTION("""COMPUTED_VALUE"""),"")</f>
        <v/>
      </c>
      <c r="F108" s="134" t="str">
        <f ca="1">IFERROR(__xludf.DUMMYFUNCTION("""COMPUTED_VALUE"""),"")</f>
        <v/>
      </c>
      <c r="G108" s="134" t="str">
        <f ca="1">IFERROR(__xludf.DUMMYFUNCTION("""COMPUTED_VALUE"""),"")</f>
        <v/>
      </c>
      <c r="H108" s="134" t="str">
        <f ca="1">IFERROR(__xludf.DUMMYFUNCTION("""COMPUTED_VALUE"""),"")</f>
        <v/>
      </c>
      <c r="I108" s="134" t="str">
        <f ca="1">IFERROR(__xludf.DUMMYFUNCTION("""COMPUTED_VALUE"""),"")</f>
        <v/>
      </c>
      <c r="J108" s="134" t="str">
        <f ca="1">IFERROR(__xludf.DUMMYFUNCTION("""COMPUTED_VALUE"""),"")</f>
        <v/>
      </c>
      <c r="N108" s="31"/>
      <c r="Q108" s="195"/>
      <c r="S108" s="51"/>
      <c r="T108" s="31"/>
    </row>
    <row r="109" spans="1:20" customFormat="1">
      <c r="A109" s="218" t="str">
        <f ca="1">IFERROR(__xludf.DUMMYFUNCTION("""COMPUTED_VALUE"""),"")</f>
        <v/>
      </c>
      <c r="B109" s="218" t="str">
        <f ca="1">IFERROR(__xludf.DUMMYFUNCTION("""COMPUTED_VALUE"""),"")</f>
        <v/>
      </c>
      <c r="C109" s="134" t="str">
        <f ca="1">IFERROR(__xludf.DUMMYFUNCTION("""COMPUTED_VALUE"""),"")</f>
        <v/>
      </c>
      <c r="D109" s="218" t="str">
        <f ca="1">IFERROR(__xludf.DUMMYFUNCTION("""COMPUTED_VALUE"""),"")</f>
        <v/>
      </c>
      <c r="E109" s="218" t="str">
        <f ca="1">IFERROR(__xludf.DUMMYFUNCTION("""COMPUTED_VALUE"""),"")</f>
        <v/>
      </c>
      <c r="F109" s="218" t="str">
        <f ca="1">IFERROR(__xludf.DUMMYFUNCTION("""COMPUTED_VALUE"""),"")</f>
        <v/>
      </c>
      <c r="G109" s="218" t="str">
        <f ca="1">IFERROR(__xludf.DUMMYFUNCTION("""COMPUTED_VALUE"""),"")</f>
        <v/>
      </c>
      <c r="H109" s="134" t="str">
        <f ca="1">IFERROR(__xludf.DUMMYFUNCTION("""COMPUTED_VALUE"""),"")</f>
        <v/>
      </c>
      <c r="I109" s="134" t="str">
        <f ca="1">IFERROR(__xludf.DUMMYFUNCTION("""COMPUTED_VALUE"""),"")</f>
        <v/>
      </c>
      <c r="J109" s="134" t="str">
        <f ca="1">IFERROR(__xludf.DUMMYFUNCTION("""COMPUTED_VALUE"""),"")</f>
        <v/>
      </c>
      <c r="N109" s="31"/>
      <c r="Q109" s="195"/>
      <c r="S109" s="51"/>
      <c r="T109" s="31"/>
    </row>
    <row r="110" spans="1:20" customFormat="1">
      <c r="A110" s="218" t="str">
        <f ca="1">IFERROR(__xludf.DUMMYFUNCTION("""COMPUTED_VALUE"""),"")</f>
        <v/>
      </c>
      <c r="B110" s="218" t="str">
        <f ca="1">IFERROR(__xludf.DUMMYFUNCTION("""COMPUTED_VALUE"""),"")</f>
        <v/>
      </c>
      <c r="C110" s="134" t="str">
        <f ca="1">IFERROR(__xludf.DUMMYFUNCTION("""COMPUTED_VALUE"""),"")</f>
        <v/>
      </c>
      <c r="D110" s="218" t="str">
        <f ca="1">IFERROR(__xludf.DUMMYFUNCTION("""COMPUTED_VALUE"""),"")</f>
        <v/>
      </c>
      <c r="E110" s="218" t="str">
        <f ca="1">IFERROR(__xludf.DUMMYFUNCTION("""COMPUTED_VALUE"""),"")</f>
        <v/>
      </c>
      <c r="F110" s="134" t="str">
        <f ca="1">IFERROR(__xludf.DUMMYFUNCTION("""COMPUTED_VALUE"""),"")</f>
        <v/>
      </c>
      <c r="G110" s="218" t="str">
        <f ca="1">IFERROR(__xludf.DUMMYFUNCTION("""COMPUTED_VALUE"""),"")</f>
        <v/>
      </c>
      <c r="H110" s="134" t="str">
        <f ca="1">IFERROR(__xludf.DUMMYFUNCTION("""COMPUTED_VALUE"""),"")</f>
        <v/>
      </c>
      <c r="I110" s="134" t="str">
        <f ca="1">IFERROR(__xludf.DUMMYFUNCTION("""COMPUTED_VALUE"""),"")</f>
        <v/>
      </c>
      <c r="J110" s="134" t="str">
        <f ca="1">IFERROR(__xludf.DUMMYFUNCTION("""COMPUTED_VALUE"""),"")</f>
        <v/>
      </c>
      <c r="N110" s="31"/>
      <c r="Q110" s="195"/>
      <c r="S110" s="51"/>
      <c r="T110" s="31"/>
    </row>
    <row r="111" spans="1:20" customFormat="1">
      <c r="A111" s="218" t="str">
        <f ca="1">IFERROR(__xludf.DUMMYFUNCTION("""COMPUTED_VALUE"""),"")</f>
        <v/>
      </c>
      <c r="B111" s="218" t="str">
        <f ca="1">IFERROR(__xludf.DUMMYFUNCTION("""COMPUTED_VALUE"""),"")</f>
        <v/>
      </c>
      <c r="C111" s="134" t="str">
        <f ca="1">IFERROR(__xludf.DUMMYFUNCTION("""COMPUTED_VALUE"""),"")</f>
        <v/>
      </c>
      <c r="D111" s="218" t="str">
        <f ca="1">IFERROR(__xludf.DUMMYFUNCTION("""COMPUTED_VALUE"""),"")</f>
        <v/>
      </c>
      <c r="E111" s="218" t="str">
        <f ca="1">IFERROR(__xludf.DUMMYFUNCTION("""COMPUTED_VALUE"""),"")</f>
        <v/>
      </c>
      <c r="F111" s="134" t="str">
        <f ca="1">IFERROR(__xludf.DUMMYFUNCTION("""COMPUTED_VALUE"""),"")</f>
        <v/>
      </c>
      <c r="G111" s="218" t="str">
        <f ca="1">IFERROR(__xludf.DUMMYFUNCTION("""COMPUTED_VALUE"""),"")</f>
        <v/>
      </c>
      <c r="H111" s="134" t="str">
        <f ca="1">IFERROR(__xludf.DUMMYFUNCTION("""COMPUTED_VALUE"""),"")</f>
        <v/>
      </c>
      <c r="I111" s="134" t="str">
        <f ca="1">IFERROR(__xludf.DUMMYFUNCTION("""COMPUTED_VALUE"""),"")</f>
        <v/>
      </c>
      <c r="J111" s="134" t="str">
        <f ca="1">IFERROR(__xludf.DUMMYFUNCTION("""COMPUTED_VALUE"""),"")</f>
        <v/>
      </c>
      <c r="N111" s="31"/>
      <c r="Q111" s="195"/>
      <c r="S111" s="51"/>
      <c r="T111" s="31"/>
    </row>
    <row r="112" spans="1:20" customFormat="1">
      <c r="A112" s="218" t="str">
        <f ca="1">IFERROR(__xludf.DUMMYFUNCTION("""COMPUTED_VALUE"""),"")</f>
        <v/>
      </c>
      <c r="B112" s="218" t="str">
        <f ca="1">IFERROR(__xludf.DUMMYFUNCTION("""COMPUTED_VALUE"""),"")</f>
        <v/>
      </c>
      <c r="C112" s="134" t="str">
        <f ca="1">IFERROR(__xludf.DUMMYFUNCTION("""COMPUTED_VALUE"""),"")</f>
        <v/>
      </c>
      <c r="D112" s="218" t="str">
        <f ca="1">IFERROR(__xludf.DUMMYFUNCTION("""COMPUTED_VALUE"""),"")</f>
        <v/>
      </c>
      <c r="E112" s="218" t="str">
        <f ca="1">IFERROR(__xludf.DUMMYFUNCTION("""COMPUTED_VALUE"""),"")</f>
        <v/>
      </c>
      <c r="F112" s="134" t="str">
        <f ca="1">IFERROR(__xludf.DUMMYFUNCTION("""COMPUTED_VALUE"""),"")</f>
        <v/>
      </c>
      <c r="G112" s="218" t="str">
        <f ca="1">IFERROR(__xludf.DUMMYFUNCTION("""COMPUTED_VALUE"""),"")</f>
        <v/>
      </c>
      <c r="H112" s="134" t="str">
        <f ca="1">IFERROR(__xludf.DUMMYFUNCTION("""COMPUTED_VALUE"""),"")</f>
        <v/>
      </c>
      <c r="I112" s="134" t="str">
        <f ca="1">IFERROR(__xludf.DUMMYFUNCTION("""COMPUTED_VALUE"""),"")</f>
        <v/>
      </c>
      <c r="J112" s="134" t="str">
        <f ca="1">IFERROR(__xludf.DUMMYFUNCTION("""COMPUTED_VALUE"""),"")</f>
        <v/>
      </c>
      <c r="N112" s="31"/>
      <c r="Q112" s="195"/>
      <c r="S112" s="51"/>
      <c r="T112" s="31"/>
    </row>
    <row r="113" spans="1:20" customFormat="1">
      <c r="A113" s="218" t="str">
        <f ca="1">IFERROR(__xludf.DUMMYFUNCTION("""COMPUTED_VALUE"""),"")</f>
        <v/>
      </c>
      <c r="B113" s="218" t="str">
        <f ca="1">IFERROR(__xludf.DUMMYFUNCTION("""COMPUTED_VALUE"""),"")</f>
        <v/>
      </c>
      <c r="C113" s="134" t="str">
        <f ca="1">IFERROR(__xludf.DUMMYFUNCTION("""COMPUTED_VALUE"""),"")</f>
        <v/>
      </c>
      <c r="D113" s="218" t="str">
        <f ca="1">IFERROR(__xludf.DUMMYFUNCTION("""COMPUTED_VALUE"""),"")</f>
        <v/>
      </c>
      <c r="E113" s="218" t="str">
        <f ca="1">IFERROR(__xludf.DUMMYFUNCTION("""COMPUTED_VALUE"""),"")</f>
        <v/>
      </c>
      <c r="F113" s="134" t="str">
        <f ca="1">IFERROR(__xludf.DUMMYFUNCTION("""COMPUTED_VALUE"""),"")</f>
        <v/>
      </c>
      <c r="G113" s="218" t="str">
        <f ca="1">IFERROR(__xludf.DUMMYFUNCTION("""COMPUTED_VALUE"""),"")</f>
        <v/>
      </c>
      <c r="H113" s="134" t="str">
        <f ca="1">IFERROR(__xludf.DUMMYFUNCTION("""COMPUTED_VALUE"""),"")</f>
        <v/>
      </c>
      <c r="I113" s="134" t="str">
        <f ca="1">IFERROR(__xludf.DUMMYFUNCTION("""COMPUTED_VALUE"""),"")</f>
        <v/>
      </c>
      <c r="J113" s="134" t="str">
        <f ca="1">IFERROR(__xludf.DUMMYFUNCTION("""COMPUTED_VALUE"""),"")</f>
        <v/>
      </c>
      <c r="N113" s="31"/>
      <c r="Q113" s="195"/>
      <c r="S113" s="51"/>
      <c r="T113" s="31"/>
    </row>
    <row r="114" spans="1:20" customFormat="1">
      <c r="A114" s="218" t="str">
        <f ca="1">IFERROR(__xludf.DUMMYFUNCTION("""COMPUTED_VALUE"""),"")</f>
        <v/>
      </c>
      <c r="B114" s="218" t="str">
        <f ca="1">IFERROR(__xludf.DUMMYFUNCTION("""COMPUTED_VALUE"""),"")</f>
        <v/>
      </c>
      <c r="C114" s="134" t="str">
        <f ca="1">IFERROR(__xludf.DUMMYFUNCTION("""COMPUTED_VALUE"""),"")</f>
        <v/>
      </c>
      <c r="D114" s="218" t="str">
        <f ca="1">IFERROR(__xludf.DUMMYFUNCTION("""COMPUTED_VALUE"""),"")</f>
        <v/>
      </c>
      <c r="E114" s="218" t="str">
        <f ca="1">IFERROR(__xludf.DUMMYFUNCTION("""COMPUTED_VALUE"""),"")</f>
        <v/>
      </c>
      <c r="F114" s="134" t="str">
        <f ca="1">IFERROR(__xludf.DUMMYFUNCTION("""COMPUTED_VALUE"""),"")</f>
        <v/>
      </c>
      <c r="G114" s="218" t="str">
        <f ca="1">IFERROR(__xludf.DUMMYFUNCTION("""COMPUTED_VALUE"""),"")</f>
        <v/>
      </c>
      <c r="H114" s="134" t="str">
        <f ca="1">IFERROR(__xludf.DUMMYFUNCTION("""COMPUTED_VALUE"""),"")</f>
        <v/>
      </c>
      <c r="I114" s="134" t="str">
        <f ca="1">IFERROR(__xludf.DUMMYFUNCTION("""COMPUTED_VALUE"""),"")</f>
        <v/>
      </c>
      <c r="J114" s="134" t="str">
        <f ca="1">IFERROR(__xludf.DUMMYFUNCTION("""COMPUTED_VALUE"""),"")</f>
        <v/>
      </c>
      <c r="N114" s="31"/>
      <c r="Q114" s="195"/>
      <c r="S114" s="51"/>
      <c r="T114" s="31"/>
    </row>
    <row r="115" spans="1:20" customFormat="1">
      <c r="A115" s="218" t="str">
        <f ca="1">IFERROR(__xludf.DUMMYFUNCTION("""COMPUTED_VALUE"""),"")</f>
        <v/>
      </c>
      <c r="B115" s="218" t="str">
        <f ca="1">IFERROR(__xludf.DUMMYFUNCTION("""COMPUTED_VALUE"""),"")</f>
        <v/>
      </c>
      <c r="C115" s="134" t="str">
        <f ca="1">IFERROR(__xludf.DUMMYFUNCTION("""COMPUTED_VALUE"""),"")</f>
        <v/>
      </c>
      <c r="D115" s="218" t="str">
        <f ca="1">IFERROR(__xludf.DUMMYFUNCTION("""COMPUTED_VALUE"""),"")</f>
        <v/>
      </c>
      <c r="E115" s="218" t="str">
        <f ca="1">IFERROR(__xludf.DUMMYFUNCTION("""COMPUTED_VALUE"""),"")</f>
        <v/>
      </c>
      <c r="F115" s="134" t="str">
        <f ca="1">IFERROR(__xludf.DUMMYFUNCTION("""COMPUTED_VALUE"""),"")</f>
        <v/>
      </c>
      <c r="G115" s="218" t="str">
        <f ca="1">IFERROR(__xludf.DUMMYFUNCTION("""COMPUTED_VALUE"""),"")</f>
        <v/>
      </c>
      <c r="H115" s="134" t="str">
        <f ca="1">IFERROR(__xludf.DUMMYFUNCTION("""COMPUTED_VALUE"""),"")</f>
        <v/>
      </c>
      <c r="I115" s="134" t="str">
        <f ca="1">IFERROR(__xludf.DUMMYFUNCTION("""COMPUTED_VALUE"""),"")</f>
        <v/>
      </c>
      <c r="J115" s="134" t="str">
        <f ca="1">IFERROR(__xludf.DUMMYFUNCTION("""COMPUTED_VALUE"""),"")</f>
        <v/>
      </c>
      <c r="N115" s="31"/>
      <c r="Q115" s="195"/>
      <c r="S115" s="51"/>
      <c r="T115" s="31"/>
    </row>
    <row r="116" spans="1:20" customFormat="1">
      <c r="A116" s="218" t="str">
        <f ca="1">IFERROR(__xludf.DUMMYFUNCTION("""COMPUTED_VALUE"""),"")</f>
        <v/>
      </c>
      <c r="B116" s="218" t="str">
        <f ca="1">IFERROR(__xludf.DUMMYFUNCTION("""COMPUTED_VALUE"""),"")</f>
        <v/>
      </c>
      <c r="C116" s="134" t="str">
        <f ca="1">IFERROR(__xludf.DUMMYFUNCTION("""COMPUTED_VALUE"""),"")</f>
        <v/>
      </c>
      <c r="D116" s="218" t="str">
        <f ca="1">IFERROR(__xludf.DUMMYFUNCTION("""COMPUTED_VALUE"""),"")</f>
        <v/>
      </c>
      <c r="E116" s="218" t="str">
        <f ca="1">IFERROR(__xludf.DUMMYFUNCTION("""COMPUTED_VALUE"""),"")</f>
        <v/>
      </c>
      <c r="F116" s="218" t="str">
        <f ca="1">IFERROR(__xludf.DUMMYFUNCTION("""COMPUTED_VALUE"""),"")</f>
        <v/>
      </c>
      <c r="G116" s="218" t="str">
        <f ca="1">IFERROR(__xludf.DUMMYFUNCTION("""COMPUTED_VALUE"""),"")</f>
        <v/>
      </c>
      <c r="H116" s="134" t="str">
        <f ca="1">IFERROR(__xludf.DUMMYFUNCTION("""COMPUTED_VALUE"""),"")</f>
        <v/>
      </c>
      <c r="I116" s="134" t="str">
        <f ca="1">IFERROR(__xludf.DUMMYFUNCTION("""COMPUTED_VALUE"""),"")</f>
        <v/>
      </c>
      <c r="J116" s="134" t="str">
        <f ca="1">IFERROR(__xludf.DUMMYFUNCTION("""COMPUTED_VALUE"""),"")</f>
        <v/>
      </c>
      <c r="N116" s="31"/>
      <c r="Q116" s="195"/>
      <c r="S116" s="51"/>
      <c r="T116" s="31"/>
    </row>
    <row r="117" spans="1:20" customFormat="1">
      <c r="A117" s="134" t="str">
        <f ca="1">IFERROR(__xludf.DUMMYFUNCTION("""COMPUTED_VALUE"""),"")</f>
        <v/>
      </c>
      <c r="B117" s="134" t="str">
        <f ca="1">IFERROR(__xludf.DUMMYFUNCTION("""COMPUTED_VALUE"""),"")</f>
        <v/>
      </c>
      <c r="C117" s="134" t="str">
        <f ca="1">IFERROR(__xludf.DUMMYFUNCTION("""COMPUTED_VALUE"""),"")</f>
        <v/>
      </c>
      <c r="D117" s="134" t="str">
        <f ca="1">IFERROR(__xludf.DUMMYFUNCTION("""COMPUTED_VALUE"""),"")</f>
        <v/>
      </c>
      <c r="E117" s="134" t="str">
        <f ca="1">IFERROR(__xludf.DUMMYFUNCTION("""COMPUTED_VALUE"""),"")</f>
        <v/>
      </c>
      <c r="F117" s="134" t="str">
        <f ca="1">IFERROR(__xludf.DUMMYFUNCTION("""COMPUTED_VALUE"""),"")</f>
        <v/>
      </c>
      <c r="G117" s="134" t="str">
        <f ca="1">IFERROR(__xludf.DUMMYFUNCTION("""COMPUTED_VALUE"""),"")</f>
        <v/>
      </c>
      <c r="H117" s="134" t="str">
        <f ca="1">IFERROR(__xludf.DUMMYFUNCTION("""COMPUTED_VALUE"""),"")</f>
        <v/>
      </c>
      <c r="I117" s="134" t="str">
        <f ca="1">IFERROR(__xludf.DUMMYFUNCTION("""COMPUTED_VALUE"""),"")</f>
        <v/>
      </c>
      <c r="J117" s="134" t="str">
        <f ca="1">IFERROR(__xludf.DUMMYFUNCTION("""COMPUTED_VALUE"""),"")</f>
        <v/>
      </c>
      <c r="N117" s="31"/>
      <c r="Q117" s="195"/>
      <c r="S117" s="51"/>
      <c r="T117" s="31"/>
    </row>
    <row r="118" spans="1:20" customFormat="1">
      <c r="A118" s="134" t="str">
        <f ca="1">IFERROR(__xludf.DUMMYFUNCTION("""COMPUTED_VALUE"""),"")</f>
        <v/>
      </c>
      <c r="B118" s="134" t="str">
        <f ca="1">IFERROR(__xludf.DUMMYFUNCTION("""COMPUTED_VALUE"""),"")</f>
        <v/>
      </c>
      <c r="C118" s="134" t="str">
        <f ca="1">IFERROR(__xludf.DUMMYFUNCTION("""COMPUTED_VALUE"""),"")</f>
        <v/>
      </c>
      <c r="D118" s="134" t="str">
        <f ca="1">IFERROR(__xludf.DUMMYFUNCTION("""COMPUTED_VALUE"""),"")</f>
        <v/>
      </c>
      <c r="E118" s="134" t="str">
        <f ca="1">IFERROR(__xludf.DUMMYFUNCTION("""COMPUTED_VALUE"""),"")</f>
        <v/>
      </c>
      <c r="F118" s="134" t="str">
        <f ca="1">IFERROR(__xludf.DUMMYFUNCTION("""COMPUTED_VALUE"""),"")</f>
        <v/>
      </c>
      <c r="G118" s="134" t="str">
        <f ca="1">IFERROR(__xludf.DUMMYFUNCTION("""COMPUTED_VALUE"""),"")</f>
        <v/>
      </c>
      <c r="H118" s="134" t="str">
        <f ca="1">IFERROR(__xludf.DUMMYFUNCTION("""COMPUTED_VALUE"""),"")</f>
        <v/>
      </c>
      <c r="I118" s="134" t="str">
        <f ca="1">IFERROR(__xludf.DUMMYFUNCTION("""COMPUTED_VALUE"""),"")</f>
        <v/>
      </c>
      <c r="J118" s="134" t="str">
        <f ca="1">IFERROR(__xludf.DUMMYFUNCTION("""COMPUTED_VALUE"""),"")</f>
        <v/>
      </c>
      <c r="N118" s="31"/>
      <c r="Q118" s="195"/>
      <c r="S118" s="51"/>
      <c r="T118" s="31"/>
    </row>
    <row r="119" spans="1:20" customFormat="1">
      <c r="A119" s="134" t="str">
        <f ca="1">IFERROR(__xludf.DUMMYFUNCTION("""COMPUTED_VALUE"""),"")</f>
        <v/>
      </c>
      <c r="B119" s="134" t="str">
        <f ca="1">IFERROR(__xludf.DUMMYFUNCTION("""COMPUTED_VALUE"""),"")</f>
        <v/>
      </c>
      <c r="C119" s="134" t="str">
        <f ca="1">IFERROR(__xludf.DUMMYFUNCTION("""COMPUTED_VALUE"""),"")</f>
        <v/>
      </c>
      <c r="D119" s="134" t="str">
        <f ca="1">IFERROR(__xludf.DUMMYFUNCTION("""COMPUTED_VALUE"""),"")</f>
        <v/>
      </c>
      <c r="E119" s="134" t="str">
        <f ca="1">IFERROR(__xludf.DUMMYFUNCTION("""COMPUTED_VALUE"""),"")</f>
        <v/>
      </c>
      <c r="F119" s="134" t="str">
        <f ca="1">IFERROR(__xludf.DUMMYFUNCTION("""COMPUTED_VALUE"""),"")</f>
        <v/>
      </c>
      <c r="G119" s="134" t="str">
        <f ca="1">IFERROR(__xludf.DUMMYFUNCTION("""COMPUTED_VALUE"""),"")</f>
        <v/>
      </c>
      <c r="H119" s="134" t="str">
        <f ca="1">IFERROR(__xludf.DUMMYFUNCTION("""COMPUTED_VALUE"""),"")</f>
        <v/>
      </c>
      <c r="I119" s="134" t="str">
        <f ca="1">IFERROR(__xludf.DUMMYFUNCTION("""COMPUTED_VALUE"""),"")</f>
        <v/>
      </c>
      <c r="J119" s="134" t="str">
        <f ca="1">IFERROR(__xludf.DUMMYFUNCTION("""COMPUTED_VALUE"""),"")</f>
        <v/>
      </c>
      <c r="N119" s="31"/>
      <c r="Q119" s="195"/>
      <c r="S119" s="51"/>
      <c r="T119" s="31"/>
    </row>
    <row r="120" spans="1:20" customFormat="1">
      <c r="A120" s="134" t="str">
        <f ca="1">IFERROR(__xludf.DUMMYFUNCTION("""COMPUTED_VALUE"""),"")</f>
        <v/>
      </c>
      <c r="B120" s="134" t="str">
        <f ca="1">IFERROR(__xludf.DUMMYFUNCTION("""COMPUTED_VALUE"""),"")</f>
        <v/>
      </c>
      <c r="C120" s="134" t="str">
        <f ca="1">IFERROR(__xludf.DUMMYFUNCTION("""COMPUTED_VALUE"""),"")</f>
        <v/>
      </c>
      <c r="D120" s="134" t="str">
        <f ca="1">IFERROR(__xludf.DUMMYFUNCTION("""COMPUTED_VALUE"""),"")</f>
        <v/>
      </c>
      <c r="E120" s="134" t="str">
        <f ca="1">IFERROR(__xludf.DUMMYFUNCTION("""COMPUTED_VALUE"""),"")</f>
        <v/>
      </c>
      <c r="F120" s="134" t="str">
        <f ca="1">IFERROR(__xludf.DUMMYFUNCTION("""COMPUTED_VALUE"""),"")</f>
        <v/>
      </c>
      <c r="G120" s="134" t="str">
        <f ca="1">IFERROR(__xludf.DUMMYFUNCTION("""COMPUTED_VALUE"""),"")</f>
        <v/>
      </c>
      <c r="H120" s="134" t="str">
        <f ca="1">IFERROR(__xludf.DUMMYFUNCTION("""COMPUTED_VALUE"""),"")</f>
        <v/>
      </c>
      <c r="I120" s="134" t="str">
        <f ca="1">IFERROR(__xludf.DUMMYFUNCTION("""COMPUTED_VALUE"""),"")</f>
        <v/>
      </c>
      <c r="J120" s="134" t="str">
        <f ca="1">IFERROR(__xludf.DUMMYFUNCTION("""COMPUTED_VALUE"""),"")</f>
        <v/>
      </c>
      <c r="N120" s="31"/>
      <c r="Q120" s="195"/>
      <c r="S120" s="51"/>
      <c r="T120" s="31"/>
    </row>
    <row r="121" spans="1:20" customFormat="1">
      <c r="A121" s="134" t="str">
        <f ca="1">IFERROR(__xludf.DUMMYFUNCTION("""COMPUTED_VALUE"""),"")</f>
        <v/>
      </c>
      <c r="B121" s="134" t="str">
        <f ca="1">IFERROR(__xludf.DUMMYFUNCTION("""COMPUTED_VALUE"""),"")</f>
        <v/>
      </c>
      <c r="C121" s="134" t="str">
        <f ca="1">IFERROR(__xludf.DUMMYFUNCTION("""COMPUTED_VALUE"""),"")</f>
        <v/>
      </c>
      <c r="D121" s="134" t="str">
        <f ca="1">IFERROR(__xludf.DUMMYFUNCTION("""COMPUTED_VALUE"""),"")</f>
        <v/>
      </c>
      <c r="E121" s="134" t="str">
        <f ca="1">IFERROR(__xludf.DUMMYFUNCTION("""COMPUTED_VALUE"""),"")</f>
        <v/>
      </c>
      <c r="F121" s="134" t="str">
        <f ca="1">IFERROR(__xludf.DUMMYFUNCTION("""COMPUTED_VALUE"""),"")</f>
        <v/>
      </c>
      <c r="G121" s="134" t="str">
        <f ca="1">IFERROR(__xludf.DUMMYFUNCTION("""COMPUTED_VALUE"""),"")</f>
        <v/>
      </c>
      <c r="H121" s="134" t="str">
        <f ca="1">IFERROR(__xludf.DUMMYFUNCTION("""COMPUTED_VALUE"""),"")</f>
        <v/>
      </c>
      <c r="I121" s="134" t="str">
        <f ca="1">IFERROR(__xludf.DUMMYFUNCTION("""COMPUTED_VALUE"""),"")</f>
        <v/>
      </c>
      <c r="J121" s="134" t="str">
        <f ca="1">IFERROR(__xludf.DUMMYFUNCTION("""COMPUTED_VALUE"""),"")</f>
        <v/>
      </c>
      <c r="N121" s="31"/>
      <c r="Q121" s="195"/>
      <c r="S121" s="51"/>
      <c r="T121" s="31"/>
    </row>
    <row r="122" spans="1:20" customFormat="1">
      <c r="A122" s="134" t="str">
        <f ca="1">IFERROR(__xludf.DUMMYFUNCTION("""COMPUTED_VALUE"""),"")</f>
        <v/>
      </c>
      <c r="B122" s="134" t="str">
        <f ca="1">IFERROR(__xludf.DUMMYFUNCTION("""COMPUTED_VALUE"""),"")</f>
        <v/>
      </c>
      <c r="C122" s="134" t="str">
        <f ca="1">IFERROR(__xludf.DUMMYFUNCTION("""COMPUTED_VALUE"""),"")</f>
        <v/>
      </c>
      <c r="D122" s="134" t="str">
        <f ca="1">IFERROR(__xludf.DUMMYFUNCTION("""COMPUTED_VALUE"""),"")</f>
        <v/>
      </c>
      <c r="E122" s="134" t="str">
        <f ca="1">IFERROR(__xludf.DUMMYFUNCTION("""COMPUTED_VALUE"""),"")</f>
        <v/>
      </c>
      <c r="F122" s="134" t="str">
        <f ca="1">IFERROR(__xludf.DUMMYFUNCTION("""COMPUTED_VALUE"""),"")</f>
        <v/>
      </c>
      <c r="G122" s="134" t="str">
        <f ca="1">IFERROR(__xludf.DUMMYFUNCTION("""COMPUTED_VALUE"""),"")</f>
        <v/>
      </c>
      <c r="H122" s="134" t="str">
        <f ca="1">IFERROR(__xludf.DUMMYFUNCTION("""COMPUTED_VALUE"""),"")</f>
        <v/>
      </c>
      <c r="I122" s="134" t="str">
        <f ca="1">IFERROR(__xludf.DUMMYFUNCTION("""COMPUTED_VALUE"""),"")</f>
        <v/>
      </c>
      <c r="J122" s="134" t="str">
        <f ca="1">IFERROR(__xludf.DUMMYFUNCTION("""COMPUTED_VALUE"""),"")</f>
        <v/>
      </c>
      <c r="N122" s="31"/>
      <c r="Q122" s="195"/>
      <c r="S122" s="51"/>
      <c r="T122" s="31"/>
    </row>
    <row r="123" spans="1:20" customFormat="1">
      <c r="A123" s="134" t="str">
        <f ca="1">IFERROR(__xludf.DUMMYFUNCTION("""COMPUTED_VALUE"""),"")</f>
        <v/>
      </c>
      <c r="B123" s="134" t="str">
        <f ca="1">IFERROR(__xludf.DUMMYFUNCTION("""COMPUTED_VALUE"""),"")</f>
        <v/>
      </c>
      <c r="C123" s="134" t="str">
        <f ca="1">IFERROR(__xludf.DUMMYFUNCTION("""COMPUTED_VALUE"""),"")</f>
        <v/>
      </c>
      <c r="D123" s="134" t="str">
        <f ca="1">IFERROR(__xludf.DUMMYFUNCTION("""COMPUTED_VALUE"""),"")</f>
        <v/>
      </c>
      <c r="E123" s="134" t="str">
        <f ca="1">IFERROR(__xludf.DUMMYFUNCTION("""COMPUTED_VALUE"""),"")</f>
        <v/>
      </c>
      <c r="F123" s="134" t="str">
        <f ca="1">IFERROR(__xludf.DUMMYFUNCTION("""COMPUTED_VALUE"""),"")</f>
        <v/>
      </c>
      <c r="G123" s="134" t="str">
        <f ca="1">IFERROR(__xludf.DUMMYFUNCTION("""COMPUTED_VALUE"""),"")</f>
        <v/>
      </c>
      <c r="H123" s="134" t="str">
        <f ca="1">IFERROR(__xludf.DUMMYFUNCTION("""COMPUTED_VALUE"""),"")</f>
        <v/>
      </c>
      <c r="I123" s="134" t="str">
        <f ca="1">IFERROR(__xludf.DUMMYFUNCTION("""COMPUTED_VALUE"""),"")</f>
        <v/>
      </c>
      <c r="J123" s="134" t="str">
        <f ca="1">IFERROR(__xludf.DUMMYFUNCTION("""COMPUTED_VALUE"""),"")</f>
        <v/>
      </c>
      <c r="N123" s="31"/>
      <c r="Q123" s="195"/>
      <c r="S123" s="51"/>
      <c r="T123" s="31"/>
    </row>
    <row r="124" spans="1:20" customFormat="1">
      <c r="A124" s="134" t="str">
        <f ca="1">IFERROR(__xludf.DUMMYFUNCTION("""COMPUTED_VALUE"""),"")</f>
        <v/>
      </c>
      <c r="B124" s="134" t="str">
        <f ca="1">IFERROR(__xludf.DUMMYFUNCTION("""COMPUTED_VALUE"""),"")</f>
        <v/>
      </c>
      <c r="C124" s="134" t="str">
        <f ca="1">IFERROR(__xludf.DUMMYFUNCTION("""COMPUTED_VALUE"""),"")</f>
        <v/>
      </c>
      <c r="D124" s="134" t="str">
        <f ca="1">IFERROR(__xludf.DUMMYFUNCTION("""COMPUTED_VALUE"""),"")</f>
        <v/>
      </c>
      <c r="E124" s="134" t="str">
        <f ca="1">IFERROR(__xludf.DUMMYFUNCTION("""COMPUTED_VALUE"""),"")</f>
        <v/>
      </c>
      <c r="F124" s="134" t="str">
        <f ca="1">IFERROR(__xludf.DUMMYFUNCTION("""COMPUTED_VALUE"""),"")</f>
        <v/>
      </c>
      <c r="G124" s="134" t="str">
        <f ca="1">IFERROR(__xludf.DUMMYFUNCTION("""COMPUTED_VALUE"""),"")</f>
        <v/>
      </c>
      <c r="H124" s="134" t="str">
        <f ca="1">IFERROR(__xludf.DUMMYFUNCTION("""COMPUTED_VALUE"""),"")</f>
        <v/>
      </c>
      <c r="I124" s="134" t="str">
        <f ca="1">IFERROR(__xludf.DUMMYFUNCTION("""COMPUTED_VALUE"""),"")</f>
        <v/>
      </c>
      <c r="J124" s="134" t="str">
        <f ca="1">IFERROR(__xludf.DUMMYFUNCTION("""COMPUTED_VALUE"""),"")</f>
        <v/>
      </c>
      <c r="N124" s="31"/>
      <c r="Q124" s="195"/>
      <c r="S124" s="51"/>
      <c r="T124" s="31"/>
    </row>
    <row r="125" spans="1:20" customFormat="1">
      <c r="A125" s="134" t="str">
        <f ca="1">IFERROR(__xludf.DUMMYFUNCTION("""COMPUTED_VALUE"""),"")</f>
        <v/>
      </c>
      <c r="B125" s="134" t="str">
        <f ca="1">IFERROR(__xludf.DUMMYFUNCTION("""COMPUTED_VALUE"""),"")</f>
        <v/>
      </c>
      <c r="C125" s="134" t="str">
        <f ca="1">IFERROR(__xludf.DUMMYFUNCTION("""COMPUTED_VALUE"""),"")</f>
        <v/>
      </c>
      <c r="D125" s="134" t="str">
        <f ca="1">IFERROR(__xludf.DUMMYFUNCTION("""COMPUTED_VALUE"""),"")</f>
        <v/>
      </c>
      <c r="E125" s="134" t="str">
        <f ca="1">IFERROR(__xludf.DUMMYFUNCTION("""COMPUTED_VALUE"""),"")</f>
        <v/>
      </c>
      <c r="F125" s="134" t="str">
        <f ca="1">IFERROR(__xludf.DUMMYFUNCTION("""COMPUTED_VALUE"""),"")</f>
        <v/>
      </c>
      <c r="G125" s="134" t="str">
        <f ca="1">IFERROR(__xludf.DUMMYFUNCTION("""COMPUTED_VALUE"""),"")</f>
        <v/>
      </c>
      <c r="H125" s="134" t="str">
        <f ca="1">IFERROR(__xludf.DUMMYFUNCTION("""COMPUTED_VALUE"""),"")</f>
        <v/>
      </c>
      <c r="I125" s="134" t="str">
        <f ca="1">IFERROR(__xludf.DUMMYFUNCTION("""COMPUTED_VALUE"""),"")</f>
        <v/>
      </c>
      <c r="J125" s="134" t="str">
        <f ca="1">IFERROR(__xludf.DUMMYFUNCTION("""COMPUTED_VALUE"""),"")</f>
        <v/>
      </c>
      <c r="N125" s="31"/>
      <c r="Q125" s="195"/>
      <c r="S125" s="51"/>
      <c r="T125" s="31"/>
    </row>
    <row r="126" spans="1:20" customFormat="1">
      <c r="A126" s="134" t="str">
        <f ca="1">IFERROR(__xludf.DUMMYFUNCTION("""COMPUTED_VALUE"""),"")</f>
        <v/>
      </c>
      <c r="B126" s="134" t="str">
        <f ca="1">IFERROR(__xludf.DUMMYFUNCTION("""COMPUTED_VALUE"""),"")</f>
        <v/>
      </c>
      <c r="C126" s="134" t="str">
        <f ca="1">IFERROR(__xludf.DUMMYFUNCTION("""COMPUTED_VALUE"""),"")</f>
        <v/>
      </c>
      <c r="D126" s="134" t="str">
        <f ca="1">IFERROR(__xludf.DUMMYFUNCTION("""COMPUTED_VALUE"""),"")</f>
        <v/>
      </c>
      <c r="E126" s="134" t="str">
        <f ca="1">IFERROR(__xludf.DUMMYFUNCTION("""COMPUTED_VALUE"""),"")</f>
        <v/>
      </c>
      <c r="F126" s="134" t="str">
        <f ca="1">IFERROR(__xludf.DUMMYFUNCTION("""COMPUTED_VALUE"""),"")</f>
        <v/>
      </c>
      <c r="G126" s="134" t="str">
        <f ca="1">IFERROR(__xludf.DUMMYFUNCTION("""COMPUTED_VALUE"""),"")</f>
        <v/>
      </c>
      <c r="H126" s="134" t="str">
        <f ca="1">IFERROR(__xludf.DUMMYFUNCTION("""COMPUTED_VALUE"""),"")</f>
        <v/>
      </c>
      <c r="I126" s="134" t="str">
        <f ca="1">IFERROR(__xludf.DUMMYFUNCTION("""COMPUTED_VALUE"""),"")</f>
        <v/>
      </c>
      <c r="J126" s="134" t="str">
        <f ca="1">IFERROR(__xludf.DUMMYFUNCTION("""COMPUTED_VALUE"""),"")</f>
        <v/>
      </c>
      <c r="N126" s="31"/>
      <c r="Q126" s="195"/>
      <c r="S126" s="51"/>
      <c r="T126" s="31"/>
    </row>
    <row r="127" spans="1:20" customFormat="1">
      <c r="A127" s="134" t="str">
        <f ca="1">IFERROR(__xludf.DUMMYFUNCTION("""COMPUTED_VALUE"""),"")</f>
        <v/>
      </c>
      <c r="B127" s="134" t="str">
        <f ca="1">IFERROR(__xludf.DUMMYFUNCTION("""COMPUTED_VALUE"""),"")</f>
        <v/>
      </c>
      <c r="C127" s="134" t="str">
        <f ca="1">IFERROR(__xludf.DUMMYFUNCTION("""COMPUTED_VALUE"""),"")</f>
        <v/>
      </c>
      <c r="D127" s="134" t="str">
        <f ca="1">IFERROR(__xludf.DUMMYFUNCTION("""COMPUTED_VALUE"""),"")</f>
        <v/>
      </c>
      <c r="E127" s="134" t="str">
        <f ca="1">IFERROR(__xludf.DUMMYFUNCTION("""COMPUTED_VALUE"""),"")</f>
        <v/>
      </c>
      <c r="F127" s="134" t="str">
        <f ca="1">IFERROR(__xludf.DUMMYFUNCTION("""COMPUTED_VALUE"""),"")</f>
        <v/>
      </c>
      <c r="G127" s="134" t="str">
        <f ca="1">IFERROR(__xludf.DUMMYFUNCTION("""COMPUTED_VALUE"""),"")</f>
        <v/>
      </c>
      <c r="H127" s="134" t="str">
        <f ca="1">IFERROR(__xludf.DUMMYFUNCTION("""COMPUTED_VALUE"""),"")</f>
        <v/>
      </c>
      <c r="I127" s="134" t="str">
        <f ca="1">IFERROR(__xludf.DUMMYFUNCTION("""COMPUTED_VALUE"""),"")</f>
        <v/>
      </c>
      <c r="J127" s="134" t="str">
        <f ca="1">IFERROR(__xludf.DUMMYFUNCTION("""COMPUTED_VALUE"""),"")</f>
        <v/>
      </c>
      <c r="N127" s="31"/>
      <c r="Q127" s="195"/>
      <c r="S127" s="51"/>
      <c r="T127" s="31"/>
    </row>
    <row r="128" spans="1:20" customFormat="1">
      <c r="A128" s="134" t="str">
        <f ca="1">IFERROR(__xludf.DUMMYFUNCTION("""COMPUTED_VALUE"""),"")</f>
        <v/>
      </c>
      <c r="B128" s="134" t="str">
        <f ca="1">IFERROR(__xludf.DUMMYFUNCTION("""COMPUTED_VALUE"""),"")</f>
        <v/>
      </c>
      <c r="C128" s="134" t="str">
        <f ca="1">IFERROR(__xludf.DUMMYFUNCTION("""COMPUTED_VALUE"""),"")</f>
        <v/>
      </c>
      <c r="D128" s="134" t="str">
        <f ca="1">IFERROR(__xludf.DUMMYFUNCTION("""COMPUTED_VALUE"""),"")</f>
        <v/>
      </c>
      <c r="E128" s="134" t="str">
        <f ca="1">IFERROR(__xludf.DUMMYFUNCTION("""COMPUTED_VALUE"""),"")</f>
        <v/>
      </c>
      <c r="F128" s="134" t="str">
        <f ca="1">IFERROR(__xludf.DUMMYFUNCTION("""COMPUTED_VALUE"""),"")</f>
        <v/>
      </c>
      <c r="G128" s="134" t="str">
        <f ca="1">IFERROR(__xludf.DUMMYFUNCTION("""COMPUTED_VALUE"""),"")</f>
        <v/>
      </c>
      <c r="H128" s="134" t="str">
        <f ca="1">IFERROR(__xludf.DUMMYFUNCTION("""COMPUTED_VALUE"""),"")</f>
        <v/>
      </c>
      <c r="I128" s="134" t="str">
        <f ca="1">IFERROR(__xludf.DUMMYFUNCTION("""COMPUTED_VALUE"""),"")</f>
        <v/>
      </c>
      <c r="J128" s="134" t="str">
        <f ca="1">IFERROR(__xludf.DUMMYFUNCTION("""COMPUTED_VALUE"""),"")</f>
        <v/>
      </c>
      <c r="N128" s="31"/>
      <c r="Q128" s="195"/>
      <c r="S128" s="51"/>
      <c r="T128" s="31"/>
    </row>
    <row r="129" spans="1:20" customFormat="1">
      <c r="A129" s="134" t="str">
        <f ca="1">IFERROR(__xludf.DUMMYFUNCTION("""COMPUTED_VALUE"""),"")</f>
        <v/>
      </c>
      <c r="B129" s="134" t="str">
        <f ca="1">IFERROR(__xludf.DUMMYFUNCTION("""COMPUTED_VALUE"""),"")</f>
        <v/>
      </c>
      <c r="C129" s="134" t="str">
        <f ca="1">IFERROR(__xludf.DUMMYFUNCTION("""COMPUTED_VALUE"""),"")</f>
        <v/>
      </c>
      <c r="D129" s="134" t="str">
        <f ca="1">IFERROR(__xludf.DUMMYFUNCTION("""COMPUTED_VALUE"""),"")</f>
        <v/>
      </c>
      <c r="E129" s="134" t="str">
        <f ca="1">IFERROR(__xludf.DUMMYFUNCTION("""COMPUTED_VALUE"""),"")</f>
        <v/>
      </c>
      <c r="F129" s="134" t="str">
        <f ca="1">IFERROR(__xludf.DUMMYFUNCTION("""COMPUTED_VALUE"""),"")</f>
        <v/>
      </c>
      <c r="G129" s="134" t="str">
        <f ca="1">IFERROR(__xludf.DUMMYFUNCTION("""COMPUTED_VALUE"""),"")</f>
        <v/>
      </c>
      <c r="H129" s="134" t="str">
        <f ca="1">IFERROR(__xludf.DUMMYFUNCTION("""COMPUTED_VALUE"""),"")</f>
        <v/>
      </c>
      <c r="I129" s="134" t="str">
        <f ca="1">IFERROR(__xludf.DUMMYFUNCTION("""COMPUTED_VALUE"""),"")</f>
        <v/>
      </c>
      <c r="J129" s="134" t="str">
        <f ca="1">IFERROR(__xludf.DUMMYFUNCTION("""COMPUTED_VALUE"""),"")</f>
        <v/>
      </c>
      <c r="N129" s="31"/>
      <c r="Q129" s="195"/>
      <c r="S129" s="51"/>
      <c r="T129" s="31"/>
    </row>
    <row r="130" spans="1:20" customFormat="1">
      <c r="A130" s="134" t="str">
        <f ca="1">IFERROR(__xludf.DUMMYFUNCTION("""COMPUTED_VALUE"""),"")</f>
        <v/>
      </c>
      <c r="B130" s="134" t="str">
        <f ca="1">IFERROR(__xludf.DUMMYFUNCTION("""COMPUTED_VALUE"""),"")</f>
        <v/>
      </c>
      <c r="C130" s="134" t="str">
        <f ca="1">IFERROR(__xludf.DUMMYFUNCTION("""COMPUTED_VALUE"""),"")</f>
        <v/>
      </c>
      <c r="D130" s="134" t="str">
        <f ca="1">IFERROR(__xludf.DUMMYFUNCTION("""COMPUTED_VALUE"""),"")</f>
        <v/>
      </c>
      <c r="E130" s="134" t="str">
        <f ca="1">IFERROR(__xludf.DUMMYFUNCTION("""COMPUTED_VALUE"""),"")</f>
        <v/>
      </c>
      <c r="F130" s="134" t="str">
        <f ca="1">IFERROR(__xludf.DUMMYFUNCTION("""COMPUTED_VALUE"""),"")</f>
        <v/>
      </c>
      <c r="G130" s="134" t="str">
        <f ca="1">IFERROR(__xludf.DUMMYFUNCTION("""COMPUTED_VALUE"""),"")</f>
        <v/>
      </c>
      <c r="H130" s="134" t="str">
        <f ca="1">IFERROR(__xludf.DUMMYFUNCTION("""COMPUTED_VALUE"""),"")</f>
        <v/>
      </c>
      <c r="I130" s="134" t="str">
        <f ca="1">IFERROR(__xludf.DUMMYFUNCTION("""COMPUTED_VALUE"""),"")</f>
        <v/>
      </c>
      <c r="J130" s="134" t="str">
        <f ca="1">IFERROR(__xludf.DUMMYFUNCTION("""COMPUTED_VALUE"""),"")</f>
        <v/>
      </c>
      <c r="N130" s="31"/>
      <c r="Q130" s="195"/>
      <c r="S130" s="51"/>
      <c r="T130" s="31"/>
    </row>
    <row r="131" spans="1:20" customFormat="1">
      <c r="A131" s="134" t="str">
        <f ca="1">IFERROR(__xludf.DUMMYFUNCTION("""COMPUTED_VALUE"""),"")</f>
        <v/>
      </c>
      <c r="B131" s="134" t="str">
        <f ca="1">IFERROR(__xludf.DUMMYFUNCTION("""COMPUTED_VALUE"""),"")</f>
        <v/>
      </c>
      <c r="C131" s="134" t="str">
        <f ca="1">IFERROR(__xludf.DUMMYFUNCTION("""COMPUTED_VALUE"""),"")</f>
        <v/>
      </c>
      <c r="D131" s="134" t="str">
        <f ca="1">IFERROR(__xludf.DUMMYFUNCTION("""COMPUTED_VALUE"""),"")</f>
        <v/>
      </c>
      <c r="E131" s="134" t="str">
        <f ca="1">IFERROR(__xludf.DUMMYFUNCTION("""COMPUTED_VALUE"""),"")</f>
        <v/>
      </c>
      <c r="F131" s="134" t="str">
        <f ca="1">IFERROR(__xludf.DUMMYFUNCTION("""COMPUTED_VALUE"""),"")</f>
        <v/>
      </c>
      <c r="G131" s="134" t="str">
        <f ca="1">IFERROR(__xludf.DUMMYFUNCTION("""COMPUTED_VALUE"""),"")</f>
        <v/>
      </c>
      <c r="H131" s="134" t="str">
        <f ca="1">IFERROR(__xludf.DUMMYFUNCTION("""COMPUTED_VALUE"""),"")</f>
        <v/>
      </c>
      <c r="I131" s="134" t="str">
        <f ca="1">IFERROR(__xludf.DUMMYFUNCTION("""COMPUTED_VALUE"""),"")</f>
        <v/>
      </c>
      <c r="J131" s="134" t="str">
        <f ca="1">IFERROR(__xludf.DUMMYFUNCTION("""COMPUTED_VALUE"""),"")</f>
        <v/>
      </c>
      <c r="N131" s="31"/>
      <c r="Q131" s="195"/>
      <c r="S131" s="51"/>
      <c r="T131" s="31"/>
    </row>
    <row r="132" spans="1:20" customFormat="1">
      <c r="A132" s="134" t="str">
        <f ca="1">IFERROR(__xludf.DUMMYFUNCTION("""COMPUTED_VALUE"""),"")</f>
        <v/>
      </c>
      <c r="B132" s="134" t="str">
        <f ca="1">IFERROR(__xludf.DUMMYFUNCTION("""COMPUTED_VALUE"""),"")</f>
        <v/>
      </c>
      <c r="C132" s="134" t="str">
        <f ca="1">IFERROR(__xludf.DUMMYFUNCTION("""COMPUTED_VALUE"""),"")</f>
        <v/>
      </c>
      <c r="D132" s="134" t="str">
        <f ca="1">IFERROR(__xludf.DUMMYFUNCTION("""COMPUTED_VALUE"""),"")</f>
        <v/>
      </c>
      <c r="E132" s="134" t="str">
        <f ca="1">IFERROR(__xludf.DUMMYFUNCTION("""COMPUTED_VALUE"""),"")</f>
        <v/>
      </c>
      <c r="F132" s="134" t="str">
        <f ca="1">IFERROR(__xludf.DUMMYFUNCTION("""COMPUTED_VALUE"""),"")</f>
        <v/>
      </c>
      <c r="G132" s="134" t="str">
        <f ca="1">IFERROR(__xludf.DUMMYFUNCTION("""COMPUTED_VALUE"""),"")</f>
        <v/>
      </c>
      <c r="H132" s="134" t="str">
        <f ca="1">IFERROR(__xludf.DUMMYFUNCTION("""COMPUTED_VALUE"""),"")</f>
        <v/>
      </c>
      <c r="I132" s="134" t="str">
        <f ca="1">IFERROR(__xludf.DUMMYFUNCTION("""COMPUTED_VALUE"""),"")</f>
        <v/>
      </c>
      <c r="J132" s="134" t="str">
        <f ca="1">IFERROR(__xludf.DUMMYFUNCTION("""COMPUTED_VALUE"""),"")</f>
        <v/>
      </c>
      <c r="N132" s="31"/>
      <c r="Q132" s="195"/>
      <c r="S132" s="51"/>
      <c r="T132" s="31"/>
    </row>
    <row r="133" spans="1:20" customFormat="1">
      <c r="A133" s="134" t="str">
        <f ca="1">IFERROR(__xludf.DUMMYFUNCTION("""COMPUTED_VALUE"""),"")</f>
        <v/>
      </c>
      <c r="B133" s="134" t="str">
        <f ca="1">IFERROR(__xludf.DUMMYFUNCTION("""COMPUTED_VALUE"""),"")</f>
        <v/>
      </c>
      <c r="C133" s="134" t="str">
        <f ca="1">IFERROR(__xludf.DUMMYFUNCTION("""COMPUTED_VALUE"""),"")</f>
        <v/>
      </c>
      <c r="D133" s="134" t="str">
        <f ca="1">IFERROR(__xludf.DUMMYFUNCTION("""COMPUTED_VALUE"""),"")</f>
        <v/>
      </c>
      <c r="E133" s="134" t="str">
        <f ca="1">IFERROR(__xludf.DUMMYFUNCTION("""COMPUTED_VALUE"""),"")</f>
        <v/>
      </c>
      <c r="F133" s="134" t="str">
        <f ca="1">IFERROR(__xludf.DUMMYFUNCTION("""COMPUTED_VALUE"""),"")</f>
        <v/>
      </c>
      <c r="G133" s="134" t="str">
        <f ca="1">IFERROR(__xludf.DUMMYFUNCTION("""COMPUTED_VALUE"""),"")</f>
        <v/>
      </c>
      <c r="H133" s="134" t="str">
        <f ca="1">IFERROR(__xludf.DUMMYFUNCTION("""COMPUTED_VALUE"""),"")</f>
        <v/>
      </c>
      <c r="I133" s="134" t="str">
        <f ca="1">IFERROR(__xludf.DUMMYFUNCTION("""COMPUTED_VALUE"""),"")</f>
        <v/>
      </c>
      <c r="J133" s="134" t="str">
        <f ca="1">IFERROR(__xludf.DUMMYFUNCTION("""COMPUTED_VALUE"""),"")</f>
        <v/>
      </c>
      <c r="N133" s="31"/>
      <c r="Q133" s="195"/>
      <c r="S133" s="51"/>
      <c r="T133" s="31"/>
    </row>
    <row r="134" spans="1:20" customFormat="1">
      <c r="A134" s="134" t="str">
        <f ca="1">IFERROR(__xludf.DUMMYFUNCTION("""COMPUTED_VALUE"""),"")</f>
        <v/>
      </c>
      <c r="B134" s="134" t="str">
        <f ca="1">IFERROR(__xludf.DUMMYFUNCTION("""COMPUTED_VALUE"""),"")</f>
        <v/>
      </c>
      <c r="C134" s="134" t="str">
        <f ca="1">IFERROR(__xludf.DUMMYFUNCTION("""COMPUTED_VALUE"""),"")</f>
        <v/>
      </c>
      <c r="D134" s="134" t="str">
        <f ca="1">IFERROR(__xludf.DUMMYFUNCTION("""COMPUTED_VALUE"""),"")</f>
        <v/>
      </c>
      <c r="E134" s="134" t="str">
        <f ca="1">IFERROR(__xludf.DUMMYFUNCTION("""COMPUTED_VALUE"""),"")</f>
        <v/>
      </c>
      <c r="F134" s="134" t="str">
        <f ca="1">IFERROR(__xludf.DUMMYFUNCTION("""COMPUTED_VALUE"""),"")</f>
        <v/>
      </c>
      <c r="G134" s="134" t="str">
        <f ca="1">IFERROR(__xludf.DUMMYFUNCTION("""COMPUTED_VALUE"""),"")</f>
        <v/>
      </c>
      <c r="H134" s="134" t="str">
        <f ca="1">IFERROR(__xludf.DUMMYFUNCTION("""COMPUTED_VALUE"""),"")</f>
        <v/>
      </c>
      <c r="I134" s="134" t="str">
        <f ca="1">IFERROR(__xludf.DUMMYFUNCTION("""COMPUTED_VALUE"""),"")</f>
        <v/>
      </c>
      <c r="J134" s="134" t="str">
        <f ca="1">IFERROR(__xludf.DUMMYFUNCTION("""COMPUTED_VALUE"""),"")</f>
        <v/>
      </c>
      <c r="N134" s="31"/>
      <c r="Q134" s="195"/>
      <c r="S134" s="51"/>
      <c r="T134" s="31"/>
    </row>
    <row r="135" spans="1:20" customFormat="1">
      <c r="A135" s="134" t="str">
        <f ca="1">IFERROR(__xludf.DUMMYFUNCTION("""COMPUTED_VALUE"""),"")</f>
        <v/>
      </c>
      <c r="B135" s="134" t="str">
        <f ca="1">IFERROR(__xludf.DUMMYFUNCTION("""COMPUTED_VALUE"""),"")</f>
        <v/>
      </c>
      <c r="C135" s="134" t="str">
        <f ca="1">IFERROR(__xludf.DUMMYFUNCTION("""COMPUTED_VALUE"""),"")</f>
        <v/>
      </c>
      <c r="D135" s="134" t="str">
        <f ca="1">IFERROR(__xludf.DUMMYFUNCTION("""COMPUTED_VALUE"""),"")</f>
        <v/>
      </c>
      <c r="E135" s="134" t="str">
        <f ca="1">IFERROR(__xludf.DUMMYFUNCTION("""COMPUTED_VALUE"""),"")</f>
        <v/>
      </c>
      <c r="F135" s="134" t="str">
        <f ca="1">IFERROR(__xludf.DUMMYFUNCTION("""COMPUTED_VALUE"""),"")</f>
        <v/>
      </c>
      <c r="G135" s="134" t="str">
        <f ca="1">IFERROR(__xludf.DUMMYFUNCTION("""COMPUTED_VALUE"""),"")</f>
        <v/>
      </c>
      <c r="H135" s="134" t="str">
        <f ca="1">IFERROR(__xludf.DUMMYFUNCTION("""COMPUTED_VALUE"""),"")</f>
        <v/>
      </c>
      <c r="I135" s="134" t="str">
        <f ca="1">IFERROR(__xludf.DUMMYFUNCTION("""COMPUTED_VALUE"""),"")</f>
        <v/>
      </c>
      <c r="J135" s="134" t="str">
        <f ca="1">IFERROR(__xludf.DUMMYFUNCTION("""COMPUTED_VALUE"""),"")</f>
        <v/>
      </c>
      <c r="N135" s="31"/>
      <c r="Q135" s="195"/>
      <c r="S135" s="51"/>
      <c r="T135" s="31"/>
    </row>
    <row r="136" spans="1:20" customFormat="1">
      <c r="A136" s="134" t="str">
        <f ca="1">IFERROR(__xludf.DUMMYFUNCTION("""COMPUTED_VALUE"""),"")</f>
        <v/>
      </c>
      <c r="B136" s="134" t="str">
        <f ca="1">IFERROR(__xludf.DUMMYFUNCTION("""COMPUTED_VALUE"""),"")</f>
        <v/>
      </c>
      <c r="C136" s="134" t="str">
        <f ca="1">IFERROR(__xludf.DUMMYFUNCTION("""COMPUTED_VALUE"""),"")</f>
        <v/>
      </c>
      <c r="D136" s="134" t="str">
        <f ca="1">IFERROR(__xludf.DUMMYFUNCTION("""COMPUTED_VALUE"""),"")</f>
        <v/>
      </c>
      <c r="E136" s="134" t="str">
        <f ca="1">IFERROR(__xludf.DUMMYFUNCTION("""COMPUTED_VALUE"""),"")</f>
        <v/>
      </c>
      <c r="F136" s="134" t="str">
        <f ca="1">IFERROR(__xludf.DUMMYFUNCTION("""COMPUTED_VALUE"""),"")</f>
        <v/>
      </c>
      <c r="G136" s="134" t="str">
        <f ca="1">IFERROR(__xludf.DUMMYFUNCTION("""COMPUTED_VALUE"""),"")</f>
        <v/>
      </c>
      <c r="H136" s="134" t="str">
        <f ca="1">IFERROR(__xludf.DUMMYFUNCTION("""COMPUTED_VALUE"""),"")</f>
        <v/>
      </c>
      <c r="I136" s="134" t="str">
        <f ca="1">IFERROR(__xludf.DUMMYFUNCTION("""COMPUTED_VALUE"""),"")</f>
        <v/>
      </c>
      <c r="J136" s="134" t="str">
        <f ca="1">IFERROR(__xludf.DUMMYFUNCTION("""COMPUTED_VALUE"""),"")</f>
        <v/>
      </c>
      <c r="N136" s="31"/>
      <c r="Q136" s="195"/>
      <c r="S136" s="51"/>
      <c r="T136" s="31"/>
    </row>
    <row r="137" spans="1:20" customFormat="1">
      <c r="A137" s="134" t="str">
        <f ca="1">IFERROR(__xludf.DUMMYFUNCTION("""COMPUTED_VALUE"""),"")</f>
        <v/>
      </c>
      <c r="B137" s="134" t="str">
        <f ca="1">IFERROR(__xludf.DUMMYFUNCTION("""COMPUTED_VALUE"""),"")</f>
        <v/>
      </c>
      <c r="C137" s="134" t="str">
        <f ca="1">IFERROR(__xludf.DUMMYFUNCTION("""COMPUTED_VALUE"""),"")</f>
        <v/>
      </c>
      <c r="D137" s="134" t="str">
        <f ca="1">IFERROR(__xludf.DUMMYFUNCTION("""COMPUTED_VALUE"""),"")</f>
        <v/>
      </c>
      <c r="E137" s="134" t="str">
        <f ca="1">IFERROR(__xludf.DUMMYFUNCTION("""COMPUTED_VALUE"""),"")</f>
        <v/>
      </c>
      <c r="F137" s="134" t="str">
        <f ca="1">IFERROR(__xludf.DUMMYFUNCTION("""COMPUTED_VALUE"""),"")</f>
        <v/>
      </c>
      <c r="G137" s="134" t="str">
        <f ca="1">IFERROR(__xludf.DUMMYFUNCTION("""COMPUTED_VALUE"""),"")</f>
        <v/>
      </c>
      <c r="H137" s="134" t="str">
        <f ca="1">IFERROR(__xludf.DUMMYFUNCTION("""COMPUTED_VALUE"""),"")</f>
        <v/>
      </c>
      <c r="I137" s="134" t="str">
        <f ca="1">IFERROR(__xludf.DUMMYFUNCTION("""COMPUTED_VALUE"""),"")</f>
        <v/>
      </c>
      <c r="J137" s="134" t="str">
        <f ca="1">IFERROR(__xludf.DUMMYFUNCTION("""COMPUTED_VALUE"""),"")</f>
        <v/>
      </c>
      <c r="N137" s="31"/>
      <c r="Q137" s="195"/>
      <c r="S137" s="51"/>
      <c r="T137" s="31"/>
    </row>
    <row r="138" spans="1:20" customFormat="1">
      <c r="A138" s="134" t="str">
        <f ca="1">IFERROR(__xludf.DUMMYFUNCTION("""COMPUTED_VALUE"""),"")</f>
        <v/>
      </c>
      <c r="B138" s="134" t="str">
        <f ca="1">IFERROR(__xludf.DUMMYFUNCTION("""COMPUTED_VALUE"""),"")</f>
        <v/>
      </c>
      <c r="C138" s="134" t="str">
        <f ca="1">IFERROR(__xludf.DUMMYFUNCTION("""COMPUTED_VALUE"""),"")</f>
        <v/>
      </c>
      <c r="D138" s="134" t="str">
        <f ca="1">IFERROR(__xludf.DUMMYFUNCTION("""COMPUTED_VALUE"""),"")</f>
        <v/>
      </c>
      <c r="E138" s="134" t="str">
        <f ca="1">IFERROR(__xludf.DUMMYFUNCTION("""COMPUTED_VALUE"""),"")</f>
        <v/>
      </c>
      <c r="F138" s="134" t="str">
        <f ca="1">IFERROR(__xludf.DUMMYFUNCTION("""COMPUTED_VALUE"""),"")</f>
        <v/>
      </c>
      <c r="G138" s="134" t="str">
        <f ca="1">IFERROR(__xludf.DUMMYFUNCTION("""COMPUTED_VALUE"""),"")</f>
        <v/>
      </c>
      <c r="H138" s="134" t="str">
        <f ca="1">IFERROR(__xludf.DUMMYFUNCTION("""COMPUTED_VALUE"""),"")</f>
        <v/>
      </c>
      <c r="I138" s="134" t="str">
        <f ca="1">IFERROR(__xludf.DUMMYFUNCTION("""COMPUTED_VALUE"""),"")</f>
        <v/>
      </c>
      <c r="J138" s="134" t="str">
        <f ca="1">IFERROR(__xludf.DUMMYFUNCTION("""COMPUTED_VALUE"""),"")</f>
        <v/>
      </c>
      <c r="N138" s="31"/>
      <c r="Q138" s="195"/>
      <c r="S138" s="51"/>
      <c r="T138" s="31"/>
    </row>
    <row r="139" spans="1:20" customFormat="1">
      <c r="A139" s="134" t="str">
        <f ca="1">IFERROR(__xludf.DUMMYFUNCTION("""COMPUTED_VALUE"""),"")</f>
        <v/>
      </c>
      <c r="B139" s="134" t="str">
        <f ca="1">IFERROR(__xludf.DUMMYFUNCTION("""COMPUTED_VALUE"""),"")</f>
        <v/>
      </c>
      <c r="C139" s="134" t="str">
        <f ca="1">IFERROR(__xludf.DUMMYFUNCTION("""COMPUTED_VALUE"""),"")</f>
        <v/>
      </c>
      <c r="D139" s="134" t="str">
        <f ca="1">IFERROR(__xludf.DUMMYFUNCTION("""COMPUTED_VALUE"""),"")</f>
        <v/>
      </c>
      <c r="E139" s="134" t="str">
        <f ca="1">IFERROR(__xludf.DUMMYFUNCTION("""COMPUTED_VALUE"""),"")</f>
        <v/>
      </c>
      <c r="F139" s="134" t="str">
        <f ca="1">IFERROR(__xludf.DUMMYFUNCTION("""COMPUTED_VALUE"""),"")</f>
        <v/>
      </c>
      <c r="G139" s="134" t="str">
        <f ca="1">IFERROR(__xludf.DUMMYFUNCTION("""COMPUTED_VALUE"""),"")</f>
        <v/>
      </c>
      <c r="H139" s="134" t="str">
        <f ca="1">IFERROR(__xludf.DUMMYFUNCTION("""COMPUTED_VALUE"""),"")</f>
        <v/>
      </c>
      <c r="I139" s="134" t="str">
        <f ca="1">IFERROR(__xludf.DUMMYFUNCTION("""COMPUTED_VALUE"""),"")</f>
        <v/>
      </c>
      <c r="J139" s="134" t="str">
        <f ca="1">IFERROR(__xludf.DUMMYFUNCTION("""COMPUTED_VALUE"""),"")</f>
        <v/>
      </c>
      <c r="N139" s="31"/>
      <c r="Q139" s="195"/>
      <c r="S139" s="51"/>
      <c r="T139" s="31"/>
    </row>
    <row r="140" spans="1:20" customFormat="1">
      <c r="A140" s="134" t="str">
        <f ca="1">IFERROR(__xludf.DUMMYFUNCTION("""COMPUTED_VALUE"""),"")</f>
        <v/>
      </c>
      <c r="B140" s="134" t="str">
        <f ca="1">IFERROR(__xludf.DUMMYFUNCTION("""COMPUTED_VALUE"""),"")</f>
        <v/>
      </c>
      <c r="C140" s="134" t="str">
        <f ca="1">IFERROR(__xludf.DUMMYFUNCTION("""COMPUTED_VALUE"""),"")</f>
        <v/>
      </c>
      <c r="D140" s="134" t="str">
        <f ca="1">IFERROR(__xludf.DUMMYFUNCTION("""COMPUTED_VALUE"""),"")</f>
        <v/>
      </c>
      <c r="E140" s="134" t="str">
        <f ca="1">IFERROR(__xludf.DUMMYFUNCTION("""COMPUTED_VALUE"""),"")</f>
        <v/>
      </c>
      <c r="F140" s="134" t="str">
        <f ca="1">IFERROR(__xludf.DUMMYFUNCTION("""COMPUTED_VALUE"""),"")</f>
        <v/>
      </c>
      <c r="G140" s="134" t="str">
        <f ca="1">IFERROR(__xludf.DUMMYFUNCTION("""COMPUTED_VALUE"""),"")</f>
        <v/>
      </c>
      <c r="H140" s="134" t="str">
        <f ca="1">IFERROR(__xludf.DUMMYFUNCTION("""COMPUTED_VALUE"""),"")</f>
        <v/>
      </c>
      <c r="I140" s="134" t="str">
        <f ca="1">IFERROR(__xludf.DUMMYFUNCTION("""COMPUTED_VALUE"""),"")</f>
        <v/>
      </c>
      <c r="J140" s="134" t="str">
        <f ca="1">IFERROR(__xludf.DUMMYFUNCTION("""COMPUTED_VALUE"""),"")</f>
        <v/>
      </c>
      <c r="N140" s="31"/>
      <c r="Q140" s="195"/>
      <c r="S140" s="51"/>
      <c r="T140" s="31"/>
    </row>
    <row r="141" spans="1:20" customFormat="1">
      <c r="A141" s="134" t="str">
        <f ca="1">IFERROR(__xludf.DUMMYFUNCTION("""COMPUTED_VALUE"""),"")</f>
        <v/>
      </c>
      <c r="B141" s="134" t="str">
        <f ca="1">IFERROR(__xludf.DUMMYFUNCTION("""COMPUTED_VALUE"""),"")</f>
        <v/>
      </c>
      <c r="C141" s="134" t="str">
        <f ca="1">IFERROR(__xludf.DUMMYFUNCTION("""COMPUTED_VALUE"""),"")</f>
        <v/>
      </c>
      <c r="D141" s="134" t="str">
        <f ca="1">IFERROR(__xludf.DUMMYFUNCTION("""COMPUTED_VALUE"""),"")</f>
        <v/>
      </c>
      <c r="E141" s="134" t="str">
        <f ca="1">IFERROR(__xludf.DUMMYFUNCTION("""COMPUTED_VALUE"""),"")</f>
        <v/>
      </c>
      <c r="F141" s="134" t="str">
        <f ca="1">IFERROR(__xludf.DUMMYFUNCTION("""COMPUTED_VALUE"""),"")</f>
        <v/>
      </c>
      <c r="G141" s="134" t="str">
        <f ca="1">IFERROR(__xludf.DUMMYFUNCTION("""COMPUTED_VALUE"""),"")</f>
        <v/>
      </c>
      <c r="H141" s="134" t="str">
        <f ca="1">IFERROR(__xludf.DUMMYFUNCTION("""COMPUTED_VALUE"""),"")</f>
        <v/>
      </c>
      <c r="I141" s="134" t="str">
        <f ca="1">IFERROR(__xludf.DUMMYFUNCTION("""COMPUTED_VALUE"""),"")</f>
        <v/>
      </c>
      <c r="J141" s="134" t="str">
        <f ca="1">IFERROR(__xludf.DUMMYFUNCTION("""COMPUTED_VALUE"""),"")</f>
        <v/>
      </c>
      <c r="N141" s="31"/>
      <c r="Q141" s="195"/>
      <c r="S141" s="51"/>
      <c r="T141" s="31"/>
    </row>
    <row r="142" spans="1:20" customFormat="1">
      <c r="A142" s="134" t="str">
        <f ca="1">IFERROR(__xludf.DUMMYFUNCTION("""COMPUTED_VALUE"""),"")</f>
        <v/>
      </c>
      <c r="B142" s="134" t="str">
        <f ca="1">IFERROR(__xludf.DUMMYFUNCTION("""COMPUTED_VALUE"""),"")</f>
        <v/>
      </c>
      <c r="C142" s="134" t="str">
        <f ca="1">IFERROR(__xludf.DUMMYFUNCTION("""COMPUTED_VALUE"""),"")</f>
        <v/>
      </c>
      <c r="D142" s="134" t="str">
        <f ca="1">IFERROR(__xludf.DUMMYFUNCTION("""COMPUTED_VALUE"""),"")</f>
        <v/>
      </c>
      <c r="E142" s="134" t="str">
        <f ca="1">IFERROR(__xludf.DUMMYFUNCTION("""COMPUTED_VALUE"""),"")</f>
        <v/>
      </c>
      <c r="F142" s="134" t="str">
        <f ca="1">IFERROR(__xludf.DUMMYFUNCTION("""COMPUTED_VALUE"""),"")</f>
        <v/>
      </c>
      <c r="G142" s="134" t="str">
        <f ca="1">IFERROR(__xludf.DUMMYFUNCTION("""COMPUTED_VALUE"""),"")</f>
        <v/>
      </c>
      <c r="H142" s="134" t="str">
        <f ca="1">IFERROR(__xludf.DUMMYFUNCTION("""COMPUTED_VALUE"""),"")</f>
        <v/>
      </c>
      <c r="I142" s="134" t="str">
        <f ca="1">IFERROR(__xludf.DUMMYFUNCTION("""COMPUTED_VALUE"""),"")</f>
        <v/>
      </c>
      <c r="J142" s="134" t="str">
        <f ca="1">IFERROR(__xludf.DUMMYFUNCTION("""COMPUTED_VALUE"""),"")</f>
        <v/>
      </c>
      <c r="N142" s="31"/>
      <c r="Q142" s="195"/>
      <c r="S142" s="51"/>
      <c r="T142" s="31"/>
    </row>
    <row r="143" spans="1:20" customFormat="1">
      <c r="A143" s="134" t="str">
        <f ca="1">IFERROR(__xludf.DUMMYFUNCTION("""COMPUTED_VALUE"""),"")</f>
        <v/>
      </c>
      <c r="B143" s="134" t="str">
        <f ca="1">IFERROR(__xludf.DUMMYFUNCTION("""COMPUTED_VALUE"""),"")</f>
        <v/>
      </c>
      <c r="C143" s="134" t="str">
        <f ca="1">IFERROR(__xludf.DUMMYFUNCTION("""COMPUTED_VALUE"""),"")</f>
        <v/>
      </c>
      <c r="D143" s="134" t="str">
        <f ca="1">IFERROR(__xludf.DUMMYFUNCTION("""COMPUTED_VALUE"""),"")</f>
        <v/>
      </c>
      <c r="E143" s="134" t="str">
        <f ca="1">IFERROR(__xludf.DUMMYFUNCTION("""COMPUTED_VALUE"""),"")</f>
        <v/>
      </c>
      <c r="F143" s="134" t="str">
        <f ca="1">IFERROR(__xludf.DUMMYFUNCTION("""COMPUTED_VALUE"""),"")</f>
        <v/>
      </c>
      <c r="G143" s="134" t="str">
        <f ca="1">IFERROR(__xludf.DUMMYFUNCTION("""COMPUTED_VALUE"""),"")</f>
        <v/>
      </c>
      <c r="H143" s="134" t="str">
        <f ca="1">IFERROR(__xludf.DUMMYFUNCTION("""COMPUTED_VALUE"""),"")</f>
        <v/>
      </c>
      <c r="I143" s="134" t="str">
        <f ca="1">IFERROR(__xludf.DUMMYFUNCTION("""COMPUTED_VALUE"""),"")</f>
        <v/>
      </c>
      <c r="J143" s="134" t="str">
        <f ca="1">IFERROR(__xludf.DUMMYFUNCTION("""COMPUTED_VALUE"""),"")</f>
        <v/>
      </c>
      <c r="N143" s="31"/>
      <c r="Q143" s="195"/>
      <c r="S143" s="51"/>
      <c r="T143" s="31"/>
    </row>
    <row r="144" spans="1:20" customFormat="1">
      <c r="A144" s="134" t="str">
        <f ca="1">IFERROR(__xludf.DUMMYFUNCTION("""COMPUTED_VALUE"""),"")</f>
        <v/>
      </c>
      <c r="B144" s="134" t="str">
        <f ca="1">IFERROR(__xludf.DUMMYFUNCTION("""COMPUTED_VALUE"""),"")</f>
        <v/>
      </c>
      <c r="C144" s="134" t="str">
        <f ca="1">IFERROR(__xludf.DUMMYFUNCTION("""COMPUTED_VALUE"""),"")</f>
        <v/>
      </c>
      <c r="D144" s="134" t="str">
        <f ca="1">IFERROR(__xludf.DUMMYFUNCTION("""COMPUTED_VALUE"""),"")</f>
        <v/>
      </c>
      <c r="E144" s="134" t="str">
        <f ca="1">IFERROR(__xludf.DUMMYFUNCTION("""COMPUTED_VALUE"""),"")</f>
        <v/>
      </c>
      <c r="F144" s="134" t="str">
        <f ca="1">IFERROR(__xludf.DUMMYFUNCTION("""COMPUTED_VALUE"""),"")</f>
        <v/>
      </c>
      <c r="G144" s="134" t="str">
        <f ca="1">IFERROR(__xludf.DUMMYFUNCTION("""COMPUTED_VALUE"""),"")</f>
        <v/>
      </c>
      <c r="H144" s="134" t="str">
        <f ca="1">IFERROR(__xludf.DUMMYFUNCTION("""COMPUTED_VALUE"""),"")</f>
        <v/>
      </c>
      <c r="I144" s="134" t="str">
        <f ca="1">IFERROR(__xludf.DUMMYFUNCTION("""COMPUTED_VALUE"""),"")</f>
        <v/>
      </c>
      <c r="J144" s="134" t="str">
        <f ca="1">IFERROR(__xludf.DUMMYFUNCTION("""COMPUTED_VALUE"""),"")</f>
        <v/>
      </c>
      <c r="N144" s="31"/>
      <c r="Q144" s="195"/>
      <c r="S144" s="51"/>
      <c r="T144" s="31"/>
    </row>
    <row r="145" spans="1:20" customFormat="1">
      <c r="A145" s="134" t="str">
        <f ca="1">IFERROR(__xludf.DUMMYFUNCTION("""COMPUTED_VALUE"""),"")</f>
        <v/>
      </c>
      <c r="B145" s="134" t="str">
        <f ca="1">IFERROR(__xludf.DUMMYFUNCTION("""COMPUTED_VALUE"""),"")</f>
        <v/>
      </c>
      <c r="C145" s="134" t="str">
        <f ca="1">IFERROR(__xludf.DUMMYFUNCTION("""COMPUTED_VALUE"""),"")</f>
        <v/>
      </c>
      <c r="D145" s="134" t="str">
        <f ca="1">IFERROR(__xludf.DUMMYFUNCTION("""COMPUTED_VALUE"""),"")</f>
        <v/>
      </c>
      <c r="E145" s="134" t="str">
        <f ca="1">IFERROR(__xludf.DUMMYFUNCTION("""COMPUTED_VALUE"""),"")</f>
        <v/>
      </c>
      <c r="F145" s="134" t="str">
        <f ca="1">IFERROR(__xludf.DUMMYFUNCTION("""COMPUTED_VALUE"""),"")</f>
        <v/>
      </c>
      <c r="G145" s="134" t="str">
        <f ca="1">IFERROR(__xludf.DUMMYFUNCTION("""COMPUTED_VALUE"""),"")</f>
        <v/>
      </c>
      <c r="H145" s="134" t="str">
        <f ca="1">IFERROR(__xludf.DUMMYFUNCTION("""COMPUTED_VALUE"""),"")</f>
        <v/>
      </c>
      <c r="I145" s="134" t="str">
        <f ca="1">IFERROR(__xludf.DUMMYFUNCTION("""COMPUTED_VALUE"""),"")</f>
        <v/>
      </c>
      <c r="J145" s="134" t="str">
        <f ca="1">IFERROR(__xludf.DUMMYFUNCTION("""COMPUTED_VALUE"""),"")</f>
        <v/>
      </c>
      <c r="N145" s="31"/>
      <c r="Q145" s="195"/>
      <c r="S145" s="51"/>
      <c r="T145" s="31"/>
    </row>
    <row r="146" spans="1:20" customFormat="1">
      <c r="A146" s="134" t="str">
        <f ca="1">IFERROR(__xludf.DUMMYFUNCTION("""COMPUTED_VALUE"""),"")</f>
        <v/>
      </c>
      <c r="B146" s="134" t="str">
        <f ca="1">IFERROR(__xludf.DUMMYFUNCTION("""COMPUTED_VALUE"""),"")</f>
        <v/>
      </c>
      <c r="C146" s="134" t="str">
        <f ca="1">IFERROR(__xludf.DUMMYFUNCTION("""COMPUTED_VALUE"""),"")</f>
        <v/>
      </c>
      <c r="D146" s="134" t="str">
        <f ca="1">IFERROR(__xludf.DUMMYFUNCTION("""COMPUTED_VALUE"""),"")</f>
        <v/>
      </c>
      <c r="E146" s="134" t="str">
        <f ca="1">IFERROR(__xludf.DUMMYFUNCTION("""COMPUTED_VALUE"""),"")</f>
        <v/>
      </c>
      <c r="F146" s="134" t="str">
        <f ca="1">IFERROR(__xludf.DUMMYFUNCTION("""COMPUTED_VALUE"""),"")</f>
        <v/>
      </c>
      <c r="G146" s="134" t="str">
        <f ca="1">IFERROR(__xludf.DUMMYFUNCTION("""COMPUTED_VALUE"""),"")</f>
        <v/>
      </c>
      <c r="H146" s="134" t="str">
        <f ca="1">IFERROR(__xludf.DUMMYFUNCTION("""COMPUTED_VALUE"""),"")</f>
        <v/>
      </c>
      <c r="I146" s="134" t="str">
        <f ca="1">IFERROR(__xludf.DUMMYFUNCTION("""COMPUTED_VALUE"""),"")</f>
        <v/>
      </c>
      <c r="J146" s="134" t="str">
        <f ca="1">IFERROR(__xludf.DUMMYFUNCTION("""COMPUTED_VALUE"""),"")</f>
        <v/>
      </c>
      <c r="N146" s="31"/>
      <c r="Q146" s="195"/>
      <c r="S146" s="51"/>
      <c r="T146" s="31"/>
    </row>
    <row r="147" spans="1:20" customFormat="1">
      <c r="A147" s="134" t="str">
        <f ca="1">IFERROR(__xludf.DUMMYFUNCTION("""COMPUTED_VALUE"""),"")</f>
        <v/>
      </c>
      <c r="B147" s="134" t="str">
        <f ca="1">IFERROR(__xludf.DUMMYFUNCTION("""COMPUTED_VALUE"""),"")</f>
        <v/>
      </c>
      <c r="C147" s="134" t="str">
        <f ca="1">IFERROR(__xludf.DUMMYFUNCTION("""COMPUTED_VALUE"""),"")</f>
        <v/>
      </c>
      <c r="D147" s="134" t="str">
        <f ca="1">IFERROR(__xludf.DUMMYFUNCTION("""COMPUTED_VALUE"""),"")</f>
        <v/>
      </c>
      <c r="E147" s="134" t="str">
        <f ca="1">IFERROR(__xludf.DUMMYFUNCTION("""COMPUTED_VALUE"""),"")</f>
        <v/>
      </c>
      <c r="F147" s="134" t="str">
        <f ca="1">IFERROR(__xludf.DUMMYFUNCTION("""COMPUTED_VALUE"""),"")</f>
        <v/>
      </c>
      <c r="G147" s="134" t="str">
        <f ca="1">IFERROR(__xludf.DUMMYFUNCTION("""COMPUTED_VALUE"""),"")</f>
        <v/>
      </c>
      <c r="H147" s="134" t="str">
        <f ca="1">IFERROR(__xludf.DUMMYFUNCTION("""COMPUTED_VALUE"""),"")</f>
        <v/>
      </c>
      <c r="I147" s="134" t="str">
        <f ca="1">IFERROR(__xludf.DUMMYFUNCTION("""COMPUTED_VALUE"""),"")</f>
        <v/>
      </c>
      <c r="J147" s="134" t="str">
        <f ca="1">IFERROR(__xludf.DUMMYFUNCTION("""COMPUTED_VALUE"""),"")</f>
        <v/>
      </c>
      <c r="N147" s="31"/>
      <c r="Q147" s="195"/>
      <c r="S147" s="51"/>
      <c r="T147" s="31"/>
    </row>
    <row r="148" spans="1:20" customFormat="1">
      <c r="A148" s="134" t="str">
        <f ca="1">IFERROR(__xludf.DUMMYFUNCTION("""COMPUTED_VALUE"""),"")</f>
        <v/>
      </c>
      <c r="B148" s="134" t="str">
        <f ca="1">IFERROR(__xludf.DUMMYFUNCTION("""COMPUTED_VALUE"""),"")</f>
        <v/>
      </c>
      <c r="C148" s="134" t="str">
        <f ca="1">IFERROR(__xludf.DUMMYFUNCTION("""COMPUTED_VALUE"""),"")</f>
        <v/>
      </c>
      <c r="D148" s="134" t="str">
        <f ca="1">IFERROR(__xludf.DUMMYFUNCTION("""COMPUTED_VALUE"""),"")</f>
        <v/>
      </c>
      <c r="E148" s="134" t="str">
        <f ca="1">IFERROR(__xludf.DUMMYFUNCTION("""COMPUTED_VALUE"""),"")</f>
        <v/>
      </c>
      <c r="F148" s="134" t="str">
        <f ca="1">IFERROR(__xludf.DUMMYFUNCTION("""COMPUTED_VALUE"""),"")</f>
        <v/>
      </c>
      <c r="G148" s="134" t="str">
        <f ca="1">IFERROR(__xludf.DUMMYFUNCTION("""COMPUTED_VALUE"""),"")</f>
        <v/>
      </c>
      <c r="H148" s="134" t="str">
        <f ca="1">IFERROR(__xludf.DUMMYFUNCTION("""COMPUTED_VALUE"""),"")</f>
        <v/>
      </c>
      <c r="I148" s="134" t="str">
        <f ca="1">IFERROR(__xludf.DUMMYFUNCTION("""COMPUTED_VALUE"""),"")</f>
        <v/>
      </c>
      <c r="J148" s="134" t="str">
        <f ca="1">IFERROR(__xludf.DUMMYFUNCTION("""COMPUTED_VALUE"""),"")</f>
        <v/>
      </c>
      <c r="N148" s="31"/>
      <c r="Q148" s="195"/>
      <c r="S148" s="51"/>
      <c r="T148" s="31"/>
    </row>
    <row r="149" spans="1:20" customFormat="1">
      <c r="A149" s="134" t="str">
        <f ca="1">IFERROR(__xludf.DUMMYFUNCTION("""COMPUTED_VALUE"""),"")</f>
        <v/>
      </c>
      <c r="B149" s="134" t="str">
        <f ca="1">IFERROR(__xludf.DUMMYFUNCTION("""COMPUTED_VALUE"""),"")</f>
        <v/>
      </c>
      <c r="C149" s="134" t="str">
        <f ca="1">IFERROR(__xludf.DUMMYFUNCTION("""COMPUTED_VALUE"""),"")</f>
        <v/>
      </c>
      <c r="D149" s="134" t="str">
        <f ca="1">IFERROR(__xludf.DUMMYFUNCTION("""COMPUTED_VALUE"""),"")</f>
        <v/>
      </c>
      <c r="E149" s="134" t="str">
        <f ca="1">IFERROR(__xludf.DUMMYFUNCTION("""COMPUTED_VALUE"""),"")</f>
        <v/>
      </c>
      <c r="F149" s="134" t="str">
        <f ca="1">IFERROR(__xludf.DUMMYFUNCTION("""COMPUTED_VALUE"""),"")</f>
        <v/>
      </c>
      <c r="G149" s="134" t="str">
        <f ca="1">IFERROR(__xludf.DUMMYFUNCTION("""COMPUTED_VALUE"""),"")</f>
        <v/>
      </c>
      <c r="H149" s="134" t="str">
        <f ca="1">IFERROR(__xludf.DUMMYFUNCTION("""COMPUTED_VALUE"""),"")</f>
        <v/>
      </c>
      <c r="I149" s="134" t="str">
        <f ca="1">IFERROR(__xludf.DUMMYFUNCTION("""COMPUTED_VALUE"""),"")</f>
        <v/>
      </c>
      <c r="J149" s="134" t="str">
        <f ca="1">IFERROR(__xludf.DUMMYFUNCTION("""COMPUTED_VALUE"""),"")</f>
        <v/>
      </c>
      <c r="N149" s="31"/>
      <c r="Q149" s="195"/>
      <c r="S149" s="51"/>
      <c r="T149" s="31"/>
    </row>
    <row r="150" spans="1:20" customFormat="1">
      <c r="A150" s="134" t="str">
        <f ca="1">IFERROR(__xludf.DUMMYFUNCTION("""COMPUTED_VALUE"""),"")</f>
        <v/>
      </c>
      <c r="B150" s="134" t="str">
        <f ca="1">IFERROR(__xludf.DUMMYFUNCTION("""COMPUTED_VALUE"""),"")</f>
        <v/>
      </c>
      <c r="C150" s="134" t="str">
        <f ca="1">IFERROR(__xludf.DUMMYFUNCTION("""COMPUTED_VALUE"""),"")</f>
        <v/>
      </c>
      <c r="D150" s="134" t="str">
        <f ca="1">IFERROR(__xludf.DUMMYFUNCTION("""COMPUTED_VALUE"""),"")</f>
        <v/>
      </c>
      <c r="E150" s="134" t="str">
        <f ca="1">IFERROR(__xludf.DUMMYFUNCTION("""COMPUTED_VALUE"""),"")</f>
        <v/>
      </c>
      <c r="F150" s="134" t="str">
        <f ca="1">IFERROR(__xludf.DUMMYFUNCTION("""COMPUTED_VALUE"""),"")</f>
        <v/>
      </c>
      <c r="G150" s="134" t="str">
        <f ca="1">IFERROR(__xludf.DUMMYFUNCTION("""COMPUTED_VALUE"""),"")</f>
        <v/>
      </c>
      <c r="H150" s="134" t="str">
        <f ca="1">IFERROR(__xludf.DUMMYFUNCTION("""COMPUTED_VALUE"""),"")</f>
        <v/>
      </c>
      <c r="I150" s="134" t="str">
        <f ca="1">IFERROR(__xludf.DUMMYFUNCTION("""COMPUTED_VALUE"""),"")</f>
        <v/>
      </c>
      <c r="J150" s="134" t="str">
        <f ca="1">IFERROR(__xludf.DUMMYFUNCTION("""COMPUTED_VALUE"""),"")</f>
        <v/>
      </c>
      <c r="N150" s="31"/>
      <c r="Q150" s="195"/>
      <c r="S150" s="51"/>
      <c r="T150" s="31"/>
    </row>
    <row r="151" spans="1:20" customFormat="1">
      <c r="A151" s="134" t="str">
        <f ca="1">IFERROR(__xludf.DUMMYFUNCTION("""COMPUTED_VALUE"""),"")</f>
        <v/>
      </c>
      <c r="B151" s="134" t="str">
        <f ca="1">IFERROR(__xludf.DUMMYFUNCTION("""COMPUTED_VALUE"""),"")</f>
        <v/>
      </c>
      <c r="C151" s="134" t="str">
        <f ca="1">IFERROR(__xludf.DUMMYFUNCTION("""COMPUTED_VALUE"""),"")</f>
        <v/>
      </c>
      <c r="D151" s="134" t="str">
        <f ca="1">IFERROR(__xludf.DUMMYFUNCTION("""COMPUTED_VALUE"""),"")</f>
        <v/>
      </c>
      <c r="E151" s="134" t="str">
        <f ca="1">IFERROR(__xludf.DUMMYFUNCTION("""COMPUTED_VALUE"""),"")</f>
        <v/>
      </c>
      <c r="F151" s="134" t="str">
        <f ca="1">IFERROR(__xludf.DUMMYFUNCTION("""COMPUTED_VALUE"""),"")</f>
        <v/>
      </c>
      <c r="G151" s="134" t="str">
        <f ca="1">IFERROR(__xludf.DUMMYFUNCTION("""COMPUTED_VALUE"""),"")</f>
        <v/>
      </c>
      <c r="H151" s="134" t="str">
        <f ca="1">IFERROR(__xludf.DUMMYFUNCTION("""COMPUTED_VALUE"""),"")</f>
        <v/>
      </c>
      <c r="I151" s="134" t="str">
        <f ca="1">IFERROR(__xludf.DUMMYFUNCTION("""COMPUTED_VALUE"""),"")</f>
        <v/>
      </c>
      <c r="J151" s="134" t="str">
        <f ca="1">IFERROR(__xludf.DUMMYFUNCTION("""COMPUTED_VALUE"""),"")</f>
        <v/>
      </c>
      <c r="N151" s="31"/>
      <c r="Q151" s="195"/>
      <c r="S151" s="51"/>
      <c r="T151" s="31"/>
    </row>
    <row r="152" spans="1:20" customFormat="1">
      <c r="A152" s="134" t="str">
        <f ca="1">IFERROR(__xludf.DUMMYFUNCTION("""COMPUTED_VALUE"""),"")</f>
        <v/>
      </c>
      <c r="B152" s="134" t="str">
        <f ca="1">IFERROR(__xludf.DUMMYFUNCTION("""COMPUTED_VALUE"""),"")</f>
        <v/>
      </c>
      <c r="C152" s="134" t="str">
        <f ca="1">IFERROR(__xludf.DUMMYFUNCTION("""COMPUTED_VALUE"""),"")</f>
        <v/>
      </c>
      <c r="D152" s="134" t="str">
        <f ca="1">IFERROR(__xludf.DUMMYFUNCTION("""COMPUTED_VALUE"""),"")</f>
        <v/>
      </c>
      <c r="E152" s="134" t="str">
        <f ca="1">IFERROR(__xludf.DUMMYFUNCTION("""COMPUTED_VALUE"""),"")</f>
        <v/>
      </c>
      <c r="F152" s="134" t="str">
        <f ca="1">IFERROR(__xludf.DUMMYFUNCTION("""COMPUTED_VALUE"""),"")</f>
        <v/>
      </c>
      <c r="G152" s="134" t="str">
        <f ca="1">IFERROR(__xludf.DUMMYFUNCTION("""COMPUTED_VALUE"""),"")</f>
        <v/>
      </c>
      <c r="H152" s="134" t="str">
        <f ca="1">IFERROR(__xludf.DUMMYFUNCTION("""COMPUTED_VALUE"""),"")</f>
        <v/>
      </c>
      <c r="I152" s="134" t="str">
        <f ca="1">IFERROR(__xludf.DUMMYFUNCTION("""COMPUTED_VALUE"""),"")</f>
        <v/>
      </c>
      <c r="J152" s="134" t="str">
        <f ca="1">IFERROR(__xludf.DUMMYFUNCTION("""COMPUTED_VALUE"""),"")</f>
        <v/>
      </c>
      <c r="N152" s="31"/>
      <c r="Q152" s="195"/>
      <c r="S152" s="51"/>
      <c r="T152" s="31"/>
    </row>
    <row r="153" spans="1:20" customFormat="1">
      <c r="A153" s="134" t="str">
        <f ca="1">IFERROR(__xludf.DUMMYFUNCTION("""COMPUTED_VALUE"""),"")</f>
        <v/>
      </c>
      <c r="B153" s="134" t="str">
        <f ca="1">IFERROR(__xludf.DUMMYFUNCTION("""COMPUTED_VALUE"""),"")</f>
        <v/>
      </c>
      <c r="C153" s="134" t="str">
        <f ca="1">IFERROR(__xludf.DUMMYFUNCTION("""COMPUTED_VALUE"""),"")</f>
        <v/>
      </c>
      <c r="D153" s="134" t="str">
        <f ca="1">IFERROR(__xludf.DUMMYFUNCTION("""COMPUTED_VALUE"""),"")</f>
        <v/>
      </c>
      <c r="E153" s="134" t="str">
        <f ca="1">IFERROR(__xludf.DUMMYFUNCTION("""COMPUTED_VALUE"""),"")</f>
        <v/>
      </c>
      <c r="F153" s="134" t="str">
        <f ca="1">IFERROR(__xludf.DUMMYFUNCTION("""COMPUTED_VALUE"""),"")</f>
        <v/>
      </c>
      <c r="G153" s="134" t="str">
        <f ca="1">IFERROR(__xludf.DUMMYFUNCTION("""COMPUTED_VALUE"""),"")</f>
        <v/>
      </c>
      <c r="H153" s="134" t="str">
        <f ca="1">IFERROR(__xludf.DUMMYFUNCTION("""COMPUTED_VALUE"""),"")</f>
        <v/>
      </c>
      <c r="I153" s="134" t="str">
        <f ca="1">IFERROR(__xludf.DUMMYFUNCTION("""COMPUTED_VALUE"""),"")</f>
        <v/>
      </c>
      <c r="J153" s="134" t="str">
        <f ca="1">IFERROR(__xludf.DUMMYFUNCTION("""COMPUTED_VALUE"""),"")</f>
        <v/>
      </c>
      <c r="N153" s="31"/>
      <c r="Q153" s="195"/>
      <c r="S153" s="51"/>
      <c r="T153" s="31"/>
    </row>
    <row r="154" spans="1:20" customFormat="1">
      <c r="A154" s="134" t="str">
        <f ca="1">IFERROR(__xludf.DUMMYFUNCTION("""COMPUTED_VALUE"""),"")</f>
        <v/>
      </c>
      <c r="B154" s="134" t="str">
        <f ca="1">IFERROR(__xludf.DUMMYFUNCTION("""COMPUTED_VALUE"""),"")</f>
        <v/>
      </c>
      <c r="C154" s="134" t="str">
        <f ca="1">IFERROR(__xludf.DUMMYFUNCTION("""COMPUTED_VALUE"""),"")</f>
        <v/>
      </c>
      <c r="D154" s="134" t="str">
        <f ca="1">IFERROR(__xludf.DUMMYFUNCTION("""COMPUTED_VALUE"""),"")</f>
        <v/>
      </c>
      <c r="E154" s="134" t="str">
        <f ca="1">IFERROR(__xludf.DUMMYFUNCTION("""COMPUTED_VALUE"""),"")</f>
        <v/>
      </c>
      <c r="F154" s="134" t="str">
        <f ca="1">IFERROR(__xludf.DUMMYFUNCTION("""COMPUTED_VALUE"""),"")</f>
        <v/>
      </c>
      <c r="G154" s="134" t="str">
        <f ca="1">IFERROR(__xludf.DUMMYFUNCTION("""COMPUTED_VALUE"""),"")</f>
        <v/>
      </c>
      <c r="H154" s="134" t="str">
        <f ca="1">IFERROR(__xludf.DUMMYFUNCTION("""COMPUTED_VALUE"""),"")</f>
        <v/>
      </c>
      <c r="I154" s="134" t="str">
        <f ca="1">IFERROR(__xludf.DUMMYFUNCTION("""COMPUTED_VALUE"""),"")</f>
        <v/>
      </c>
      <c r="J154" s="134" t="str">
        <f ca="1">IFERROR(__xludf.DUMMYFUNCTION("""COMPUTED_VALUE"""),"")</f>
        <v/>
      </c>
      <c r="N154" s="31"/>
      <c r="Q154" s="195"/>
      <c r="S154" s="51"/>
      <c r="T154" s="31"/>
    </row>
    <row r="155" spans="1:20" customFormat="1">
      <c r="A155" s="134" t="str">
        <f ca="1">IFERROR(__xludf.DUMMYFUNCTION("""COMPUTED_VALUE"""),"")</f>
        <v/>
      </c>
      <c r="B155" s="134" t="str">
        <f ca="1">IFERROR(__xludf.DUMMYFUNCTION("""COMPUTED_VALUE"""),"")</f>
        <v/>
      </c>
      <c r="C155" s="134" t="str">
        <f ca="1">IFERROR(__xludf.DUMMYFUNCTION("""COMPUTED_VALUE"""),"")</f>
        <v/>
      </c>
      <c r="D155" s="134" t="str">
        <f ca="1">IFERROR(__xludf.DUMMYFUNCTION("""COMPUTED_VALUE"""),"")</f>
        <v/>
      </c>
      <c r="E155" s="134" t="str">
        <f ca="1">IFERROR(__xludf.DUMMYFUNCTION("""COMPUTED_VALUE"""),"")</f>
        <v/>
      </c>
      <c r="F155" s="134" t="str">
        <f ca="1">IFERROR(__xludf.DUMMYFUNCTION("""COMPUTED_VALUE"""),"")</f>
        <v/>
      </c>
      <c r="G155" s="134" t="str">
        <f ca="1">IFERROR(__xludf.DUMMYFUNCTION("""COMPUTED_VALUE"""),"")</f>
        <v/>
      </c>
      <c r="H155" s="134" t="str">
        <f ca="1">IFERROR(__xludf.DUMMYFUNCTION("""COMPUTED_VALUE"""),"")</f>
        <v/>
      </c>
      <c r="I155" s="134" t="str">
        <f ca="1">IFERROR(__xludf.DUMMYFUNCTION("""COMPUTED_VALUE"""),"")</f>
        <v/>
      </c>
      <c r="J155" s="134" t="str">
        <f ca="1">IFERROR(__xludf.DUMMYFUNCTION("""COMPUTED_VALUE"""),"")</f>
        <v/>
      </c>
      <c r="N155" s="31"/>
      <c r="Q155" s="195"/>
      <c r="S155" s="51"/>
      <c r="T155" s="31"/>
    </row>
    <row r="156" spans="1:20" customFormat="1">
      <c r="A156" s="134" t="str">
        <f ca="1">IFERROR(__xludf.DUMMYFUNCTION("""COMPUTED_VALUE"""),"")</f>
        <v/>
      </c>
      <c r="B156" s="134" t="str">
        <f ca="1">IFERROR(__xludf.DUMMYFUNCTION("""COMPUTED_VALUE"""),"")</f>
        <v/>
      </c>
      <c r="C156" s="134" t="str">
        <f ca="1">IFERROR(__xludf.DUMMYFUNCTION("""COMPUTED_VALUE"""),"")</f>
        <v/>
      </c>
      <c r="D156" s="134" t="str">
        <f ca="1">IFERROR(__xludf.DUMMYFUNCTION("""COMPUTED_VALUE"""),"")</f>
        <v/>
      </c>
      <c r="E156" s="134" t="str">
        <f ca="1">IFERROR(__xludf.DUMMYFUNCTION("""COMPUTED_VALUE"""),"")</f>
        <v/>
      </c>
      <c r="F156" s="134" t="str">
        <f ca="1">IFERROR(__xludf.DUMMYFUNCTION("""COMPUTED_VALUE"""),"")</f>
        <v/>
      </c>
      <c r="G156" s="134" t="str">
        <f ca="1">IFERROR(__xludf.DUMMYFUNCTION("""COMPUTED_VALUE"""),"")</f>
        <v/>
      </c>
      <c r="H156" s="134" t="str">
        <f ca="1">IFERROR(__xludf.DUMMYFUNCTION("""COMPUTED_VALUE"""),"")</f>
        <v/>
      </c>
      <c r="I156" s="134" t="str">
        <f ca="1">IFERROR(__xludf.DUMMYFUNCTION("""COMPUTED_VALUE"""),"")</f>
        <v/>
      </c>
      <c r="J156" s="134" t="str">
        <f ca="1">IFERROR(__xludf.DUMMYFUNCTION("""COMPUTED_VALUE"""),"")</f>
        <v/>
      </c>
      <c r="N156" s="31"/>
      <c r="Q156" s="195"/>
      <c r="S156" s="51"/>
      <c r="T156" s="31"/>
    </row>
    <row r="157" spans="1:20" customFormat="1">
      <c r="A157" s="134" t="str">
        <f ca="1">IFERROR(__xludf.DUMMYFUNCTION("""COMPUTED_VALUE"""),"")</f>
        <v/>
      </c>
      <c r="B157" s="134" t="str">
        <f ca="1">IFERROR(__xludf.DUMMYFUNCTION("""COMPUTED_VALUE"""),"")</f>
        <v/>
      </c>
      <c r="C157" s="134" t="str">
        <f ca="1">IFERROR(__xludf.DUMMYFUNCTION("""COMPUTED_VALUE"""),"")</f>
        <v/>
      </c>
      <c r="D157" s="134" t="str">
        <f ca="1">IFERROR(__xludf.DUMMYFUNCTION("""COMPUTED_VALUE"""),"")</f>
        <v/>
      </c>
      <c r="E157" s="134" t="str">
        <f ca="1">IFERROR(__xludf.DUMMYFUNCTION("""COMPUTED_VALUE"""),"")</f>
        <v/>
      </c>
      <c r="F157" s="134" t="str">
        <f ca="1">IFERROR(__xludf.DUMMYFUNCTION("""COMPUTED_VALUE"""),"")</f>
        <v/>
      </c>
      <c r="G157" s="134" t="str">
        <f ca="1">IFERROR(__xludf.DUMMYFUNCTION("""COMPUTED_VALUE"""),"")</f>
        <v/>
      </c>
      <c r="H157" s="134" t="str">
        <f ca="1">IFERROR(__xludf.DUMMYFUNCTION("""COMPUTED_VALUE"""),"")</f>
        <v/>
      </c>
      <c r="I157" s="134" t="str">
        <f ca="1">IFERROR(__xludf.DUMMYFUNCTION("""COMPUTED_VALUE"""),"")</f>
        <v/>
      </c>
      <c r="J157" s="134" t="str">
        <f ca="1">IFERROR(__xludf.DUMMYFUNCTION("""COMPUTED_VALUE"""),"")</f>
        <v/>
      </c>
      <c r="N157" s="31"/>
      <c r="Q157" s="195"/>
      <c r="S157" s="51"/>
      <c r="T157" s="31"/>
    </row>
    <row r="158" spans="1:20" customFormat="1">
      <c r="A158" s="134" t="str">
        <f ca="1">IFERROR(__xludf.DUMMYFUNCTION("""COMPUTED_VALUE"""),"")</f>
        <v/>
      </c>
      <c r="B158" s="134" t="str">
        <f ca="1">IFERROR(__xludf.DUMMYFUNCTION("""COMPUTED_VALUE"""),"")</f>
        <v/>
      </c>
      <c r="C158" s="134" t="str">
        <f ca="1">IFERROR(__xludf.DUMMYFUNCTION("""COMPUTED_VALUE"""),"")</f>
        <v/>
      </c>
      <c r="D158" s="134" t="str">
        <f ca="1">IFERROR(__xludf.DUMMYFUNCTION("""COMPUTED_VALUE"""),"")</f>
        <v/>
      </c>
      <c r="E158" s="134" t="str">
        <f ca="1">IFERROR(__xludf.DUMMYFUNCTION("""COMPUTED_VALUE"""),"")</f>
        <v/>
      </c>
      <c r="F158" s="134" t="str">
        <f ca="1">IFERROR(__xludf.DUMMYFUNCTION("""COMPUTED_VALUE"""),"")</f>
        <v/>
      </c>
      <c r="G158" s="134" t="str">
        <f ca="1">IFERROR(__xludf.DUMMYFUNCTION("""COMPUTED_VALUE"""),"")</f>
        <v/>
      </c>
      <c r="H158" s="134" t="str">
        <f ca="1">IFERROR(__xludf.DUMMYFUNCTION("""COMPUTED_VALUE"""),"")</f>
        <v/>
      </c>
      <c r="I158" s="134" t="str">
        <f ca="1">IFERROR(__xludf.DUMMYFUNCTION("""COMPUTED_VALUE"""),"")</f>
        <v/>
      </c>
      <c r="J158" s="134" t="str">
        <f ca="1">IFERROR(__xludf.DUMMYFUNCTION("""COMPUTED_VALUE"""),"")</f>
        <v/>
      </c>
      <c r="N158" s="31"/>
      <c r="Q158" s="195"/>
      <c r="S158" s="51"/>
      <c r="T158" s="31"/>
    </row>
    <row r="159" spans="1:20" customFormat="1">
      <c r="A159" s="134" t="str">
        <f ca="1">IFERROR(__xludf.DUMMYFUNCTION("""COMPUTED_VALUE"""),"")</f>
        <v/>
      </c>
      <c r="B159" s="134" t="str">
        <f ca="1">IFERROR(__xludf.DUMMYFUNCTION("""COMPUTED_VALUE"""),"")</f>
        <v/>
      </c>
      <c r="C159" s="134" t="str">
        <f ca="1">IFERROR(__xludf.DUMMYFUNCTION("""COMPUTED_VALUE"""),"")</f>
        <v/>
      </c>
      <c r="D159" s="134" t="str">
        <f ca="1">IFERROR(__xludf.DUMMYFUNCTION("""COMPUTED_VALUE"""),"")</f>
        <v/>
      </c>
      <c r="E159" s="134" t="str">
        <f ca="1">IFERROR(__xludf.DUMMYFUNCTION("""COMPUTED_VALUE"""),"")</f>
        <v/>
      </c>
      <c r="F159" s="134" t="str">
        <f ca="1">IFERROR(__xludf.DUMMYFUNCTION("""COMPUTED_VALUE"""),"")</f>
        <v/>
      </c>
      <c r="G159" s="134" t="str">
        <f ca="1">IFERROR(__xludf.DUMMYFUNCTION("""COMPUTED_VALUE"""),"")</f>
        <v/>
      </c>
      <c r="H159" s="134" t="str">
        <f ca="1">IFERROR(__xludf.DUMMYFUNCTION("""COMPUTED_VALUE"""),"")</f>
        <v/>
      </c>
      <c r="I159" s="134" t="str">
        <f ca="1">IFERROR(__xludf.DUMMYFUNCTION("""COMPUTED_VALUE"""),"")</f>
        <v/>
      </c>
      <c r="J159" s="134" t="str">
        <f ca="1">IFERROR(__xludf.DUMMYFUNCTION("""COMPUTED_VALUE"""),"")</f>
        <v/>
      </c>
      <c r="N159" s="31"/>
      <c r="Q159" s="195"/>
      <c r="S159" s="51"/>
      <c r="T159" s="31"/>
    </row>
    <row r="160" spans="1:20" customFormat="1">
      <c r="A160" s="134" t="str">
        <f ca="1">IFERROR(__xludf.DUMMYFUNCTION("""COMPUTED_VALUE"""),"")</f>
        <v/>
      </c>
      <c r="B160" s="134" t="str">
        <f ca="1">IFERROR(__xludf.DUMMYFUNCTION("""COMPUTED_VALUE"""),"")</f>
        <v/>
      </c>
      <c r="C160" s="134" t="str">
        <f ca="1">IFERROR(__xludf.DUMMYFUNCTION("""COMPUTED_VALUE"""),"")</f>
        <v/>
      </c>
      <c r="D160" s="134" t="str">
        <f ca="1">IFERROR(__xludf.DUMMYFUNCTION("""COMPUTED_VALUE"""),"")</f>
        <v/>
      </c>
      <c r="E160" s="134" t="str">
        <f ca="1">IFERROR(__xludf.DUMMYFUNCTION("""COMPUTED_VALUE"""),"")</f>
        <v/>
      </c>
      <c r="F160" s="134" t="str">
        <f ca="1">IFERROR(__xludf.DUMMYFUNCTION("""COMPUTED_VALUE"""),"")</f>
        <v/>
      </c>
      <c r="G160" s="134" t="str">
        <f ca="1">IFERROR(__xludf.DUMMYFUNCTION("""COMPUTED_VALUE"""),"")</f>
        <v/>
      </c>
      <c r="H160" s="134" t="str">
        <f ca="1">IFERROR(__xludf.DUMMYFUNCTION("""COMPUTED_VALUE"""),"")</f>
        <v/>
      </c>
      <c r="I160" s="134" t="str">
        <f ca="1">IFERROR(__xludf.DUMMYFUNCTION("""COMPUTED_VALUE"""),"")</f>
        <v/>
      </c>
      <c r="J160" s="134" t="str">
        <f ca="1">IFERROR(__xludf.DUMMYFUNCTION("""COMPUTED_VALUE"""),"")</f>
        <v/>
      </c>
      <c r="N160" s="31"/>
      <c r="Q160" s="195"/>
      <c r="S160" s="51"/>
      <c r="T160" s="31"/>
    </row>
    <row r="161" spans="1:20" customFormat="1">
      <c r="A161" s="134" t="str">
        <f ca="1">IFERROR(__xludf.DUMMYFUNCTION("""COMPUTED_VALUE"""),"")</f>
        <v/>
      </c>
      <c r="B161" s="134" t="str">
        <f ca="1">IFERROR(__xludf.DUMMYFUNCTION("""COMPUTED_VALUE"""),"")</f>
        <v/>
      </c>
      <c r="C161" s="134" t="str">
        <f ca="1">IFERROR(__xludf.DUMMYFUNCTION("""COMPUTED_VALUE"""),"")</f>
        <v/>
      </c>
      <c r="D161" s="134" t="str">
        <f ca="1">IFERROR(__xludf.DUMMYFUNCTION("""COMPUTED_VALUE"""),"")</f>
        <v/>
      </c>
      <c r="E161" s="134" t="str">
        <f ca="1">IFERROR(__xludf.DUMMYFUNCTION("""COMPUTED_VALUE"""),"")</f>
        <v/>
      </c>
      <c r="F161" s="134" t="str">
        <f ca="1">IFERROR(__xludf.DUMMYFUNCTION("""COMPUTED_VALUE"""),"")</f>
        <v/>
      </c>
      <c r="G161" s="134" t="str">
        <f ca="1">IFERROR(__xludf.DUMMYFUNCTION("""COMPUTED_VALUE"""),"")</f>
        <v/>
      </c>
      <c r="H161" s="134" t="str">
        <f ca="1">IFERROR(__xludf.DUMMYFUNCTION("""COMPUTED_VALUE"""),"")</f>
        <v/>
      </c>
      <c r="I161" s="134" t="str">
        <f ca="1">IFERROR(__xludf.DUMMYFUNCTION("""COMPUTED_VALUE"""),"")</f>
        <v/>
      </c>
      <c r="J161" s="134" t="str">
        <f ca="1">IFERROR(__xludf.DUMMYFUNCTION("""COMPUTED_VALUE"""),"")</f>
        <v/>
      </c>
      <c r="N161" s="31"/>
      <c r="Q161" s="195"/>
      <c r="S161" s="51"/>
      <c r="T161" s="31"/>
    </row>
    <row r="162" spans="1:20" customFormat="1">
      <c r="A162" s="134" t="str">
        <f ca="1">IFERROR(__xludf.DUMMYFUNCTION("""COMPUTED_VALUE"""),"")</f>
        <v/>
      </c>
      <c r="B162" s="134" t="str">
        <f ca="1">IFERROR(__xludf.DUMMYFUNCTION("""COMPUTED_VALUE"""),"")</f>
        <v/>
      </c>
      <c r="C162" s="134" t="str">
        <f ca="1">IFERROR(__xludf.DUMMYFUNCTION("""COMPUTED_VALUE"""),"")</f>
        <v/>
      </c>
      <c r="D162" s="134" t="str">
        <f ca="1">IFERROR(__xludf.DUMMYFUNCTION("""COMPUTED_VALUE"""),"")</f>
        <v/>
      </c>
      <c r="E162" s="134" t="str">
        <f ca="1">IFERROR(__xludf.DUMMYFUNCTION("""COMPUTED_VALUE"""),"")</f>
        <v/>
      </c>
      <c r="F162" s="134" t="str">
        <f ca="1">IFERROR(__xludf.DUMMYFUNCTION("""COMPUTED_VALUE"""),"")</f>
        <v/>
      </c>
      <c r="G162" s="134" t="str">
        <f ca="1">IFERROR(__xludf.DUMMYFUNCTION("""COMPUTED_VALUE"""),"")</f>
        <v/>
      </c>
      <c r="H162" s="134" t="str">
        <f ca="1">IFERROR(__xludf.DUMMYFUNCTION("""COMPUTED_VALUE"""),"")</f>
        <v/>
      </c>
      <c r="I162" s="134" t="str">
        <f ca="1">IFERROR(__xludf.DUMMYFUNCTION("""COMPUTED_VALUE"""),"")</f>
        <v/>
      </c>
      <c r="J162" s="134" t="str">
        <f ca="1">IFERROR(__xludf.DUMMYFUNCTION("""COMPUTED_VALUE"""),"")</f>
        <v/>
      </c>
      <c r="N162" s="31"/>
      <c r="Q162" s="195"/>
      <c r="S162" s="51"/>
      <c r="T162" s="31"/>
    </row>
    <row r="163" spans="1:20" customFormat="1">
      <c r="A163" s="134" t="str">
        <f ca="1">IFERROR(__xludf.DUMMYFUNCTION("""COMPUTED_VALUE"""),"")</f>
        <v/>
      </c>
      <c r="B163" s="134" t="str">
        <f ca="1">IFERROR(__xludf.DUMMYFUNCTION("""COMPUTED_VALUE"""),"")</f>
        <v/>
      </c>
      <c r="C163" s="134" t="str">
        <f ca="1">IFERROR(__xludf.DUMMYFUNCTION("""COMPUTED_VALUE"""),"")</f>
        <v/>
      </c>
      <c r="D163" s="134" t="str">
        <f ca="1">IFERROR(__xludf.DUMMYFUNCTION("""COMPUTED_VALUE"""),"")</f>
        <v/>
      </c>
      <c r="E163" s="134" t="str">
        <f ca="1">IFERROR(__xludf.DUMMYFUNCTION("""COMPUTED_VALUE"""),"")</f>
        <v/>
      </c>
      <c r="F163" s="134" t="str">
        <f ca="1">IFERROR(__xludf.DUMMYFUNCTION("""COMPUTED_VALUE"""),"")</f>
        <v/>
      </c>
      <c r="G163" s="134" t="str">
        <f ca="1">IFERROR(__xludf.DUMMYFUNCTION("""COMPUTED_VALUE"""),"")</f>
        <v/>
      </c>
      <c r="H163" s="134" t="str">
        <f ca="1">IFERROR(__xludf.DUMMYFUNCTION("""COMPUTED_VALUE"""),"")</f>
        <v/>
      </c>
      <c r="I163" s="134" t="str">
        <f ca="1">IFERROR(__xludf.DUMMYFUNCTION("""COMPUTED_VALUE"""),"")</f>
        <v/>
      </c>
      <c r="J163" s="134" t="str">
        <f ca="1">IFERROR(__xludf.DUMMYFUNCTION("""COMPUTED_VALUE"""),"")</f>
        <v/>
      </c>
      <c r="N163" s="31"/>
      <c r="Q163" s="195"/>
      <c r="S163" s="51"/>
      <c r="T163" s="31"/>
    </row>
    <row r="164" spans="1:20" customFormat="1">
      <c r="A164" s="134" t="str">
        <f ca="1">IFERROR(__xludf.DUMMYFUNCTION("""COMPUTED_VALUE"""),"")</f>
        <v/>
      </c>
      <c r="B164" s="134" t="str">
        <f ca="1">IFERROR(__xludf.DUMMYFUNCTION("""COMPUTED_VALUE"""),"")</f>
        <v/>
      </c>
      <c r="C164" s="134" t="str">
        <f ca="1">IFERROR(__xludf.DUMMYFUNCTION("""COMPUTED_VALUE"""),"")</f>
        <v/>
      </c>
      <c r="D164" s="134" t="str">
        <f ca="1">IFERROR(__xludf.DUMMYFUNCTION("""COMPUTED_VALUE"""),"")</f>
        <v/>
      </c>
      <c r="E164" s="134" t="str">
        <f ca="1">IFERROR(__xludf.DUMMYFUNCTION("""COMPUTED_VALUE"""),"")</f>
        <v/>
      </c>
      <c r="F164" s="134" t="str">
        <f ca="1">IFERROR(__xludf.DUMMYFUNCTION("""COMPUTED_VALUE"""),"")</f>
        <v/>
      </c>
      <c r="G164" s="134" t="str">
        <f ca="1">IFERROR(__xludf.DUMMYFUNCTION("""COMPUTED_VALUE"""),"")</f>
        <v/>
      </c>
      <c r="H164" s="134" t="str">
        <f ca="1">IFERROR(__xludf.DUMMYFUNCTION("""COMPUTED_VALUE"""),"")</f>
        <v/>
      </c>
      <c r="I164" s="134" t="str">
        <f ca="1">IFERROR(__xludf.DUMMYFUNCTION("""COMPUTED_VALUE"""),"")</f>
        <v/>
      </c>
      <c r="J164" s="134" t="str">
        <f ca="1">IFERROR(__xludf.DUMMYFUNCTION("""COMPUTED_VALUE"""),"")</f>
        <v/>
      </c>
      <c r="N164" s="31"/>
      <c r="Q164" s="195"/>
      <c r="S164" s="51"/>
      <c r="T164" s="31"/>
    </row>
    <row r="165" spans="1:20" customFormat="1">
      <c r="A165" s="134" t="str">
        <f ca="1">IFERROR(__xludf.DUMMYFUNCTION("""COMPUTED_VALUE"""),"")</f>
        <v/>
      </c>
      <c r="B165" s="134" t="str">
        <f ca="1">IFERROR(__xludf.DUMMYFUNCTION("""COMPUTED_VALUE"""),"")</f>
        <v/>
      </c>
      <c r="C165" s="134" t="str">
        <f ca="1">IFERROR(__xludf.DUMMYFUNCTION("""COMPUTED_VALUE"""),"")</f>
        <v/>
      </c>
      <c r="D165" s="134" t="str">
        <f ca="1">IFERROR(__xludf.DUMMYFUNCTION("""COMPUTED_VALUE"""),"")</f>
        <v/>
      </c>
      <c r="E165" s="134" t="str">
        <f ca="1">IFERROR(__xludf.DUMMYFUNCTION("""COMPUTED_VALUE"""),"")</f>
        <v/>
      </c>
      <c r="F165" s="134" t="str">
        <f ca="1">IFERROR(__xludf.DUMMYFUNCTION("""COMPUTED_VALUE"""),"")</f>
        <v/>
      </c>
      <c r="G165" s="134" t="str">
        <f ca="1">IFERROR(__xludf.DUMMYFUNCTION("""COMPUTED_VALUE"""),"")</f>
        <v/>
      </c>
      <c r="H165" s="134" t="str">
        <f ca="1">IFERROR(__xludf.DUMMYFUNCTION("""COMPUTED_VALUE"""),"")</f>
        <v/>
      </c>
      <c r="I165" s="134" t="str">
        <f ca="1">IFERROR(__xludf.DUMMYFUNCTION("""COMPUTED_VALUE"""),"")</f>
        <v/>
      </c>
      <c r="J165" s="134" t="str">
        <f ca="1">IFERROR(__xludf.DUMMYFUNCTION("""COMPUTED_VALUE"""),"")</f>
        <v/>
      </c>
      <c r="N165" s="31"/>
      <c r="Q165" s="195"/>
      <c r="S165" s="51"/>
      <c r="T165" s="31"/>
    </row>
    <row r="166" spans="1:20" customFormat="1">
      <c r="A166" s="134" t="str">
        <f ca="1">IFERROR(__xludf.DUMMYFUNCTION("""COMPUTED_VALUE"""),"")</f>
        <v/>
      </c>
      <c r="B166" s="134" t="str">
        <f ca="1">IFERROR(__xludf.DUMMYFUNCTION("""COMPUTED_VALUE"""),"")</f>
        <v/>
      </c>
      <c r="C166" s="134" t="str">
        <f ca="1">IFERROR(__xludf.DUMMYFUNCTION("""COMPUTED_VALUE"""),"")</f>
        <v/>
      </c>
      <c r="D166" s="134" t="str">
        <f ca="1">IFERROR(__xludf.DUMMYFUNCTION("""COMPUTED_VALUE"""),"")</f>
        <v/>
      </c>
      <c r="E166" s="134" t="str">
        <f ca="1">IFERROR(__xludf.DUMMYFUNCTION("""COMPUTED_VALUE"""),"")</f>
        <v/>
      </c>
      <c r="F166" s="134" t="str">
        <f ca="1">IFERROR(__xludf.DUMMYFUNCTION("""COMPUTED_VALUE"""),"")</f>
        <v/>
      </c>
      <c r="G166" s="134" t="str">
        <f ca="1">IFERROR(__xludf.DUMMYFUNCTION("""COMPUTED_VALUE"""),"")</f>
        <v/>
      </c>
      <c r="H166" s="134" t="str">
        <f ca="1">IFERROR(__xludf.DUMMYFUNCTION("""COMPUTED_VALUE"""),"")</f>
        <v/>
      </c>
      <c r="I166" s="134" t="str">
        <f ca="1">IFERROR(__xludf.DUMMYFUNCTION("""COMPUTED_VALUE"""),"")</f>
        <v/>
      </c>
      <c r="J166" s="134" t="str">
        <f ca="1">IFERROR(__xludf.DUMMYFUNCTION("""COMPUTED_VALUE"""),"")</f>
        <v/>
      </c>
      <c r="N166" s="31"/>
      <c r="Q166" s="195"/>
      <c r="S166" s="51"/>
      <c r="T166" s="31"/>
    </row>
    <row r="167" spans="1:20" customFormat="1">
      <c r="A167" s="134" t="str">
        <f ca="1">IFERROR(__xludf.DUMMYFUNCTION("""COMPUTED_VALUE"""),"")</f>
        <v/>
      </c>
      <c r="B167" s="134" t="str">
        <f ca="1">IFERROR(__xludf.DUMMYFUNCTION("""COMPUTED_VALUE"""),"")</f>
        <v/>
      </c>
      <c r="C167" s="134" t="str">
        <f ca="1">IFERROR(__xludf.DUMMYFUNCTION("""COMPUTED_VALUE"""),"")</f>
        <v/>
      </c>
      <c r="D167" s="134" t="str">
        <f ca="1">IFERROR(__xludf.DUMMYFUNCTION("""COMPUTED_VALUE"""),"")</f>
        <v/>
      </c>
      <c r="E167" s="134" t="str">
        <f ca="1">IFERROR(__xludf.DUMMYFUNCTION("""COMPUTED_VALUE"""),"")</f>
        <v/>
      </c>
      <c r="F167" s="134" t="str">
        <f ca="1">IFERROR(__xludf.DUMMYFUNCTION("""COMPUTED_VALUE"""),"")</f>
        <v/>
      </c>
      <c r="G167" s="134" t="str">
        <f ca="1">IFERROR(__xludf.DUMMYFUNCTION("""COMPUTED_VALUE"""),"")</f>
        <v/>
      </c>
      <c r="H167" s="134" t="str">
        <f ca="1">IFERROR(__xludf.DUMMYFUNCTION("""COMPUTED_VALUE"""),"")</f>
        <v/>
      </c>
      <c r="I167" s="134" t="str">
        <f ca="1">IFERROR(__xludf.DUMMYFUNCTION("""COMPUTED_VALUE"""),"")</f>
        <v/>
      </c>
      <c r="J167" s="134" t="str">
        <f ca="1">IFERROR(__xludf.DUMMYFUNCTION("""COMPUTED_VALUE"""),"")</f>
        <v/>
      </c>
      <c r="N167" s="31"/>
      <c r="Q167" s="195"/>
      <c r="S167" s="51"/>
      <c r="T167" s="31"/>
    </row>
    <row r="168" spans="1:20" customFormat="1">
      <c r="A168" s="134" t="str">
        <f ca="1">IFERROR(__xludf.DUMMYFUNCTION("""COMPUTED_VALUE"""),"")</f>
        <v/>
      </c>
      <c r="B168" s="134" t="str">
        <f ca="1">IFERROR(__xludf.DUMMYFUNCTION("""COMPUTED_VALUE"""),"")</f>
        <v/>
      </c>
      <c r="C168" s="134" t="str">
        <f ca="1">IFERROR(__xludf.DUMMYFUNCTION("""COMPUTED_VALUE"""),"")</f>
        <v/>
      </c>
      <c r="D168" s="134" t="str">
        <f ca="1">IFERROR(__xludf.DUMMYFUNCTION("""COMPUTED_VALUE"""),"")</f>
        <v/>
      </c>
      <c r="E168" s="134" t="str">
        <f ca="1">IFERROR(__xludf.DUMMYFUNCTION("""COMPUTED_VALUE"""),"")</f>
        <v/>
      </c>
      <c r="F168" s="134" t="str">
        <f ca="1">IFERROR(__xludf.DUMMYFUNCTION("""COMPUTED_VALUE"""),"")</f>
        <v/>
      </c>
      <c r="G168" s="134" t="str">
        <f ca="1">IFERROR(__xludf.DUMMYFUNCTION("""COMPUTED_VALUE"""),"")</f>
        <v/>
      </c>
      <c r="H168" s="134" t="str">
        <f ca="1">IFERROR(__xludf.DUMMYFUNCTION("""COMPUTED_VALUE"""),"")</f>
        <v/>
      </c>
      <c r="I168" s="134" t="str">
        <f ca="1">IFERROR(__xludf.DUMMYFUNCTION("""COMPUTED_VALUE"""),"")</f>
        <v/>
      </c>
      <c r="J168" s="134" t="str">
        <f ca="1">IFERROR(__xludf.DUMMYFUNCTION("""COMPUTED_VALUE"""),"")</f>
        <v/>
      </c>
      <c r="N168" s="31"/>
      <c r="Q168" s="195"/>
      <c r="S168" s="51"/>
      <c r="T168" s="31"/>
    </row>
    <row r="169" spans="1:20" customFormat="1">
      <c r="A169" s="134" t="str">
        <f ca="1">IFERROR(__xludf.DUMMYFUNCTION("""COMPUTED_VALUE"""),"")</f>
        <v/>
      </c>
      <c r="B169" s="134" t="str">
        <f ca="1">IFERROR(__xludf.DUMMYFUNCTION("""COMPUTED_VALUE"""),"")</f>
        <v/>
      </c>
      <c r="C169" s="134" t="str">
        <f ca="1">IFERROR(__xludf.DUMMYFUNCTION("""COMPUTED_VALUE"""),"")</f>
        <v/>
      </c>
      <c r="D169" s="134" t="str">
        <f ca="1">IFERROR(__xludf.DUMMYFUNCTION("""COMPUTED_VALUE"""),"")</f>
        <v/>
      </c>
      <c r="E169" s="134" t="str">
        <f ca="1">IFERROR(__xludf.DUMMYFUNCTION("""COMPUTED_VALUE"""),"")</f>
        <v/>
      </c>
      <c r="F169" s="134" t="str">
        <f ca="1">IFERROR(__xludf.DUMMYFUNCTION("""COMPUTED_VALUE"""),"")</f>
        <v/>
      </c>
      <c r="G169" s="134" t="str">
        <f ca="1">IFERROR(__xludf.DUMMYFUNCTION("""COMPUTED_VALUE"""),"")</f>
        <v/>
      </c>
      <c r="H169" s="134" t="str">
        <f ca="1">IFERROR(__xludf.DUMMYFUNCTION("""COMPUTED_VALUE"""),"")</f>
        <v/>
      </c>
      <c r="I169" s="134" t="str">
        <f ca="1">IFERROR(__xludf.DUMMYFUNCTION("""COMPUTED_VALUE"""),"")</f>
        <v/>
      </c>
      <c r="J169" s="134" t="str">
        <f ca="1">IFERROR(__xludf.DUMMYFUNCTION("""COMPUTED_VALUE"""),"")</f>
        <v/>
      </c>
      <c r="N169" s="31"/>
      <c r="Q169" s="195"/>
      <c r="S169" s="51"/>
      <c r="T169" s="31"/>
    </row>
    <row r="170" spans="1:20" customFormat="1">
      <c r="A170" s="134" t="str">
        <f ca="1">IFERROR(__xludf.DUMMYFUNCTION("""COMPUTED_VALUE"""),"")</f>
        <v/>
      </c>
      <c r="B170" s="134" t="str">
        <f ca="1">IFERROR(__xludf.DUMMYFUNCTION("""COMPUTED_VALUE"""),"")</f>
        <v/>
      </c>
      <c r="C170" s="134" t="str">
        <f ca="1">IFERROR(__xludf.DUMMYFUNCTION("""COMPUTED_VALUE"""),"")</f>
        <v/>
      </c>
      <c r="D170" s="134" t="str">
        <f ca="1">IFERROR(__xludf.DUMMYFUNCTION("""COMPUTED_VALUE"""),"")</f>
        <v/>
      </c>
      <c r="E170" s="134" t="str">
        <f ca="1">IFERROR(__xludf.DUMMYFUNCTION("""COMPUTED_VALUE"""),"")</f>
        <v/>
      </c>
      <c r="F170" s="134" t="str">
        <f ca="1">IFERROR(__xludf.DUMMYFUNCTION("""COMPUTED_VALUE"""),"")</f>
        <v/>
      </c>
      <c r="G170" s="134" t="str">
        <f ca="1">IFERROR(__xludf.DUMMYFUNCTION("""COMPUTED_VALUE"""),"")</f>
        <v/>
      </c>
      <c r="H170" s="134" t="str">
        <f ca="1">IFERROR(__xludf.DUMMYFUNCTION("""COMPUTED_VALUE"""),"")</f>
        <v/>
      </c>
      <c r="I170" s="134" t="str">
        <f ca="1">IFERROR(__xludf.DUMMYFUNCTION("""COMPUTED_VALUE"""),"")</f>
        <v/>
      </c>
      <c r="J170" s="134" t="str">
        <f ca="1">IFERROR(__xludf.DUMMYFUNCTION("""COMPUTED_VALUE"""),"")</f>
        <v/>
      </c>
      <c r="N170" s="31"/>
      <c r="Q170" s="195"/>
      <c r="S170" s="51"/>
      <c r="T170" s="31"/>
    </row>
    <row r="171" spans="1:20" customFormat="1">
      <c r="A171" s="134" t="str">
        <f ca="1">IFERROR(__xludf.DUMMYFUNCTION("""COMPUTED_VALUE"""),"")</f>
        <v/>
      </c>
      <c r="B171" s="134" t="str">
        <f ca="1">IFERROR(__xludf.DUMMYFUNCTION("""COMPUTED_VALUE"""),"")</f>
        <v/>
      </c>
      <c r="C171" s="134" t="str">
        <f ca="1">IFERROR(__xludf.DUMMYFUNCTION("""COMPUTED_VALUE"""),"")</f>
        <v/>
      </c>
      <c r="D171" s="134" t="str">
        <f ca="1">IFERROR(__xludf.DUMMYFUNCTION("""COMPUTED_VALUE"""),"")</f>
        <v/>
      </c>
      <c r="E171" s="134" t="str">
        <f ca="1">IFERROR(__xludf.DUMMYFUNCTION("""COMPUTED_VALUE"""),"")</f>
        <v/>
      </c>
      <c r="F171" s="134" t="str">
        <f ca="1">IFERROR(__xludf.DUMMYFUNCTION("""COMPUTED_VALUE"""),"")</f>
        <v/>
      </c>
      <c r="G171" s="134" t="str">
        <f ca="1">IFERROR(__xludf.DUMMYFUNCTION("""COMPUTED_VALUE"""),"")</f>
        <v/>
      </c>
      <c r="H171" s="134" t="str">
        <f ca="1">IFERROR(__xludf.DUMMYFUNCTION("""COMPUTED_VALUE"""),"")</f>
        <v/>
      </c>
      <c r="I171" s="134" t="str">
        <f ca="1">IFERROR(__xludf.DUMMYFUNCTION("""COMPUTED_VALUE"""),"")</f>
        <v/>
      </c>
      <c r="J171" s="134" t="str">
        <f ca="1">IFERROR(__xludf.DUMMYFUNCTION("""COMPUTED_VALUE"""),"")</f>
        <v/>
      </c>
      <c r="N171" s="31"/>
      <c r="Q171" s="195"/>
      <c r="S171" s="51"/>
      <c r="T171" s="31"/>
    </row>
    <row r="172" spans="1:20" customFormat="1">
      <c r="A172" s="134" t="str">
        <f ca="1">IFERROR(__xludf.DUMMYFUNCTION("""COMPUTED_VALUE"""),"")</f>
        <v/>
      </c>
      <c r="B172" s="134" t="str">
        <f ca="1">IFERROR(__xludf.DUMMYFUNCTION("""COMPUTED_VALUE"""),"")</f>
        <v/>
      </c>
      <c r="C172" s="134" t="str">
        <f ca="1">IFERROR(__xludf.DUMMYFUNCTION("""COMPUTED_VALUE"""),"")</f>
        <v/>
      </c>
      <c r="D172" s="134" t="str">
        <f ca="1">IFERROR(__xludf.DUMMYFUNCTION("""COMPUTED_VALUE"""),"")</f>
        <v/>
      </c>
      <c r="E172" s="134" t="str">
        <f ca="1">IFERROR(__xludf.DUMMYFUNCTION("""COMPUTED_VALUE"""),"")</f>
        <v/>
      </c>
      <c r="F172" s="134" t="str">
        <f ca="1">IFERROR(__xludf.DUMMYFUNCTION("""COMPUTED_VALUE"""),"")</f>
        <v/>
      </c>
      <c r="G172" s="134" t="str">
        <f ca="1">IFERROR(__xludf.DUMMYFUNCTION("""COMPUTED_VALUE"""),"")</f>
        <v/>
      </c>
      <c r="H172" s="134" t="str">
        <f ca="1">IFERROR(__xludf.DUMMYFUNCTION("""COMPUTED_VALUE"""),"")</f>
        <v/>
      </c>
      <c r="I172" s="134" t="str">
        <f ca="1">IFERROR(__xludf.DUMMYFUNCTION("""COMPUTED_VALUE"""),"")</f>
        <v/>
      </c>
      <c r="J172" s="134" t="str">
        <f ca="1">IFERROR(__xludf.DUMMYFUNCTION("""COMPUTED_VALUE"""),"")</f>
        <v/>
      </c>
      <c r="N172" s="31"/>
      <c r="Q172" s="195"/>
      <c r="S172" s="51"/>
      <c r="T172" s="31"/>
    </row>
    <row r="173" spans="1:20" customFormat="1">
      <c r="A173" s="134" t="str">
        <f ca="1">IFERROR(__xludf.DUMMYFUNCTION("""COMPUTED_VALUE"""),"")</f>
        <v/>
      </c>
      <c r="B173" s="134" t="str">
        <f ca="1">IFERROR(__xludf.DUMMYFUNCTION("""COMPUTED_VALUE"""),"")</f>
        <v/>
      </c>
      <c r="C173" s="134" t="str">
        <f ca="1">IFERROR(__xludf.DUMMYFUNCTION("""COMPUTED_VALUE"""),"")</f>
        <v/>
      </c>
      <c r="D173" s="134" t="str">
        <f ca="1">IFERROR(__xludf.DUMMYFUNCTION("""COMPUTED_VALUE"""),"")</f>
        <v/>
      </c>
      <c r="E173" s="134" t="str">
        <f ca="1">IFERROR(__xludf.DUMMYFUNCTION("""COMPUTED_VALUE"""),"")</f>
        <v/>
      </c>
      <c r="F173" s="134" t="str">
        <f ca="1">IFERROR(__xludf.DUMMYFUNCTION("""COMPUTED_VALUE"""),"")</f>
        <v/>
      </c>
      <c r="G173" s="134" t="str">
        <f ca="1">IFERROR(__xludf.DUMMYFUNCTION("""COMPUTED_VALUE"""),"")</f>
        <v/>
      </c>
      <c r="H173" s="134" t="str">
        <f ca="1">IFERROR(__xludf.DUMMYFUNCTION("""COMPUTED_VALUE"""),"")</f>
        <v/>
      </c>
      <c r="I173" s="134" t="str">
        <f ca="1">IFERROR(__xludf.DUMMYFUNCTION("""COMPUTED_VALUE"""),"")</f>
        <v/>
      </c>
      <c r="J173" s="134" t="str">
        <f ca="1">IFERROR(__xludf.DUMMYFUNCTION("""COMPUTED_VALUE"""),"")</f>
        <v/>
      </c>
      <c r="N173" s="31"/>
      <c r="Q173" s="195"/>
      <c r="S173" s="51"/>
      <c r="T173" s="31"/>
    </row>
    <row r="174" spans="1:20" customFormat="1">
      <c r="A174" s="134" t="str">
        <f ca="1">IFERROR(__xludf.DUMMYFUNCTION("""COMPUTED_VALUE"""),"")</f>
        <v/>
      </c>
      <c r="B174" s="134" t="str">
        <f ca="1">IFERROR(__xludf.DUMMYFUNCTION("""COMPUTED_VALUE"""),"")</f>
        <v/>
      </c>
      <c r="C174" s="134" t="str">
        <f ca="1">IFERROR(__xludf.DUMMYFUNCTION("""COMPUTED_VALUE"""),"")</f>
        <v/>
      </c>
      <c r="D174" s="134" t="str">
        <f ca="1">IFERROR(__xludf.DUMMYFUNCTION("""COMPUTED_VALUE"""),"")</f>
        <v/>
      </c>
      <c r="E174" s="134" t="str">
        <f ca="1">IFERROR(__xludf.DUMMYFUNCTION("""COMPUTED_VALUE"""),"")</f>
        <v/>
      </c>
      <c r="F174" s="134" t="str">
        <f ca="1">IFERROR(__xludf.DUMMYFUNCTION("""COMPUTED_VALUE"""),"")</f>
        <v/>
      </c>
      <c r="G174" s="134" t="str">
        <f ca="1">IFERROR(__xludf.DUMMYFUNCTION("""COMPUTED_VALUE"""),"")</f>
        <v/>
      </c>
      <c r="H174" s="134" t="str">
        <f ca="1">IFERROR(__xludf.DUMMYFUNCTION("""COMPUTED_VALUE"""),"")</f>
        <v/>
      </c>
      <c r="I174" s="134" t="str">
        <f ca="1">IFERROR(__xludf.DUMMYFUNCTION("""COMPUTED_VALUE"""),"")</f>
        <v/>
      </c>
      <c r="J174" s="134" t="str">
        <f ca="1">IFERROR(__xludf.DUMMYFUNCTION("""COMPUTED_VALUE"""),"")</f>
        <v/>
      </c>
      <c r="N174" s="31"/>
      <c r="Q174" s="195"/>
      <c r="S174" s="51"/>
      <c r="T174" s="31"/>
    </row>
    <row r="175" spans="1:20" customFormat="1">
      <c r="A175" s="134" t="str">
        <f ca="1">IFERROR(__xludf.DUMMYFUNCTION("""COMPUTED_VALUE"""),"")</f>
        <v/>
      </c>
      <c r="B175" s="134" t="str">
        <f ca="1">IFERROR(__xludf.DUMMYFUNCTION("""COMPUTED_VALUE"""),"")</f>
        <v/>
      </c>
      <c r="C175" s="134" t="str">
        <f ca="1">IFERROR(__xludf.DUMMYFUNCTION("""COMPUTED_VALUE"""),"")</f>
        <v/>
      </c>
      <c r="D175" s="134" t="str">
        <f ca="1">IFERROR(__xludf.DUMMYFUNCTION("""COMPUTED_VALUE"""),"")</f>
        <v/>
      </c>
      <c r="E175" s="134" t="str">
        <f ca="1">IFERROR(__xludf.DUMMYFUNCTION("""COMPUTED_VALUE"""),"")</f>
        <v/>
      </c>
      <c r="F175" s="134" t="str">
        <f ca="1">IFERROR(__xludf.DUMMYFUNCTION("""COMPUTED_VALUE"""),"")</f>
        <v/>
      </c>
      <c r="G175" s="134" t="str">
        <f ca="1">IFERROR(__xludf.DUMMYFUNCTION("""COMPUTED_VALUE"""),"")</f>
        <v/>
      </c>
      <c r="H175" s="134" t="str">
        <f ca="1">IFERROR(__xludf.DUMMYFUNCTION("""COMPUTED_VALUE"""),"")</f>
        <v/>
      </c>
      <c r="I175" s="134" t="str">
        <f ca="1">IFERROR(__xludf.DUMMYFUNCTION("""COMPUTED_VALUE"""),"")</f>
        <v/>
      </c>
      <c r="J175" s="134" t="str">
        <f ca="1">IFERROR(__xludf.DUMMYFUNCTION("""COMPUTED_VALUE"""),"")</f>
        <v/>
      </c>
      <c r="N175" s="31"/>
      <c r="Q175" s="195"/>
      <c r="S175" s="51"/>
      <c r="T175" s="31"/>
    </row>
    <row r="176" spans="1:20" customFormat="1">
      <c r="A176" s="134" t="str">
        <f ca="1">IFERROR(__xludf.DUMMYFUNCTION("""COMPUTED_VALUE"""),"")</f>
        <v/>
      </c>
      <c r="B176" s="134" t="str">
        <f ca="1">IFERROR(__xludf.DUMMYFUNCTION("""COMPUTED_VALUE"""),"")</f>
        <v/>
      </c>
      <c r="C176" s="134" t="str">
        <f ca="1">IFERROR(__xludf.DUMMYFUNCTION("""COMPUTED_VALUE"""),"")</f>
        <v/>
      </c>
      <c r="D176" s="134" t="str">
        <f ca="1">IFERROR(__xludf.DUMMYFUNCTION("""COMPUTED_VALUE"""),"")</f>
        <v/>
      </c>
      <c r="E176" s="134" t="str">
        <f ca="1">IFERROR(__xludf.DUMMYFUNCTION("""COMPUTED_VALUE"""),"")</f>
        <v/>
      </c>
      <c r="F176" s="134" t="str">
        <f ca="1">IFERROR(__xludf.DUMMYFUNCTION("""COMPUTED_VALUE"""),"")</f>
        <v/>
      </c>
      <c r="G176" s="134" t="str">
        <f ca="1">IFERROR(__xludf.DUMMYFUNCTION("""COMPUTED_VALUE"""),"")</f>
        <v/>
      </c>
      <c r="H176" s="134" t="str">
        <f ca="1">IFERROR(__xludf.DUMMYFUNCTION("""COMPUTED_VALUE"""),"")</f>
        <v/>
      </c>
      <c r="I176" s="134" t="str">
        <f ca="1">IFERROR(__xludf.DUMMYFUNCTION("""COMPUTED_VALUE"""),"")</f>
        <v/>
      </c>
      <c r="J176" s="134" t="str">
        <f ca="1">IFERROR(__xludf.DUMMYFUNCTION("""COMPUTED_VALUE"""),"")</f>
        <v/>
      </c>
      <c r="N176" s="31"/>
      <c r="Q176" s="195"/>
      <c r="S176" s="51"/>
      <c r="T176" s="31"/>
    </row>
    <row r="177" spans="1:20" customFormat="1">
      <c r="A177" s="134" t="str">
        <f ca="1">IFERROR(__xludf.DUMMYFUNCTION("""COMPUTED_VALUE"""),"")</f>
        <v/>
      </c>
      <c r="B177" s="134" t="str">
        <f ca="1">IFERROR(__xludf.DUMMYFUNCTION("""COMPUTED_VALUE"""),"")</f>
        <v/>
      </c>
      <c r="C177" s="134" t="str">
        <f ca="1">IFERROR(__xludf.DUMMYFUNCTION("""COMPUTED_VALUE"""),"")</f>
        <v/>
      </c>
      <c r="D177" s="134" t="str">
        <f ca="1">IFERROR(__xludf.DUMMYFUNCTION("""COMPUTED_VALUE"""),"")</f>
        <v/>
      </c>
      <c r="E177" s="134" t="str">
        <f ca="1">IFERROR(__xludf.DUMMYFUNCTION("""COMPUTED_VALUE"""),"")</f>
        <v/>
      </c>
      <c r="F177" s="134" t="str">
        <f ca="1">IFERROR(__xludf.DUMMYFUNCTION("""COMPUTED_VALUE"""),"")</f>
        <v/>
      </c>
      <c r="G177" s="134" t="str">
        <f ca="1">IFERROR(__xludf.DUMMYFUNCTION("""COMPUTED_VALUE"""),"")</f>
        <v/>
      </c>
      <c r="H177" s="134" t="str">
        <f ca="1">IFERROR(__xludf.DUMMYFUNCTION("""COMPUTED_VALUE"""),"")</f>
        <v/>
      </c>
      <c r="I177" s="134" t="str">
        <f ca="1">IFERROR(__xludf.DUMMYFUNCTION("""COMPUTED_VALUE"""),"")</f>
        <v/>
      </c>
      <c r="J177" s="134" t="str">
        <f ca="1">IFERROR(__xludf.DUMMYFUNCTION("""COMPUTED_VALUE"""),"")</f>
        <v/>
      </c>
      <c r="N177" s="31"/>
      <c r="Q177" s="195"/>
      <c r="S177" s="51"/>
      <c r="T177" s="31"/>
    </row>
    <row r="178" spans="1:20" customFormat="1">
      <c r="A178" s="134" t="str">
        <f ca="1">IFERROR(__xludf.DUMMYFUNCTION("""COMPUTED_VALUE"""),"")</f>
        <v/>
      </c>
      <c r="B178" s="134" t="str">
        <f ca="1">IFERROR(__xludf.DUMMYFUNCTION("""COMPUTED_VALUE"""),"")</f>
        <v/>
      </c>
      <c r="C178" s="134" t="str">
        <f ca="1">IFERROR(__xludf.DUMMYFUNCTION("""COMPUTED_VALUE"""),"")</f>
        <v/>
      </c>
      <c r="D178" s="134" t="str">
        <f ca="1">IFERROR(__xludf.DUMMYFUNCTION("""COMPUTED_VALUE"""),"")</f>
        <v/>
      </c>
      <c r="E178" s="134" t="str">
        <f ca="1">IFERROR(__xludf.DUMMYFUNCTION("""COMPUTED_VALUE"""),"")</f>
        <v/>
      </c>
      <c r="F178" s="134" t="str">
        <f ca="1">IFERROR(__xludf.DUMMYFUNCTION("""COMPUTED_VALUE"""),"")</f>
        <v/>
      </c>
      <c r="G178" s="134" t="str">
        <f ca="1">IFERROR(__xludf.DUMMYFUNCTION("""COMPUTED_VALUE"""),"")</f>
        <v/>
      </c>
      <c r="H178" s="134" t="str">
        <f ca="1">IFERROR(__xludf.DUMMYFUNCTION("""COMPUTED_VALUE"""),"")</f>
        <v/>
      </c>
      <c r="I178" s="134" t="str">
        <f ca="1">IFERROR(__xludf.DUMMYFUNCTION("""COMPUTED_VALUE"""),"")</f>
        <v/>
      </c>
      <c r="J178" s="134" t="str">
        <f ca="1">IFERROR(__xludf.DUMMYFUNCTION("""COMPUTED_VALUE"""),"")</f>
        <v/>
      </c>
      <c r="N178" s="31"/>
      <c r="Q178" s="195"/>
      <c r="S178" s="51"/>
      <c r="T178" s="31"/>
    </row>
    <row r="179" spans="1:20" customFormat="1">
      <c r="A179" s="134" t="str">
        <f ca="1">IFERROR(__xludf.DUMMYFUNCTION("""COMPUTED_VALUE"""),"")</f>
        <v/>
      </c>
      <c r="B179" s="134" t="str">
        <f ca="1">IFERROR(__xludf.DUMMYFUNCTION("""COMPUTED_VALUE"""),"")</f>
        <v/>
      </c>
      <c r="C179" s="134" t="str">
        <f ca="1">IFERROR(__xludf.DUMMYFUNCTION("""COMPUTED_VALUE"""),"")</f>
        <v/>
      </c>
      <c r="D179" s="134" t="str">
        <f ca="1">IFERROR(__xludf.DUMMYFUNCTION("""COMPUTED_VALUE"""),"")</f>
        <v/>
      </c>
      <c r="E179" s="134" t="str">
        <f ca="1">IFERROR(__xludf.DUMMYFUNCTION("""COMPUTED_VALUE"""),"")</f>
        <v/>
      </c>
      <c r="F179" s="134" t="str">
        <f ca="1">IFERROR(__xludf.DUMMYFUNCTION("""COMPUTED_VALUE"""),"")</f>
        <v/>
      </c>
      <c r="G179" s="134" t="str">
        <f ca="1">IFERROR(__xludf.DUMMYFUNCTION("""COMPUTED_VALUE"""),"")</f>
        <v/>
      </c>
      <c r="H179" s="134" t="str">
        <f ca="1">IFERROR(__xludf.DUMMYFUNCTION("""COMPUTED_VALUE"""),"")</f>
        <v/>
      </c>
      <c r="I179" s="134" t="str">
        <f ca="1">IFERROR(__xludf.DUMMYFUNCTION("""COMPUTED_VALUE"""),"")</f>
        <v/>
      </c>
      <c r="J179" s="134" t="str">
        <f ca="1">IFERROR(__xludf.DUMMYFUNCTION("""COMPUTED_VALUE"""),"")</f>
        <v/>
      </c>
      <c r="N179" s="31"/>
      <c r="Q179" s="195"/>
      <c r="S179" s="51"/>
      <c r="T179" s="31"/>
    </row>
    <row r="180" spans="1:20" customFormat="1">
      <c r="A180" s="134" t="str">
        <f ca="1">IFERROR(__xludf.DUMMYFUNCTION("""COMPUTED_VALUE"""),"")</f>
        <v/>
      </c>
      <c r="B180" s="134" t="str">
        <f ca="1">IFERROR(__xludf.DUMMYFUNCTION("""COMPUTED_VALUE"""),"")</f>
        <v/>
      </c>
      <c r="C180" s="134" t="str">
        <f ca="1">IFERROR(__xludf.DUMMYFUNCTION("""COMPUTED_VALUE"""),"")</f>
        <v/>
      </c>
      <c r="D180" s="134" t="str">
        <f ca="1">IFERROR(__xludf.DUMMYFUNCTION("""COMPUTED_VALUE"""),"")</f>
        <v/>
      </c>
      <c r="E180" s="134" t="str">
        <f ca="1">IFERROR(__xludf.DUMMYFUNCTION("""COMPUTED_VALUE"""),"")</f>
        <v/>
      </c>
      <c r="F180" s="134" t="str">
        <f ca="1">IFERROR(__xludf.DUMMYFUNCTION("""COMPUTED_VALUE"""),"")</f>
        <v/>
      </c>
      <c r="G180" s="134" t="str">
        <f ca="1">IFERROR(__xludf.DUMMYFUNCTION("""COMPUTED_VALUE"""),"")</f>
        <v/>
      </c>
      <c r="H180" s="134" t="str">
        <f ca="1">IFERROR(__xludf.DUMMYFUNCTION("""COMPUTED_VALUE"""),"")</f>
        <v/>
      </c>
      <c r="I180" s="134" t="str">
        <f ca="1">IFERROR(__xludf.DUMMYFUNCTION("""COMPUTED_VALUE"""),"")</f>
        <v/>
      </c>
      <c r="J180" s="134" t="str">
        <f ca="1">IFERROR(__xludf.DUMMYFUNCTION("""COMPUTED_VALUE"""),"")</f>
        <v/>
      </c>
      <c r="N180" s="31"/>
      <c r="Q180" s="195"/>
      <c r="S180" s="51"/>
      <c r="T180" s="31"/>
    </row>
    <row r="181" spans="1:20" customFormat="1">
      <c r="A181" s="134" t="str">
        <f ca="1">IFERROR(__xludf.DUMMYFUNCTION("""COMPUTED_VALUE"""),"")</f>
        <v/>
      </c>
      <c r="B181" s="134" t="str">
        <f ca="1">IFERROR(__xludf.DUMMYFUNCTION("""COMPUTED_VALUE"""),"")</f>
        <v/>
      </c>
      <c r="C181" s="134" t="str">
        <f ca="1">IFERROR(__xludf.DUMMYFUNCTION("""COMPUTED_VALUE"""),"")</f>
        <v/>
      </c>
      <c r="D181" s="134" t="str">
        <f ca="1">IFERROR(__xludf.DUMMYFUNCTION("""COMPUTED_VALUE"""),"")</f>
        <v/>
      </c>
      <c r="E181" s="134" t="str">
        <f ca="1">IFERROR(__xludf.DUMMYFUNCTION("""COMPUTED_VALUE"""),"")</f>
        <v/>
      </c>
      <c r="F181" s="134" t="str">
        <f ca="1">IFERROR(__xludf.DUMMYFUNCTION("""COMPUTED_VALUE"""),"")</f>
        <v/>
      </c>
      <c r="G181" s="134" t="str">
        <f ca="1">IFERROR(__xludf.DUMMYFUNCTION("""COMPUTED_VALUE"""),"")</f>
        <v/>
      </c>
      <c r="H181" s="134" t="str">
        <f ca="1">IFERROR(__xludf.DUMMYFUNCTION("""COMPUTED_VALUE"""),"")</f>
        <v/>
      </c>
      <c r="I181" s="134" t="str">
        <f ca="1">IFERROR(__xludf.DUMMYFUNCTION("""COMPUTED_VALUE"""),"")</f>
        <v/>
      </c>
      <c r="J181" s="134" t="str">
        <f ca="1">IFERROR(__xludf.DUMMYFUNCTION("""COMPUTED_VALUE"""),"")</f>
        <v/>
      </c>
      <c r="N181" s="31"/>
      <c r="Q181" s="195"/>
      <c r="S181" s="51"/>
      <c r="T181" s="31"/>
    </row>
    <row r="182" spans="1:20" customFormat="1">
      <c r="A182" s="134" t="str">
        <f ca="1">IFERROR(__xludf.DUMMYFUNCTION("""COMPUTED_VALUE"""),"")</f>
        <v/>
      </c>
      <c r="B182" s="134" t="str">
        <f ca="1">IFERROR(__xludf.DUMMYFUNCTION("""COMPUTED_VALUE"""),"")</f>
        <v/>
      </c>
      <c r="C182" s="134" t="str">
        <f ca="1">IFERROR(__xludf.DUMMYFUNCTION("""COMPUTED_VALUE"""),"")</f>
        <v/>
      </c>
      <c r="D182" s="134" t="str">
        <f ca="1">IFERROR(__xludf.DUMMYFUNCTION("""COMPUTED_VALUE"""),"")</f>
        <v/>
      </c>
      <c r="E182" s="134" t="str">
        <f ca="1">IFERROR(__xludf.DUMMYFUNCTION("""COMPUTED_VALUE"""),"")</f>
        <v/>
      </c>
      <c r="F182" s="134" t="str">
        <f ca="1">IFERROR(__xludf.DUMMYFUNCTION("""COMPUTED_VALUE"""),"")</f>
        <v/>
      </c>
      <c r="G182" s="134" t="str">
        <f ca="1">IFERROR(__xludf.DUMMYFUNCTION("""COMPUTED_VALUE"""),"")</f>
        <v/>
      </c>
      <c r="H182" s="134" t="str">
        <f ca="1">IFERROR(__xludf.DUMMYFUNCTION("""COMPUTED_VALUE"""),"")</f>
        <v/>
      </c>
      <c r="I182" s="134" t="str">
        <f ca="1">IFERROR(__xludf.DUMMYFUNCTION("""COMPUTED_VALUE"""),"")</f>
        <v/>
      </c>
      <c r="J182" s="134" t="str">
        <f ca="1">IFERROR(__xludf.DUMMYFUNCTION("""COMPUTED_VALUE"""),"")</f>
        <v/>
      </c>
      <c r="N182" s="31"/>
      <c r="Q182" s="195"/>
      <c r="S182" s="51"/>
      <c r="T182" s="31"/>
    </row>
    <row r="183" spans="1:20" customFormat="1">
      <c r="A183" s="134" t="str">
        <f ca="1">IFERROR(__xludf.DUMMYFUNCTION("""COMPUTED_VALUE"""),"")</f>
        <v/>
      </c>
      <c r="B183" s="134" t="str">
        <f ca="1">IFERROR(__xludf.DUMMYFUNCTION("""COMPUTED_VALUE"""),"")</f>
        <v/>
      </c>
      <c r="C183" s="134" t="str">
        <f ca="1">IFERROR(__xludf.DUMMYFUNCTION("""COMPUTED_VALUE"""),"")</f>
        <v/>
      </c>
      <c r="D183" s="134" t="str">
        <f ca="1">IFERROR(__xludf.DUMMYFUNCTION("""COMPUTED_VALUE"""),"")</f>
        <v/>
      </c>
      <c r="E183" s="134" t="str">
        <f ca="1">IFERROR(__xludf.DUMMYFUNCTION("""COMPUTED_VALUE"""),"")</f>
        <v/>
      </c>
      <c r="F183" s="134" t="str">
        <f ca="1">IFERROR(__xludf.DUMMYFUNCTION("""COMPUTED_VALUE"""),"")</f>
        <v/>
      </c>
      <c r="G183" s="134" t="str">
        <f ca="1">IFERROR(__xludf.DUMMYFUNCTION("""COMPUTED_VALUE"""),"")</f>
        <v/>
      </c>
      <c r="H183" s="134" t="str">
        <f ca="1">IFERROR(__xludf.DUMMYFUNCTION("""COMPUTED_VALUE"""),"")</f>
        <v/>
      </c>
      <c r="I183" s="134" t="str">
        <f ca="1">IFERROR(__xludf.DUMMYFUNCTION("""COMPUTED_VALUE"""),"")</f>
        <v/>
      </c>
      <c r="J183" s="134" t="str">
        <f ca="1">IFERROR(__xludf.DUMMYFUNCTION("""COMPUTED_VALUE"""),"")</f>
        <v/>
      </c>
      <c r="N183" s="31"/>
      <c r="Q183" s="195"/>
      <c r="S183" s="51"/>
      <c r="T183" s="31"/>
    </row>
    <row r="184" spans="1:20" customFormat="1">
      <c r="A184" s="134" t="str">
        <f ca="1">IFERROR(__xludf.DUMMYFUNCTION("""COMPUTED_VALUE"""),"")</f>
        <v/>
      </c>
      <c r="B184" s="134" t="str">
        <f ca="1">IFERROR(__xludf.DUMMYFUNCTION("""COMPUTED_VALUE"""),"")</f>
        <v/>
      </c>
      <c r="C184" s="134" t="str">
        <f ca="1">IFERROR(__xludf.DUMMYFUNCTION("""COMPUTED_VALUE"""),"")</f>
        <v/>
      </c>
      <c r="D184" s="134" t="str">
        <f ca="1">IFERROR(__xludf.DUMMYFUNCTION("""COMPUTED_VALUE"""),"")</f>
        <v/>
      </c>
      <c r="E184" s="134" t="str">
        <f ca="1">IFERROR(__xludf.DUMMYFUNCTION("""COMPUTED_VALUE"""),"")</f>
        <v/>
      </c>
      <c r="F184" s="134" t="str">
        <f ca="1">IFERROR(__xludf.DUMMYFUNCTION("""COMPUTED_VALUE"""),"")</f>
        <v/>
      </c>
      <c r="G184" s="134" t="str">
        <f ca="1">IFERROR(__xludf.DUMMYFUNCTION("""COMPUTED_VALUE"""),"")</f>
        <v/>
      </c>
      <c r="H184" s="134" t="str">
        <f ca="1">IFERROR(__xludf.DUMMYFUNCTION("""COMPUTED_VALUE"""),"")</f>
        <v/>
      </c>
      <c r="I184" s="134" t="str">
        <f ca="1">IFERROR(__xludf.DUMMYFUNCTION("""COMPUTED_VALUE"""),"")</f>
        <v/>
      </c>
      <c r="J184" s="134" t="str">
        <f ca="1">IFERROR(__xludf.DUMMYFUNCTION("""COMPUTED_VALUE"""),"")</f>
        <v/>
      </c>
      <c r="N184" s="31"/>
      <c r="Q184" s="195"/>
      <c r="S184" s="51"/>
      <c r="T184" s="31"/>
    </row>
    <row r="185" spans="1:20" customFormat="1">
      <c r="A185" s="134" t="str">
        <f ca="1">IFERROR(__xludf.DUMMYFUNCTION("""COMPUTED_VALUE"""),"")</f>
        <v/>
      </c>
      <c r="B185" s="134" t="str">
        <f ca="1">IFERROR(__xludf.DUMMYFUNCTION("""COMPUTED_VALUE"""),"")</f>
        <v/>
      </c>
      <c r="C185" s="134" t="str">
        <f ca="1">IFERROR(__xludf.DUMMYFUNCTION("""COMPUTED_VALUE"""),"")</f>
        <v/>
      </c>
      <c r="D185" s="134" t="str">
        <f ca="1">IFERROR(__xludf.DUMMYFUNCTION("""COMPUTED_VALUE"""),"")</f>
        <v/>
      </c>
      <c r="E185" s="134" t="str">
        <f ca="1">IFERROR(__xludf.DUMMYFUNCTION("""COMPUTED_VALUE"""),"")</f>
        <v/>
      </c>
      <c r="F185" s="134" t="str">
        <f ca="1">IFERROR(__xludf.DUMMYFUNCTION("""COMPUTED_VALUE"""),"")</f>
        <v/>
      </c>
      <c r="G185" s="134" t="str">
        <f ca="1">IFERROR(__xludf.DUMMYFUNCTION("""COMPUTED_VALUE"""),"")</f>
        <v/>
      </c>
      <c r="H185" s="134" t="str">
        <f ca="1">IFERROR(__xludf.DUMMYFUNCTION("""COMPUTED_VALUE"""),"")</f>
        <v/>
      </c>
      <c r="I185" s="134" t="str">
        <f ca="1">IFERROR(__xludf.DUMMYFUNCTION("""COMPUTED_VALUE"""),"")</f>
        <v/>
      </c>
      <c r="J185" s="134" t="str">
        <f ca="1">IFERROR(__xludf.DUMMYFUNCTION("""COMPUTED_VALUE"""),"")</f>
        <v/>
      </c>
      <c r="N185" s="31"/>
      <c r="Q185" s="195"/>
      <c r="S185" s="51"/>
      <c r="T185" s="31"/>
    </row>
    <row r="186" spans="1:20" customFormat="1">
      <c r="A186" s="134" t="str">
        <f ca="1">IFERROR(__xludf.DUMMYFUNCTION("""COMPUTED_VALUE"""),"")</f>
        <v/>
      </c>
      <c r="B186" s="134" t="str">
        <f ca="1">IFERROR(__xludf.DUMMYFUNCTION("""COMPUTED_VALUE"""),"")</f>
        <v/>
      </c>
      <c r="C186" s="134" t="str">
        <f ca="1">IFERROR(__xludf.DUMMYFUNCTION("""COMPUTED_VALUE"""),"")</f>
        <v/>
      </c>
      <c r="D186" s="134" t="str">
        <f ca="1">IFERROR(__xludf.DUMMYFUNCTION("""COMPUTED_VALUE"""),"")</f>
        <v/>
      </c>
      <c r="E186" s="134" t="str">
        <f ca="1">IFERROR(__xludf.DUMMYFUNCTION("""COMPUTED_VALUE"""),"")</f>
        <v/>
      </c>
      <c r="F186" s="134" t="str">
        <f ca="1">IFERROR(__xludf.DUMMYFUNCTION("""COMPUTED_VALUE"""),"")</f>
        <v/>
      </c>
      <c r="G186" s="134" t="str">
        <f ca="1">IFERROR(__xludf.DUMMYFUNCTION("""COMPUTED_VALUE"""),"")</f>
        <v/>
      </c>
      <c r="H186" s="134" t="str">
        <f ca="1">IFERROR(__xludf.DUMMYFUNCTION("""COMPUTED_VALUE"""),"")</f>
        <v/>
      </c>
      <c r="I186" s="134" t="str">
        <f ca="1">IFERROR(__xludf.DUMMYFUNCTION("""COMPUTED_VALUE"""),"")</f>
        <v/>
      </c>
      <c r="J186" s="134" t="str">
        <f ca="1">IFERROR(__xludf.DUMMYFUNCTION("""COMPUTED_VALUE"""),"")</f>
        <v/>
      </c>
      <c r="N186" s="31"/>
      <c r="Q186" s="195"/>
      <c r="S186" s="51"/>
      <c r="T186" s="31"/>
    </row>
    <row r="187" spans="1:20" customFormat="1">
      <c r="A187" s="134" t="str">
        <f ca="1">IFERROR(__xludf.DUMMYFUNCTION("""COMPUTED_VALUE"""),"")</f>
        <v/>
      </c>
      <c r="B187" s="134" t="str">
        <f ca="1">IFERROR(__xludf.DUMMYFUNCTION("""COMPUTED_VALUE"""),"")</f>
        <v/>
      </c>
      <c r="C187" s="134" t="str">
        <f ca="1">IFERROR(__xludf.DUMMYFUNCTION("""COMPUTED_VALUE"""),"")</f>
        <v/>
      </c>
      <c r="D187" s="134" t="str">
        <f ca="1">IFERROR(__xludf.DUMMYFUNCTION("""COMPUTED_VALUE"""),"")</f>
        <v/>
      </c>
      <c r="E187" s="134" t="str">
        <f ca="1">IFERROR(__xludf.DUMMYFUNCTION("""COMPUTED_VALUE"""),"")</f>
        <v/>
      </c>
      <c r="F187" s="134" t="str">
        <f ca="1">IFERROR(__xludf.DUMMYFUNCTION("""COMPUTED_VALUE"""),"")</f>
        <v/>
      </c>
      <c r="G187" s="134" t="str">
        <f ca="1">IFERROR(__xludf.DUMMYFUNCTION("""COMPUTED_VALUE"""),"")</f>
        <v/>
      </c>
      <c r="H187" s="134" t="str">
        <f ca="1">IFERROR(__xludf.DUMMYFUNCTION("""COMPUTED_VALUE"""),"")</f>
        <v/>
      </c>
      <c r="I187" s="134" t="str">
        <f ca="1">IFERROR(__xludf.DUMMYFUNCTION("""COMPUTED_VALUE"""),"")</f>
        <v/>
      </c>
      <c r="J187" s="134" t="str">
        <f ca="1">IFERROR(__xludf.DUMMYFUNCTION("""COMPUTED_VALUE"""),"")</f>
        <v/>
      </c>
      <c r="N187" s="31"/>
      <c r="Q187" s="195"/>
      <c r="S187" s="51"/>
      <c r="T187" s="31"/>
    </row>
    <row r="188" spans="1:20" customFormat="1">
      <c r="A188" s="134" t="str">
        <f ca="1">IFERROR(__xludf.DUMMYFUNCTION("""COMPUTED_VALUE"""),"")</f>
        <v/>
      </c>
      <c r="B188" s="134" t="str">
        <f ca="1">IFERROR(__xludf.DUMMYFUNCTION("""COMPUTED_VALUE"""),"")</f>
        <v/>
      </c>
      <c r="C188" s="134" t="str">
        <f ca="1">IFERROR(__xludf.DUMMYFUNCTION("""COMPUTED_VALUE"""),"")</f>
        <v/>
      </c>
      <c r="D188" s="134" t="str">
        <f ca="1">IFERROR(__xludf.DUMMYFUNCTION("""COMPUTED_VALUE"""),"")</f>
        <v/>
      </c>
      <c r="E188" s="134" t="str">
        <f ca="1">IFERROR(__xludf.DUMMYFUNCTION("""COMPUTED_VALUE"""),"")</f>
        <v/>
      </c>
      <c r="F188" s="134" t="str">
        <f ca="1">IFERROR(__xludf.DUMMYFUNCTION("""COMPUTED_VALUE"""),"")</f>
        <v/>
      </c>
      <c r="G188" s="134" t="str">
        <f ca="1">IFERROR(__xludf.DUMMYFUNCTION("""COMPUTED_VALUE"""),"")</f>
        <v/>
      </c>
      <c r="H188" s="134" t="str">
        <f ca="1">IFERROR(__xludf.DUMMYFUNCTION("""COMPUTED_VALUE"""),"")</f>
        <v/>
      </c>
      <c r="I188" s="134" t="str">
        <f ca="1">IFERROR(__xludf.DUMMYFUNCTION("""COMPUTED_VALUE"""),"")</f>
        <v/>
      </c>
      <c r="J188" s="134" t="str">
        <f ca="1">IFERROR(__xludf.DUMMYFUNCTION("""COMPUTED_VALUE"""),"")</f>
        <v/>
      </c>
      <c r="N188" s="31"/>
      <c r="Q188" s="195"/>
      <c r="S188" s="51"/>
      <c r="T188" s="31"/>
    </row>
    <row r="189" spans="1:20" customFormat="1">
      <c r="A189" s="134" t="str">
        <f ca="1">IFERROR(__xludf.DUMMYFUNCTION("""COMPUTED_VALUE"""),"")</f>
        <v/>
      </c>
      <c r="B189" s="134" t="str">
        <f ca="1">IFERROR(__xludf.DUMMYFUNCTION("""COMPUTED_VALUE"""),"")</f>
        <v/>
      </c>
      <c r="C189" s="134" t="str">
        <f ca="1">IFERROR(__xludf.DUMMYFUNCTION("""COMPUTED_VALUE"""),"")</f>
        <v/>
      </c>
      <c r="D189" s="134" t="str">
        <f ca="1">IFERROR(__xludf.DUMMYFUNCTION("""COMPUTED_VALUE"""),"")</f>
        <v/>
      </c>
      <c r="E189" s="134" t="str">
        <f ca="1">IFERROR(__xludf.DUMMYFUNCTION("""COMPUTED_VALUE"""),"")</f>
        <v/>
      </c>
      <c r="F189" s="134" t="str">
        <f ca="1">IFERROR(__xludf.DUMMYFUNCTION("""COMPUTED_VALUE"""),"")</f>
        <v/>
      </c>
      <c r="G189" s="134" t="str">
        <f ca="1">IFERROR(__xludf.DUMMYFUNCTION("""COMPUTED_VALUE"""),"")</f>
        <v/>
      </c>
      <c r="H189" s="134" t="str">
        <f ca="1">IFERROR(__xludf.DUMMYFUNCTION("""COMPUTED_VALUE"""),"")</f>
        <v/>
      </c>
      <c r="I189" s="134" t="str">
        <f ca="1">IFERROR(__xludf.DUMMYFUNCTION("""COMPUTED_VALUE"""),"")</f>
        <v/>
      </c>
      <c r="J189" s="134" t="str">
        <f ca="1">IFERROR(__xludf.DUMMYFUNCTION("""COMPUTED_VALUE"""),"")</f>
        <v/>
      </c>
      <c r="N189" s="31"/>
      <c r="Q189" s="195"/>
      <c r="S189" s="51"/>
      <c r="T189" s="31"/>
    </row>
    <row r="190" spans="1:20" customFormat="1">
      <c r="A190" s="134" t="str">
        <f ca="1">IFERROR(__xludf.DUMMYFUNCTION("""COMPUTED_VALUE"""),"")</f>
        <v/>
      </c>
      <c r="B190" s="134" t="str">
        <f ca="1">IFERROR(__xludf.DUMMYFUNCTION("""COMPUTED_VALUE"""),"")</f>
        <v/>
      </c>
      <c r="C190" s="134" t="str">
        <f ca="1">IFERROR(__xludf.DUMMYFUNCTION("""COMPUTED_VALUE"""),"")</f>
        <v/>
      </c>
      <c r="D190" s="134" t="str">
        <f ca="1">IFERROR(__xludf.DUMMYFUNCTION("""COMPUTED_VALUE"""),"")</f>
        <v/>
      </c>
      <c r="E190" s="134" t="str">
        <f ca="1">IFERROR(__xludf.DUMMYFUNCTION("""COMPUTED_VALUE"""),"")</f>
        <v/>
      </c>
      <c r="F190" s="134" t="str">
        <f ca="1">IFERROR(__xludf.DUMMYFUNCTION("""COMPUTED_VALUE"""),"")</f>
        <v/>
      </c>
      <c r="G190" s="134" t="str">
        <f ca="1">IFERROR(__xludf.DUMMYFUNCTION("""COMPUTED_VALUE"""),"")</f>
        <v/>
      </c>
      <c r="H190" s="134" t="str">
        <f ca="1">IFERROR(__xludf.DUMMYFUNCTION("""COMPUTED_VALUE"""),"")</f>
        <v/>
      </c>
      <c r="I190" s="134" t="str">
        <f ca="1">IFERROR(__xludf.DUMMYFUNCTION("""COMPUTED_VALUE"""),"")</f>
        <v/>
      </c>
      <c r="J190" s="134" t="str">
        <f ca="1">IFERROR(__xludf.DUMMYFUNCTION("""COMPUTED_VALUE"""),"")</f>
        <v/>
      </c>
      <c r="N190" s="31"/>
      <c r="Q190" s="195"/>
      <c r="S190" s="51"/>
      <c r="T190" s="31"/>
    </row>
    <row r="191" spans="1:20" customFormat="1">
      <c r="A191" s="134" t="str">
        <f ca="1">IFERROR(__xludf.DUMMYFUNCTION("""COMPUTED_VALUE"""),"")</f>
        <v/>
      </c>
      <c r="B191" s="134" t="str">
        <f ca="1">IFERROR(__xludf.DUMMYFUNCTION("""COMPUTED_VALUE"""),"")</f>
        <v/>
      </c>
      <c r="C191" s="134" t="str">
        <f ca="1">IFERROR(__xludf.DUMMYFUNCTION("""COMPUTED_VALUE"""),"")</f>
        <v/>
      </c>
      <c r="D191" s="134" t="str">
        <f ca="1">IFERROR(__xludf.DUMMYFUNCTION("""COMPUTED_VALUE"""),"")</f>
        <v/>
      </c>
      <c r="E191" s="134" t="str">
        <f ca="1">IFERROR(__xludf.DUMMYFUNCTION("""COMPUTED_VALUE"""),"")</f>
        <v/>
      </c>
      <c r="F191" s="134" t="str">
        <f ca="1">IFERROR(__xludf.DUMMYFUNCTION("""COMPUTED_VALUE"""),"")</f>
        <v/>
      </c>
      <c r="G191" s="134" t="str">
        <f ca="1">IFERROR(__xludf.DUMMYFUNCTION("""COMPUTED_VALUE"""),"")</f>
        <v/>
      </c>
      <c r="H191" s="134" t="str">
        <f ca="1">IFERROR(__xludf.DUMMYFUNCTION("""COMPUTED_VALUE"""),"")</f>
        <v/>
      </c>
      <c r="I191" s="134" t="str">
        <f ca="1">IFERROR(__xludf.DUMMYFUNCTION("""COMPUTED_VALUE"""),"")</f>
        <v/>
      </c>
      <c r="J191" s="134" t="str">
        <f ca="1">IFERROR(__xludf.DUMMYFUNCTION("""COMPUTED_VALUE"""),"")</f>
        <v/>
      </c>
      <c r="N191" s="31"/>
      <c r="Q191" s="195"/>
      <c r="S191" s="51"/>
      <c r="T191" s="31"/>
    </row>
    <row r="192" spans="1:20" customFormat="1">
      <c r="A192" s="134" t="str">
        <f ca="1">IFERROR(__xludf.DUMMYFUNCTION("""COMPUTED_VALUE"""),"")</f>
        <v/>
      </c>
      <c r="B192" s="134" t="str">
        <f ca="1">IFERROR(__xludf.DUMMYFUNCTION("""COMPUTED_VALUE"""),"")</f>
        <v/>
      </c>
      <c r="C192" s="134" t="str">
        <f ca="1">IFERROR(__xludf.DUMMYFUNCTION("""COMPUTED_VALUE"""),"")</f>
        <v/>
      </c>
      <c r="D192" s="134" t="str">
        <f ca="1">IFERROR(__xludf.DUMMYFUNCTION("""COMPUTED_VALUE"""),"")</f>
        <v/>
      </c>
      <c r="E192" s="134" t="str">
        <f ca="1">IFERROR(__xludf.DUMMYFUNCTION("""COMPUTED_VALUE"""),"")</f>
        <v/>
      </c>
      <c r="F192" s="134" t="str">
        <f ca="1">IFERROR(__xludf.DUMMYFUNCTION("""COMPUTED_VALUE"""),"")</f>
        <v/>
      </c>
      <c r="G192" s="134" t="str">
        <f ca="1">IFERROR(__xludf.DUMMYFUNCTION("""COMPUTED_VALUE"""),"")</f>
        <v/>
      </c>
      <c r="H192" s="134" t="str">
        <f ca="1">IFERROR(__xludf.DUMMYFUNCTION("""COMPUTED_VALUE"""),"")</f>
        <v/>
      </c>
      <c r="I192" s="134" t="str">
        <f ca="1">IFERROR(__xludf.DUMMYFUNCTION("""COMPUTED_VALUE"""),"")</f>
        <v/>
      </c>
      <c r="J192" s="134" t="str">
        <f ca="1">IFERROR(__xludf.DUMMYFUNCTION("""COMPUTED_VALUE"""),"")</f>
        <v/>
      </c>
      <c r="N192" s="31"/>
      <c r="Q192" s="195"/>
      <c r="S192" s="51"/>
      <c r="T192" s="31"/>
    </row>
    <row r="193" spans="1:20" customFormat="1">
      <c r="A193" s="134" t="str">
        <f ca="1">IFERROR(__xludf.DUMMYFUNCTION("""COMPUTED_VALUE"""),"")</f>
        <v/>
      </c>
      <c r="B193" s="134" t="str">
        <f ca="1">IFERROR(__xludf.DUMMYFUNCTION("""COMPUTED_VALUE"""),"")</f>
        <v/>
      </c>
      <c r="C193" s="134" t="str">
        <f ca="1">IFERROR(__xludf.DUMMYFUNCTION("""COMPUTED_VALUE"""),"")</f>
        <v/>
      </c>
      <c r="D193" s="134" t="str">
        <f ca="1">IFERROR(__xludf.DUMMYFUNCTION("""COMPUTED_VALUE"""),"")</f>
        <v/>
      </c>
      <c r="E193" s="134" t="str">
        <f ca="1">IFERROR(__xludf.DUMMYFUNCTION("""COMPUTED_VALUE"""),"")</f>
        <v/>
      </c>
      <c r="F193" s="134" t="str">
        <f ca="1">IFERROR(__xludf.DUMMYFUNCTION("""COMPUTED_VALUE"""),"")</f>
        <v/>
      </c>
      <c r="G193" s="134" t="str">
        <f ca="1">IFERROR(__xludf.DUMMYFUNCTION("""COMPUTED_VALUE"""),"")</f>
        <v/>
      </c>
      <c r="H193" s="134" t="str">
        <f ca="1">IFERROR(__xludf.DUMMYFUNCTION("""COMPUTED_VALUE"""),"")</f>
        <v/>
      </c>
      <c r="I193" s="134" t="str">
        <f ca="1">IFERROR(__xludf.DUMMYFUNCTION("""COMPUTED_VALUE"""),"")</f>
        <v/>
      </c>
      <c r="J193" s="134" t="str">
        <f ca="1">IFERROR(__xludf.DUMMYFUNCTION("""COMPUTED_VALUE"""),"")</f>
        <v/>
      </c>
      <c r="N193" s="31"/>
      <c r="Q193" s="195"/>
      <c r="S193" s="51"/>
      <c r="T193" s="31"/>
    </row>
    <row r="194" spans="1:20" customFormat="1">
      <c r="A194" s="134" t="str">
        <f ca="1">IFERROR(__xludf.DUMMYFUNCTION("""COMPUTED_VALUE"""),"")</f>
        <v/>
      </c>
      <c r="B194" s="134" t="str">
        <f ca="1">IFERROR(__xludf.DUMMYFUNCTION("""COMPUTED_VALUE"""),"")</f>
        <v/>
      </c>
      <c r="C194" s="134" t="str">
        <f ca="1">IFERROR(__xludf.DUMMYFUNCTION("""COMPUTED_VALUE"""),"")</f>
        <v/>
      </c>
      <c r="D194" s="134" t="str">
        <f ca="1">IFERROR(__xludf.DUMMYFUNCTION("""COMPUTED_VALUE"""),"")</f>
        <v/>
      </c>
      <c r="E194" s="134" t="str">
        <f ca="1">IFERROR(__xludf.DUMMYFUNCTION("""COMPUTED_VALUE"""),"")</f>
        <v/>
      </c>
      <c r="F194" s="134" t="str">
        <f ca="1">IFERROR(__xludf.DUMMYFUNCTION("""COMPUTED_VALUE"""),"")</f>
        <v/>
      </c>
      <c r="G194" s="134" t="str">
        <f ca="1">IFERROR(__xludf.DUMMYFUNCTION("""COMPUTED_VALUE"""),"")</f>
        <v/>
      </c>
      <c r="H194" s="134" t="str">
        <f ca="1">IFERROR(__xludf.DUMMYFUNCTION("""COMPUTED_VALUE"""),"")</f>
        <v/>
      </c>
      <c r="I194" s="134" t="str">
        <f ca="1">IFERROR(__xludf.DUMMYFUNCTION("""COMPUTED_VALUE"""),"")</f>
        <v/>
      </c>
      <c r="J194" s="134" t="str">
        <f ca="1">IFERROR(__xludf.DUMMYFUNCTION("""COMPUTED_VALUE"""),"")</f>
        <v/>
      </c>
      <c r="N194" s="31"/>
      <c r="Q194" s="195"/>
      <c r="S194" s="51"/>
      <c r="T194" s="31"/>
    </row>
    <row r="195" spans="1:20" customFormat="1">
      <c r="A195" s="134" t="str">
        <f ca="1">IFERROR(__xludf.DUMMYFUNCTION("""COMPUTED_VALUE"""),"")</f>
        <v/>
      </c>
      <c r="B195" s="134" t="str">
        <f ca="1">IFERROR(__xludf.DUMMYFUNCTION("""COMPUTED_VALUE"""),"")</f>
        <v/>
      </c>
      <c r="C195" s="134" t="str">
        <f ca="1">IFERROR(__xludf.DUMMYFUNCTION("""COMPUTED_VALUE"""),"")</f>
        <v/>
      </c>
      <c r="D195" s="134" t="str">
        <f ca="1">IFERROR(__xludf.DUMMYFUNCTION("""COMPUTED_VALUE"""),"")</f>
        <v/>
      </c>
      <c r="E195" s="134" t="str">
        <f ca="1">IFERROR(__xludf.DUMMYFUNCTION("""COMPUTED_VALUE"""),"")</f>
        <v/>
      </c>
      <c r="F195" s="134" t="str">
        <f ca="1">IFERROR(__xludf.DUMMYFUNCTION("""COMPUTED_VALUE"""),"")</f>
        <v/>
      </c>
      <c r="G195" s="134" t="str">
        <f ca="1">IFERROR(__xludf.DUMMYFUNCTION("""COMPUTED_VALUE"""),"")</f>
        <v/>
      </c>
      <c r="H195" s="134" t="str">
        <f ca="1">IFERROR(__xludf.DUMMYFUNCTION("""COMPUTED_VALUE"""),"")</f>
        <v/>
      </c>
      <c r="I195" s="134" t="str">
        <f ca="1">IFERROR(__xludf.DUMMYFUNCTION("""COMPUTED_VALUE"""),"")</f>
        <v/>
      </c>
      <c r="J195" s="134" t="str">
        <f ca="1">IFERROR(__xludf.DUMMYFUNCTION("""COMPUTED_VALUE"""),"")</f>
        <v/>
      </c>
      <c r="N195" s="31"/>
      <c r="Q195" s="195"/>
      <c r="S195" s="51"/>
      <c r="T195" s="31"/>
    </row>
    <row r="196" spans="1:20" customFormat="1">
      <c r="A196" s="134" t="str">
        <f ca="1">IFERROR(__xludf.DUMMYFUNCTION("""COMPUTED_VALUE"""),"")</f>
        <v/>
      </c>
      <c r="B196" s="134" t="str">
        <f ca="1">IFERROR(__xludf.DUMMYFUNCTION("""COMPUTED_VALUE"""),"")</f>
        <v/>
      </c>
      <c r="C196" s="134" t="str">
        <f ca="1">IFERROR(__xludf.DUMMYFUNCTION("""COMPUTED_VALUE"""),"")</f>
        <v/>
      </c>
      <c r="D196" s="134" t="str">
        <f ca="1">IFERROR(__xludf.DUMMYFUNCTION("""COMPUTED_VALUE"""),"")</f>
        <v/>
      </c>
      <c r="E196" s="134" t="str">
        <f ca="1">IFERROR(__xludf.DUMMYFUNCTION("""COMPUTED_VALUE"""),"")</f>
        <v/>
      </c>
      <c r="F196" s="134" t="str">
        <f ca="1">IFERROR(__xludf.DUMMYFUNCTION("""COMPUTED_VALUE"""),"")</f>
        <v/>
      </c>
      <c r="G196" s="134" t="str">
        <f ca="1">IFERROR(__xludf.DUMMYFUNCTION("""COMPUTED_VALUE"""),"")</f>
        <v/>
      </c>
      <c r="H196" s="134" t="str">
        <f ca="1">IFERROR(__xludf.DUMMYFUNCTION("""COMPUTED_VALUE"""),"")</f>
        <v/>
      </c>
      <c r="I196" s="134" t="str">
        <f ca="1">IFERROR(__xludf.DUMMYFUNCTION("""COMPUTED_VALUE"""),"")</f>
        <v/>
      </c>
      <c r="J196" s="134" t="str">
        <f ca="1">IFERROR(__xludf.DUMMYFUNCTION("""COMPUTED_VALUE"""),"")</f>
        <v/>
      </c>
      <c r="N196" s="31"/>
      <c r="Q196" s="195"/>
      <c r="S196" s="51"/>
      <c r="T196" s="31"/>
    </row>
    <row r="197" spans="1:20" customFormat="1">
      <c r="A197" s="134" t="str">
        <f ca="1">IFERROR(__xludf.DUMMYFUNCTION("""COMPUTED_VALUE"""),"")</f>
        <v/>
      </c>
      <c r="B197" s="134" t="str">
        <f ca="1">IFERROR(__xludf.DUMMYFUNCTION("""COMPUTED_VALUE"""),"")</f>
        <v/>
      </c>
      <c r="C197" s="134" t="str">
        <f ca="1">IFERROR(__xludf.DUMMYFUNCTION("""COMPUTED_VALUE"""),"")</f>
        <v/>
      </c>
      <c r="D197" s="134" t="str">
        <f ca="1">IFERROR(__xludf.DUMMYFUNCTION("""COMPUTED_VALUE"""),"")</f>
        <v/>
      </c>
      <c r="E197" s="134" t="str">
        <f ca="1">IFERROR(__xludf.DUMMYFUNCTION("""COMPUTED_VALUE"""),"")</f>
        <v/>
      </c>
      <c r="F197" s="134" t="str">
        <f ca="1">IFERROR(__xludf.DUMMYFUNCTION("""COMPUTED_VALUE"""),"")</f>
        <v/>
      </c>
      <c r="G197" s="134" t="str">
        <f ca="1">IFERROR(__xludf.DUMMYFUNCTION("""COMPUTED_VALUE"""),"")</f>
        <v/>
      </c>
      <c r="H197" s="134" t="str">
        <f ca="1">IFERROR(__xludf.DUMMYFUNCTION("""COMPUTED_VALUE"""),"")</f>
        <v/>
      </c>
      <c r="I197" s="134" t="str">
        <f ca="1">IFERROR(__xludf.DUMMYFUNCTION("""COMPUTED_VALUE"""),"")</f>
        <v/>
      </c>
      <c r="J197" s="134" t="str">
        <f ca="1">IFERROR(__xludf.DUMMYFUNCTION("""COMPUTED_VALUE"""),"")</f>
        <v/>
      </c>
      <c r="N197" s="31"/>
      <c r="Q197" s="195"/>
      <c r="S197" s="51"/>
      <c r="T197" s="31"/>
    </row>
    <row r="198" spans="1:20" customFormat="1">
      <c r="A198" s="134" t="str">
        <f ca="1">IFERROR(__xludf.DUMMYFUNCTION("""COMPUTED_VALUE"""),"")</f>
        <v/>
      </c>
      <c r="B198" s="134" t="str">
        <f ca="1">IFERROR(__xludf.DUMMYFUNCTION("""COMPUTED_VALUE"""),"")</f>
        <v/>
      </c>
      <c r="C198" s="134" t="str">
        <f ca="1">IFERROR(__xludf.DUMMYFUNCTION("""COMPUTED_VALUE"""),"")</f>
        <v/>
      </c>
      <c r="D198" s="134" t="str">
        <f ca="1">IFERROR(__xludf.DUMMYFUNCTION("""COMPUTED_VALUE"""),"")</f>
        <v/>
      </c>
      <c r="E198" s="134" t="str">
        <f ca="1">IFERROR(__xludf.DUMMYFUNCTION("""COMPUTED_VALUE"""),"")</f>
        <v/>
      </c>
      <c r="F198" s="134" t="str">
        <f ca="1">IFERROR(__xludf.DUMMYFUNCTION("""COMPUTED_VALUE"""),"")</f>
        <v/>
      </c>
      <c r="G198" s="134" t="str">
        <f ca="1">IFERROR(__xludf.DUMMYFUNCTION("""COMPUTED_VALUE"""),"")</f>
        <v/>
      </c>
      <c r="H198" s="134" t="str">
        <f ca="1">IFERROR(__xludf.DUMMYFUNCTION("""COMPUTED_VALUE"""),"")</f>
        <v/>
      </c>
      <c r="I198" s="134" t="str">
        <f ca="1">IFERROR(__xludf.DUMMYFUNCTION("""COMPUTED_VALUE"""),"")</f>
        <v/>
      </c>
      <c r="J198" s="134" t="str">
        <f ca="1">IFERROR(__xludf.DUMMYFUNCTION("""COMPUTED_VALUE"""),"")</f>
        <v/>
      </c>
      <c r="N198" s="31"/>
      <c r="Q198" s="195"/>
      <c r="S198" s="51"/>
      <c r="T198" s="31"/>
    </row>
    <row r="199" spans="1:20" customFormat="1">
      <c r="A199" s="134" t="str">
        <f ca="1">IFERROR(__xludf.DUMMYFUNCTION("""COMPUTED_VALUE"""),"")</f>
        <v/>
      </c>
      <c r="B199" s="134" t="str">
        <f ca="1">IFERROR(__xludf.DUMMYFUNCTION("""COMPUTED_VALUE"""),"")</f>
        <v/>
      </c>
      <c r="C199" s="134" t="str">
        <f ca="1">IFERROR(__xludf.DUMMYFUNCTION("""COMPUTED_VALUE"""),"")</f>
        <v/>
      </c>
      <c r="D199" s="134" t="str">
        <f ca="1">IFERROR(__xludf.DUMMYFUNCTION("""COMPUTED_VALUE"""),"")</f>
        <v/>
      </c>
      <c r="E199" s="134" t="str">
        <f ca="1">IFERROR(__xludf.DUMMYFUNCTION("""COMPUTED_VALUE"""),"")</f>
        <v/>
      </c>
      <c r="F199" s="134" t="str">
        <f ca="1">IFERROR(__xludf.DUMMYFUNCTION("""COMPUTED_VALUE"""),"")</f>
        <v/>
      </c>
      <c r="G199" s="134" t="str">
        <f ca="1">IFERROR(__xludf.DUMMYFUNCTION("""COMPUTED_VALUE"""),"")</f>
        <v/>
      </c>
      <c r="H199" s="134" t="str">
        <f ca="1">IFERROR(__xludf.DUMMYFUNCTION("""COMPUTED_VALUE"""),"")</f>
        <v/>
      </c>
      <c r="I199" s="134" t="str">
        <f ca="1">IFERROR(__xludf.DUMMYFUNCTION("""COMPUTED_VALUE"""),"")</f>
        <v/>
      </c>
      <c r="J199" s="134" t="str">
        <f ca="1">IFERROR(__xludf.DUMMYFUNCTION("""COMPUTED_VALUE"""),"")</f>
        <v/>
      </c>
      <c r="N199" s="31"/>
      <c r="Q199" s="195"/>
      <c r="S199" s="51"/>
      <c r="T199" s="31"/>
    </row>
    <row r="200" spans="1:20" customFormat="1">
      <c r="A200" s="134" t="str">
        <f ca="1">IFERROR(__xludf.DUMMYFUNCTION("""COMPUTED_VALUE"""),"")</f>
        <v/>
      </c>
      <c r="B200" s="134" t="str">
        <f ca="1">IFERROR(__xludf.DUMMYFUNCTION("""COMPUTED_VALUE"""),"")</f>
        <v/>
      </c>
      <c r="C200" s="134" t="str">
        <f ca="1">IFERROR(__xludf.DUMMYFUNCTION("""COMPUTED_VALUE"""),"")</f>
        <v/>
      </c>
      <c r="D200" s="134" t="str">
        <f ca="1">IFERROR(__xludf.DUMMYFUNCTION("""COMPUTED_VALUE"""),"")</f>
        <v/>
      </c>
      <c r="E200" s="134" t="str">
        <f ca="1">IFERROR(__xludf.DUMMYFUNCTION("""COMPUTED_VALUE"""),"")</f>
        <v/>
      </c>
      <c r="F200" s="134" t="str">
        <f ca="1">IFERROR(__xludf.DUMMYFUNCTION("""COMPUTED_VALUE"""),"")</f>
        <v/>
      </c>
      <c r="G200" s="134" t="str">
        <f ca="1">IFERROR(__xludf.DUMMYFUNCTION("""COMPUTED_VALUE"""),"")</f>
        <v/>
      </c>
      <c r="H200" s="134" t="str">
        <f ca="1">IFERROR(__xludf.DUMMYFUNCTION("""COMPUTED_VALUE"""),"")</f>
        <v/>
      </c>
      <c r="I200" s="134" t="str">
        <f ca="1">IFERROR(__xludf.DUMMYFUNCTION("""COMPUTED_VALUE"""),"")</f>
        <v/>
      </c>
      <c r="J200" s="134" t="str">
        <f ca="1">IFERROR(__xludf.DUMMYFUNCTION("""COMPUTED_VALUE"""),"")</f>
        <v/>
      </c>
      <c r="N200" s="31"/>
      <c r="Q200" s="195"/>
      <c r="S200" s="51"/>
      <c r="T200" s="31"/>
    </row>
    <row r="201" spans="1:20" customFormat="1">
      <c r="A201" s="134" t="str">
        <f ca="1">IFERROR(__xludf.DUMMYFUNCTION("""COMPUTED_VALUE"""),"")</f>
        <v/>
      </c>
      <c r="B201" s="134" t="str">
        <f ca="1">IFERROR(__xludf.DUMMYFUNCTION("""COMPUTED_VALUE"""),"")</f>
        <v/>
      </c>
      <c r="C201" s="134" t="str">
        <f ca="1">IFERROR(__xludf.DUMMYFUNCTION("""COMPUTED_VALUE"""),"")</f>
        <v/>
      </c>
      <c r="D201" s="134" t="str">
        <f ca="1">IFERROR(__xludf.DUMMYFUNCTION("""COMPUTED_VALUE"""),"")</f>
        <v/>
      </c>
      <c r="E201" s="134" t="str">
        <f ca="1">IFERROR(__xludf.DUMMYFUNCTION("""COMPUTED_VALUE"""),"")</f>
        <v/>
      </c>
      <c r="F201" s="134" t="str">
        <f ca="1">IFERROR(__xludf.DUMMYFUNCTION("""COMPUTED_VALUE"""),"")</f>
        <v/>
      </c>
      <c r="G201" s="134" t="str">
        <f ca="1">IFERROR(__xludf.DUMMYFUNCTION("""COMPUTED_VALUE"""),"")</f>
        <v/>
      </c>
      <c r="H201" s="134" t="str">
        <f ca="1">IFERROR(__xludf.DUMMYFUNCTION("""COMPUTED_VALUE"""),"")</f>
        <v/>
      </c>
      <c r="I201" s="134" t="str">
        <f ca="1">IFERROR(__xludf.DUMMYFUNCTION("""COMPUTED_VALUE"""),"")</f>
        <v/>
      </c>
      <c r="J201" s="134" t="str">
        <f ca="1">IFERROR(__xludf.DUMMYFUNCTION("""COMPUTED_VALUE"""),"")</f>
        <v/>
      </c>
      <c r="N201" s="31"/>
      <c r="Q201" s="195"/>
      <c r="S201" s="51"/>
      <c r="T201" s="31"/>
    </row>
    <row r="202" spans="1:20" customFormat="1">
      <c r="A202" s="134" t="str">
        <f ca="1">IFERROR(__xludf.DUMMYFUNCTION("""COMPUTED_VALUE"""),"")</f>
        <v/>
      </c>
      <c r="B202" s="134" t="str">
        <f ca="1">IFERROR(__xludf.DUMMYFUNCTION("""COMPUTED_VALUE"""),"")</f>
        <v/>
      </c>
      <c r="C202" s="134" t="str">
        <f ca="1">IFERROR(__xludf.DUMMYFUNCTION("""COMPUTED_VALUE"""),"")</f>
        <v/>
      </c>
      <c r="D202" s="134" t="str">
        <f ca="1">IFERROR(__xludf.DUMMYFUNCTION("""COMPUTED_VALUE"""),"")</f>
        <v/>
      </c>
      <c r="E202" s="134" t="str">
        <f ca="1">IFERROR(__xludf.DUMMYFUNCTION("""COMPUTED_VALUE"""),"")</f>
        <v/>
      </c>
      <c r="F202" s="134" t="str">
        <f ca="1">IFERROR(__xludf.DUMMYFUNCTION("""COMPUTED_VALUE"""),"")</f>
        <v/>
      </c>
      <c r="G202" s="134" t="str">
        <f ca="1">IFERROR(__xludf.DUMMYFUNCTION("""COMPUTED_VALUE"""),"")</f>
        <v/>
      </c>
      <c r="H202" s="134" t="str">
        <f ca="1">IFERROR(__xludf.DUMMYFUNCTION("""COMPUTED_VALUE"""),"")</f>
        <v/>
      </c>
      <c r="I202" s="134" t="str">
        <f ca="1">IFERROR(__xludf.DUMMYFUNCTION("""COMPUTED_VALUE"""),"")</f>
        <v/>
      </c>
      <c r="J202" s="134" t="str">
        <f ca="1">IFERROR(__xludf.DUMMYFUNCTION("""COMPUTED_VALUE"""),"")</f>
        <v/>
      </c>
      <c r="N202" s="31"/>
      <c r="Q202" s="195"/>
      <c r="S202" s="51"/>
      <c r="T202" s="31"/>
    </row>
    <row r="203" spans="1:20" customFormat="1">
      <c r="A203" s="134" t="str">
        <f ca="1">IFERROR(__xludf.DUMMYFUNCTION("""COMPUTED_VALUE"""),"")</f>
        <v/>
      </c>
      <c r="B203" s="134" t="str">
        <f ca="1">IFERROR(__xludf.DUMMYFUNCTION("""COMPUTED_VALUE"""),"")</f>
        <v/>
      </c>
      <c r="C203" s="134" t="str">
        <f ca="1">IFERROR(__xludf.DUMMYFUNCTION("""COMPUTED_VALUE"""),"")</f>
        <v/>
      </c>
      <c r="D203" s="134" t="str">
        <f ca="1">IFERROR(__xludf.DUMMYFUNCTION("""COMPUTED_VALUE"""),"")</f>
        <v/>
      </c>
      <c r="E203" s="134" t="str">
        <f ca="1">IFERROR(__xludf.DUMMYFUNCTION("""COMPUTED_VALUE"""),"")</f>
        <v/>
      </c>
      <c r="F203" s="134" t="str">
        <f ca="1">IFERROR(__xludf.DUMMYFUNCTION("""COMPUTED_VALUE"""),"")</f>
        <v/>
      </c>
      <c r="G203" s="134" t="str">
        <f ca="1">IFERROR(__xludf.DUMMYFUNCTION("""COMPUTED_VALUE"""),"")</f>
        <v/>
      </c>
      <c r="H203" s="134" t="str">
        <f ca="1">IFERROR(__xludf.DUMMYFUNCTION("""COMPUTED_VALUE"""),"")</f>
        <v/>
      </c>
      <c r="I203" s="134" t="str">
        <f ca="1">IFERROR(__xludf.DUMMYFUNCTION("""COMPUTED_VALUE"""),"")</f>
        <v/>
      </c>
      <c r="J203" s="134" t="str">
        <f ca="1">IFERROR(__xludf.DUMMYFUNCTION("""COMPUTED_VALUE"""),"")</f>
        <v/>
      </c>
      <c r="N203" s="31"/>
      <c r="Q203" s="195"/>
      <c r="S203" s="51"/>
      <c r="T203" s="31"/>
    </row>
    <row r="204" spans="1:20" customFormat="1">
      <c r="A204" s="134" t="str">
        <f ca="1">IFERROR(__xludf.DUMMYFUNCTION("""COMPUTED_VALUE"""),"")</f>
        <v/>
      </c>
      <c r="B204" s="134" t="str">
        <f ca="1">IFERROR(__xludf.DUMMYFUNCTION("""COMPUTED_VALUE"""),"")</f>
        <v/>
      </c>
      <c r="C204" s="134" t="str">
        <f ca="1">IFERROR(__xludf.DUMMYFUNCTION("""COMPUTED_VALUE"""),"")</f>
        <v/>
      </c>
      <c r="D204" s="134" t="str">
        <f ca="1">IFERROR(__xludf.DUMMYFUNCTION("""COMPUTED_VALUE"""),"")</f>
        <v/>
      </c>
      <c r="E204" s="134" t="str">
        <f ca="1">IFERROR(__xludf.DUMMYFUNCTION("""COMPUTED_VALUE"""),"")</f>
        <v/>
      </c>
      <c r="F204" s="134" t="str">
        <f ca="1">IFERROR(__xludf.DUMMYFUNCTION("""COMPUTED_VALUE"""),"")</f>
        <v/>
      </c>
      <c r="G204" s="134" t="str">
        <f ca="1">IFERROR(__xludf.DUMMYFUNCTION("""COMPUTED_VALUE"""),"")</f>
        <v/>
      </c>
      <c r="H204" s="134" t="str">
        <f ca="1">IFERROR(__xludf.DUMMYFUNCTION("""COMPUTED_VALUE"""),"")</f>
        <v/>
      </c>
      <c r="I204" s="134" t="str">
        <f ca="1">IFERROR(__xludf.DUMMYFUNCTION("""COMPUTED_VALUE"""),"")</f>
        <v/>
      </c>
      <c r="J204" s="134" t="str">
        <f ca="1">IFERROR(__xludf.DUMMYFUNCTION("""COMPUTED_VALUE"""),"")</f>
        <v/>
      </c>
      <c r="N204" s="31"/>
      <c r="Q204" s="195"/>
      <c r="S204" s="51"/>
      <c r="T204" s="31"/>
    </row>
    <row r="205" spans="1:20" customFormat="1">
      <c r="A205" s="134" t="str">
        <f ca="1">IFERROR(__xludf.DUMMYFUNCTION("""COMPUTED_VALUE"""),"")</f>
        <v/>
      </c>
      <c r="B205" s="134" t="str">
        <f ca="1">IFERROR(__xludf.DUMMYFUNCTION("""COMPUTED_VALUE"""),"")</f>
        <v/>
      </c>
      <c r="C205" s="134" t="str">
        <f ca="1">IFERROR(__xludf.DUMMYFUNCTION("""COMPUTED_VALUE"""),"")</f>
        <v/>
      </c>
      <c r="D205" s="134" t="str">
        <f ca="1">IFERROR(__xludf.DUMMYFUNCTION("""COMPUTED_VALUE"""),"")</f>
        <v/>
      </c>
      <c r="E205" s="134" t="str">
        <f ca="1">IFERROR(__xludf.DUMMYFUNCTION("""COMPUTED_VALUE"""),"")</f>
        <v/>
      </c>
      <c r="F205" s="134" t="str">
        <f ca="1">IFERROR(__xludf.DUMMYFUNCTION("""COMPUTED_VALUE"""),"")</f>
        <v/>
      </c>
      <c r="G205" s="134" t="str">
        <f ca="1">IFERROR(__xludf.DUMMYFUNCTION("""COMPUTED_VALUE"""),"")</f>
        <v/>
      </c>
      <c r="H205" s="134" t="str">
        <f ca="1">IFERROR(__xludf.DUMMYFUNCTION("""COMPUTED_VALUE"""),"")</f>
        <v/>
      </c>
      <c r="I205" s="134" t="str">
        <f ca="1">IFERROR(__xludf.DUMMYFUNCTION("""COMPUTED_VALUE"""),"")</f>
        <v/>
      </c>
      <c r="J205" s="134" t="str">
        <f ca="1">IFERROR(__xludf.DUMMYFUNCTION("""COMPUTED_VALUE"""),"")</f>
        <v/>
      </c>
      <c r="N205" s="31"/>
      <c r="Q205" s="195"/>
      <c r="S205" s="51"/>
      <c r="T205" s="31"/>
    </row>
    <row r="206" spans="1:20" customFormat="1">
      <c r="A206" s="134" t="str">
        <f ca="1">IFERROR(__xludf.DUMMYFUNCTION("""COMPUTED_VALUE"""),"")</f>
        <v/>
      </c>
      <c r="B206" s="134" t="str">
        <f ca="1">IFERROR(__xludf.DUMMYFUNCTION("""COMPUTED_VALUE"""),"")</f>
        <v/>
      </c>
      <c r="C206" s="134" t="str">
        <f ca="1">IFERROR(__xludf.DUMMYFUNCTION("""COMPUTED_VALUE"""),"")</f>
        <v/>
      </c>
      <c r="D206" s="134" t="str">
        <f ca="1">IFERROR(__xludf.DUMMYFUNCTION("""COMPUTED_VALUE"""),"")</f>
        <v/>
      </c>
      <c r="E206" s="134" t="str">
        <f ca="1">IFERROR(__xludf.DUMMYFUNCTION("""COMPUTED_VALUE"""),"")</f>
        <v/>
      </c>
      <c r="F206" s="134" t="str">
        <f ca="1">IFERROR(__xludf.DUMMYFUNCTION("""COMPUTED_VALUE"""),"")</f>
        <v/>
      </c>
      <c r="G206" s="134" t="str">
        <f ca="1">IFERROR(__xludf.DUMMYFUNCTION("""COMPUTED_VALUE"""),"")</f>
        <v/>
      </c>
      <c r="H206" s="134" t="str">
        <f ca="1">IFERROR(__xludf.DUMMYFUNCTION("""COMPUTED_VALUE"""),"")</f>
        <v/>
      </c>
      <c r="I206" s="134" t="str">
        <f ca="1">IFERROR(__xludf.DUMMYFUNCTION("""COMPUTED_VALUE"""),"")</f>
        <v/>
      </c>
      <c r="J206" s="134" t="str">
        <f ca="1">IFERROR(__xludf.DUMMYFUNCTION("""COMPUTED_VALUE"""),"")</f>
        <v/>
      </c>
      <c r="N206" s="31"/>
      <c r="Q206" s="195"/>
      <c r="S206" s="51"/>
      <c r="T206" s="31"/>
    </row>
    <row r="207" spans="1:20" customFormat="1">
      <c r="A207" s="134" t="str">
        <f ca="1">IFERROR(__xludf.DUMMYFUNCTION("""COMPUTED_VALUE"""),"")</f>
        <v/>
      </c>
      <c r="B207" s="134" t="str">
        <f ca="1">IFERROR(__xludf.DUMMYFUNCTION("""COMPUTED_VALUE"""),"")</f>
        <v/>
      </c>
      <c r="C207" s="134" t="str">
        <f ca="1">IFERROR(__xludf.DUMMYFUNCTION("""COMPUTED_VALUE"""),"")</f>
        <v/>
      </c>
      <c r="D207" s="134" t="str">
        <f ca="1">IFERROR(__xludf.DUMMYFUNCTION("""COMPUTED_VALUE"""),"")</f>
        <v/>
      </c>
      <c r="E207" s="134" t="str">
        <f ca="1">IFERROR(__xludf.DUMMYFUNCTION("""COMPUTED_VALUE"""),"")</f>
        <v/>
      </c>
      <c r="F207" s="134" t="str">
        <f ca="1">IFERROR(__xludf.DUMMYFUNCTION("""COMPUTED_VALUE"""),"")</f>
        <v/>
      </c>
      <c r="G207" s="134" t="str">
        <f ca="1">IFERROR(__xludf.DUMMYFUNCTION("""COMPUTED_VALUE"""),"")</f>
        <v/>
      </c>
      <c r="H207" s="134" t="str">
        <f ca="1">IFERROR(__xludf.DUMMYFUNCTION("""COMPUTED_VALUE"""),"")</f>
        <v/>
      </c>
      <c r="I207" s="134" t="str">
        <f ca="1">IFERROR(__xludf.DUMMYFUNCTION("""COMPUTED_VALUE"""),"")</f>
        <v/>
      </c>
      <c r="J207" s="134" t="str">
        <f ca="1">IFERROR(__xludf.DUMMYFUNCTION("""COMPUTED_VALUE"""),"")</f>
        <v/>
      </c>
      <c r="N207" s="31"/>
      <c r="Q207" s="195"/>
      <c r="S207" s="51"/>
      <c r="T207" s="31"/>
    </row>
    <row r="208" spans="1:20" customFormat="1">
      <c r="A208" s="134" t="str">
        <f ca="1">IFERROR(__xludf.DUMMYFUNCTION("""COMPUTED_VALUE"""),"")</f>
        <v/>
      </c>
      <c r="B208" s="134" t="str">
        <f ca="1">IFERROR(__xludf.DUMMYFUNCTION("""COMPUTED_VALUE"""),"")</f>
        <v/>
      </c>
      <c r="C208" s="134" t="str">
        <f ca="1">IFERROR(__xludf.DUMMYFUNCTION("""COMPUTED_VALUE"""),"")</f>
        <v/>
      </c>
      <c r="D208" s="134" t="str">
        <f ca="1">IFERROR(__xludf.DUMMYFUNCTION("""COMPUTED_VALUE"""),"")</f>
        <v/>
      </c>
      <c r="E208" s="134" t="str">
        <f ca="1">IFERROR(__xludf.DUMMYFUNCTION("""COMPUTED_VALUE"""),"")</f>
        <v/>
      </c>
      <c r="F208" s="134" t="str">
        <f ca="1">IFERROR(__xludf.DUMMYFUNCTION("""COMPUTED_VALUE"""),"")</f>
        <v/>
      </c>
      <c r="G208" s="134" t="str">
        <f ca="1">IFERROR(__xludf.DUMMYFUNCTION("""COMPUTED_VALUE"""),"")</f>
        <v/>
      </c>
      <c r="H208" s="134" t="str">
        <f ca="1">IFERROR(__xludf.DUMMYFUNCTION("""COMPUTED_VALUE"""),"")</f>
        <v/>
      </c>
      <c r="I208" s="134" t="str">
        <f ca="1">IFERROR(__xludf.DUMMYFUNCTION("""COMPUTED_VALUE"""),"")</f>
        <v/>
      </c>
      <c r="J208" s="134" t="str">
        <f ca="1">IFERROR(__xludf.DUMMYFUNCTION("""COMPUTED_VALUE"""),"")</f>
        <v/>
      </c>
      <c r="N208" s="31"/>
      <c r="Q208" s="195"/>
      <c r="S208" s="51"/>
      <c r="T208" s="31"/>
    </row>
    <row r="209" spans="1:20" customFormat="1">
      <c r="A209" s="134" t="str">
        <f ca="1">IFERROR(__xludf.DUMMYFUNCTION("""COMPUTED_VALUE"""),"")</f>
        <v/>
      </c>
      <c r="B209" s="134" t="str">
        <f ca="1">IFERROR(__xludf.DUMMYFUNCTION("""COMPUTED_VALUE"""),"")</f>
        <v/>
      </c>
      <c r="C209" s="134" t="str">
        <f ca="1">IFERROR(__xludf.DUMMYFUNCTION("""COMPUTED_VALUE"""),"")</f>
        <v/>
      </c>
      <c r="D209" s="134" t="str">
        <f ca="1">IFERROR(__xludf.DUMMYFUNCTION("""COMPUTED_VALUE"""),"")</f>
        <v/>
      </c>
      <c r="E209" s="134" t="str">
        <f ca="1">IFERROR(__xludf.DUMMYFUNCTION("""COMPUTED_VALUE"""),"")</f>
        <v/>
      </c>
      <c r="F209" s="134" t="str">
        <f ca="1">IFERROR(__xludf.DUMMYFUNCTION("""COMPUTED_VALUE"""),"")</f>
        <v/>
      </c>
      <c r="G209" s="134" t="str">
        <f ca="1">IFERROR(__xludf.DUMMYFUNCTION("""COMPUTED_VALUE"""),"")</f>
        <v/>
      </c>
      <c r="H209" s="134" t="str">
        <f ca="1">IFERROR(__xludf.DUMMYFUNCTION("""COMPUTED_VALUE"""),"")</f>
        <v/>
      </c>
      <c r="I209" s="134" t="str">
        <f ca="1">IFERROR(__xludf.DUMMYFUNCTION("""COMPUTED_VALUE"""),"")</f>
        <v/>
      </c>
      <c r="J209" s="134" t="str">
        <f ca="1">IFERROR(__xludf.DUMMYFUNCTION("""COMPUTED_VALUE"""),"")</f>
        <v/>
      </c>
      <c r="N209" s="31"/>
      <c r="Q209" s="195"/>
      <c r="S209" s="51"/>
      <c r="T209" s="31"/>
    </row>
    <row r="210" spans="1:20" customFormat="1">
      <c r="A210" s="134" t="str">
        <f ca="1">IFERROR(__xludf.DUMMYFUNCTION("""COMPUTED_VALUE"""),"")</f>
        <v/>
      </c>
      <c r="B210" s="134" t="str">
        <f ca="1">IFERROR(__xludf.DUMMYFUNCTION("""COMPUTED_VALUE"""),"")</f>
        <v/>
      </c>
      <c r="C210" s="134" t="str">
        <f ca="1">IFERROR(__xludf.DUMMYFUNCTION("""COMPUTED_VALUE"""),"")</f>
        <v/>
      </c>
      <c r="D210" s="134" t="str">
        <f ca="1">IFERROR(__xludf.DUMMYFUNCTION("""COMPUTED_VALUE"""),"")</f>
        <v/>
      </c>
      <c r="E210" s="134" t="str">
        <f ca="1">IFERROR(__xludf.DUMMYFUNCTION("""COMPUTED_VALUE"""),"")</f>
        <v/>
      </c>
      <c r="F210" s="134" t="str">
        <f ca="1">IFERROR(__xludf.DUMMYFUNCTION("""COMPUTED_VALUE"""),"")</f>
        <v/>
      </c>
      <c r="G210" s="134" t="str">
        <f ca="1">IFERROR(__xludf.DUMMYFUNCTION("""COMPUTED_VALUE"""),"")</f>
        <v/>
      </c>
      <c r="H210" s="134" t="str">
        <f ca="1">IFERROR(__xludf.DUMMYFUNCTION("""COMPUTED_VALUE"""),"")</f>
        <v/>
      </c>
      <c r="I210" s="134" t="str">
        <f ca="1">IFERROR(__xludf.DUMMYFUNCTION("""COMPUTED_VALUE"""),"")</f>
        <v/>
      </c>
      <c r="J210" s="134" t="str">
        <f ca="1">IFERROR(__xludf.DUMMYFUNCTION("""COMPUTED_VALUE"""),"")</f>
        <v/>
      </c>
      <c r="N210" s="31"/>
      <c r="Q210" s="195"/>
      <c r="S210" s="51"/>
      <c r="T210" s="31"/>
    </row>
    <row r="211" spans="1:20" customFormat="1">
      <c r="A211" s="134" t="str">
        <f ca="1">IFERROR(__xludf.DUMMYFUNCTION("""COMPUTED_VALUE"""),"")</f>
        <v/>
      </c>
      <c r="B211" s="134" t="str">
        <f ca="1">IFERROR(__xludf.DUMMYFUNCTION("""COMPUTED_VALUE"""),"")</f>
        <v/>
      </c>
      <c r="C211" s="134" t="str">
        <f ca="1">IFERROR(__xludf.DUMMYFUNCTION("""COMPUTED_VALUE"""),"")</f>
        <v/>
      </c>
      <c r="D211" s="134" t="str">
        <f ca="1">IFERROR(__xludf.DUMMYFUNCTION("""COMPUTED_VALUE"""),"")</f>
        <v/>
      </c>
      <c r="E211" s="134" t="str">
        <f ca="1">IFERROR(__xludf.DUMMYFUNCTION("""COMPUTED_VALUE"""),"")</f>
        <v/>
      </c>
      <c r="F211" s="134" t="str">
        <f ca="1">IFERROR(__xludf.DUMMYFUNCTION("""COMPUTED_VALUE"""),"")</f>
        <v/>
      </c>
      <c r="G211" s="134" t="str">
        <f ca="1">IFERROR(__xludf.DUMMYFUNCTION("""COMPUTED_VALUE"""),"")</f>
        <v/>
      </c>
      <c r="H211" s="134" t="str">
        <f ca="1">IFERROR(__xludf.DUMMYFUNCTION("""COMPUTED_VALUE"""),"")</f>
        <v/>
      </c>
      <c r="I211" s="134" t="str">
        <f ca="1">IFERROR(__xludf.DUMMYFUNCTION("""COMPUTED_VALUE"""),"")</f>
        <v/>
      </c>
      <c r="J211" s="134" t="str">
        <f ca="1">IFERROR(__xludf.DUMMYFUNCTION("""COMPUTED_VALUE"""),"")</f>
        <v/>
      </c>
      <c r="N211" s="31"/>
      <c r="Q211" s="195"/>
      <c r="S211" s="51"/>
      <c r="T211" s="31"/>
    </row>
    <row r="212" spans="1:20" customFormat="1">
      <c r="A212" s="134" t="str">
        <f ca="1">IFERROR(__xludf.DUMMYFUNCTION("""COMPUTED_VALUE"""),"")</f>
        <v/>
      </c>
      <c r="B212" s="134" t="str">
        <f ca="1">IFERROR(__xludf.DUMMYFUNCTION("""COMPUTED_VALUE"""),"")</f>
        <v/>
      </c>
      <c r="C212" s="134" t="str">
        <f ca="1">IFERROR(__xludf.DUMMYFUNCTION("""COMPUTED_VALUE"""),"")</f>
        <v/>
      </c>
      <c r="D212" s="134" t="str">
        <f ca="1">IFERROR(__xludf.DUMMYFUNCTION("""COMPUTED_VALUE"""),"")</f>
        <v/>
      </c>
      <c r="E212" s="134" t="str">
        <f ca="1">IFERROR(__xludf.DUMMYFUNCTION("""COMPUTED_VALUE"""),"")</f>
        <v/>
      </c>
      <c r="F212" s="134" t="str">
        <f ca="1">IFERROR(__xludf.DUMMYFUNCTION("""COMPUTED_VALUE"""),"")</f>
        <v/>
      </c>
      <c r="G212" s="134" t="str">
        <f ca="1">IFERROR(__xludf.DUMMYFUNCTION("""COMPUTED_VALUE"""),"")</f>
        <v/>
      </c>
      <c r="H212" s="134" t="str">
        <f ca="1">IFERROR(__xludf.DUMMYFUNCTION("""COMPUTED_VALUE"""),"")</f>
        <v/>
      </c>
      <c r="I212" s="134" t="str">
        <f ca="1">IFERROR(__xludf.DUMMYFUNCTION("""COMPUTED_VALUE"""),"")</f>
        <v/>
      </c>
      <c r="J212" s="134" t="str">
        <f ca="1">IFERROR(__xludf.DUMMYFUNCTION("""COMPUTED_VALUE"""),"")</f>
        <v/>
      </c>
      <c r="N212" s="31"/>
      <c r="Q212" s="195"/>
      <c r="S212" s="51"/>
      <c r="T212" s="31"/>
    </row>
    <row r="213" spans="1:20" customFormat="1">
      <c r="A213" s="134" t="str">
        <f ca="1">IFERROR(__xludf.DUMMYFUNCTION("""COMPUTED_VALUE"""),"")</f>
        <v/>
      </c>
      <c r="B213" s="134" t="str">
        <f ca="1">IFERROR(__xludf.DUMMYFUNCTION("""COMPUTED_VALUE"""),"")</f>
        <v/>
      </c>
      <c r="C213" s="134" t="str">
        <f ca="1">IFERROR(__xludf.DUMMYFUNCTION("""COMPUTED_VALUE"""),"")</f>
        <v/>
      </c>
      <c r="D213" s="134" t="str">
        <f ca="1">IFERROR(__xludf.DUMMYFUNCTION("""COMPUTED_VALUE"""),"")</f>
        <v/>
      </c>
      <c r="E213" s="134" t="str">
        <f ca="1">IFERROR(__xludf.DUMMYFUNCTION("""COMPUTED_VALUE"""),"")</f>
        <v/>
      </c>
      <c r="F213" s="134" t="str">
        <f ca="1">IFERROR(__xludf.DUMMYFUNCTION("""COMPUTED_VALUE"""),"")</f>
        <v/>
      </c>
      <c r="G213" s="134" t="str">
        <f ca="1">IFERROR(__xludf.DUMMYFUNCTION("""COMPUTED_VALUE"""),"")</f>
        <v/>
      </c>
      <c r="H213" s="134" t="str">
        <f ca="1">IFERROR(__xludf.DUMMYFUNCTION("""COMPUTED_VALUE"""),"")</f>
        <v/>
      </c>
      <c r="I213" s="134" t="str">
        <f ca="1">IFERROR(__xludf.DUMMYFUNCTION("""COMPUTED_VALUE"""),"")</f>
        <v/>
      </c>
      <c r="J213" s="134" t="str">
        <f ca="1">IFERROR(__xludf.DUMMYFUNCTION("""COMPUTED_VALUE"""),"")</f>
        <v/>
      </c>
      <c r="N213" s="31"/>
      <c r="Q213" s="195"/>
      <c r="S213" s="51"/>
      <c r="T213" s="31"/>
    </row>
    <row r="214" spans="1:20" customFormat="1">
      <c r="A214" s="134" t="str">
        <f ca="1">IFERROR(__xludf.DUMMYFUNCTION("""COMPUTED_VALUE"""),"")</f>
        <v/>
      </c>
      <c r="B214" s="134" t="str">
        <f ca="1">IFERROR(__xludf.DUMMYFUNCTION("""COMPUTED_VALUE"""),"")</f>
        <v/>
      </c>
      <c r="C214" s="134" t="str">
        <f ca="1">IFERROR(__xludf.DUMMYFUNCTION("""COMPUTED_VALUE"""),"")</f>
        <v/>
      </c>
      <c r="D214" s="134" t="str">
        <f ca="1">IFERROR(__xludf.DUMMYFUNCTION("""COMPUTED_VALUE"""),"")</f>
        <v/>
      </c>
      <c r="E214" s="134" t="str">
        <f ca="1">IFERROR(__xludf.DUMMYFUNCTION("""COMPUTED_VALUE"""),"")</f>
        <v/>
      </c>
      <c r="F214" s="134" t="str">
        <f ca="1">IFERROR(__xludf.DUMMYFUNCTION("""COMPUTED_VALUE"""),"")</f>
        <v/>
      </c>
      <c r="G214" s="134" t="str">
        <f ca="1">IFERROR(__xludf.DUMMYFUNCTION("""COMPUTED_VALUE"""),"")</f>
        <v/>
      </c>
      <c r="H214" s="134" t="str">
        <f ca="1">IFERROR(__xludf.DUMMYFUNCTION("""COMPUTED_VALUE"""),"")</f>
        <v/>
      </c>
      <c r="I214" s="134" t="str">
        <f ca="1">IFERROR(__xludf.DUMMYFUNCTION("""COMPUTED_VALUE"""),"")</f>
        <v/>
      </c>
      <c r="J214" s="134" t="str">
        <f ca="1">IFERROR(__xludf.DUMMYFUNCTION("""COMPUTED_VALUE"""),"")</f>
        <v/>
      </c>
      <c r="N214" s="31"/>
      <c r="Q214" s="195"/>
      <c r="S214" s="51"/>
      <c r="T214" s="31"/>
    </row>
    <row r="215" spans="1:20" customFormat="1">
      <c r="A215" s="134" t="str">
        <f ca="1">IFERROR(__xludf.DUMMYFUNCTION("""COMPUTED_VALUE"""),"")</f>
        <v/>
      </c>
      <c r="B215" s="134" t="str">
        <f ca="1">IFERROR(__xludf.DUMMYFUNCTION("""COMPUTED_VALUE"""),"")</f>
        <v/>
      </c>
      <c r="C215" s="134" t="str">
        <f ca="1">IFERROR(__xludf.DUMMYFUNCTION("""COMPUTED_VALUE"""),"")</f>
        <v/>
      </c>
      <c r="D215" s="134" t="str">
        <f ca="1">IFERROR(__xludf.DUMMYFUNCTION("""COMPUTED_VALUE"""),"")</f>
        <v/>
      </c>
      <c r="E215" s="134" t="str">
        <f ca="1">IFERROR(__xludf.DUMMYFUNCTION("""COMPUTED_VALUE"""),"")</f>
        <v/>
      </c>
      <c r="F215" s="134" t="str">
        <f ca="1">IFERROR(__xludf.DUMMYFUNCTION("""COMPUTED_VALUE"""),"")</f>
        <v/>
      </c>
      <c r="G215" s="134" t="str">
        <f ca="1">IFERROR(__xludf.DUMMYFUNCTION("""COMPUTED_VALUE"""),"")</f>
        <v/>
      </c>
      <c r="H215" s="134" t="str">
        <f ca="1">IFERROR(__xludf.DUMMYFUNCTION("""COMPUTED_VALUE"""),"")</f>
        <v/>
      </c>
      <c r="I215" s="134" t="str">
        <f ca="1">IFERROR(__xludf.DUMMYFUNCTION("""COMPUTED_VALUE"""),"")</f>
        <v/>
      </c>
      <c r="J215" s="134" t="str">
        <f ca="1">IFERROR(__xludf.DUMMYFUNCTION("""COMPUTED_VALUE"""),"")</f>
        <v/>
      </c>
      <c r="N215" s="31"/>
      <c r="Q215" s="195"/>
      <c r="S215" s="51"/>
      <c r="T215" s="31"/>
    </row>
    <row r="216" spans="1:20" customFormat="1">
      <c r="A216" s="134" t="str">
        <f ca="1">IFERROR(__xludf.DUMMYFUNCTION("""COMPUTED_VALUE"""),"")</f>
        <v/>
      </c>
      <c r="B216" s="134" t="str">
        <f ca="1">IFERROR(__xludf.DUMMYFUNCTION("""COMPUTED_VALUE"""),"")</f>
        <v/>
      </c>
      <c r="C216" s="134" t="str">
        <f ca="1">IFERROR(__xludf.DUMMYFUNCTION("""COMPUTED_VALUE"""),"")</f>
        <v/>
      </c>
      <c r="D216" s="134" t="str">
        <f ca="1">IFERROR(__xludf.DUMMYFUNCTION("""COMPUTED_VALUE"""),"")</f>
        <v/>
      </c>
      <c r="E216" s="134" t="str">
        <f ca="1">IFERROR(__xludf.DUMMYFUNCTION("""COMPUTED_VALUE"""),"")</f>
        <v/>
      </c>
      <c r="F216" s="134" t="str">
        <f ca="1">IFERROR(__xludf.DUMMYFUNCTION("""COMPUTED_VALUE"""),"")</f>
        <v/>
      </c>
      <c r="G216" s="134" t="str">
        <f ca="1">IFERROR(__xludf.DUMMYFUNCTION("""COMPUTED_VALUE"""),"")</f>
        <v/>
      </c>
      <c r="H216" s="134" t="str">
        <f ca="1">IFERROR(__xludf.DUMMYFUNCTION("""COMPUTED_VALUE"""),"")</f>
        <v/>
      </c>
      <c r="I216" s="134" t="str">
        <f ca="1">IFERROR(__xludf.DUMMYFUNCTION("""COMPUTED_VALUE"""),"")</f>
        <v/>
      </c>
      <c r="J216" s="134" t="str">
        <f ca="1">IFERROR(__xludf.DUMMYFUNCTION("""COMPUTED_VALUE"""),"")</f>
        <v/>
      </c>
      <c r="N216" s="31"/>
      <c r="Q216" s="195"/>
      <c r="S216" s="51"/>
      <c r="T216" s="31"/>
    </row>
    <row r="217" spans="1:20" customFormat="1">
      <c r="A217" s="134" t="str">
        <f ca="1">IFERROR(__xludf.DUMMYFUNCTION("""COMPUTED_VALUE"""),"")</f>
        <v/>
      </c>
      <c r="B217" s="134" t="str">
        <f ca="1">IFERROR(__xludf.DUMMYFUNCTION("""COMPUTED_VALUE"""),"")</f>
        <v/>
      </c>
      <c r="C217" s="134" t="str">
        <f ca="1">IFERROR(__xludf.DUMMYFUNCTION("""COMPUTED_VALUE"""),"")</f>
        <v/>
      </c>
      <c r="D217" s="134" t="str">
        <f ca="1">IFERROR(__xludf.DUMMYFUNCTION("""COMPUTED_VALUE"""),"")</f>
        <v/>
      </c>
      <c r="E217" s="134" t="str">
        <f ca="1">IFERROR(__xludf.DUMMYFUNCTION("""COMPUTED_VALUE"""),"")</f>
        <v/>
      </c>
      <c r="F217" s="134" t="str">
        <f ca="1">IFERROR(__xludf.DUMMYFUNCTION("""COMPUTED_VALUE"""),"")</f>
        <v/>
      </c>
      <c r="G217" s="134" t="str">
        <f ca="1">IFERROR(__xludf.DUMMYFUNCTION("""COMPUTED_VALUE"""),"")</f>
        <v/>
      </c>
      <c r="H217" s="134" t="str">
        <f ca="1">IFERROR(__xludf.DUMMYFUNCTION("""COMPUTED_VALUE"""),"")</f>
        <v/>
      </c>
      <c r="I217" s="134" t="str">
        <f ca="1">IFERROR(__xludf.DUMMYFUNCTION("""COMPUTED_VALUE"""),"")</f>
        <v/>
      </c>
      <c r="J217" s="134" t="str">
        <f ca="1">IFERROR(__xludf.DUMMYFUNCTION("""COMPUTED_VALUE"""),"")</f>
        <v/>
      </c>
      <c r="N217" s="31"/>
      <c r="Q217" s="195"/>
      <c r="S217" s="51"/>
      <c r="T217" s="31"/>
    </row>
    <row r="218" spans="1:20" customFormat="1">
      <c r="A218" s="134" t="str">
        <f ca="1">IFERROR(__xludf.DUMMYFUNCTION("""COMPUTED_VALUE"""),"")</f>
        <v/>
      </c>
      <c r="B218" s="134" t="str">
        <f ca="1">IFERROR(__xludf.DUMMYFUNCTION("""COMPUTED_VALUE"""),"")</f>
        <v/>
      </c>
      <c r="C218" s="134" t="str">
        <f ca="1">IFERROR(__xludf.DUMMYFUNCTION("""COMPUTED_VALUE"""),"")</f>
        <v/>
      </c>
      <c r="D218" s="134" t="str">
        <f ca="1">IFERROR(__xludf.DUMMYFUNCTION("""COMPUTED_VALUE"""),"")</f>
        <v/>
      </c>
      <c r="E218" s="134" t="str">
        <f ca="1">IFERROR(__xludf.DUMMYFUNCTION("""COMPUTED_VALUE"""),"")</f>
        <v/>
      </c>
      <c r="F218" s="134" t="str">
        <f ca="1">IFERROR(__xludf.DUMMYFUNCTION("""COMPUTED_VALUE"""),"")</f>
        <v/>
      </c>
      <c r="G218" s="134" t="str">
        <f ca="1">IFERROR(__xludf.DUMMYFUNCTION("""COMPUTED_VALUE"""),"")</f>
        <v/>
      </c>
      <c r="H218" s="134" t="str">
        <f ca="1">IFERROR(__xludf.DUMMYFUNCTION("""COMPUTED_VALUE"""),"")</f>
        <v/>
      </c>
      <c r="I218" s="134" t="str">
        <f ca="1">IFERROR(__xludf.DUMMYFUNCTION("""COMPUTED_VALUE"""),"")</f>
        <v/>
      </c>
      <c r="J218" s="134" t="str">
        <f ca="1">IFERROR(__xludf.DUMMYFUNCTION("""COMPUTED_VALUE"""),"")</f>
        <v/>
      </c>
      <c r="N218" s="31"/>
      <c r="Q218" s="195"/>
      <c r="S218" s="51"/>
      <c r="T218" s="31"/>
    </row>
    <row r="219" spans="1:20" customFormat="1">
      <c r="A219" s="134" t="str">
        <f ca="1">IFERROR(__xludf.DUMMYFUNCTION("""COMPUTED_VALUE"""),"")</f>
        <v/>
      </c>
      <c r="B219" s="134" t="str">
        <f ca="1">IFERROR(__xludf.DUMMYFUNCTION("""COMPUTED_VALUE"""),"")</f>
        <v/>
      </c>
      <c r="C219" s="134" t="str">
        <f ca="1">IFERROR(__xludf.DUMMYFUNCTION("""COMPUTED_VALUE"""),"")</f>
        <v/>
      </c>
      <c r="D219" s="134" t="str">
        <f ca="1">IFERROR(__xludf.DUMMYFUNCTION("""COMPUTED_VALUE"""),"")</f>
        <v/>
      </c>
      <c r="E219" s="134" t="str">
        <f ca="1">IFERROR(__xludf.DUMMYFUNCTION("""COMPUTED_VALUE"""),"")</f>
        <v/>
      </c>
      <c r="F219" s="134" t="str">
        <f ca="1">IFERROR(__xludf.DUMMYFUNCTION("""COMPUTED_VALUE"""),"")</f>
        <v/>
      </c>
      <c r="G219" s="134" t="str">
        <f ca="1">IFERROR(__xludf.DUMMYFUNCTION("""COMPUTED_VALUE"""),"")</f>
        <v/>
      </c>
      <c r="H219" s="134" t="str">
        <f ca="1">IFERROR(__xludf.DUMMYFUNCTION("""COMPUTED_VALUE"""),"")</f>
        <v/>
      </c>
      <c r="I219" s="134" t="str">
        <f ca="1">IFERROR(__xludf.DUMMYFUNCTION("""COMPUTED_VALUE"""),"")</f>
        <v/>
      </c>
      <c r="J219" s="134" t="str">
        <f ca="1">IFERROR(__xludf.DUMMYFUNCTION("""COMPUTED_VALUE"""),"")</f>
        <v/>
      </c>
      <c r="N219" s="31"/>
      <c r="Q219" s="195"/>
      <c r="S219" s="51"/>
      <c r="T219" s="31"/>
    </row>
    <row r="220" spans="1:20" customFormat="1">
      <c r="A220" s="134" t="str">
        <f ca="1">IFERROR(__xludf.DUMMYFUNCTION("""COMPUTED_VALUE"""),"")</f>
        <v/>
      </c>
      <c r="B220" s="134" t="str">
        <f ca="1">IFERROR(__xludf.DUMMYFUNCTION("""COMPUTED_VALUE"""),"")</f>
        <v/>
      </c>
      <c r="C220" s="134" t="str">
        <f ca="1">IFERROR(__xludf.DUMMYFUNCTION("""COMPUTED_VALUE"""),"")</f>
        <v/>
      </c>
      <c r="D220" s="134" t="str">
        <f ca="1">IFERROR(__xludf.DUMMYFUNCTION("""COMPUTED_VALUE"""),"")</f>
        <v/>
      </c>
      <c r="E220" s="134" t="str">
        <f ca="1">IFERROR(__xludf.DUMMYFUNCTION("""COMPUTED_VALUE"""),"")</f>
        <v/>
      </c>
      <c r="F220" s="134" t="str">
        <f ca="1">IFERROR(__xludf.DUMMYFUNCTION("""COMPUTED_VALUE"""),"")</f>
        <v/>
      </c>
      <c r="G220" s="134" t="str">
        <f ca="1">IFERROR(__xludf.DUMMYFUNCTION("""COMPUTED_VALUE"""),"")</f>
        <v/>
      </c>
      <c r="H220" s="134" t="str">
        <f ca="1">IFERROR(__xludf.DUMMYFUNCTION("""COMPUTED_VALUE"""),"")</f>
        <v/>
      </c>
      <c r="I220" s="134" t="str">
        <f ca="1">IFERROR(__xludf.DUMMYFUNCTION("""COMPUTED_VALUE"""),"")</f>
        <v/>
      </c>
      <c r="J220" s="134" t="str">
        <f ca="1">IFERROR(__xludf.DUMMYFUNCTION("""COMPUTED_VALUE"""),"")</f>
        <v/>
      </c>
      <c r="N220" s="31"/>
      <c r="Q220" s="195"/>
      <c r="S220" s="51"/>
      <c r="T220" s="31"/>
    </row>
    <row r="221" spans="1:20" customFormat="1">
      <c r="A221" s="134" t="str">
        <f ca="1">IFERROR(__xludf.DUMMYFUNCTION("""COMPUTED_VALUE"""),"")</f>
        <v/>
      </c>
      <c r="B221" s="134" t="str">
        <f ca="1">IFERROR(__xludf.DUMMYFUNCTION("""COMPUTED_VALUE"""),"")</f>
        <v/>
      </c>
      <c r="C221" s="134" t="str">
        <f ca="1">IFERROR(__xludf.DUMMYFUNCTION("""COMPUTED_VALUE"""),"")</f>
        <v/>
      </c>
      <c r="D221" s="134" t="str">
        <f ca="1">IFERROR(__xludf.DUMMYFUNCTION("""COMPUTED_VALUE"""),"")</f>
        <v/>
      </c>
      <c r="E221" s="134" t="str">
        <f ca="1">IFERROR(__xludf.DUMMYFUNCTION("""COMPUTED_VALUE"""),"")</f>
        <v/>
      </c>
      <c r="F221" s="134" t="str">
        <f ca="1">IFERROR(__xludf.DUMMYFUNCTION("""COMPUTED_VALUE"""),"")</f>
        <v/>
      </c>
      <c r="G221" s="134" t="str">
        <f ca="1">IFERROR(__xludf.DUMMYFUNCTION("""COMPUTED_VALUE"""),"")</f>
        <v/>
      </c>
      <c r="H221" s="134" t="str">
        <f ca="1">IFERROR(__xludf.DUMMYFUNCTION("""COMPUTED_VALUE"""),"")</f>
        <v/>
      </c>
      <c r="I221" s="134" t="str">
        <f ca="1">IFERROR(__xludf.DUMMYFUNCTION("""COMPUTED_VALUE"""),"")</f>
        <v/>
      </c>
      <c r="J221" s="134" t="str">
        <f ca="1">IFERROR(__xludf.DUMMYFUNCTION("""COMPUTED_VALUE"""),"")</f>
        <v/>
      </c>
      <c r="N221" s="31"/>
      <c r="Q221" s="195"/>
      <c r="S221" s="51"/>
      <c r="T221" s="31"/>
    </row>
    <row r="222" spans="1:20" customFormat="1">
      <c r="A222" s="134" t="str">
        <f ca="1">IFERROR(__xludf.DUMMYFUNCTION("""COMPUTED_VALUE"""),"")</f>
        <v/>
      </c>
      <c r="B222" s="134" t="str">
        <f ca="1">IFERROR(__xludf.DUMMYFUNCTION("""COMPUTED_VALUE"""),"")</f>
        <v/>
      </c>
      <c r="C222" s="134" t="str">
        <f ca="1">IFERROR(__xludf.DUMMYFUNCTION("""COMPUTED_VALUE"""),"")</f>
        <v/>
      </c>
      <c r="D222" s="134" t="str">
        <f ca="1">IFERROR(__xludf.DUMMYFUNCTION("""COMPUTED_VALUE"""),"")</f>
        <v/>
      </c>
      <c r="E222" s="134" t="str">
        <f ca="1">IFERROR(__xludf.DUMMYFUNCTION("""COMPUTED_VALUE"""),"")</f>
        <v/>
      </c>
      <c r="F222" s="134" t="str">
        <f ca="1">IFERROR(__xludf.DUMMYFUNCTION("""COMPUTED_VALUE"""),"")</f>
        <v/>
      </c>
      <c r="G222" s="134" t="str">
        <f ca="1">IFERROR(__xludf.DUMMYFUNCTION("""COMPUTED_VALUE"""),"")</f>
        <v/>
      </c>
      <c r="H222" s="134" t="str">
        <f ca="1">IFERROR(__xludf.DUMMYFUNCTION("""COMPUTED_VALUE"""),"")</f>
        <v/>
      </c>
      <c r="I222" s="134" t="str">
        <f ca="1">IFERROR(__xludf.DUMMYFUNCTION("""COMPUTED_VALUE"""),"")</f>
        <v/>
      </c>
      <c r="J222" s="134" t="str">
        <f ca="1">IFERROR(__xludf.DUMMYFUNCTION("""COMPUTED_VALUE"""),"")</f>
        <v/>
      </c>
      <c r="N222" s="31"/>
      <c r="Q222" s="195"/>
      <c r="S222" s="51"/>
      <c r="T222" s="31"/>
    </row>
    <row r="223" spans="1:20" customFormat="1">
      <c r="A223" s="134" t="str">
        <f ca="1">IFERROR(__xludf.DUMMYFUNCTION("""COMPUTED_VALUE"""),"")</f>
        <v/>
      </c>
      <c r="B223" s="134" t="str">
        <f ca="1">IFERROR(__xludf.DUMMYFUNCTION("""COMPUTED_VALUE"""),"")</f>
        <v/>
      </c>
      <c r="C223" s="134" t="str">
        <f ca="1">IFERROR(__xludf.DUMMYFUNCTION("""COMPUTED_VALUE"""),"")</f>
        <v/>
      </c>
      <c r="D223" s="134" t="str">
        <f ca="1">IFERROR(__xludf.DUMMYFUNCTION("""COMPUTED_VALUE"""),"")</f>
        <v/>
      </c>
      <c r="E223" s="134" t="str">
        <f ca="1">IFERROR(__xludf.DUMMYFUNCTION("""COMPUTED_VALUE"""),"")</f>
        <v/>
      </c>
      <c r="F223" s="134" t="str">
        <f ca="1">IFERROR(__xludf.DUMMYFUNCTION("""COMPUTED_VALUE"""),"")</f>
        <v/>
      </c>
      <c r="G223" s="134" t="str">
        <f ca="1">IFERROR(__xludf.DUMMYFUNCTION("""COMPUTED_VALUE"""),"")</f>
        <v/>
      </c>
      <c r="H223" s="134" t="str">
        <f ca="1">IFERROR(__xludf.DUMMYFUNCTION("""COMPUTED_VALUE"""),"")</f>
        <v/>
      </c>
      <c r="I223" s="134" t="str">
        <f ca="1">IFERROR(__xludf.DUMMYFUNCTION("""COMPUTED_VALUE"""),"")</f>
        <v/>
      </c>
      <c r="J223" s="134" t="str">
        <f ca="1">IFERROR(__xludf.DUMMYFUNCTION("""COMPUTED_VALUE"""),"")</f>
        <v/>
      </c>
      <c r="N223" s="31"/>
      <c r="Q223" s="195"/>
      <c r="S223" s="51"/>
      <c r="T223" s="31"/>
    </row>
    <row r="224" spans="1:20" customFormat="1">
      <c r="A224" s="134" t="str">
        <f ca="1">IFERROR(__xludf.DUMMYFUNCTION("""COMPUTED_VALUE"""),"")</f>
        <v/>
      </c>
      <c r="B224" s="134" t="str">
        <f ca="1">IFERROR(__xludf.DUMMYFUNCTION("""COMPUTED_VALUE"""),"")</f>
        <v/>
      </c>
      <c r="C224" s="134" t="str">
        <f ca="1">IFERROR(__xludf.DUMMYFUNCTION("""COMPUTED_VALUE"""),"")</f>
        <v/>
      </c>
      <c r="D224" s="134" t="str">
        <f ca="1">IFERROR(__xludf.DUMMYFUNCTION("""COMPUTED_VALUE"""),"")</f>
        <v/>
      </c>
      <c r="E224" s="134" t="str">
        <f ca="1">IFERROR(__xludf.DUMMYFUNCTION("""COMPUTED_VALUE"""),"")</f>
        <v/>
      </c>
      <c r="F224" s="134" t="str">
        <f ca="1">IFERROR(__xludf.DUMMYFUNCTION("""COMPUTED_VALUE"""),"")</f>
        <v/>
      </c>
      <c r="G224" s="134" t="str">
        <f ca="1">IFERROR(__xludf.DUMMYFUNCTION("""COMPUTED_VALUE"""),"")</f>
        <v/>
      </c>
      <c r="H224" s="134" t="str">
        <f ca="1">IFERROR(__xludf.DUMMYFUNCTION("""COMPUTED_VALUE"""),"")</f>
        <v/>
      </c>
      <c r="I224" s="134" t="str">
        <f ca="1">IFERROR(__xludf.DUMMYFUNCTION("""COMPUTED_VALUE"""),"")</f>
        <v/>
      </c>
      <c r="J224" s="134" t="str">
        <f ca="1">IFERROR(__xludf.DUMMYFUNCTION("""COMPUTED_VALUE"""),"")</f>
        <v/>
      </c>
      <c r="N224" s="31"/>
      <c r="Q224" s="195"/>
      <c r="S224" s="51"/>
      <c r="T224" s="31"/>
    </row>
    <row r="225" spans="1:20" customFormat="1">
      <c r="A225" s="134" t="str">
        <f ca="1">IFERROR(__xludf.DUMMYFUNCTION("""COMPUTED_VALUE"""),"")</f>
        <v/>
      </c>
      <c r="B225" s="134" t="str">
        <f ca="1">IFERROR(__xludf.DUMMYFUNCTION("""COMPUTED_VALUE"""),"")</f>
        <v/>
      </c>
      <c r="C225" s="134" t="str">
        <f ca="1">IFERROR(__xludf.DUMMYFUNCTION("""COMPUTED_VALUE"""),"")</f>
        <v/>
      </c>
      <c r="D225" s="134" t="str">
        <f ca="1">IFERROR(__xludf.DUMMYFUNCTION("""COMPUTED_VALUE"""),"")</f>
        <v/>
      </c>
      <c r="E225" s="134" t="str">
        <f ca="1">IFERROR(__xludf.DUMMYFUNCTION("""COMPUTED_VALUE"""),"")</f>
        <v/>
      </c>
      <c r="F225" s="134" t="str">
        <f ca="1">IFERROR(__xludf.DUMMYFUNCTION("""COMPUTED_VALUE"""),"")</f>
        <v/>
      </c>
      <c r="G225" s="134" t="str">
        <f ca="1">IFERROR(__xludf.DUMMYFUNCTION("""COMPUTED_VALUE"""),"")</f>
        <v/>
      </c>
      <c r="H225" s="134" t="str">
        <f ca="1">IFERROR(__xludf.DUMMYFUNCTION("""COMPUTED_VALUE"""),"")</f>
        <v/>
      </c>
      <c r="I225" s="134" t="str">
        <f ca="1">IFERROR(__xludf.DUMMYFUNCTION("""COMPUTED_VALUE"""),"")</f>
        <v/>
      </c>
      <c r="J225" s="134" t="str">
        <f ca="1">IFERROR(__xludf.DUMMYFUNCTION("""COMPUTED_VALUE"""),"")</f>
        <v/>
      </c>
      <c r="N225" s="31"/>
      <c r="Q225" s="195"/>
      <c r="S225" s="51"/>
      <c r="T225" s="31"/>
    </row>
    <row r="226" spans="1:20" customFormat="1">
      <c r="A226" s="134" t="str">
        <f ca="1">IFERROR(__xludf.DUMMYFUNCTION("""COMPUTED_VALUE"""),"")</f>
        <v/>
      </c>
      <c r="B226" s="134" t="str">
        <f ca="1">IFERROR(__xludf.DUMMYFUNCTION("""COMPUTED_VALUE"""),"")</f>
        <v/>
      </c>
      <c r="C226" s="134" t="str">
        <f ca="1">IFERROR(__xludf.DUMMYFUNCTION("""COMPUTED_VALUE"""),"")</f>
        <v/>
      </c>
      <c r="D226" s="134" t="str">
        <f ca="1">IFERROR(__xludf.DUMMYFUNCTION("""COMPUTED_VALUE"""),"")</f>
        <v/>
      </c>
      <c r="E226" s="134" t="str">
        <f ca="1">IFERROR(__xludf.DUMMYFUNCTION("""COMPUTED_VALUE"""),"")</f>
        <v/>
      </c>
      <c r="F226" s="134" t="str">
        <f ca="1">IFERROR(__xludf.DUMMYFUNCTION("""COMPUTED_VALUE"""),"")</f>
        <v/>
      </c>
      <c r="G226" s="134" t="str">
        <f ca="1">IFERROR(__xludf.DUMMYFUNCTION("""COMPUTED_VALUE"""),"")</f>
        <v/>
      </c>
      <c r="H226" s="134" t="str">
        <f ca="1">IFERROR(__xludf.DUMMYFUNCTION("""COMPUTED_VALUE"""),"")</f>
        <v/>
      </c>
      <c r="I226" s="134" t="str">
        <f ca="1">IFERROR(__xludf.DUMMYFUNCTION("""COMPUTED_VALUE"""),"")</f>
        <v/>
      </c>
      <c r="J226" s="134" t="str">
        <f ca="1">IFERROR(__xludf.DUMMYFUNCTION("""COMPUTED_VALUE"""),"")</f>
        <v/>
      </c>
      <c r="N226" s="31"/>
      <c r="Q226" s="195"/>
      <c r="S226" s="51"/>
      <c r="T226" s="31"/>
    </row>
    <row r="227" spans="1:20" customFormat="1">
      <c r="A227" s="134" t="str">
        <f ca="1">IFERROR(__xludf.DUMMYFUNCTION("""COMPUTED_VALUE"""),"")</f>
        <v/>
      </c>
      <c r="B227" s="134" t="str">
        <f ca="1">IFERROR(__xludf.DUMMYFUNCTION("""COMPUTED_VALUE"""),"")</f>
        <v/>
      </c>
      <c r="C227" s="134" t="str">
        <f ca="1">IFERROR(__xludf.DUMMYFUNCTION("""COMPUTED_VALUE"""),"")</f>
        <v/>
      </c>
      <c r="D227" s="134" t="str">
        <f ca="1">IFERROR(__xludf.DUMMYFUNCTION("""COMPUTED_VALUE"""),"")</f>
        <v/>
      </c>
      <c r="E227" s="134" t="str">
        <f ca="1">IFERROR(__xludf.DUMMYFUNCTION("""COMPUTED_VALUE"""),"")</f>
        <v/>
      </c>
      <c r="F227" s="134" t="str">
        <f ca="1">IFERROR(__xludf.DUMMYFUNCTION("""COMPUTED_VALUE"""),"")</f>
        <v/>
      </c>
      <c r="G227" s="134" t="str">
        <f ca="1">IFERROR(__xludf.DUMMYFUNCTION("""COMPUTED_VALUE"""),"")</f>
        <v/>
      </c>
      <c r="H227" s="134" t="str">
        <f ca="1">IFERROR(__xludf.DUMMYFUNCTION("""COMPUTED_VALUE"""),"")</f>
        <v/>
      </c>
      <c r="I227" s="134" t="str">
        <f ca="1">IFERROR(__xludf.DUMMYFUNCTION("""COMPUTED_VALUE"""),"")</f>
        <v/>
      </c>
      <c r="J227" s="134" t="str">
        <f ca="1">IFERROR(__xludf.DUMMYFUNCTION("""COMPUTED_VALUE"""),"")</f>
        <v/>
      </c>
      <c r="N227" s="31"/>
      <c r="Q227" s="195"/>
      <c r="S227" s="51"/>
      <c r="T227" s="31"/>
    </row>
    <row r="228" spans="1:20" customFormat="1">
      <c r="A228" s="134" t="str">
        <f ca="1">IFERROR(__xludf.DUMMYFUNCTION("""COMPUTED_VALUE"""),"")</f>
        <v/>
      </c>
      <c r="B228" s="134" t="str">
        <f ca="1">IFERROR(__xludf.DUMMYFUNCTION("""COMPUTED_VALUE"""),"")</f>
        <v/>
      </c>
      <c r="C228" s="134" t="str">
        <f ca="1">IFERROR(__xludf.DUMMYFUNCTION("""COMPUTED_VALUE"""),"")</f>
        <v/>
      </c>
      <c r="D228" s="134" t="str">
        <f ca="1">IFERROR(__xludf.DUMMYFUNCTION("""COMPUTED_VALUE"""),"")</f>
        <v/>
      </c>
      <c r="E228" s="134" t="str">
        <f ca="1">IFERROR(__xludf.DUMMYFUNCTION("""COMPUTED_VALUE"""),"")</f>
        <v/>
      </c>
      <c r="F228" s="134" t="str">
        <f ca="1">IFERROR(__xludf.DUMMYFUNCTION("""COMPUTED_VALUE"""),"")</f>
        <v/>
      </c>
      <c r="G228" s="134" t="str">
        <f ca="1">IFERROR(__xludf.DUMMYFUNCTION("""COMPUTED_VALUE"""),"")</f>
        <v/>
      </c>
      <c r="H228" s="134" t="str">
        <f ca="1">IFERROR(__xludf.DUMMYFUNCTION("""COMPUTED_VALUE"""),"")</f>
        <v/>
      </c>
      <c r="I228" s="134" t="str">
        <f ca="1">IFERROR(__xludf.DUMMYFUNCTION("""COMPUTED_VALUE"""),"")</f>
        <v/>
      </c>
      <c r="J228" s="134" t="str">
        <f ca="1">IFERROR(__xludf.DUMMYFUNCTION("""COMPUTED_VALUE"""),"")</f>
        <v/>
      </c>
      <c r="N228" s="31"/>
      <c r="Q228" s="195"/>
      <c r="S228" s="51"/>
      <c r="T228" s="31"/>
    </row>
    <row r="229" spans="1:20" customFormat="1">
      <c r="A229" s="134" t="str">
        <f ca="1">IFERROR(__xludf.DUMMYFUNCTION("""COMPUTED_VALUE"""),"")</f>
        <v/>
      </c>
      <c r="B229" s="134" t="str">
        <f ca="1">IFERROR(__xludf.DUMMYFUNCTION("""COMPUTED_VALUE"""),"")</f>
        <v/>
      </c>
      <c r="C229" s="134" t="str">
        <f ca="1">IFERROR(__xludf.DUMMYFUNCTION("""COMPUTED_VALUE"""),"")</f>
        <v/>
      </c>
      <c r="D229" s="134" t="str">
        <f ca="1">IFERROR(__xludf.DUMMYFUNCTION("""COMPUTED_VALUE"""),"")</f>
        <v/>
      </c>
      <c r="E229" s="134" t="str">
        <f ca="1">IFERROR(__xludf.DUMMYFUNCTION("""COMPUTED_VALUE"""),"")</f>
        <v/>
      </c>
      <c r="F229" s="134" t="str">
        <f ca="1">IFERROR(__xludf.DUMMYFUNCTION("""COMPUTED_VALUE"""),"")</f>
        <v/>
      </c>
      <c r="G229" s="134" t="str">
        <f ca="1">IFERROR(__xludf.DUMMYFUNCTION("""COMPUTED_VALUE"""),"")</f>
        <v/>
      </c>
      <c r="H229" s="134" t="str">
        <f ca="1">IFERROR(__xludf.DUMMYFUNCTION("""COMPUTED_VALUE"""),"")</f>
        <v/>
      </c>
      <c r="I229" s="134" t="str">
        <f ca="1">IFERROR(__xludf.DUMMYFUNCTION("""COMPUTED_VALUE"""),"")</f>
        <v/>
      </c>
      <c r="J229" s="134" t="str">
        <f ca="1">IFERROR(__xludf.DUMMYFUNCTION("""COMPUTED_VALUE"""),"")</f>
        <v/>
      </c>
      <c r="N229" s="31"/>
      <c r="Q229" s="195"/>
      <c r="S229" s="51"/>
      <c r="T229" s="31"/>
    </row>
    <row r="230" spans="1:20" customFormat="1">
      <c r="A230" s="134" t="str">
        <f ca="1">IFERROR(__xludf.DUMMYFUNCTION("""COMPUTED_VALUE"""),"")</f>
        <v/>
      </c>
      <c r="B230" s="134" t="str">
        <f ca="1">IFERROR(__xludf.DUMMYFUNCTION("""COMPUTED_VALUE"""),"")</f>
        <v/>
      </c>
      <c r="C230" s="134" t="str">
        <f ca="1">IFERROR(__xludf.DUMMYFUNCTION("""COMPUTED_VALUE"""),"")</f>
        <v/>
      </c>
      <c r="D230" s="134" t="str">
        <f ca="1">IFERROR(__xludf.DUMMYFUNCTION("""COMPUTED_VALUE"""),"")</f>
        <v/>
      </c>
      <c r="E230" s="134" t="str">
        <f ca="1">IFERROR(__xludf.DUMMYFUNCTION("""COMPUTED_VALUE"""),"")</f>
        <v/>
      </c>
      <c r="F230" s="134" t="str">
        <f ca="1">IFERROR(__xludf.DUMMYFUNCTION("""COMPUTED_VALUE"""),"")</f>
        <v/>
      </c>
      <c r="G230" s="134" t="str">
        <f ca="1">IFERROR(__xludf.DUMMYFUNCTION("""COMPUTED_VALUE"""),"")</f>
        <v/>
      </c>
      <c r="H230" s="134" t="str">
        <f ca="1">IFERROR(__xludf.DUMMYFUNCTION("""COMPUTED_VALUE"""),"")</f>
        <v/>
      </c>
      <c r="I230" s="134" t="str">
        <f ca="1">IFERROR(__xludf.DUMMYFUNCTION("""COMPUTED_VALUE"""),"")</f>
        <v/>
      </c>
      <c r="J230" s="134" t="str">
        <f ca="1">IFERROR(__xludf.DUMMYFUNCTION("""COMPUTED_VALUE"""),"")</f>
        <v/>
      </c>
      <c r="N230" s="31"/>
      <c r="Q230" s="195"/>
      <c r="S230" s="51"/>
      <c r="T230" s="31"/>
    </row>
    <row r="231" spans="1:20" customFormat="1">
      <c r="A231" s="134" t="str">
        <f ca="1">IFERROR(__xludf.DUMMYFUNCTION("""COMPUTED_VALUE"""),"")</f>
        <v/>
      </c>
      <c r="B231" s="134" t="str">
        <f ca="1">IFERROR(__xludf.DUMMYFUNCTION("""COMPUTED_VALUE"""),"")</f>
        <v/>
      </c>
      <c r="C231" s="134" t="str">
        <f ca="1">IFERROR(__xludf.DUMMYFUNCTION("""COMPUTED_VALUE"""),"")</f>
        <v/>
      </c>
      <c r="D231" s="134" t="str">
        <f ca="1">IFERROR(__xludf.DUMMYFUNCTION("""COMPUTED_VALUE"""),"")</f>
        <v/>
      </c>
      <c r="E231" s="134" t="str">
        <f ca="1">IFERROR(__xludf.DUMMYFUNCTION("""COMPUTED_VALUE"""),"")</f>
        <v/>
      </c>
      <c r="F231" s="134" t="str">
        <f ca="1">IFERROR(__xludf.DUMMYFUNCTION("""COMPUTED_VALUE"""),"")</f>
        <v/>
      </c>
      <c r="G231" s="134" t="str">
        <f ca="1">IFERROR(__xludf.DUMMYFUNCTION("""COMPUTED_VALUE"""),"")</f>
        <v/>
      </c>
      <c r="H231" s="134" t="str">
        <f ca="1">IFERROR(__xludf.DUMMYFUNCTION("""COMPUTED_VALUE"""),"")</f>
        <v/>
      </c>
      <c r="I231" s="134" t="str">
        <f ca="1">IFERROR(__xludf.DUMMYFUNCTION("""COMPUTED_VALUE"""),"")</f>
        <v/>
      </c>
      <c r="J231" s="134" t="str">
        <f ca="1">IFERROR(__xludf.DUMMYFUNCTION("""COMPUTED_VALUE"""),"")</f>
        <v/>
      </c>
      <c r="N231" s="31"/>
      <c r="Q231" s="195"/>
      <c r="S231" s="51"/>
      <c r="T231" s="31"/>
    </row>
    <row r="232" spans="1:20" customFormat="1">
      <c r="A232" s="134" t="str">
        <f ca="1">IFERROR(__xludf.DUMMYFUNCTION("""COMPUTED_VALUE"""),"")</f>
        <v/>
      </c>
      <c r="B232" s="134" t="str">
        <f ca="1">IFERROR(__xludf.DUMMYFUNCTION("""COMPUTED_VALUE"""),"")</f>
        <v/>
      </c>
      <c r="C232" s="134" t="str">
        <f ca="1">IFERROR(__xludf.DUMMYFUNCTION("""COMPUTED_VALUE"""),"")</f>
        <v/>
      </c>
      <c r="D232" s="134" t="str">
        <f ca="1">IFERROR(__xludf.DUMMYFUNCTION("""COMPUTED_VALUE"""),"")</f>
        <v/>
      </c>
      <c r="E232" s="134" t="str">
        <f ca="1">IFERROR(__xludf.DUMMYFUNCTION("""COMPUTED_VALUE"""),"")</f>
        <v/>
      </c>
      <c r="F232" s="134" t="str">
        <f ca="1">IFERROR(__xludf.DUMMYFUNCTION("""COMPUTED_VALUE"""),"")</f>
        <v/>
      </c>
      <c r="G232" s="134" t="str">
        <f ca="1">IFERROR(__xludf.DUMMYFUNCTION("""COMPUTED_VALUE"""),"")</f>
        <v/>
      </c>
      <c r="H232" s="134" t="str">
        <f ca="1">IFERROR(__xludf.DUMMYFUNCTION("""COMPUTED_VALUE"""),"")</f>
        <v/>
      </c>
      <c r="I232" s="134" t="str">
        <f ca="1">IFERROR(__xludf.DUMMYFUNCTION("""COMPUTED_VALUE"""),"")</f>
        <v/>
      </c>
      <c r="J232" s="134" t="str">
        <f ca="1">IFERROR(__xludf.DUMMYFUNCTION("""COMPUTED_VALUE"""),"")</f>
        <v/>
      </c>
      <c r="N232" s="31"/>
      <c r="Q232" s="195"/>
      <c r="S232" s="51"/>
      <c r="T232" s="31"/>
    </row>
    <row r="233" spans="1:20" customFormat="1">
      <c r="A233" s="134" t="str">
        <f ca="1">IFERROR(__xludf.DUMMYFUNCTION("""COMPUTED_VALUE"""),"")</f>
        <v/>
      </c>
      <c r="B233" s="134" t="str">
        <f ca="1">IFERROR(__xludf.DUMMYFUNCTION("""COMPUTED_VALUE"""),"")</f>
        <v/>
      </c>
      <c r="C233" s="134" t="str">
        <f ca="1">IFERROR(__xludf.DUMMYFUNCTION("""COMPUTED_VALUE"""),"")</f>
        <v/>
      </c>
      <c r="D233" s="134" t="str">
        <f ca="1">IFERROR(__xludf.DUMMYFUNCTION("""COMPUTED_VALUE"""),"")</f>
        <v/>
      </c>
      <c r="E233" s="134" t="str">
        <f ca="1">IFERROR(__xludf.DUMMYFUNCTION("""COMPUTED_VALUE"""),"")</f>
        <v/>
      </c>
      <c r="F233" s="134" t="str">
        <f ca="1">IFERROR(__xludf.DUMMYFUNCTION("""COMPUTED_VALUE"""),"")</f>
        <v/>
      </c>
      <c r="G233" s="134" t="str">
        <f ca="1">IFERROR(__xludf.DUMMYFUNCTION("""COMPUTED_VALUE"""),"")</f>
        <v/>
      </c>
      <c r="H233" s="134" t="str">
        <f ca="1">IFERROR(__xludf.DUMMYFUNCTION("""COMPUTED_VALUE"""),"")</f>
        <v/>
      </c>
      <c r="I233" s="134" t="str">
        <f ca="1">IFERROR(__xludf.DUMMYFUNCTION("""COMPUTED_VALUE"""),"")</f>
        <v/>
      </c>
      <c r="J233" s="134" t="str">
        <f ca="1">IFERROR(__xludf.DUMMYFUNCTION("""COMPUTED_VALUE"""),"")</f>
        <v/>
      </c>
      <c r="N233" s="31"/>
      <c r="Q233" s="195"/>
      <c r="S233" s="51"/>
      <c r="T233" s="31"/>
    </row>
    <row r="234" spans="1:20" customFormat="1">
      <c r="A234" s="134" t="str">
        <f ca="1">IFERROR(__xludf.DUMMYFUNCTION("""COMPUTED_VALUE"""),"")</f>
        <v/>
      </c>
      <c r="B234" s="134" t="str">
        <f ca="1">IFERROR(__xludf.DUMMYFUNCTION("""COMPUTED_VALUE"""),"")</f>
        <v/>
      </c>
      <c r="C234" s="134" t="str">
        <f ca="1">IFERROR(__xludf.DUMMYFUNCTION("""COMPUTED_VALUE"""),"")</f>
        <v/>
      </c>
      <c r="D234" s="134" t="str">
        <f ca="1">IFERROR(__xludf.DUMMYFUNCTION("""COMPUTED_VALUE"""),"")</f>
        <v/>
      </c>
      <c r="E234" s="134" t="str">
        <f ca="1">IFERROR(__xludf.DUMMYFUNCTION("""COMPUTED_VALUE"""),"")</f>
        <v/>
      </c>
      <c r="F234" s="134" t="str">
        <f ca="1">IFERROR(__xludf.DUMMYFUNCTION("""COMPUTED_VALUE"""),"")</f>
        <v/>
      </c>
      <c r="G234" s="134" t="str">
        <f ca="1">IFERROR(__xludf.DUMMYFUNCTION("""COMPUTED_VALUE"""),"")</f>
        <v/>
      </c>
      <c r="H234" s="134" t="str">
        <f ca="1">IFERROR(__xludf.DUMMYFUNCTION("""COMPUTED_VALUE"""),"")</f>
        <v/>
      </c>
      <c r="I234" s="134" t="str">
        <f ca="1">IFERROR(__xludf.DUMMYFUNCTION("""COMPUTED_VALUE"""),"")</f>
        <v/>
      </c>
      <c r="J234" s="134" t="str">
        <f ca="1">IFERROR(__xludf.DUMMYFUNCTION("""COMPUTED_VALUE"""),"")</f>
        <v/>
      </c>
      <c r="N234" s="31"/>
      <c r="Q234" s="195"/>
      <c r="S234" s="51"/>
      <c r="T234" s="31"/>
    </row>
    <row r="235" spans="1:20" customFormat="1">
      <c r="A235" s="134" t="str">
        <f ca="1">IFERROR(__xludf.DUMMYFUNCTION("""COMPUTED_VALUE"""),"")</f>
        <v/>
      </c>
      <c r="B235" s="134" t="str">
        <f ca="1">IFERROR(__xludf.DUMMYFUNCTION("""COMPUTED_VALUE"""),"")</f>
        <v/>
      </c>
      <c r="C235" s="134" t="str">
        <f ca="1">IFERROR(__xludf.DUMMYFUNCTION("""COMPUTED_VALUE"""),"")</f>
        <v/>
      </c>
      <c r="D235" s="134" t="str">
        <f ca="1">IFERROR(__xludf.DUMMYFUNCTION("""COMPUTED_VALUE"""),"")</f>
        <v/>
      </c>
      <c r="E235" s="134" t="str">
        <f ca="1">IFERROR(__xludf.DUMMYFUNCTION("""COMPUTED_VALUE"""),"")</f>
        <v/>
      </c>
      <c r="F235" s="134" t="str">
        <f ca="1">IFERROR(__xludf.DUMMYFUNCTION("""COMPUTED_VALUE"""),"")</f>
        <v/>
      </c>
      <c r="G235" s="134" t="str">
        <f ca="1">IFERROR(__xludf.DUMMYFUNCTION("""COMPUTED_VALUE"""),"")</f>
        <v/>
      </c>
      <c r="H235" s="134" t="str">
        <f ca="1">IFERROR(__xludf.DUMMYFUNCTION("""COMPUTED_VALUE"""),"")</f>
        <v/>
      </c>
      <c r="I235" s="134" t="str">
        <f ca="1">IFERROR(__xludf.DUMMYFUNCTION("""COMPUTED_VALUE"""),"")</f>
        <v/>
      </c>
      <c r="J235" s="134" t="str">
        <f ca="1">IFERROR(__xludf.DUMMYFUNCTION("""COMPUTED_VALUE"""),"")</f>
        <v/>
      </c>
      <c r="N235" s="31"/>
      <c r="Q235" s="195"/>
      <c r="S235" s="51"/>
      <c r="T235" s="31"/>
    </row>
    <row r="236" spans="1:20" customFormat="1">
      <c r="A236" s="134" t="str">
        <f ca="1">IFERROR(__xludf.DUMMYFUNCTION("""COMPUTED_VALUE"""),"")</f>
        <v/>
      </c>
      <c r="B236" s="134" t="str">
        <f ca="1">IFERROR(__xludf.DUMMYFUNCTION("""COMPUTED_VALUE"""),"")</f>
        <v/>
      </c>
      <c r="C236" s="134" t="str">
        <f ca="1">IFERROR(__xludf.DUMMYFUNCTION("""COMPUTED_VALUE"""),"")</f>
        <v/>
      </c>
      <c r="D236" s="134" t="str">
        <f ca="1">IFERROR(__xludf.DUMMYFUNCTION("""COMPUTED_VALUE"""),"")</f>
        <v/>
      </c>
      <c r="E236" s="134" t="str">
        <f ca="1">IFERROR(__xludf.DUMMYFUNCTION("""COMPUTED_VALUE"""),"")</f>
        <v/>
      </c>
      <c r="F236" s="134" t="str">
        <f ca="1">IFERROR(__xludf.DUMMYFUNCTION("""COMPUTED_VALUE"""),"")</f>
        <v/>
      </c>
      <c r="G236" s="134" t="str">
        <f ca="1">IFERROR(__xludf.DUMMYFUNCTION("""COMPUTED_VALUE"""),"")</f>
        <v/>
      </c>
      <c r="H236" s="134" t="str">
        <f ca="1">IFERROR(__xludf.DUMMYFUNCTION("""COMPUTED_VALUE"""),"")</f>
        <v/>
      </c>
      <c r="I236" s="134" t="str">
        <f ca="1">IFERROR(__xludf.DUMMYFUNCTION("""COMPUTED_VALUE"""),"")</f>
        <v/>
      </c>
      <c r="J236" s="134" t="str">
        <f ca="1">IFERROR(__xludf.DUMMYFUNCTION("""COMPUTED_VALUE"""),"")</f>
        <v/>
      </c>
      <c r="N236" s="31"/>
      <c r="Q236" s="195"/>
      <c r="S236" s="51"/>
      <c r="T236" s="31"/>
    </row>
    <row r="237" spans="1:20" customFormat="1">
      <c r="A237" s="134" t="str">
        <f ca="1">IFERROR(__xludf.DUMMYFUNCTION("""COMPUTED_VALUE"""),"")</f>
        <v/>
      </c>
      <c r="B237" s="134" t="str">
        <f ca="1">IFERROR(__xludf.DUMMYFUNCTION("""COMPUTED_VALUE"""),"")</f>
        <v/>
      </c>
      <c r="C237" s="134" t="str">
        <f ca="1">IFERROR(__xludf.DUMMYFUNCTION("""COMPUTED_VALUE"""),"")</f>
        <v/>
      </c>
      <c r="D237" s="134" t="str">
        <f ca="1">IFERROR(__xludf.DUMMYFUNCTION("""COMPUTED_VALUE"""),"")</f>
        <v/>
      </c>
      <c r="E237" s="134" t="str">
        <f ca="1">IFERROR(__xludf.DUMMYFUNCTION("""COMPUTED_VALUE"""),"")</f>
        <v/>
      </c>
      <c r="F237" s="134" t="str">
        <f ca="1">IFERROR(__xludf.DUMMYFUNCTION("""COMPUTED_VALUE"""),"")</f>
        <v/>
      </c>
      <c r="G237" s="134" t="str">
        <f ca="1">IFERROR(__xludf.DUMMYFUNCTION("""COMPUTED_VALUE"""),"")</f>
        <v/>
      </c>
      <c r="H237" s="134" t="str">
        <f ca="1">IFERROR(__xludf.DUMMYFUNCTION("""COMPUTED_VALUE"""),"")</f>
        <v/>
      </c>
      <c r="I237" s="134" t="str">
        <f ca="1">IFERROR(__xludf.DUMMYFUNCTION("""COMPUTED_VALUE"""),"")</f>
        <v/>
      </c>
      <c r="J237" s="134" t="str">
        <f ca="1">IFERROR(__xludf.DUMMYFUNCTION("""COMPUTED_VALUE"""),"")</f>
        <v/>
      </c>
      <c r="N237" s="31"/>
      <c r="Q237" s="195"/>
      <c r="S237" s="51"/>
      <c r="T237" s="31"/>
    </row>
    <row r="238" spans="1:20" customFormat="1">
      <c r="A238" s="134" t="str">
        <f ca="1">IFERROR(__xludf.DUMMYFUNCTION("""COMPUTED_VALUE"""),"")</f>
        <v/>
      </c>
      <c r="B238" s="134" t="str">
        <f ca="1">IFERROR(__xludf.DUMMYFUNCTION("""COMPUTED_VALUE"""),"")</f>
        <v/>
      </c>
      <c r="C238" s="134" t="str">
        <f ca="1">IFERROR(__xludf.DUMMYFUNCTION("""COMPUTED_VALUE"""),"")</f>
        <v/>
      </c>
      <c r="D238" s="134" t="str">
        <f ca="1">IFERROR(__xludf.DUMMYFUNCTION("""COMPUTED_VALUE"""),"")</f>
        <v/>
      </c>
      <c r="E238" s="134" t="str">
        <f ca="1">IFERROR(__xludf.DUMMYFUNCTION("""COMPUTED_VALUE"""),"")</f>
        <v/>
      </c>
      <c r="F238" s="134" t="str">
        <f ca="1">IFERROR(__xludf.DUMMYFUNCTION("""COMPUTED_VALUE"""),"")</f>
        <v/>
      </c>
      <c r="G238" s="134" t="str">
        <f ca="1">IFERROR(__xludf.DUMMYFUNCTION("""COMPUTED_VALUE"""),"")</f>
        <v/>
      </c>
      <c r="H238" s="134" t="str">
        <f ca="1">IFERROR(__xludf.DUMMYFUNCTION("""COMPUTED_VALUE"""),"")</f>
        <v/>
      </c>
      <c r="I238" s="134" t="str">
        <f ca="1">IFERROR(__xludf.DUMMYFUNCTION("""COMPUTED_VALUE"""),"")</f>
        <v/>
      </c>
      <c r="J238" s="134" t="str">
        <f ca="1">IFERROR(__xludf.DUMMYFUNCTION("""COMPUTED_VALUE"""),"")</f>
        <v/>
      </c>
      <c r="N238" s="31"/>
      <c r="Q238" s="195"/>
      <c r="S238" s="51"/>
      <c r="T238" s="31"/>
    </row>
    <row r="239" spans="1:20" customFormat="1">
      <c r="A239" s="134" t="str">
        <f ca="1">IFERROR(__xludf.DUMMYFUNCTION("""COMPUTED_VALUE"""),"")</f>
        <v/>
      </c>
      <c r="B239" s="134" t="str">
        <f ca="1">IFERROR(__xludf.DUMMYFUNCTION("""COMPUTED_VALUE"""),"")</f>
        <v/>
      </c>
      <c r="C239" s="134" t="str">
        <f ca="1">IFERROR(__xludf.DUMMYFUNCTION("""COMPUTED_VALUE"""),"")</f>
        <v/>
      </c>
      <c r="D239" s="134" t="str">
        <f ca="1">IFERROR(__xludf.DUMMYFUNCTION("""COMPUTED_VALUE"""),"")</f>
        <v/>
      </c>
      <c r="E239" s="134" t="str">
        <f ca="1">IFERROR(__xludf.DUMMYFUNCTION("""COMPUTED_VALUE"""),"")</f>
        <v/>
      </c>
      <c r="F239" s="134" t="str">
        <f ca="1">IFERROR(__xludf.DUMMYFUNCTION("""COMPUTED_VALUE"""),"")</f>
        <v/>
      </c>
      <c r="G239" s="134" t="str">
        <f ca="1">IFERROR(__xludf.DUMMYFUNCTION("""COMPUTED_VALUE"""),"")</f>
        <v/>
      </c>
      <c r="H239" s="134" t="str">
        <f ca="1">IFERROR(__xludf.DUMMYFUNCTION("""COMPUTED_VALUE"""),"")</f>
        <v/>
      </c>
      <c r="I239" s="134" t="str">
        <f ca="1">IFERROR(__xludf.DUMMYFUNCTION("""COMPUTED_VALUE"""),"")</f>
        <v/>
      </c>
      <c r="J239" s="134" t="str">
        <f ca="1">IFERROR(__xludf.DUMMYFUNCTION("""COMPUTED_VALUE"""),"")</f>
        <v/>
      </c>
      <c r="N239" s="31"/>
      <c r="Q239" s="195"/>
      <c r="S239" s="51"/>
      <c r="T239" s="31"/>
    </row>
    <row r="240" spans="1:20" customFormat="1">
      <c r="A240" s="134" t="str">
        <f ca="1">IFERROR(__xludf.DUMMYFUNCTION("""COMPUTED_VALUE"""),"")</f>
        <v/>
      </c>
      <c r="B240" s="134" t="str">
        <f ca="1">IFERROR(__xludf.DUMMYFUNCTION("""COMPUTED_VALUE"""),"")</f>
        <v/>
      </c>
      <c r="C240" s="134" t="str">
        <f ca="1">IFERROR(__xludf.DUMMYFUNCTION("""COMPUTED_VALUE"""),"")</f>
        <v/>
      </c>
      <c r="D240" s="134" t="str">
        <f ca="1">IFERROR(__xludf.DUMMYFUNCTION("""COMPUTED_VALUE"""),"")</f>
        <v/>
      </c>
      <c r="E240" s="134" t="str">
        <f ca="1">IFERROR(__xludf.DUMMYFUNCTION("""COMPUTED_VALUE"""),"")</f>
        <v/>
      </c>
      <c r="F240" s="134" t="str">
        <f ca="1">IFERROR(__xludf.DUMMYFUNCTION("""COMPUTED_VALUE"""),"")</f>
        <v/>
      </c>
      <c r="G240" s="134" t="str">
        <f ca="1">IFERROR(__xludf.DUMMYFUNCTION("""COMPUTED_VALUE"""),"")</f>
        <v/>
      </c>
      <c r="H240" s="134" t="str">
        <f ca="1">IFERROR(__xludf.DUMMYFUNCTION("""COMPUTED_VALUE"""),"")</f>
        <v/>
      </c>
      <c r="I240" s="134" t="str">
        <f ca="1">IFERROR(__xludf.DUMMYFUNCTION("""COMPUTED_VALUE"""),"")</f>
        <v/>
      </c>
      <c r="J240" s="134" t="str">
        <f ca="1">IFERROR(__xludf.DUMMYFUNCTION("""COMPUTED_VALUE"""),"")</f>
        <v/>
      </c>
      <c r="N240" s="31"/>
      <c r="Q240" s="195"/>
      <c r="S240" s="51"/>
      <c r="T240" s="31"/>
    </row>
    <row r="241" spans="1:20" customFormat="1">
      <c r="A241" s="134" t="str">
        <f ca="1">IFERROR(__xludf.DUMMYFUNCTION("""COMPUTED_VALUE"""),"")</f>
        <v/>
      </c>
      <c r="B241" s="134" t="str">
        <f ca="1">IFERROR(__xludf.DUMMYFUNCTION("""COMPUTED_VALUE"""),"")</f>
        <v/>
      </c>
      <c r="C241" s="134" t="str">
        <f ca="1">IFERROR(__xludf.DUMMYFUNCTION("""COMPUTED_VALUE"""),"")</f>
        <v/>
      </c>
      <c r="D241" s="134" t="str">
        <f ca="1">IFERROR(__xludf.DUMMYFUNCTION("""COMPUTED_VALUE"""),"")</f>
        <v/>
      </c>
      <c r="E241" s="134" t="str">
        <f ca="1">IFERROR(__xludf.DUMMYFUNCTION("""COMPUTED_VALUE"""),"")</f>
        <v/>
      </c>
      <c r="F241" s="134" t="str">
        <f ca="1">IFERROR(__xludf.DUMMYFUNCTION("""COMPUTED_VALUE"""),"")</f>
        <v/>
      </c>
      <c r="G241" s="134" t="str">
        <f ca="1">IFERROR(__xludf.DUMMYFUNCTION("""COMPUTED_VALUE"""),"")</f>
        <v/>
      </c>
      <c r="H241" s="134" t="str">
        <f ca="1">IFERROR(__xludf.DUMMYFUNCTION("""COMPUTED_VALUE"""),"")</f>
        <v/>
      </c>
      <c r="I241" s="134" t="str">
        <f ca="1">IFERROR(__xludf.DUMMYFUNCTION("""COMPUTED_VALUE"""),"")</f>
        <v/>
      </c>
      <c r="J241" s="134" t="str">
        <f ca="1">IFERROR(__xludf.DUMMYFUNCTION("""COMPUTED_VALUE"""),"")</f>
        <v/>
      </c>
      <c r="N241" s="31"/>
      <c r="Q241" s="195"/>
      <c r="S241" s="51"/>
      <c r="T241" s="31"/>
    </row>
    <row r="242" spans="1:20" customFormat="1">
      <c r="A242" s="134" t="str">
        <f ca="1">IFERROR(__xludf.DUMMYFUNCTION("""COMPUTED_VALUE"""),"")</f>
        <v/>
      </c>
      <c r="B242" s="134" t="str">
        <f ca="1">IFERROR(__xludf.DUMMYFUNCTION("""COMPUTED_VALUE"""),"")</f>
        <v/>
      </c>
      <c r="C242" s="134" t="str">
        <f ca="1">IFERROR(__xludf.DUMMYFUNCTION("""COMPUTED_VALUE"""),"")</f>
        <v/>
      </c>
      <c r="D242" s="134" t="str">
        <f ca="1">IFERROR(__xludf.DUMMYFUNCTION("""COMPUTED_VALUE"""),"")</f>
        <v/>
      </c>
      <c r="E242" s="134" t="str">
        <f ca="1">IFERROR(__xludf.DUMMYFUNCTION("""COMPUTED_VALUE"""),"")</f>
        <v/>
      </c>
      <c r="F242" s="134" t="str">
        <f ca="1">IFERROR(__xludf.DUMMYFUNCTION("""COMPUTED_VALUE"""),"")</f>
        <v/>
      </c>
      <c r="G242" s="134" t="str">
        <f ca="1">IFERROR(__xludf.DUMMYFUNCTION("""COMPUTED_VALUE"""),"")</f>
        <v/>
      </c>
      <c r="H242" s="134" t="str">
        <f ca="1">IFERROR(__xludf.DUMMYFUNCTION("""COMPUTED_VALUE"""),"")</f>
        <v/>
      </c>
      <c r="I242" s="134" t="str">
        <f ca="1">IFERROR(__xludf.DUMMYFUNCTION("""COMPUTED_VALUE"""),"")</f>
        <v/>
      </c>
      <c r="J242" s="134" t="str">
        <f ca="1">IFERROR(__xludf.DUMMYFUNCTION("""COMPUTED_VALUE"""),"")</f>
        <v/>
      </c>
      <c r="N242" s="31"/>
      <c r="Q242" s="195"/>
      <c r="S242" s="51"/>
      <c r="T242" s="31"/>
    </row>
    <row r="243" spans="1:20" customFormat="1">
      <c r="A243" s="134" t="str">
        <f ca="1">IFERROR(__xludf.DUMMYFUNCTION("""COMPUTED_VALUE"""),"")</f>
        <v/>
      </c>
      <c r="B243" s="134" t="str">
        <f ca="1">IFERROR(__xludf.DUMMYFUNCTION("""COMPUTED_VALUE"""),"")</f>
        <v/>
      </c>
      <c r="C243" s="134" t="str">
        <f ca="1">IFERROR(__xludf.DUMMYFUNCTION("""COMPUTED_VALUE"""),"")</f>
        <v/>
      </c>
      <c r="D243" s="134" t="str">
        <f ca="1">IFERROR(__xludf.DUMMYFUNCTION("""COMPUTED_VALUE"""),"")</f>
        <v/>
      </c>
      <c r="E243" s="134" t="str">
        <f ca="1">IFERROR(__xludf.DUMMYFUNCTION("""COMPUTED_VALUE"""),"")</f>
        <v/>
      </c>
      <c r="F243" s="134" t="str">
        <f ca="1">IFERROR(__xludf.DUMMYFUNCTION("""COMPUTED_VALUE"""),"")</f>
        <v/>
      </c>
      <c r="G243" s="134" t="str">
        <f ca="1">IFERROR(__xludf.DUMMYFUNCTION("""COMPUTED_VALUE"""),"")</f>
        <v/>
      </c>
      <c r="H243" s="134" t="str">
        <f ca="1">IFERROR(__xludf.DUMMYFUNCTION("""COMPUTED_VALUE"""),"")</f>
        <v/>
      </c>
      <c r="I243" s="134" t="str">
        <f ca="1">IFERROR(__xludf.DUMMYFUNCTION("""COMPUTED_VALUE"""),"")</f>
        <v/>
      </c>
      <c r="J243" s="134" t="str">
        <f ca="1">IFERROR(__xludf.DUMMYFUNCTION("""COMPUTED_VALUE"""),"")</f>
        <v/>
      </c>
      <c r="N243" s="31"/>
      <c r="Q243" s="195"/>
      <c r="S243" s="51"/>
      <c r="T243" s="31"/>
    </row>
    <row r="244" spans="1:20" customFormat="1">
      <c r="A244" s="134" t="str">
        <f ca="1">IFERROR(__xludf.DUMMYFUNCTION("""COMPUTED_VALUE"""),"")</f>
        <v/>
      </c>
      <c r="B244" s="134" t="str">
        <f ca="1">IFERROR(__xludf.DUMMYFUNCTION("""COMPUTED_VALUE"""),"")</f>
        <v/>
      </c>
      <c r="C244" s="134" t="str">
        <f ca="1">IFERROR(__xludf.DUMMYFUNCTION("""COMPUTED_VALUE"""),"")</f>
        <v/>
      </c>
      <c r="D244" s="134" t="str">
        <f ca="1">IFERROR(__xludf.DUMMYFUNCTION("""COMPUTED_VALUE"""),"")</f>
        <v/>
      </c>
      <c r="E244" s="134" t="str">
        <f ca="1">IFERROR(__xludf.DUMMYFUNCTION("""COMPUTED_VALUE"""),"")</f>
        <v/>
      </c>
      <c r="F244" s="134" t="str">
        <f ca="1">IFERROR(__xludf.DUMMYFUNCTION("""COMPUTED_VALUE"""),"")</f>
        <v/>
      </c>
      <c r="G244" s="134" t="str">
        <f ca="1">IFERROR(__xludf.DUMMYFUNCTION("""COMPUTED_VALUE"""),"")</f>
        <v/>
      </c>
      <c r="H244" s="134" t="str">
        <f ca="1">IFERROR(__xludf.DUMMYFUNCTION("""COMPUTED_VALUE"""),"")</f>
        <v/>
      </c>
      <c r="I244" s="134" t="str">
        <f ca="1">IFERROR(__xludf.DUMMYFUNCTION("""COMPUTED_VALUE"""),"")</f>
        <v/>
      </c>
      <c r="J244" s="134" t="str">
        <f ca="1">IFERROR(__xludf.DUMMYFUNCTION("""COMPUTED_VALUE"""),"")</f>
        <v/>
      </c>
      <c r="N244" s="31"/>
      <c r="Q244" s="195"/>
      <c r="S244" s="51"/>
      <c r="T244" s="31"/>
    </row>
    <row r="245" spans="1:20" customFormat="1">
      <c r="A245" s="134" t="str">
        <f ca="1">IFERROR(__xludf.DUMMYFUNCTION("""COMPUTED_VALUE"""),"")</f>
        <v/>
      </c>
      <c r="B245" s="134" t="str">
        <f ca="1">IFERROR(__xludf.DUMMYFUNCTION("""COMPUTED_VALUE"""),"")</f>
        <v/>
      </c>
      <c r="C245" s="134" t="str">
        <f ca="1">IFERROR(__xludf.DUMMYFUNCTION("""COMPUTED_VALUE"""),"")</f>
        <v/>
      </c>
      <c r="D245" s="134" t="str">
        <f ca="1">IFERROR(__xludf.DUMMYFUNCTION("""COMPUTED_VALUE"""),"")</f>
        <v/>
      </c>
      <c r="E245" s="134" t="str">
        <f ca="1">IFERROR(__xludf.DUMMYFUNCTION("""COMPUTED_VALUE"""),"")</f>
        <v/>
      </c>
      <c r="F245" s="134" t="str">
        <f ca="1">IFERROR(__xludf.DUMMYFUNCTION("""COMPUTED_VALUE"""),"")</f>
        <v/>
      </c>
      <c r="G245" s="134" t="str">
        <f ca="1">IFERROR(__xludf.DUMMYFUNCTION("""COMPUTED_VALUE"""),"")</f>
        <v/>
      </c>
      <c r="H245" s="134" t="str">
        <f ca="1">IFERROR(__xludf.DUMMYFUNCTION("""COMPUTED_VALUE"""),"")</f>
        <v/>
      </c>
      <c r="I245" s="134" t="str">
        <f ca="1">IFERROR(__xludf.DUMMYFUNCTION("""COMPUTED_VALUE"""),"")</f>
        <v/>
      </c>
      <c r="J245" s="134" t="str">
        <f ca="1">IFERROR(__xludf.DUMMYFUNCTION("""COMPUTED_VALUE"""),"")</f>
        <v/>
      </c>
      <c r="N245" s="31"/>
      <c r="Q245" s="195"/>
      <c r="S245" s="51"/>
      <c r="T245" s="31"/>
    </row>
    <row r="246" spans="1:20" customFormat="1">
      <c r="A246" s="134" t="str">
        <f ca="1">IFERROR(__xludf.DUMMYFUNCTION("""COMPUTED_VALUE"""),"")</f>
        <v/>
      </c>
      <c r="B246" s="134" t="str">
        <f ca="1">IFERROR(__xludf.DUMMYFUNCTION("""COMPUTED_VALUE"""),"")</f>
        <v/>
      </c>
      <c r="C246" s="134" t="str">
        <f ca="1">IFERROR(__xludf.DUMMYFUNCTION("""COMPUTED_VALUE"""),"")</f>
        <v/>
      </c>
      <c r="D246" s="134" t="str">
        <f ca="1">IFERROR(__xludf.DUMMYFUNCTION("""COMPUTED_VALUE"""),"")</f>
        <v/>
      </c>
      <c r="E246" s="134" t="str">
        <f ca="1">IFERROR(__xludf.DUMMYFUNCTION("""COMPUTED_VALUE"""),"")</f>
        <v/>
      </c>
      <c r="F246" s="134" t="str">
        <f ca="1">IFERROR(__xludf.DUMMYFUNCTION("""COMPUTED_VALUE"""),"")</f>
        <v/>
      </c>
      <c r="G246" s="134" t="str">
        <f ca="1">IFERROR(__xludf.DUMMYFUNCTION("""COMPUTED_VALUE"""),"")</f>
        <v/>
      </c>
      <c r="H246" s="134" t="str">
        <f ca="1">IFERROR(__xludf.DUMMYFUNCTION("""COMPUTED_VALUE"""),"")</f>
        <v/>
      </c>
      <c r="I246" s="134" t="str">
        <f ca="1">IFERROR(__xludf.DUMMYFUNCTION("""COMPUTED_VALUE"""),"")</f>
        <v/>
      </c>
      <c r="J246" s="134" t="str">
        <f ca="1">IFERROR(__xludf.DUMMYFUNCTION("""COMPUTED_VALUE"""),"")</f>
        <v/>
      </c>
      <c r="N246" s="31"/>
      <c r="Q246" s="195"/>
      <c r="S246" s="51"/>
      <c r="T246" s="31"/>
    </row>
    <row r="247" spans="1:20" customFormat="1">
      <c r="A247" s="134" t="str">
        <f ca="1">IFERROR(__xludf.DUMMYFUNCTION("""COMPUTED_VALUE"""),"")</f>
        <v/>
      </c>
      <c r="B247" s="134" t="str">
        <f ca="1">IFERROR(__xludf.DUMMYFUNCTION("""COMPUTED_VALUE"""),"")</f>
        <v/>
      </c>
      <c r="C247" s="134" t="str">
        <f ca="1">IFERROR(__xludf.DUMMYFUNCTION("""COMPUTED_VALUE"""),"")</f>
        <v/>
      </c>
      <c r="D247" s="134" t="str">
        <f ca="1">IFERROR(__xludf.DUMMYFUNCTION("""COMPUTED_VALUE"""),"")</f>
        <v/>
      </c>
      <c r="E247" s="134" t="str">
        <f ca="1">IFERROR(__xludf.DUMMYFUNCTION("""COMPUTED_VALUE"""),"")</f>
        <v/>
      </c>
      <c r="F247" s="134" t="str">
        <f ca="1">IFERROR(__xludf.DUMMYFUNCTION("""COMPUTED_VALUE"""),"")</f>
        <v/>
      </c>
      <c r="G247" s="134" t="str">
        <f ca="1">IFERROR(__xludf.DUMMYFUNCTION("""COMPUTED_VALUE"""),"")</f>
        <v/>
      </c>
      <c r="H247" s="134" t="str">
        <f ca="1">IFERROR(__xludf.DUMMYFUNCTION("""COMPUTED_VALUE"""),"")</f>
        <v/>
      </c>
      <c r="I247" s="134" t="str">
        <f ca="1">IFERROR(__xludf.DUMMYFUNCTION("""COMPUTED_VALUE"""),"")</f>
        <v/>
      </c>
      <c r="J247" s="134" t="str">
        <f ca="1">IFERROR(__xludf.DUMMYFUNCTION("""COMPUTED_VALUE"""),"")</f>
        <v/>
      </c>
      <c r="N247" s="31"/>
      <c r="Q247" s="195"/>
      <c r="S247" s="51"/>
      <c r="T247" s="31"/>
    </row>
    <row r="248" spans="1:20" customFormat="1">
      <c r="A248" s="134" t="str">
        <f ca="1">IFERROR(__xludf.DUMMYFUNCTION("""COMPUTED_VALUE"""),"")</f>
        <v/>
      </c>
      <c r="B248" s="134" t="str">
        <f ca="1">IFERROR(__xludf.DUMMYFUNCTION("""COMPUTED_VALUE"""),"")</f>
        <v/>
      </c>
      <c r="C248" s="134" t="str">
        <f ca="1">IFERROR(__xludf.DUMMYFUNCTION("""COMPUTED_VALUE"""),"")</f>
        <v/>
      </c>
      <c r="D248" s="134" t="str">
        <f ca="1">IFERROR(__xludf.DUMMYFUNCTION("""COMPUTED_VALUE"""),"")</f>
        <v/>
      </c>
      <c r="E248" s="134" t="str">
        <f ca="1">IFERROR(__xludf.DUMMYFUNCTION("""COMPUTED_VALUE"""),"")</f>
        <v/>
      </c>
      <c r="F248" s="134" t="str">
        <f ca="1">IFERROR(__xludf.DUMMYFUNCTION("""COMPUTED_VALUE"""),"")</f>
        <v/>
      </c>
      <c r="G248" s="134" t="str">
        <f ca="1">IFERROR(__xludf.DUMMYFUNCTION("""COMPUTED_VALUE"""),"")</f>
        <v/>
      </c>
      <c r="H248" s="134" t="str">
        <f ca="1">IFERROR(__xludf.DUMMYFUNCTION("""COMPUTED_VALUE"""),"")</f>
        <v/>
      </c>
      <c r="I248" s="134" t="str">
        <f ca="1">IFERROR(__xludf.DUMMYFUNCTION("""COMPUTED_VALUE"""),"")</f>
        <v/>
      </c>
      <c r="J248" s="134" t="str">
        <f ca="1">IFERROR(__xludf.DUMMYFUNCTION("""COMPUTED_VALUE"""),"")</f>
        <v/>
      </c>
      <c r="N248" s="31"/>
      <c r="Q248" s="195"/>
      <c r="S248" s="51"/>
      <c r="T248" s="31"/>
    </row>
    <row r="249" spans="1:20" customFormat="1">
      <c r="A249" s="134" t="str">
        <f ca="1">IFERROR(__xludf.DUMMYFUNCTION("""COMPUTED_VALUE"""),"")</f>
        <v/>
      </c>
      <c r="B249" s="134" t="str">
        <f ca="1">IFERROR(__xludf.DUMMYFUNCTION("""COMPUTED_VALUE"""),"")</f>
        <v/>
      </c>
      <c r="C249" s="134" t="str">
        <f ca="1">IFERROR(__xludf.DUMMYFUNCTION("""COMPUTED_VALUE"""),"")</f>
        <v/>
      </c>
      <c r="D249" s="134" t="str">
        <f ca="1">IFERROR(__xludf.DUMMYFUNCTION("""COMPUTED_VALUE"""),"")</f>
        <v/>
      </c>
      <c r="E249" s="134" t="str">
        <f ca="1">IFERROR(__xludf.DUMMYFUNCTION("""COMPUTED_VALUE"""),"")</f>
        <v/>
      </c>
      <c r="F249" s="134" t="str">
        <f ca="1">IFERROR(__xludf.DUMMYFUNCTION("""COMPUTED_VALUE"""),"")</f>
        <v/>
      </c>
      <c r="G249" s="134" t="str">
        <f ca="1">IFERROR(__xludf.DUMMYFUNCTION("""COMPUTED_VALUE"""),"")</f>
        <v/>
      </c>
      <c r="H249" s="134" t="str">
        <f ca="1">IFERROR(__xludf.DUMMYFUNCTION("""COMPUTED_VALUE"""),"")</f>
        <v/>
      </c>
      <c r="I249" s="134" t="str">
        <f ca="1">IFERROR(__xludf.DUMMYFUNCTION("""COMPUTED_VALUE"""),"")</f>
        <v/>
      </c>
      <c r="J249" s="134" t="str">
        <f ca="1">IFERROR(__xludf.DUMMYFUNCTION("""COMPUTED_VALUE"""),"")</f>
        <v/>
      </c>
      <c r="N249" s="31"/>
      <c r="Q249" s="195"/>
      <c r="S249" s="51"/>
      <c r="T249" s="31"/>
    </row>
    <row r="250" spans="1:20" customFormat="1">
      <c r="A250" s="134" t="str">
        <f ca="1">IFERROR(__xludf.DUMMYFUNCTION("""COMPUTED_VALUE"""),"")</f>
        <v/>
      </c>
      <c r="B250" s="134" t="str">
        <f ca="1">IFERROR(__xludf.DUMMYFUNCTION("""COMPUTED_VALUE"""),"")</f>
        <v/>
      </c>
      <c r="C250" s="134" t="str">
        <f ca="1">IFERROR(__xludf.DUMMYFUNCTION("""COMPUTED_VALUE"""),"")</f>
        <v/>
      </c>
      <c r="D250" s="134" t="str">
        <f ca="1">IFERROR(__xludf.DUMMYFUNCTION("""COMPUTED_VALUE"""),"")</f>
        <v/>
      </c>
      <c r="E250" s="134" t="str">
        <f ca="1">IFERROR(__xludf.DUMMYFUNCTION("""COMPUTED_VALUE"""),"")</f>
        <v/>
      </c>
      <c r="F250" s="134" t="str">
        <f ca="1">IFERROR(__xludf.DUMMYFUNCTION("""COMPUTED_VALUE"""),"")</f>
        <v/>
      </c>
      <c r="G250" s="134" t="str">
        <f ca="1">IFERROR(__xludf.DUMMYFUNCTION("""COMPUTED_VALUE"""),"")</f>
        <v/>
      </c>
      <c r="H250" s="134" t="str">
        <f ca="1">IFERROR(__xludf.DUMMYFUNCTION("""COMPUTED_VALUE"""),"")</f>
        <v/>
      </c>
      <c r="I250" s="134" t="str">
        <f ca="1">IFERROR(__xludf.DUMMYFUNCTION("""COMPUTED_VALUE"""),"")</f>
        <v/>
      </c>
      <c r="J250" s="134" t="str">
        <f ca="1">IFERROR(__xludf.DUMMYFUNCTION("""COMPUTED_VALUE"""),"")</f>
        <v/>
      </c>
      <c r="N250" s="31"/>
      <c r="Q250" s="195"/>
      <c r="S250" s="51"/>
      <c r="T250" s="31"/>
    </row>
    <row r="251" spans="1:20" customFormat="1">
      <c r="A251" s="134" t="str">
        <f ca="1">IFERROR(__xludf.DUMMYFUNCTION("""COMPUTED_VALUE"""),"")</f>
        <v/>
      </c>
      <c r="B251" s="134" t="str">
        <f ca="1">IFERROR(__xludf.DUMMYFUNCTION("""COMPUTED_VALUE"""),"")</f>
        <v/>
      </c>
      <c r="C251" s="134" t="str">
        <f ca="1">IFERROR(__xludf.DUMMYFUNCTION("""COMPUTED_VALUE"""),"")</f>
        <v/>
      </c>
      <c r="D251" s="134" t="str">
        <f ca="1">IFERROR(__xludf.DUMMYFUNCTION("""COMPUTED_VALUE"""),"")</f>
        <v/>
      </c>
      <c r="E251" s="134" t="str">
        <f ca="1">IFERROR(__xludf.DUMMYFUNCTION("""COMPUTED_VALUE"""),"")</f>
        <v/>
      </c>
      <c r="F251" s="134" t="str">
        <f ca="1">IFERROR(__xludf.DUMMYFUNCTION("""COMPUTED_VALUE"""),"")</f>
        <v/>
      </c>
      <c r="G251" s="134" t="str">
        <f ca="1">IFERROR(__xludf.DUMMYFUNCTION("""COMPUTED_VALUE"""),"")</f>
        <v/>
      </c>
      <c r="H251" s="134" t="str">
        <f ca="1">IFERROR(__xludf.DUMMYFUNCTION("""COMPUTED_VALUE"""),"")</f>
        <v/>
      </c>
      <c r="I251" s="134" t="str">
        <f ca="1">IFERROR(__xludf.DUMMYFUNCTION("""COMPUTED_VALUE"""),"")</f>
        <v/>
      </c>
      <c r="J251" s="134" t="str">
        <f ca="1">IFERROR(__xludf.DUMMYFUNCTION("""COMPUTED_VALUE"""),"")</f>
        <v/>
      </c>
      <c r="N251" s="31"/>
      <c r="Q251" s="195"/>
      <c r="S251" s="51"/>
      <c r="T251" s="31"/>
    </row>
    <row r="252" spans="1:20" customFormat="1">
      <c r="A252" s="134" t="str">
        <f ca="1">IFERROR(__xludf.DUMMYFUNCTION("""COMPUTED_VALUE"""),"")</f>
        <v/>
      </c>
      <c r="B252" s="134" t="str">
        <f ca="1">IFERROR(__xludf.DUMMYFUNCTION("""COMPUTED_VALUE"""),"")</f>
        <v/>
      </c>
      <c r="C252" s="134" t="str">
        <f ca="1">IFERROR(__xludf.DUMMYFUNCTION("""COMPUTED_VALUE"""),"")</f>
        <v/>
      </c>
      <c r="D252" s="134" t="str">
        <f ca="1">IFERROR(__xludf.DUMMYFUNCTION("""COMPUTED_VALUE"""),"")</f>
        <v/>
      </c>
      <c r="E252" s="134" t="str">
        <f ca="1">IFERROR(__xludf.DUMMYFUNCTION("""COMPUTED_VALUE"""),"")</f>
        <v/>
      </c>
      <c r="F252" s="134" t="str">
        <f ca="1">IFERROR(__xludf.DUMMYFUNCTION("""COMPUTED_VALUE"""),"")</f>
        <v/>
      </c>
      <c r="G252" s="134" t="str">
        <f ca="1">IFERROR(__xludf.DUMMYFUNCTION("""COMPUTED_VALUE"""),"")</f>
        <v/>
      </c>
      <c r="H252" s="134" t="str">
        <f ca="1">IFERROR(__xludf.DUMMYFUNCTION("""COMPUTED_VALUE"""),"")</f>
        <v/>
      </c>
      <c r="I252" s="134" t="str">
        <f ca="1">IFERROR(__xludf.DUMMYFUNCTION("""COMPUTED_VALUE"""),"")</f>
        <v/>
      </c>
      <c r="J252" s="134" t="str">
        <f ca="1">IFERROR(__xludf.DUMMYFUNCTION("""COMPUTED_VALUE"""),"")</f>
        <v/>
      </c>
      <c r="N252" s="31"/>
      <c r="Q252" s="195"/>
      <c r="S252" s="51"/>
      <c r="T252" s="31"/>
    </row>
    <row r="253" spans="1:20" customFormat="1">
      <c r="A253" s="134" t="str">
        <f ca="1">IFERROR(__xludf.DUMMYFUNCTION("""COMPUTED_VALUE"""),"")</f>
        <v/>
      </c>
      <c r="B253" s="134" t="str">
        <f ca="1">IFERROR(__xludf.DUMMYFUNCTION("""COMPUTED_VALUE"""),"")</f>
        <v/>
      </c>
      <c r="C253" s="134" t="str">
        <f ca="1">IFERROR(__xludf.DUMMYFUNCTION("""COMPUTED_VALUE"""),"")</f>
        <v/>
      </c>
      <c r="D253" s="134" t="str">
        <f ca="1">IFERROR(__xludf.DUMMYFUNCTION("""COMPUTED_VALUE"""),"")</f>
        <v/>
      </c>
      <c r="E253" s="134" t="str">
        <f ca="1">IFERROR(__xludf.DUMMYFUNCTION("""COMPUTED_VALUE"""),"")</f>
        <v/>
      </c>
      <c r="F253" s="134" t="str">
        <f ca="1">IFERROR(__xludf.DUMMYFUNCTION("""COMPUTED_VALUE"""),"")</f>
        <v/>
      </c>
      <c r="G253" s="134" t="str">
        <f ca="1">IFERROR(__xludf.DUMMYFUNCTION("""COMPUTED_VALUE"""),"")</f>
        <v/>
      </c>
      <c r="H253" s="134" t="str">
        <f ca="1">IFERROR(__xludf.DUMMYFUNCTION("""COMPUTED_VALUE"""),"")</f>
        <v/>
      </c>
      <c r="I253" s="134" t="str">
        <f ca="1">IFERROR(__xludf.DUMMYFUNCTION("""COMPUTED_VALUE"""),"")</f>
        <v/>
      </c>
      <c r="J253" s="134" t="str">
        <f ca="1">IFERROR(__xludf.DUMMYFUNCTION("""COMPUTED_VALUE"""),"")</f>
        <v/>
      </c>
      <c r="N253" s="31"/>
      <c r="Q253" s="195"/>
      <c r="S253" s="51"/>
      <c r="T253" s="31"/>
    </row>
    <row r="254" spans="1:20" customFormat="1">
      <c r="A254" s="134" t="str">
        <f ca="1">IFERROR(__xludf.DUMMYFUNCTION("""COMPUTED_VALUE"""),"")</f>
        <v/>
      </c>
      <c r="B254" s="134" t="str">
        <f ca="1">IFERROR(__xludf.DUMMYFUNCTION("""COMPUTED_VALUE"""),"")</f>
        <v/>
      </c>
      <c r="C254" s="134" t="str">
        <f ca="1">IFERROR(__xludf.DUMMYFUNCTION("""COMPUTED_VALUE"""),"")</f>
        <v/>
      </c>
      <c r="D254" s="134" t="str">
        <f ca="1">IFERROR(__xludf.DUMMYFUNCTION("""COMPUTED_VALUE"""),"")</f>
        <v/>
      </c>
      <c r="E254" s="134" t="str">
        <f ca="1">IFERROR(__xludf.DUMMYFUNCTION("""COMPUTED_VALUE"""),"")</f>
        <v/>
      </c>
      <c r="F254" s="134" t="str">
        <f ca="1">IFERROR(__xludf.DUMMYFUNCTION("""COMPUTED_VALUE"""),"")</f>
        <v/>
      </c>
      <c r="G254" s="134" t="str">
        <f ca="1">IFERROR(__xludf.DUMMYFUNCTION("""COMPUTED_VALUE"""),"")</f>
        <v/>
      </c>
      <c r="H254" s="134" t="str">
        <f ca="1">IFERROR(__xludf.DUMMYFUNCTION("""COMPUTED_VALUE"""),"")</f>
        <v/>
      </c>
      <c r="I254" s="134" t="str">
        <f ca="1">IFERROR(__xludf.DUMMYFUNCTION("""COMPUTED_VALUE"""),"")</f>
        <v/>
      </c>
      <c r="J254" s="134" t="str">
        <f ca="1">IFERROR(__xludf.DUMMYFUNCTION("""COMPUTED_VALUE"""),"")</f>
        <v/>
      </c>
      <c r="N254" s="31"/>
      <c r="Q254" s="195"/>
      <c r="S254" s="51"/>
      <c r="T254" s="31"/>
    </row>
    <row r="255" spans="1:20" customFormat="1">
      <c r="A255" s="134" t="str">
        <f ca="1">IFERROR(__xludf.DUMMYFUNCTION("""COMPUTED_VALUE"""),"")</f>
        <v/>
      </c>
      <c r="B255" s="134" t="str">
        <f ca="1">IFERROR(__xludf.DUMMYFUNCTION("""COMPUTED_VALUE"""),"")</f>
        <v/>
      </c>
      <c r="C255" s="134" t="str">
        <f ca="1">IFERROR(__xludf.DUMMYFUNCTION("""COMPUTED_VALUE"""),"")</f>
        <v/>
      </c>
      <c r="D255" s="134" t="str">
        <f ca="1">IFERROR(__xludf.DUMMYFUNCTION("""COMPUTED_VALUE"""),"")</f>
        <v/>
      </c>
      <c r="E255" s="134" t="str">
        <f ca="1">IFERROR(__xludf.DUMMYFUNCTION("""COMPUTED_VALUE"""),"")</f>
        <v/>
      </c>
      <c r="F255" s="134" t="str">
        <f ca="1">IFERROR(__xludf.DUMMYFUNCTION("""COMPUTED_VALUE"""),"")</f>
        <v/>
      </c>
      <c r="G255" s="134" t="str">
        <f ca="1">IFERROR(__xludf.DUMMYFUNCTION("""COMPUTED_VALUE"""),"")</f>
        <v/>
      </c>
      <c r="H255" s="134" t="str">
        <f ca="1">IFERROR(__xludf.DUMMYFUNCTION("""COMPUTED_VALUE"""),"")</f>
        <v/>
      </c>
      <c r="I255" s="134" t="str">
        <f ca="1">IFERROR(__xludf.DUMMYFUNCTION("""COMPUTED_VALUE"""),"")</f>
        <v/>
      </c>
      <c r="J255" s="134" t="str">
        <f ca="1">IFERROR(__xludf.DUMMYFUNCTION("""COMPUTED_VALUE"""),"")</f>
        <v/>
      </c>
      <c r="N255" s="31"/>
      <c r="Q255" s="195"/>
      <c r="S255" s="51"/>
      <c r="T255" s="31"/>
    </row>
    <row r="256" spans="1:20" customFormat="1">
      <c r="A256" s="134" t="str">
        <f ca="1">IFERROR(__xludf.DUMMYFUNCTION("""COMPUTED_VALUE"""),"")</f>
        <v/>
      </c>
      <c r="B256" s="134" t="str">
        <f ca="1">IFERROR(__xludf.DUMMYFUNCTION("""COMPUTED_VALUE"""),"")</f>
        <v/>
      </c>
      <c r="C256" s="134" t="str">
        <f ca="1">IFERROR(__xludf.DUMMYFUNCTION("""COMPUTED_VALUE"""),"")</f>
        <v/>
      </c>
      <c r="D256" s="134" t="str">
        <f ca="1">IFERROR(__xludf.DUMMYFUNCTION("""COMPUTED_VALUE"""),"")</f>
        <v/>
      </c>
      <c r="E256" s="134" t="str">
        <f ca="1">IFERROR(__xludf.DUMMYFUNCTION("""COMPUTED_VALUE"""),"")</f>
        <v/>
      </c>
      <c r="F256" s="134" t="str">
        <f ca="1">IFERROR(__xludf.DUMMYFUNCTION("""COMPUTED_VALUE"""),"")</f>
        <v/>
      </c>
      <c r="G256" s="134" t="str">
        <f ca="1">IFERROR(__xludf.DUMMYFUNCTION("""COMPUTED_VALUE"""),"")</f>
        <v/>
      </c>
      <c r="H256" s="134" t="str">
        <f ca="1">IFERROR(__xludf.DUMMYFUNCTION("""COMPUTED_VALUE"""),"")</f>
        <v/>
      </c>
      <c r="I256" s="134" t="str">
        <f ca="1">IFERROR(__xludf.DUMMYFUNCTION("""COMPUTED_VALUE"""),"")</f>
        <v/>
      </c>
      <c r="J256" s="134" t="str">
        <f ca="1">IFERROR(__xludf.DUMMYFUNCTION("""COMPUTED_VALUE"""),"")</f>
        <v/>
      </c>
      <c r="N256" s="31"/>
      <c r="Q256" s="195"/>
      <c r="S256" s="51"/>
      <c r="T256" s="31"/>
    </row>
    <row r="257" spans="1:20" customFormat="1">
      <c r="A257" s="134" t="str">
        <f ca="1">IFERROR(__xludf.DUMMYFUNCTION("""COMPUTED_VALUE"""),"")</f>
        <v/>
      </c>
      <c r="B257" s="134" t="str">
        <f ca="1">IFERROR(__xludf.DUMMYFUNCTION("""COMPUTED_VALUE"""),"")</f>
        <v/>
      </c>
      <c r="C257" s="134" t="str">
        <f ca="1">IFERROR(__xludf.DUMMYFUNCTION("""COMPUTED_VALUE"""),"")</f>
        <v/>
      </c>
      <c r="D257" s="134" t="str">
        <f ca="1">IFERROR(__xludf.DUMMYFUNCTION("""COMPUTED_VALUE"""),"")</f>
        <v/>
      </c>
      <c r="E257" s="134" t="str">
        <f ca="1">IFERROR(__xludf.DUMMYFUNCTION("""COMPUTED_VALUE"""),"")</f>
        <v/>
      </c>
      <c r="F257" s="134" t="str">
        <f ca="1">IFERROR(__xludf.DUMMYFUNCTION("""COMPUTED_VALUE"""),"")</f>
        <v/>
      </c>
      <c r="G257" s="134" t="str">
        <f ca="1">IFERROR(__xludf.DUMMYFUNCTION("""COMPUTED_VALUE"""),"")</f>
        <v/>
      </c>
      <c r="H257" s="134" t="str">
        <f ca="1">IFERROR(__xludf.DUMMYFUNCTION("""COMPUTED_VALUE"""),"")</f>
        <v/>
      </c>
      <c r="I257" s="134" t="str">
        <f ca="1">IFERROR(__xludf.DUMMYFUNCTION("""COMPUTED_VALUE"""),"")</f>
        <v/>
      </c>
      <c r="J257" s="134" t="str">
        <f ca="1">IFERROR(__xludf.DUMMYFUNCTION("""COMPUTED_VALUE"""),"")</f>
        <v/>
      </c>
      <c r="N257" s="31"/>
      <c r="Q257" s="195"/>
      <c r="S257" s="51"/>
      <c r="T257" s="31"/>
    </row>
    <row r="258" spans="1:20" customFormat="1">
      <c r="A258" s="134" t="str">
        <f ca="1">IFERROR(__xludf.DUMMYFUNCTION("""COMPUTED_VALUE"""),"")</f>
        <v/>
      </c>
      <c r="B258" s="134" t="str">
        <f ca="1">IFERROR(__xludf.DUMMYFUNCTION("""COMPUTED_VALUE"""),"")</f>
        <v/>
      </c>
      <c r="C258" s="134" t="str">
        <f ca="1">IFERROR(__xludf.DUMMYFUNCTION("""COMPUTED_VALUE"""),"")</f>
        <v/>
      </c>
      <c r="D258" s="134" t="str">
        <f ca="1">IFERROR(__xludf.DUMMYFUNCTION("""COMPUTED_VALUE"""),"")</f>
        <v/>
      </c>
      <c r="E258" s="134" t="str">
        <f ca="1">IFERROR(__xludf.DUMMYFUNCTION("""COMPUTED_VALUE"""),"")</f>
        <v/>
      </c>
      <c r="F258" s="134" t="str">
        <f ca="1">IFERROR(__xludf.DUMMYFUNCTION("""COMPUTED_VALUE"""),"")</f>
        <v/>
      </c>
      <c r="G258" s="134" t="str">
        <f ca="1">IFERROR(__xludf.DUMMYFUNCTION("""COMPUTED_VALUE"""),"")</f>
        <v/>
      </c>
      <c r="H258" s="134" t="str">
        <f ca="1">IFERROR(__xludf.DUMMYFUNCTION("""COMPUTED_VALUE"""),"")</f>
        <v/>
      </c>
      <c r="I258" s="134" t="str">
        <f ca="1">IFERROR(__xludf.DUMMYFUNCTION("""COMPUTED_VALUE"""),"")</f>
        <v/>
      </c>
      <c r="J258" s="134" t="str">
        <f ca="1">IFERROR(__xludf.DUMMYFUNCTION("""COMPUTED_VALUE"""),"")</f>
        <v/>
      </c>
      <c r="N258" s="31"/>
      <c r="Q258" s="195"/>
      <c r="S258" s="51"/>
      <c r="T258" s="31"/>
    </row>
    <row r="259" spans="1:20" customFormat="1">
      <c r="A259" s="134" t="str">
        <f ca="1">IFERROR(__xludf.DUMMYFUNCTION("""COMPUTED_VALUE"""),"")</f>
        <v/>
      </c>
      <c r="B259" s="134" t="str">
        <f ca="1">IFERROR(__xludf.DUMMYFUNCTION("""COMPUTED_VALUE"""),"")</f>
        <v/>
      </c>
      <c r="C259" s="134" t="str">
        <f ca="1">IFERROR(__xludf.DUMMYFUNCTION("""COMPUTED_VALUE"""),"")</f>
        <v/>
      </c>
      <c r="D259" s="134" t="str">
        <f ca="1">IFERROR(__xludf.DUMMYFUNCTION("""COMPUTED_VALUE"""),"")</f>
        <v/>
      </c>
      <c r="E259" s="134" t="str">
        <f ca="1">IFERROR(__xludf.DUMMYFUNCTION("""COMPUTED_VALUE"""),"")</f>
        <v/>
      </c>
      <c r="F259" s="134" t="str">
        <f ca="1">IFERROR(__xludf.DUMMYFUNCTION("""COMPUTED_VALUE"""),"")</f>
        <v/>
      </c>
      <c r="G259" s="134" t="str">
        <f ca="1">IFERROR(__xludf.DUMMYFUNCTION("""COMPUTED_VALUE"""),"")</f>
        <v/>
      </c>
      <c r="H259" s="134" t="str">
        <f ca="1">IFERROR(__xludf.DUMMYFUNCTION("""COMPUTED_VALUE"""),"")</f>
        <v/>
      </c>
      <c r="I259" s="134" t="str">
        <f ca="1">IFERROR(__xludf.DUMMYFUNCTION("""COMPUTED_VALUE"""),"")</f>
        <v/>
      </c>
      <c r="J259" s="134" t="str">
        <f ca="1">IFERROR(__xludf.DUMMYFUNCTION("""COMPUTED_VALUE"""),"")</f>
        <v/>
      </c>
      <c r="N259" s="31"/>
      <c r="Q259" s="195"/>
      <c r="S259" s="51"/>
      <c r="T259" s="31"/>
    </row>
    <row r="260" spans="1:20" customFormat="1">
      <c r="A260" s="134" t="str">
        <f ca="1">IFERROR(__xludf.DUMMYFUNCTION("""COMPUTED_VALUE"""),"")</f>
        <v/>
      </c>
      <c r="B260" s="134" t="str">
        <f ca="1">IFERROR(__xludf.DUMMYFUNCTION("""COMPUTED_VALUE"""),"")</f>
        <v/>
      </c>
      <c r="C260" s="134" t="str">
        <f ca="1">IFERROR(__xludf.DUMMYFUNCTION("""COMPUTED_VALUE"""),"")</f>
        <v/>
      </c>
      <c r="D260" s="134" t="str">
        <f ca="1">IFERROR(__xludf.DUMMYFUNCTION("""COMPUTED_VALUE"""),"")</f>
        <v/>
      </c>
      <c r="E260" s="134" t="str">
        <f ca="1">IFERROR(__xludf.DUMMYFUNCTION("""COMPUTED_VALUE"""),"")</f>
        <v/>
      </c>
      <c r="F260" s="134" t="str">
        <f ca="1">IFERROR(__xludf.DUMMYFUNCTION("""COMPUTED_VALUE"""),"")</f>
        <v/>
      </c>
      <c r="G260" s="134" t="str">
        <f ca="1">IFERROR(__xludf.DUMMYFUNCTION("""COMPUTED_VALUE"""),"")</f>
        <v/>
      </c>
      <c r="H260" s="134" t="str">
        <f ca="1">IFERROR(__xludf.DUMMYFUNCTION("""COMPUTED_VALUE"""),"")</f>
        <v/>
      </c>
      <c r="I260" s="134" t="str">
        <f ca="1">IFERROR(__xludf.DUMMYFUNCTION("""COMPUTED_VALUE"""),"")</f>
        <v/>
      </c>
      <c r="J260" s="134" t="str">
        <f ca="1">IFERROR(__xludf.DUMMYFUNCTION("""COMPUTED_VALUE"""),"")</f>
        <v/>
      </c>
      <c r="N260" s="31"/>
      <c r="Q260" s="195"/>
      <c r="S260" s="51"/>
      <c r="T260" s="31"/>
    </row>
    <row r="261" spans="1:20" customFormat="1">
      <c r="A261" s="134" t="str">
        <f ca="1">IFERROR(__xludf.DUMMYFUNCTION("""COMPUTED_VALUE"""),"")</f>
        <v/>
      </c>
      <c r="B261" s="134" t="str">
        <f ca="1">IFERROR(__xludf.DUMMYFUNCTION("""COMPUTED_VALUE"""),"")</f>
        <v/>
      </c>
      <c r="C261" s="134" t="str">
        <f ca="1">IFERROR(__xludf.DUMMYFUNCTION("""COMPUTED_VALUE"""),"")</f>
        <v/>
      </c>
      <c r="D261" s="134" t="str">
        <f ca="1">IFERROR(__xludf.DUMMYFUNCTION("""COMPUTED_VALUE"""),"")</f>
        <v/>
      </c>
      <c r="E261" s="134" t="str">
        <f ca="1">IFERROR(__xludf.DUMMYFUNCTION("""COMPUTED_VALUE"""),"")</f>
        <v/>
      </c>
      <c r="F261" s="134" t="str">
        <f ca="1">IFERROR(__xludf.DUMMYFUNCTION("""COMPUTED_VALUE"""),"")</f>
        <v/>
      </c>
      <c r="G261" s="134" t="str">
        <f ca="1">IFERROR(__xludf.DUMMYFUNCTION("""COMPUTED_VALUE"""),"")</f>
        <v/>
      </c>
      <c r="H261" s="134" t="str">
        <f ca="1">IFERROR(__xludf.DUMMYFUNCTION("""COMPUTED_VALUE"""),"")</f>
        <v/>
      </c>
      <c r="I261" s="134" t="str">
        <f ca="1">IFERROR(__xludf.DUMMYFUNCTION("""COMPUTED_VALUE"""),"")</f>
        <v/>
      </c>
      <c r="J261" s="134" t="str">
        <f ca="1">IFERROR(__xludf.DUMMYFUNCTION("""COMPUTED_VALUE"""),"")</f>
        <v/>
      </c>
      <c r="N261" s="31"/>
      <c r="Q261" s="195"/>
      <c r="S261" s="51"/>
      <c r="T261" s="31"/>
    </row>
    <row r="262" spans="1:20" customFormat="1">
      <c r="A262" s="134" t="str">
        <f ca="1">IFERROR(__xludf.DUMMYFUNCTION("""COMPUTED_VALUE"""),"")</f>
        <v/>
      </c>
      <c r="B262" s="134" t="str">
        <f ca="1">IFERROR(__xludf.DUMMYFUNCTION("""COMPUTED_VALUE"""),"")</f>
        <v/>
      </c>
      <c r="C262" s="134" t="str">
        <f ca="1">IFERROR(__xludf.DUMMYFUNCTION("""COMPUTED_VALUE"""),"")</f>
        <v/>
      </c>
      <c r="D262" s="134" t="str">
        <f ca="1">IFERROR(__xludf.DUMMYFUNCTION("""COMPUTED_VALUE"""),"")</f>
        <v/>
      </c>
      <c r="E262" s="134" t="str">
        <f ca="1">IFERROR(__xludf.DUMMYFUNCTION("""COMPUTED_VALUE"""),"")</f>
        <v/>
      </c>
      <c r="F262" s="134" t="str">
        <f ca="1">IFERROR(__xludf.DUMMYFUNCTION("""COMPUTED_VALUE"""),"")</f>
        <v/>
      </c>
      <c r="G262" s="134" t="str">
        <f ca="1">IFERROR(__xludf.DUMMYFUNCTION("""COMPUTED_VALUE"""),"")</f>
        <v/>
      </c>
      <c r="H262" s="134" t="str">
        <f ca="1">IFERROR(__xludf.DUMMYFUNCTION("""COMPUTED_VALUE"""),"")</f>
        <v/>
      </c>
      <c r="I262" s="134" t="str">
        <f ca="1">IFERROR(__xludf.DUMMYFUNCTION("""COMPUTED_VALUE"""),"")</f>
        <v/>
      </c>
      <c r="J262" s="134" t="str">
        <f ca="1">IFERROR(__xludf.DUMMYFUNCTION("""COMPUTED_VALUE"""),"")</f>
        <v/>
      </c>
      <c r="N262" s="31"/>
      <c r="Q262" s="195"/>
      <c r="S262" s="51"/>
      <c r="T262" s="31"/>
    </row>
    <row r="263" spans="1:20" customFormat="1">
      <c r="A263" s="134" t="str">
        <f ca="1">IFERROR(__xludf.DUMMYFUNCTION("""COMPUTED_VALUE"""),"")</f>
        <v/>
      </c>
      <c r="B263" s="134" t="str">
        <f ca="1">IFERROR(__xludf.DUMMYFUNCTION("""COMPUTED_VALUE"""),"")</f>
        <v/>
      </c>
      <c r="C263" s="134" t="str">
        <f ca="1">IFERROR(__xludf.DUMMYFUNCTION("""COMPUTED_VALUE"""),"")</f>
        <v/>
      </c>
      <c r="D263" s="134" t="str">
        <f ca="1">IFERROR(__xludf.DUMMYFUNCTION("""COMPUTED_VALUE"""),"")</f>
        <v/>
      </c>
      <c r="E263" s="134" t="str">
        <f ca="1">IFERROR(__xludf.DUMMYFUNCTION("""COMPUTED_VALUE"""),"")</f>
        <v/>
      </c>
      <c r="F263" s="134" t="str">
        <f ca="1">IFERROR(__xludf.DUMMYFUNCTION("""COMPUTED_VALUE"""),"")</f>
        <v/>
      </c>
      <c r="G263" s="134" t="str">
        <f ca="1">IFERROR(__xludf.DUMMYFUNCTION("""COMPUTED_VALUE"""),"")</f>
        <v/>
      </c>
      <c r="H263" s="134" t="str">
        <f ca="1">IFERROR(__xludf.DUMMYFUNCTION("""COMPUTED_VALUE"""),"")</f>
        <v/>
      </c>
      <c r="I263" s="134" t="str">
        <f ca="1">IFERROR(__xludf.DUMMYFUNCTION("""COMPUTED_VALUE"""),"")</f>
        <v/>
      </c>
      <c r="J263" s="134" t="str">
        <f ca="1">IFERROR(__xludf.DUMMYFUNCTION("""COMPUTED_VALUE"""),"")</f>
        <v/>
      </c>
      <c r="N263" s="31"/>
      <c r="Q263" s="195"/>
      <c r="S263" s="51"/>
      <c r="T263" s="31"/>
    </row>
    <row r="264" spans="1:20" customFormat="1">
      <c r="A264" s="134" t="str">
        <f ca="1">IFERROR(__xludf.DUMMYFUNCTION("""COMPUTED_VALUE"""),"")</f>
        <v/>
      </c>
      <c r="B264" s="134" t="str">
        <f ca="1">IFERROR(__xludf.DUMMYFUNCTION("""COMPUTED_VALUE"""),"")</f>
        <v/>
      </c>
      <c r="C264" s="134" t="str">
        <f ca="1">IFERROR(__xludf.DUMMYFUNCTION("""COMPUTED_VALUE"""),"")</f>
        <v/>
      </c>
      <c r="D264" s="134" t="str">
        <f ca="1">IFERROR(__xludf.DUMMYFUNCTION("""COMPUTED_VALUE"""),"")</f>
        <v/>
      </c>
      <c r="E264" s="134" t="str">
        <f ca="1">IFERROR(__xludf.DUMMYFUNCTION("""COMPUTED_VALUE"""),"")</f>
        <v/>
      </c>
      <c r="F264" s="134" t="str">
        <f ca="1">IFERROR(__xludf.DUMMYFUNCTION("""COMPUTED_VALUE"""),"")</f>
        <v/>
      </c>
      <c r="G264" s="134" t="str">
        <f ca="1">IFERROR(__xludf.DUMMYFUNCTION("""COMPUTED_VALUE"""),"")</f>
        <v/>
      </c>
      <c r="H264" s="134" t="str">
        <f ca="1">IFERROR(__xludf.DUMMYFUNCTION("""COMPUTED_VALUE"""),"")</f>
        <v/>
      </c>
      <c r="I264" s="134" t="str">
        <f ca="1">IFERROR(__xludf.DUMMYFUNCTION("""COMPUTED_VALUE"""),"")</f>
        <v/>
      </c>
      <c r="J264" s="134" t="str">
        <f ca="1">IFERROR(__xludf.DUMMYFUNCTION("""COMPUTED_VALUE"""),"")</f>
        <v/>
      </c>
      <c r="N264" s="31"/>
      <c r="Q264" s="195"/>
      <c r="S264" s="51"/>
      <c r="T264" s="31"/>
    </row>
    <row r="265" spans="1:20" customFormat="1">
      <c r="A265" s="134" t="str">
        <f ca="1">IFERROR(__xludf.DUMMYFUNCTION("""COMPUTED_VALUE"""),"")</f>
        <v/>
      </c>
      <c r="B265" s="134" t="str">
        <f ca="1">IFERROR(__xludf.DUMMYFUNCTION("""COMPUTED_VALUE"""),"")</f>
        <v/>
      </c>
      <c r="C265" s="134" t="str">
        <f ca="1">IFERROR(__xludf.DUMMYFUNCTION("""COMPUTED_VALUE"""),"")</f>
        <v/>
      </c>
      <c r="D265" s="134" t="str">
        <f ca="1">IFERROR(__xludf.DUMMYFUNCTION("""COMPUTED_VALUE"""),"")</f>
        <v/>
      </c>
      <c r="E265" s="134" t="str">
        <f ca="1">IFERROR(__xludf.DUMMYFUNCTION("""COMPUTED_VALUE"""),"")</f>
        <v/>
      </c>
      <c r="F265" s="134" t="str">
        <f ca="1">IFERROR(__xludf.DUMMYFUNCTION("""COMPUTED_VALUE"""),"")</f>
        <v/>
      </c>
      <c r="G265" s="134" t="str">
        <f ca="1">IFERROR(__xludf.DUMMYFUNCTION("""COMPUTED_VALUE"""),"")</f>
        <v/>
      </c>
      <c r="H265" s="134" t="str">
        <f ca="1">IFERROR(__xludf.DUMMYFUNCTION("""COMPUTED_VALUE"""),"")</f>
        <v/>
      </c>
      <c r="I265" s="134" t="str">
        <f ca="1">IFERROR(__xludf.DUMMYFUNCTION("""COMPUTED_VALUE"""),"")</f>
        <v/>
      </c>
      <c r="J265" s="134" t="str">
        <f ca="1">IFERROR(__xludf.DUMMYFUNCTION("""COMPUTED_VALUE"""),"")</f>
        <v/>
      </c>
      <c r="N265" s="31"/>
      <c r="Q265" s="195"/>
      <c r="S265" s="51"/>
      <c r="T265" s="31"/>
    </row>
    <row r="266" spans="1:20" customFormat="1">
      <c r="A266" s="134" t="str">
        <f ca="1">IFERROR(__xludf.DUMMYFUNCTION("""COMPUTED_VALUE"""),"")</f>
        <v/>
      </c>
      <c r="B266" s="134" t="str">
        <f ca="1">IFERROR(__xludf.DUMMYFUNCTION("""COMPUTED_VALUE"""),"")</f>
        <v/>
      </c>
      <c r="C266" s="134" t="str">
        <f ca="1">IFERROR(__xludf.DUMMYFUNCTION("""COMPUTED_VALUE"""),"")</f>
        <v/>
      </c>
      <c r="D266" s="134" t="str">
        <f ca="1">IFERROR(__xludf.DUMMYFUNCTION("""COMPUTED_VALUE"""),"")</f>
        <v/>
      </c>
      <c r="E266" s="134" t="str">
        <f ca="1">IFERROR(__xludf.DUMMYFUNCTION("""COMPUTED_VALUE"""),"")</f>
        <v/>
      </c>
      <c r="F266" s="134" t="str">
        <f ca="1">IFERROR(__xludf.DUMMYFUNCTION("""COMPUTED_VALUE"""),"")</f>
        <v/>
      </c>
      <c r="G266" s="134" t="str">
        <f ca="1">IFERROR(__xludf.DUMMYFUNCTION("""COMPUTED_VALUE"""),"")</f>
        <v/>
      </c>
      <c r="H266" s="134" t="str">
        <f ca="1">IFERROR(__xludf.DUMMYFUNCTION("""COMPUTED_VALUE"""),"")</f>
        <v/>
      </c>
      <c r="I266" s="134" t="str">
        <f ca="1">IFERROR(__xludf.DUMMYFUNCTION("""COMPUTED_VALUE"""),"")</f>
        <v/>
      </c>
      <c r="J266" s="134" t="str">
        <f ca="1">IFERROR(__xludf.DUMMYFUNCTION("""COMPUTED_VALUE"""),"")</f>
        <v/>
      </c>
      <c r="N266" s="31"/>
      <c r="Q266" s="195"/>
      <c r="S266" s="51"/>
      <c r="T266" s="31"/>
    </row>
    <row r="267" spans="1:20" customFormat="1">
      <c r="A267" s="134" t="str">
        <f ca="1">IFERROR(__xludf.DUMMYFUNCTION("""COMPUTED_VALUE"""),"")</f>
        <v/>
      </c>
      <c r="B267" s="134" t="str">
        <f ca="1">IFERROR(__xludf.DUMMYFUNCTION("""COMPUTED_VALUE"""),"")</f>
        <v/>
      </c>
      <c r="C267" s="134" t="str">
        <f ca="1">IFERROR(__xludf.DUMMYFUNCTION("""COMPUTED_VALUE"""),"")</f>
        <v/>
      </c>
      <c r="D267" s="134" t="str">
        <f ca="1">IFERROR(__xludf.DUMMYFUNCTION("""COMPUTED_VALUE"""),"")</f>
        <v/>
      </c>
      <c r="E267" s="134" t="str">
        <f ca="1">IFERROR(__xludf.DUMMYFUNCTION("""COMPUTED_VALUE"""),"")</f>
        <v/>
      </c>
      <c r="F267" s="134" t="str">
        <f ca="1">IFERROR(__xludf.DUMMYFUNCTION("""COMPUTED_VALUE"""),"")</f>
        <v/>
      </c>
      <c r="G267" s="134" t="str">
        <f ca="1">IFERROR(__xludf.DUMMYFUNCTION("""COMPUTED_VALUE"""),"")</f>
        <v/>
      </c>
      <c r="H267" s="134" t="str">
        <f ca="1">IFERROR(__xludf.DUMMYFUNCTION("""COMPUTED_VALUE"""),"")</f>
        <v/>
      </c>
      <c r="I267" s="134" t="str">
        <f ca="1">IFERROR(__xludf.DUMMYFUNCTION("""COMPUTED_VALUE"""),"")</f>
        <v/>
      </c>
      <c r="J267" s="134" t="str">
        <f ca="1">IFERROR(__xludf.DUMMYFUNCTION("""COMPUTED_VALUE"""),"")</f>
        <v/>
      </c>
      <c r="N267" s="31"/>
      <c r="Q267" s="195"/>
      <c r="S267" s="51"/>
      <c r="T267" s="31"/>
    </row>
    <row r="268" spans="1:20" customFormat="1">
      <c r="A268" s="134" t="str">
        <f ca="1">IFERROR(__xludf.DUMMYFUNCTION("""COMPUTED_VALUE"""),"")</f>
        <v/>
      </c>
      <c r="B268" s="134" t="str">
        <f ca="1">IFERROR(__xludf.DUMMYFUNCTION("""COMPUTED_VALUE"""),"")</f>
        <v/>
      </c>
      <c r="C268" s="134" t="str">
        <f ca="1">IFERROR(__xludf.DUMMYFUNCTION("""COMPUTED_VALUE"""),"")</f>
        <v/>
      </c>
      <c r="D268" s="134" t="str">
        <f ca="1">IFERROR(__xludf.DUMMYFUNCTION("""COMPUTED_VALUE"""),"")</f>
        <v/>
      </c>
      <c r="E268" s="134" t="str">
        <f ca="1">IFERROR(__xludf.DUMMYFUNCTION("""COMPUTED_VALUE"""),"")</f>
        <v/>
      </c>
      <c r="F268" s="134" t="str">
        <f ca="1">IFERROR(__xludf.DUMMYFUNCTION("""COMPUTED_VALUE"""),"")</f>
        <v/>
      </c>
      <c r="G268" s="134" t="str">
        <f ca="1">IFERROR(__xludf.DUMMYFUNCTION("""COMPUTED_VALUE"""),"")</f>
        <v/>
      </c>
      <c r="H268" s="134" t="str">
        <f ca="1">IFERROR(__xludf.DUMMYFUNCTION("""COMPUTED_VALUE"""),"")</f>
        <v/>
      </c>
      <c r="I268" s="134" t="str">
        <f ca="1">IFERROR(__xludf.DUMMYFUNCTION("""COMPUTED_VALUE"""),"")</f>
        <v/>
      </c>
      <c r="J268" s="134" t="str">
        <f ca="1">IFERROR(__xludf.DUMMYFUNCTION("""COMPUTED_VALUE"""),"")</f>
        <v/>
      </c>
      <c r="N268" s="31"/>
      <c r="Q268" s="195"/>
      <c r="S268" s="51"/>
      <c r="T268" s="31"/>
    </row>
    <row r="269" spans="1:20" customFormat="1">
      <c r="A269" s="134" t="str">
        <f ca="1">IFERROR(__xludf.DUMMYFUNCTION("""COMPUTED_VALUE"""),"")</f>
        <v/>
      </c>
      <c r="B269" s="134" t="str">
        <f ca="1">IFERROR(__xludf.DUMMYFUNCTION("""COMPUTED_VALUE"""),"")</f>
        <v/>
      </c>
      <c r="C269" s="134" t="str">
        <f ca="1">IFERROR(__xludf.DUMMYFUNCTION("""COMPUTED_VALUE"""),"")</f>
        <v/>
      </c>
      <c r="D269" s="134" t="str">
        <f ca="1">IFERROR(__xludf.DUMMYFUNCTION("""COMPUTED_VALUE"""),"")</f>
        <v/>
      </c>
      <c r="E269" s="134" t="str">
        <f ca="1">IFERROR(__xludf.DUMMYFUNCTION("""COMPUTED_VALUE"""),"")</f>
        <v/>
      </c>
      <c r="F269" s="134" t="str">
        <f ca="1">IFERROR(__xludf.DUMMYFUNCTION("""COMPUTED_VALUE"""),"")</f>
        <v/>
      </c>
      <c r="G269" s="134" t="str">
        <f ca="1">IFERROR(__xludf.DUMMYFUNCTION("""COMPUTED_VALUE"""),"")</f>
        <v/>
      </c>
      <c r="H269" s="134" t="str">
        <f ca="1">IFERROR(__xludf.DUMMYFUNCTION("""COMPUTED_VALUE"""),"")</f>
        <v/>
      </c>
      <c r="I269" s="134" t="str">
        <f ca="1">IFERROR(__xludf.DUMMYFUNCTION("""COMPUTED_VALUE"""),"")</f>
        <v/>
      </c>
      <c r="J269" s="134" t="str">
        <f ca="1">IFERROR(__xludf.DUMMYFUNCTION("""COMPUTED_VALUE"""),"")</f>
        <v/>
      </c>
      <c r="N269" s="31"/>
      <c r="Q269" s="195"/>
      <c r="S269" s="51"/>
      <c r="T269" s="31"/>
    </row>
    <row r="270" spans="1:20" customFormat="1">
      <c r="A270" s="134" t="str">
        <f ca="1">IFERROR(__xludf.DUMMYFUNCTION("""COMPUTED_VALUE"""),"")</f>
        <v/>
      </c>
      <c r="B270" s="134" t="str">
        <f ca="1">IFERROR(__xludf.DUMMYFUNCTION("""COMPUTED_VALUE"""),"")</f>
        <v/>
      </c>
      <c r="C270" s="134" t="str">
        <f ca="1">IFERROR(__xludf.DUMMYFUNCTION("""COMPUTED_VALUE"""),"")</f>
        <v/>
      </c>
      <c r="D270" s="134" t="str">
        <f ca="1">IFERROR(__xludf.DUMMYFUNCTION("""COMPUTED_VALUE"""),"")</f>
        <v/>
      </c>
      <c r="E270" s="134" t="str">
        <f ca="1">IFERROR(__xludf.DUMMYFUNCTION("""COMPUTED_VALUE"""),"")</f>
        <v/>
      </c>
      <c r="F270" s="134" t="str">
        <f ca="1">IFERROR(__xludf.DUMMYFUNCTION("""COMPUTED_VALUE"""),"")</f>
        <v/>
      </c>
      <c r="G270" s="134" t="str">
        <f ca="1">IFERROR(__xludf.DUMMYFUNCTION("""COMPUTED_VALUE"""),"")</f>
        <v/>
      </c>
      <c r="H270" s="134" t="str">
        <f ca="1">IFERROR(__xludf.DUMMYFUNCTION("""COMPUTED_VALUE"""),"")</f>
        <v/>
      </c>
      <c r="I270" s="134" t="str">
        <f ca="1">IFERROR(__xludf.DUMMYFUNCTION("""COMPUTED_VALUE"""),"")</f>
        <v/>
      </c>
      <c r="J270" s="134" t="str">
        <f ca="1">IFERROR(__xludf.DUMMYFUNCTION("""COMPUTED_VALUE"""),"")</f>
        <v/>
      </c>
      <c r="N270" s="31"/>
      <c r="Q270" s="195"/>
      <c r="S270" s="51"/>
      <c r="T270" s="31"/>
    </row>
    <row r="271" spans="1:20" customFormat="1">
      <c r="A271" s="134" t="str">
        <f ca="1">IFERROR(__xludf.DUMMYFUNCTION("""COMPUTED_VALUE"""),"")</f>
        <v/>
      </c>
      <c r="B271" s="134" t="str">
        <f ca="1">IFERROR(__xludf.DUMMYFUNCTION("""COMPUTED_VALUE"""),"")</f>
        <v/>
      </c>
      <c r="C271" s="134" t="str">
        <f ca="1">IFERROR(__xludf.DUMMYFUNCTION("""COMPUTED_VALUE"""),"")</f>
        <v/>
      </c>
      <c r="D271" s="134" t="str">
        <f ca="1">IFERROR(__xludf.DUMMYFUNCTION("""COMPUTED_VALUE"""),"")</f>
        <v/>
      </c>
      <c r="E271" s="134" t="str">
        <f ca="1">IFERROR(__xludf.DUMMYFUNCTION("""COMPUTED_VALUE"""),"")</f>
        <v/>
      </c>
      <c r="F271" s="134" t="str">
        <f ca="1">IFERROR(__xludf.DUMMYFUNCTION("""COMPUTED_VALUE"""),"")</f>
        <v/>
      </c>
      <c r="G271" s="134" t="str">
        <f ca="1">IFERROR(__xludf.DUMMYFUNCTION("""COMPUTED_VALUE"""),"")</f>
        <v/>
      </c>
      <c r="H271" s="134" t="str">
        <f ca="1">IFERROR(__xludf.DUMMYFUNCTION("""COMPUTED_VALUE"""),"")</f>
        <v/>
      </c>
      <c r="I271" s="134" t="str">
        <f ca="1">IFERROR(__xludf.DUMMYFUNCTION("""COMPUTED_VALUE"""),"")</f>
        <v/>
      </c>
      <c r="J271" s="134" t="str">
        <f ca="1">IFERROR(__xludf.DUMMYFUNCTION("""COMPUTED_VALUE"""),"")</f>
        <v/>
      </c>
      <c r="N271" s="31"/>
      <c r="Q271" s="195"/>
      <c r="S271" s="51"/>
      <c r="T271" s="31"/>
    </row>
    <row r="272" spans="1:20" customFormat="1">
      <c r="A272" s="134" t="str">
        <f ca="1">IFERROR(__xludf.DUMMYFUNCTION("""COMPUTED_VALUE"""),"")</f>
        <v/>
      </c>
      <c r="B272" s="134" t="str">
        <f ca="1">IFERROR(__xludf.DUMMYFUNCTION("""COMPUTED_VALUE"""),"")</f>
        <v/>
      </c>
      <c r="C272" s="134" t="str">
        <f ca="1">IFERROR(__xludf.DUMMYFUNCTION("""COMPUTED_VALUE"""),"")</f>
        <v/>
      </c>
      <c r="D272" s="134" t="str">
        <f ca="1">IFERROR(__xludf.DUMMYFUNCTION("""COMPUTED_VALUE"""),"")</f>
        <v/>
      </c>
      <c r="E272" s="134" t="str">
        <f ca="1">IFERROR(__xludf.DUMMYFUNCTION("""COMPUTED_VALUE"""),"")</f>
        <v/>
      </c>
      <c r="F272" s="134" t="str">
        <f ca="1">IFERROR(__xludf.DUMMYFUNCTION("""COMPUTED_VALUE"""),"")</f>
        <v/>
      </c>
      <c r="G272" s="134" t="str">
        <f ca="1">IFERROR(__xludf.DUMMYFUNCTION("""COMPUTED_VALUE"""),"")</f>
        <v/>
      </c>
      <c r="H272" s="134" t="str">
        <f ca="1">IFERROR(__xludf.DUMMYFUNCTION("""COMPUTED_VALUE"""),"")</f>
        <v/>
      </c>
      <c r="I272" s="134" t="str">
        <f ca="1">IFERROR(__xludf.DUMMYFUNCTION("""COMPUTED_VALUE"""),"")</f>
        <v/>
      </c>
      <c r="J272" s="134" t="str">
        <f ca="1">IFERROR(__xludf.DUMMYFUNCTION("""COMPUTED_VALUE"""),"")</f>
        <v/>
      </c>
      <c r="N272" s="31"/>
      <c r="Q272" s="195"/>
      <c r="S272" s="51"/>
      <c r="T272" s="31"/>
    </row>
    <row r="273" spans="1:20" customFormat="1">
      <c r="A273" s="134" t="str">
        <f ca="1">IFERROR(__xludf.DUMMYFUNCTION("""COMPUTED_VALUE"""),"")</f>
        <v/>
      </c>
      <c r="B273" s="134" t="str">
        <f ca="1">IFERROR(__xludf.DUMMYFUNCTION("""COMPUTED_VALUE"""),"")</f>
        <v/>
      </c>
      <c r="C273" s="134" t="str">
        <f ca="1">IFERROR(__xludf.DUMMYFUNCTION("""COMPUTED_VALUE"""),"")</f>
        <v/>
      </c>
      <c r="D273" s="134" t="str">
        <f ca="1">IFERROR(__xludf.DUMMYFUNCTION("""COMPUTED_VALUE"""),"")</f>
        <v/>
      </c>
      <c r="E273" s="134" t="str">
        <f ca="1">IFERROR(__xludf.DUMMYFUNCTION("""COMPUTED_VALUE"""),"")</f>
        <v/>
      </c>
      <c r="F273" s="134" t="str">
        <f ca="1">IFERROR(__xludf.DUMMYFUNCTION("""COMPUTED_VALUE"""),"")</f>
        <v/>
      </c>
      <c r="G273" s="134" t="str">
        <f ca="1">IFERROR(__xludf.DUMMYFUNCTION("""COMPUTED_VALUE"""),"")</f>
        <v/>
      </c>
      <c r="H273" s="134" t="str">
        <f ca="1">IFERROR(__xludf.DUMMYFUNCTION("""COMPUTED_VALUE"""),"")</f>
        <v/>
      </c>
      <c r="I273" s="134" t="str">
        <f ca="1">IFERROR(__xludf.DUMMYFUNCTION("""COMPUTED_VALUE"""),"")</f>
        <v/>
      </c>
      <c r="J273" s="134" t="str">
        <f ca="1">IFERROR(__xludf.DUMMYFUNCTION("""COMPUTED_VALUE"""),"")</f>
        <v/>
      </c>
      <c r="N273" s="31"/>
      <c r="Q273" s="195"/>
      <c r="S273" s="51"/>
      <c r="T273" s="31"/>
    </row>
    <row r="274" spans="1:20" customFormat="1">
      <c r="A274" s="134" t="str">
        <f ca="1">IFERROR(__xludf.DUMMYFUNCTION("""COMPUTED_VALUE"""),"")</f>
        <v/>
      </c>
      <c r="B274" s="134" t="str">
        <f ca="1">IFERROR(__xludf.DUMMYFUNCTION("""COMPUTED_VALUE"""),"")</f>
        <v/>
      </c>
      <c r="C274" s="134" t="str">
        <f ca="1">IFERROR(__xludf.DUMMYFUNCTION("""COMPUTED_VALUE"""),"")</f>
        <v/>
      </c>
      <c r="D274" s="134" t="str">
        <f ca="1">IFERROR(__xludf.DUMMYFUNCTION("""COMPUTED_VALUE"""),"")</f>
        <v/>
      </c>
      <c r="E274" s="134" t="str">
        <f ca="1">IFERROR(__xludf.DUMMYFUNCTION("""COMPUTED_VALUE"""),"")</f>
        <v/>
      </c>
      <c r="F274" s="134" t="str">
        <f ca="1">IFERROR(__xludf.DUMMYFUNCTION("""COMPUTED_VALUE"""),"")</f>
        <v/>
      </c>
      <c r="G274" s="134" t="str">
        <f ca="1">IFERROR(__xludf.DUMMYFUNCTION("""COMPUTED_VALUE"""),"")</f>
        <v/>
      </c>
      <c r="H274" s="134" t="str">
        <f ca="1">IFERROR(__xludf.DUMMYFUNCTION("""COMPUTED_VALUE"""),"")</f>
        <v/>
      </c>
      <c r="I274" s="134" t="str">
        <f ca="1">IFERROR(__xludf.DUMMYFUNCTION("""COMPUTED_VALUE"""),"")</f>
        <v/>
      </c>
      <c r="J274" s="134" t="str">
        <f ca="1">IFERROR(__xludf.DUMMYFUNCTION("""COMPUTED_VALUE"""),"")</f>
        <v/>
      </c>
      <c r="N274" s="31"/>
      <c r="Q274" s="195"/>
      <c r="S274" s="51"/>
      <c r="T274" s="31"/>
    </row>
    <row r="275" spans="1:20" customFormat="1">
      <c r="A275" s="134" t="str">
        <f ca="1">IFERROR(__xludf.DUMMYFUNCTION("""COMPUTED_VALUE"""),"")</f>
        <v/>
      </c>
      <c r="B275" s="134" t="str">
        <f ca="1">IFERROR(__xludf.DUMMYFUNCTION("""COMPUTED_VALUE"""),"")</f>
        <v/>
      </c>
      <c r="C275" s="134" t="str">
        <f ca="1">IFERROR(__xludf.DUMMYFUNCTION("""COMPUTED_VALUE"""),"")</f>
        <v/>
      </c>
      <c r="D275" s="134" t="str">
        <f ca="1">IFERROR(__xludf.DUMMYFUNCTION("""COMPUTED_VALUE"""),"")</f>
        <v/>
      </c>
      <c r="E275" s="134" t="str">
        <f ca="1">IFERROR(__xludf.DUMMYFUNCTION("""COMPUTED_VALUE"""),"")</f>
        <v/>
      </c>
      <c r="F275" s="134" t="str">
        <f ca="1">IFERROR(__xludf.DUMMYFUNCTION("""COMPUTED_VALUE"""),"")</f>
        <v/>
      </c>
      <c r="G275" s="134" t="str">
        <f ca="1">IFERROR(__xludf.DUMMYFUNCTION("""COMPUTED_VALUE"""),"")</f>
        <v/>
      </c>
      <c r="H275" s="134" t="str">
        <f ca="1">IFERROR(__xludf.DUMMYFUNCTION("""COMPUTED_VALUE"""),"")</f>
        <v/>
      </c>
      <c r="I275" s="134" t="str">
        <f ca="1">IFERROR(__xludf.DUMMYFUNCTION("""COMPUTED_VALUE"""),"")</f>
        <v/>
      </c>
      <c r="J275" s="134" t="str">
        <f ca="1">IFERROR(__xludf.DUMMYFUNCTION("""COMPUTED_VALUE"""),"")</f>
        <v/>
      </c>
      <c r="N275" s="31"/>
      <c r="Q275" s="195"/>
      <c r="S275" s="51"/>
      <c r="T275" s="31"/>
    </row>
    <row r="276" spans="1:20" customFormat="1">
      <c r="A276" s="134" t="str">
        <f ca="1">IFERROR(__xludf.DUMMYFUNCTION("""COMPUTED_VALUE"""),"")</f>
        <v/>
      </c>
      <c r="B276" s="134" t="str">
        <f ca="1">IFERROR(__xludf.DUMMYFUNCTION("""COMPUTED_VALUE"""),"")</f>
        <v/>
      </c>
      <c r="C276" s="134" t="str">
        <f ca="1">IFERROR(__xludf.DUMMYFUNCTION("""COMPUTED_VALUE"""),"")</f>
        <v/>
      </c>
      <c r="D276" s="134" t="str">
        <f ca="1">IFERROR(__xludf.DUMMYFUNCTION("""COMPUTED_VALUE"""),"")</f>
        <v/>
      </c>
      <c r="E276" s="134" t="str">
        <f ca="1">IFERROR(__xludf.DUMMYFUNCTION("""COMPUTED_VALUE"""),"")</f>
        <v/>
      </c>
      <c r="F276" s="134" t="str">
        <f ca="1">IFERROR(__xludf.DUMMYFUNCTION("""COMPUTED_VALUE"""),"")</f>
        <v/>
      </c>
      <c r="G276" s="134" t="str">
        <f ca="1">IFERROR(__xludf.DUMMYFUNCTION("""COMPUTED_VALUE"""),"")</f>
        <v/>
      </c>
      <c r="H276" s="134" t="str">
        <f ca="1">IFERROR(__xludf.DUMMYFUNCTION("""COMPUTED_VALUE"""),"")</f>
        <v/>
      </c>
      <c r="I276" s="134" t="str">
        <f ca="1">IFERROR(__xludf.DUMMYFUNCTION("""COMPUTED_VALUE"""),"")</f>
        <v/>
      </c>
      <c r="J276" s="134" t="str">
        <f ca="1">IFERROR(__xludf.DUMMYFUNCTION("""COMPUTED_VALUE"""),"")</f>
        <v/>
      </c>
      <c r="N276" s="31"/>
      <c r="Q276" s="195"/>
      <c r="S276" s="51"/>
      <c r="T276" s="31"/>
    </row>
    <row r="277" spans="1:20" customFormat="1">
      <c r="A277" s="134" t="str">
        <f ca="1">IFERROR(__xludf.DUMMYFUNCTION("""COMPUTED_VALUE"""),"")</f>
        <v/>
      </c>
      <c r="B277" s="134" t="str">
        <f ca="1">IFERROR(__xludf.DUMMYFUNCTION("""COMPUTED_VALUE"""),"")</f>
        <v/>
      </c>
      <c r="C277" s="134" t="str">
        <f ca="1">IFERROR(__xludf.DUMMYFUNCTION("""COMPUTED_VALUE"""),"")</f>
        <v/>
      </c>
      <c r="D277" s="134" t="str">
        <f ca="1">IFERROR(__xludf.DUMMYFUNCTION("""COMPUTED_VALUE"""),"")</f>
        <v/>
      </c>
      <c r="E277" s="134" t="str">
        <f ca="1">IFERROR(__xludf.DUMMYFUNCTION("""COMPUTED_VALUE"""),"")</f>
        <v/>
      </c>
      <c r="F277" s="134" t="str">
        <f ca="1">IFERROR(__xludf.DUMMYFUNCTION("""COMPUTED_VALUE"""),"")</f>
        <v/>
      </c>
      <c r="G277" s="134" t="str">
        <f ca="1">IFERROR(__xludf.DUMMYFUNCTION("""COMPUTED_VALUE"""),"")</f>
        <v/>
      </c>
      <c r="H277" s="134" t="str">
        <f ca="1">IFERROR(__xludf.DUMMYFUNCTION("""COMPUTED_VALUE"""),"")</f>
        <v/>
      </c>
      <c r="I277" s="134" t="str">
        <f ca="1">IFERROR(__xludf.DUMMYFUNCTION("""COMPUTED_VALUE"""),"")</f>
        <v/>
      </c>
      <c r="J277" s="134" t="str">
        <f ca="1">IFERROR(__xludf.DUMMYFUNCTION("""COMPUTED_VALUE"""),"")</f>
        <v/>
      </c>
      <c r="N277" s="31"/>
      <c r="Q277" s="195"/>
      <c r="S277" s="51"/>
      <c r="T277" s="31"/>
    </row>
    <row r="278" spans="1:20" customFormat="1">
      <c r="A278" s="134" t="str">
        <f ca="1">IFERROR(__xludf.DUMMYFUNCTION("""COMPUTED_VALUE"""),"")</f>
        <v/>
      </c>
      <c r="B278" s="134" t="str">
        <f ca="1">IFERROR(__xludf.DUMMYFUNCTION("""COMPUTED_VALUE"""),"")</f>
        <v/>
      </c>
      <c r="C278" s="134" t="str">
        <f ca="1">IFERROR(__xludf.DUMMYFUNCTION("""COMPUTED_VALUE"""),"")</f>
        <v/>
      </c>
      <c r="D278" s="134" t="str">
        <f ca="1">IFERROR(__xludf.DUMMYFUNCTION("""COMPUTED_VALUE"""),"")</f>
        <v/>
      </c>
      <c r="E278" s="134" t="str">
        <f ca="1">IFERROR(__xludf.DUMMYFUNCTION("""COMPUTED_VALUE"""),"")</f>
        <v/>
      </c>
      <c r="F278" s="134" t="str">
        <f ca="1">IFERROR(__xludf.DUMMYFUNCTION("""COMPUTED_VALUE"""),"")</f>
        <v/>
      </c>
      <c r="G278" s="134" t="str">
        <f ca="1">IFERROR(__xludf.DUMMYFUNCTION("""COMPUTED_VALUE"""),"")</f>
        <v/>
      </c>
      <c r="H278" s="134" t="str">
        <f ca="1">IFERROR(__xludf.DUMMYFUNCTION("""COMPUTED_VALUE"""),"")</f>
        <v/>
      </c>
      <c r="I278" s="134" t="str">
        <f ca="1">IFERROR(__xludf.DUMMYFUNCTION("""COMPUTED_VALUE"""),"")</f>
        <v/>
      </c>
      <c r="J278" s="134" t="str">
        <f ca="1">IFERROR(__xludf.DUMMYFUNCTION("""COMPUTED_VALUE"""),"")</f>
        <v/>
      </c>
      <c r="N278" s="31"/>
      <c r="Q278" s="195"/>
      <c r="S278" s="51"/>
      <c r="T278" s="31"/>
    </row>
    <row r="279" spans="1:20" customFormat="1">
      <c r="A279" s="134" t="str">
        <f ca="1">IFERROR(__xludf.DUMMYFUNCTION("""COMPUTED_VALUE"""),"")</f>
        <v/>
      </c>
      <c r="B279" s="134" t="str">
        <f ca="1">IFERROR(__xludf.DUMMYFUNCTION("""COMPUTED_VALUE"""),"")</f>
        <v/>
      </c>
      <c r="C279" s="134" t="str">
        <f ca="1">IFERROR(__xludf.DUMMYFUNCTION("""COMPUTED_VALUE"""),"")</f>
        <v/>
      </c>
      <c r="D279" s="134" t="str">
        <f ca="1">IFERROR(__xludf.DUMMYFUNCTION("""COMPUTED_VALUE"""),"")</f>
        <v/>
      </c>
      <c r="E279" s="134" t="str">
        <f ca="1">IFERROR(__xludf.DUMMYFUNCTION("""COMPUTED_VALUE"""),"")</f>
        <v/>
      </c>
      <c r="F279" s="134" t="str">
        <f ca="1">IFERROR(__xludf.DUMMYFUNCTION("""COMPUTED_VALUE"""),"")</f>
        <v/>
      </c>
      <c r="G279" s="134" t="str">
        <f ca="1">IFERROR(__xludf.DUMMYFUNCTION("""COMPUTED_VALUE"""),"")</f>
        <v/>
      </c>
      <c r="H279" s="134" t="str">
        <f ca="1">IFERROR(__xludf.DUMMYFUNCTION("""COMPUTED_VALUE"""),"")</f>
        <v/>
      </c>
      <c r="I279" s="134" t="str">
        <f ca="1">IFERROR(__xludf.DUMMYFUNCTION("""COMPUTED_VALUE"""),"")</f>
        <v/>
      </c>
      <c r="J279" s="134" t="str">
        <f ca="1">IFERROR(__xludf.DUMMYFUNCTION("""COMPUTED_VALUE"""),"")</f>
        <v/>
      </c>
      <c r="N279" s="31"/>
      <c r="Q279" s="195"/>
      <c r="S279" s="51"/>
      <c r="T279" s="31"/>
    </row>
    <row r="280" spans="1:20" customFormat="1">
      <c r="A280" s="134" t="str">
        <f ca="1">IFERROR(__xludf.DUMMYFUNCTION("""COMPUTED_VALUE"""),"")</f>
        <v/>
      </c>
      <c r="B280" s="134" t="str">
        <f ca="1">IFERROR(__xludf.DUMMYFUNCTION("""COMPUTED_VALUE"""),"")</f>
        <v/>
      </c>
      <c r="C280" s="134" t="str">
        <f ca="1">IFERROR(__xludf.DUMMYFUNCTION("""COMPUTED_VALUE"""),"")</f>
        <v/>
      </c>
      <c r="D280" s="134" t="str">
        <f ca="1">IFERROR(__xludf.DUMMYFUNCTION("""COMPUTED_VALUE"""),"")</f>
        <v/>
      </c>
      <c r="E280" s="134" t="str">
        <f ca="1">IFERROR(__xludf.DUMMYFUNCTION("""COMPUTED_VALUE"""),"")</f>
        <v/>
      </c>
      <c r="F280" s="134" t="str">
        <f ca="1">IFERROR(__xludf.DUMMYFUNCTION("""COMPUTED_VALUE"""),"")</f>
        <v/>
      </c>
      <c r="G280" s="134" t="str">
        <f ca="1">IFERROR(__xludf.DUMMYFUNCTION("""COMPUTED_VALUE"""),"")</f>
        <v/>
      </c>
      <c r="H280" s="134" t="str">
        <f ca="1">IFERROR(__xludf.DUMMYFUNCTION("""COMPUTED_VALUE"""),"")</f>
        <v/>
      </c>
      <c r="I280" s="134" t="str">
        <f ca="1">IFERROR(__xludf.DUMMYFUNCTION("""COMPUTED_VALUE"""),"")</f>
        <v/>
      </c>
      <c r="J280" s="134" t="str">
        <f ca="1">IFERROR(__xludf.DUMMYFUNCTION("""COMPUTED_VALUE"""),"")</f>
        <v/>
      </c>
      <c r="N280" s="31"/>
      <c r="Q280" s="195"/>
      <c r="S280" s="51"/>
      <c r="T280" s="31"/>
    </row>
    <row r="281" spans="1:20" customFormat="1">
      <c r="A281" s="134" t="str">
        <f ca="1">IFERROR(__xludf.DUMMYFUNCTION("""COMPUTED_VALUE"""),"")</f>
        <v/>
      </c>
      <c r="B281" s="134" t="str">
        <f ca="1">IFERROR(__xludf.DUMMYFUNCTION("""COMPUTED_VALUE"""),"")</f>
        <v/>
      </c>
      <c r="C281" s="134" t="str">
        <f ca="1">IFERROR(__xludf.DUMMYFUNCTION("""COMPUTED_VALUE"""),"")</f>
        <v/>
      </c>
      <c r="D281" s="134" t="str">
        <f ca="1">IFERROR(__xludf.DUMMYFUNCTION("""COMPUTED_VALUE"""),"")</f>
        <v/>
      </c>
      <c r="E281" s="134" t="str">
        <f ca="1">IFERROR(__xludf.DUMMYFUNCTION("""COMPUTED_VALUE"""),"")</f>
        <v/>
      </c>
      <c r="F281" s="134" t="str">
        <f ca="1">IFERROR(__xludf.DUMMYFUNCTION("""COMPUTED_VALUE"""),"")</f>
        <v/>
      </c>
      <c r="G281" s="134" t="str">
        <f ca="1">IFERROR(__xludf.DUMMYFUNCTION("""COMPUTED_VALUE"""),"")</f>
        <v/>
      </c>
      <c r="H281" s="134" t="str">
        <f ca="1">IFERROR(__xludf.DUMMYFUNCTION("""COMPUTED_VALUE"""),"")</f>
        <v/>
      </c>
      <c r="I281" s="134" t="str">
        <f ca="1">IFERROR(__xludf.DUMMYFUNCTION("""COMPUTED_VALUE"""),"")</f>
        <v/>
      </c>
      <c r="J281" s="134" t="str">
        <f ca="1">IFERROR(__xludf.DUMMYFUNCTION("""COMPUTED_VALUE"""),"")</f>
        <v/>
      </c>
      <c r="N281" s="31"/>
      <c r="Q281" s="195"/>
      <c r="S281" s="51"/>
      <c r="T281" s="31"/>
    </row>
    <row r="282" spans="1:20" customFormat="1">
      <c r="A282" s="134" t="str">
        <f ca="1">IFERROR(__xludf.DUMMYFUNCTION("""COMPUTED_VALUE"""),"")</f>
        <v/>
      </c>
      <c r="B282" s="134" t="str">
        <f ca="1">IFERROR(__xludf.DUMMYFUNCTION("""COMPUTED_VALUE"""),"")</f>
        <v/>
      </c>
      <c r="C282" s="134" t="str">
        <f ca="1">IFERROR(__xludf.DUMMYFUNCTION("""COMPUTED_VALUE"""),"")</f>
        <v/>
      </c>
      <c r="D282" s="134" t="str">
        <f ca="1">IFERROR(__xludf.DUMMYFUNCTION("""COMPUTED_VALUE"""),"")</f>
        <v/>
      </c>
      <c r="E282" s="134" t="str">
        <f ca="1">IFERROR(__xludf.DUMMYFUNCTION("""COMPUTED_VALUE"""),"")</f>
        <v/>
      </c>
      <c r="F282" s="134" t="str">
        <f ca="1">IFERROR(__xludf.DUMMYFUNCTION("""COMPUTED_VALUE"""),"")</f>
        <v/>
      </c>
      <c r="G282" s="134" t="str">
        <f ca="1">IFERROR(__xludf.DUMMYFUNCTION("""COMPUTED_VALUE"""),"")</f>
        <v/>
      </c>
      <c r="H282" s="134" t="str">
        <f ca="1">IFERROR(__xludf.DUMMYFUNCTION("""COMPUTED_VALUE"""),"")</f>
        <v/>
      </c>
      <c r="I282" s="134" t="str">
        <f ca="1">IFERROR(__xludf.DUMMYFUNCTION("""COMPUTED_VALUE"""),"")</f>
        <v/>
      </c>
      <c r="J282" s="134" t="str">
        <f ca="1">IFERROR(__xludf.DUMMYFUNCTION("""COMPUTED_VALUE"""),"")</f>
        <v/>
      </c>
      <c r="N282" s="31"/>
      <c r="Q282" s="195"/>
      <c r="S282" s="51"/>
      <c r="T282" s="31"/>
    </row>
    <row r="283" spans="1:20" customFormat="1">
      <c r="A283" s="134" t="str">
        <f ca="1">IFERROR(__xludf.DUMMYFUNCTION("""COMPUTED_VALUE"""),"")</f>
        <v/>
      </c>
      <c r="B283" s="134" t="str">
        <f ca="1">IFERROR(__xludf.DUMMYFUNCTION("""COMPUTED_VALUE"""),"")</f>
        <v/>
      </c>
      <c r="C283" s="134" t="str">
        <f ca="1">IFERROR(__xludf.DUMMYFUNCTION("""COMPUTED_VALUE"""),"")</f>
        <v/>
      </c>
      <c r="D283" s="134" t="str">
        <f ca="1">IFERROR(__xludf.DUMMYFUNCTION("""COMPUTED_VALUE"""),"")</f>
        <v/>
      </c>
      <c r="E283" s="134" t="str">
        <f ca="1">IFERROR(__xludf.DUMMYFUNCTION("""COMPUTED_VALUE"""),"")</f>
        <v/>
      </c>
      <c r="F283" s="134" t="str">
        <f ca="1">IFERROR(__xludf.DUMMYFUNCTION("""COMPUTED_VALUE"""),"")</f>
        <v/>
      </c>
      <c r="G283" s="134" t="str">
        <f ca="1">IFERROR(__xludf.DUMMYFUNCTION("""COMPUTED_VALUE"""),"")</f>
        <v/>
      </c>
      <c r="H283" s="134" t="str">
        <f ca="1">IFERROR(__xludf.DUMMYFUNCTION("""COMPUTED_VALUE"""),"")</f>
        <v/>
      </c>
      <c r="I283" s="134" t="str">
        <f ca="1">IFERROR(__xludf.DUMMYFUNCTION("""COMPUTED_VALUE"""),"")</f>
        <v/>
      </c>
      <c r="J283" s="134" t="str">
        <f ca="1">IFERROR(__xludf.DUMMYFUNCTION("""COMPUTED_VALUE"""),"")</f>
        <v/>
      </c>
      <c r="N283" s="31"/>
      <c r="Q283" s="195"/>
      <c r="S283" s="51"/>
      <c r="T283" s="31"/>
    </row>
    <row r="284" spans="1:20" customFormat="1">
      <c r="A284" s="134" t="str">
        <f ca="1">IFERROR(__xludf.DUMMYFUNCTION("""COMPUTED_VALUE"""),"")</f>
        <v/>
      </c>
      <c r="B284" s="134" t="str">
        <f ca="1">IFERROR(__xludf.DUMMYFUNCTION("""COMPUTED_VALUE"""),"")</f>
        <v/>
      </c>
      <c r="C284" s="134" t="str">
        <f ca="1">IFERROR(__xludf.DUMMYFUNCTION("""COMPUTED_VALUE"""),"")</f>
        <v/>
      </c>
      <c r="D284" s="134" t="str">
        <f ca="1">IFERROR(__xludf.DUMMYFUNCTION("""COMPUTED_VALUE"""),"")</f>
        <v/>
      </c>
      <c r="E284" s="134" t="str">
        <f ca="1">IFERROR(__xludf.DUMMYFUNCTION("""COMPUTED_VALUE"""),"")</f>
        <v/>
      </c>
      <c r="F284" s="134" t="str">
        <f ca="1">IFERROR(__xludf.DUMMYFUNCTION("""COMPUTED_VALUE"""),"")</f>
        <v/>
      </c>
      <c r="G284" s="134" t="str">
        <f ca="1">IFERROR(__xludf.DUMMYFUNCTION("""COMPUTED_VALUE"""),"")</f>
        <v/>
      </c>
      <c r="H284" s="134" t="str">
        <f ca="1">IFERROR(__xludf.DUMMYFUNCTION("""COMPUTED_VALUE"""),"")</f>
        <v/>
      </c>
      <c r="I284" s="134" t="str">
        <f ca="1">IFERROR(__xludf.DUMMYFUNCTION("""COMPUTED_VALUE"""),"")</f>
        <v/>
      </c>
      <c r="J284" s="134" t="str">
        <f ca="1">IFERROR(__xludf.DUMMYFUNCTION("""COMPUTED_VALUE"""),"")</f>
        <v/>
      </c>
      <c r="N284" s="31"/>
      <c r="Q284" s="195"/>
      <c r="S284" s="51"/>
      <c r="T284" s="31"/>
    </row>
    <row r="285" spans="1:20" customFormat="1">
      <c r="A285" s="134" t="str">
        <f ca="1">IFERROR(__xludf.DUMMYFUNCTION("""COMPUTED_VALUE"""),"")</f>
        <v/>
      </c>
      <c r="B285" s="134" t="str">
        <f ca="1">IFERROR(__xludf.DUMMYFUNCTION("""COMPUTED_VALUE"""),"")</f>
        <v/>
      </c>
      <c r="C285" s="134" t="str">
        <f ca="1">IFERROR(__xludf.DUMMYFUNCTION("""COMPUTED_VALUE"""),"")</f>
        <v/>
      </c>
      <c r="D285" s="134" t="str">
        <f ca="1">IFERROR(__xludf.DUMMYFUNCTION("""COMPUTED_VALUE"""),"")</f>
        <v/>
      </c>
      <c r="E285" s="134" t="str">
        <f ca="1">IFERROR(__xludf.DUMMYFUNCTION("""COMPUTED_VALUE"""),"")</f>
        <v/>
      </c>
      <c r="F285" s="134" t="str">
        <f ca="1">IFERROR(__xludf.DUMMYFUNCTION("""COMPUTED_VALUE"""),"")</f>
        <v/>
      </c>
      <c r="G285" s="134" t="str">
        <f ca="1">IFERROR(__xludf.DUMMYFUNCTION("""COMPUTED_VALUE"""),"")</f>
        <v/>
      </c>
      <c r="H285" s="134" t="str">
        <f ca="1">IFERROR(__xludf.DUMMYFUNCTION("""COMPUTED_VALUE"""),"")</f>
        <v/>
      </c>
      <c r="I285" s="134" t="str">
        <f ca="1">IFERROR(__xludf.DUMMYFUNCTION("""COMPUTED_VALUE"""),"")</f>
        <v/>
      </c>
      <c r="J285" s="134" t="str">
        <f ca="1">IFERROR(__xludf.DUMMYFUNCTION("""COMPUTED_VALUE"""),"")</f>
        <v/>
      </c>
      <c r="N285" s="31"/>
      <c r="Q285" s="195"/>
      <c r="S285" s="51"/>
      <c r="T285" s="31"/>
    </row>
    <row r="286" spans="1:20" customFormat="1">
      <c r="A286" s="134" t="str">
        <f ca="1">IFERROR(__xludf.DUMMYFUNCTION("""COMPUTED_VALUE"""),"")</f>
        <v/>
      </c>
      <c r="B286" s="134" t="str">
        <f ca="1">IFERROR(__xludf.DUMMYFUNCTION("""COMPUTED_VALUE"""),"")</f>
        <v/>
      </c>
      <c r="C286" s="134" t="str">
        <f ca="1">IFERROR(__xludf.DUMMYFUNCTION("""COMPUTED_VALUE"""),"")</f>
        <v/>
      </c>
      <c r="D286" s="134" t="str">
        <f ca="1">IFERROR(__xludf.DUMMYFUNCTION("""COMPUTED_VALUE"""),"")</f>
        <v/>
      </c>
      <c r="E286" s="134" t="str">
        <f ca="1">IFERROR(__xludf.DUMMYFUNCTION("""COMPUTED_VALUE"""),"")</f>
        <v/>
      </c>
      <c r="F286" s="134" t="str">
        <f ca="1">IFERROR(__xludf.DUMMYFUNCTION("""COMPUTED_VALUE"""),"")</f>
        <v/>
      </c>
      <c r="G286" s="134" t="str">
        <f ca="1">IFERROR(__xludf.DUMMYFUNCTION("""COMPUTED_VALUE"""),"")</f>
        <v/>
      </c>
      <c r="H286" s="134" t="str">
        <f ca="1">IFERROR(__xludf.DUMMYFUNCTION("""COMPUTED_VALUE"""),"")</f>
        <v/>
      </c>
      <c r="I286" s="134" t="str">
        <f ca="1">IFERROR(__xludf.DUMMYFUNCTION("""COMPUTED_VALUE"""),"")</f>
        <v/>
      </c>
      <c r="J286" s="134" t="str">
        <f ca="1">IFERROR(__xludf.DUMMYFUNCTION("""COMPUTED_VALUE"""),"")</f>
        <v/>
      </c>
      <c r="N286" s="31"/>
      <c r="Q286" s="195"/>
      <c r="S286" s="51"/>
      <c r="T286" s="31"/>
    </row>
    <row r="287" spans="1:20" customFormat="1">
      <c r="A287" s="134" t="str">
        <f ca="1">IFERROR(__xludf.DUMMYFUNCTION("""COMPUTED_VALUE"""),"")</f>
        <v/>
      </c>
      <c r="B287" s="134" t="str">
        <f ca="1">IFERROR(__xludf.DUMMYFUNCTION("""COMPUTED_VALUE"""),"")</f>
        <v/>
      </c>
      <c r="C287" s="134" t="str">
        <f ca="1">IFERROR(__xludf.DUMMYFUNCTION("""COMPUTED_VALUE"""),"")</f>
        <v/>
      </c>
      <c r="D287" s="134" t="str">
        <f ca="1">IFERROR(__xludf.DUMMYFUNCTION("""COMPUTED_VALUE"""),"")</f>
        <v/>
      </c>
      <c r="E287" s="134" t="str">
        <f ca="1">IFERROR(__xludf.DUMMYFUNCTION("""COMPUTED_VALUE"""),"")</f>
        <v/>
      </c>
      <c r="F287" s="134" t="str">
        <f ca="1">IFERROR(__xludf.DUMMYFUNCTION("""COMPUTED_VALUE"""),"")</f>
        <v/>
      </c>
      <c r="G287" s="134" t="str">
        <f ca="1">IFERROR(__xludf.DUMMYFUNCTION("""COMPUTED_VALUE"""),"")</f>
        <v/>
      </c>
      <c r="H287" s="134" t="str">
        <f ca="1">IFERROR(__xludf.DUMMYFUNCTION("""COMPUTED_VALUE"""),"")</f>
        <v/>
      </c>
      <c r="I287" s="134" t="str">
        <f ca="1">IFERROR(__xludf.DUMMYFUNCTION("""COMPUTED_VALUE"""),"")</f>
        <v/>
      </c>
      <c r="J287" s="134" t="str">
        <f ca="1">IFERROR(__xludf.DUMMYFUNCTION("""COMPUTED_VALUE"""),"")</f>
        <v/>
      </c>
      <c r="N287" s="31"/>
      <c r="Q287" s="195"/>
      <c r="S287" s="51"/>
      <c r="T287" s="31"/>
    </row>
    <row r="288" spans="1:20" customFormat="1">
      <c r="A288" s="134" t="str">
        <f ca="1">IFERROR(__xludf.DUMMYFUNCTION("""COMPUTED_VALUE"""),"")</f>
        <v/>
      </c>
      <c r="B288" s="134" t="str">
        <f ca="1">IFERROR(__xludf.DUMMYFUNCTION("""COMPUTED_VALUE"""),"")</f>
        <v/>
      </c>
      <c r="C288" s="134" t="str">
        <f ca="1">IFERROR(__xludf.DUMMYFUNCTION("""COMPUTED_VALUE"""),"")</f>
        <v/>
      </c>
      <c r="D288" s="134" t="str">
        <f ca="1">IFERROR(__xludf.DUMMYFUNCTION("""COMPUTED_VALUE"""),"")</f>
        <v/>
      </c>
      <c r="E288" s="134" t="str">
        <f ca="1">IFERROR(__xludf.DUMMYFUNCTION("""COMPUTED_VALUE"""),"")</f>
        <v/>
      </c>
      <c r="F288" s="134" t="str">
        <f ca="1">IFERROR(__xludf.DUMMYFUNCTION("""COMPUTED_VALUE"""),"")</f>
        <v/>
      </c>
      <c r="G288" s="134" t="str">
        <f ca="1">IFERROR(__xludf.DUMMYFUNCTION("""COMPUTED_VALUE"""),"")</f>
        <v/>
      </c>
      <c r="H288" s="134" t="str">
        <f ca="1">IFERROR(__xludf.DUMMYFUNCTION("""COMPUTED_VALUE"""),"")</f>
        <v/>
      </c>
      <c r="I288" s="134" t="str">
        <f ca="1">IFERROR(__xludf.DUMMYFUNCTION("""COMPUTED_VALUE"""),"")</f>
        <v/>
      </c>
      <c r="J288" s="134" t="str">
        <f ca="1">IFERROR(__xludf.DUMMYFUNCTION("""COMPUTED_VALUE"""),"")</f>
        <v/>
      </c>
      <c r="N288" s="31"/>
      <c r="Q288" s="195"/>
      <c r="S288" s="51"/>
      <c r="T288" s="31"/>
    </row>
    <row r="289" spans="1:20" customFormat="1">
      <c r="A289" s="134" t="str">
        <f ca="1">IFERROR(__xludf.DUMMYFUNCTION("""COMPUTED_VALUE"""),"")</f>
        <v/>
      </c>
      <c r="B289" s="134" t="str">
        <f ca="1">IFERROR(__xludf.DUMMYFUNCTION("""COMPUTED_VALUE"""),"")</f>
        <v/>
      </c>
      <c r="C289" s="134" t="str">
        <f ca="1">IFERROR(__xludf.DUMMYFUNCTION("""COMPUTED_VALUE"""),"")</f>
        <v/>
      </c>
      <c r="D289" s="134" t="str">
        <f ca="1">IFERROR(__xludf.DUMMYFUNCTION("""COMPUTED_VALUE"""),"")</f>
        <v/>
      </c>
      <c r="E289" s="134" t="str">
        <f ca="1">IFERROR(__xludf.DUMMYFUNCTION("""COMPUTED_VALUE"""),"")</f>
        <v/>
      </c>
      <c r="F289" s="134" t="str">
        <f ca="1">IFERROR(__xludf.DUMMYFUNCTION("""COMPUTED_VALUE"""),"")</f>
        <v/>
      </c>
      <c r="G289" s="134" t="str">
        <f ca="1">IFERROR(__xludf.DUMMYFUNCTION("""COMPUTED_VALUE"""),"")</f>
        <v/>
      </c>
      <c r="H289" s="134" t="str">
        <f ca="1">IFERROR(__xludf.DUMMYFUNCTION("""COMPUTED_VALUE"""),"")</f>
        <v/>
      </c>
      <c r="I289" s="134" t="str">
        <f ca="1">IFERROR(__xludf.DUMMYFUNCTION("""COMPUTED_VALUE"""),"")</f>
        <v/>
      </c>
      <c r="J289" s="134" t="str">
        <f ca="1">IFERROR(__xludf.DUMMYFUNCTION("""COMPUTED_VALUE"""),"")</f>
        <v/>
      </c>
      <c r="N289" s="31"/>
      <c r="Q289" s="195"/>
      <c r="S289" s="51"/>
      <c r="T289" s="31"/>
    </row>
    <row r="290" spans="1:20" customFormat="1">
      <c r="A290" s="134" t="str">
        <f ca="1">IFERROR(__xludf.DUMMYFUNCTION("""COMPUTED_VALUE"""),"")</f>
        <v/>
      </c>
      <c r="B290" s="134" t="str">
        <f ca="1">IFERROR(__xludf.DUMMYFUNCTION("""COMPUTED_VALUE"""),"")</f>
        <v/>
      </c>
      <c r="C290" s="134" t="str">
        <f ca="1">IFERROR(__xludf.DUMMYFUNCTION("""COMPUTED_VALUE"""),"")</f>
        <v/>
      </c>
      <c r="D290" s="134" t="str">
        <f ca="1">IFERROR(__xludf.DUMMYFUNCTION("""COMPUTED_VALUE"""),"")</f>
        <v/>
      </c>
      <c r="E290" s="134" t="str">
        <f ca="1">IFERROR(__xludf.DUMMYFUNCTION("""COMPUTED_VALUE"""),"")</f>
        <v/>
      </c>
      <c r="F290" s="134" t="str">
        <f ca="1">IFERROR(__xludf.DUMMYFUNCTION("""COMPUTED_VALUE"""),"")</f>
        <v/>
      </c>
      <c r="G290" s="134" t="str">
        <f ca="1">IFERROR(__xludf.DUMMYFUNCTION("""COMPUTED_VALUE"""),"")</f>
        <v/>
      </c>
      <c r="H290" s="134" t="str">
        <f ca="1">IFERROR(__xludf.DUMMYFUNCTION("""COMPUTED_VALUE"""),"")</f>
        <v/>
      </c>
      <c r="I290" s="134" t="str">
        <f ca="1">IFERROR(__xludf.DUMMYFUNCTION("""COMPUTED_VALUE"""),"")</f>
        <v/>
      </c>
      <c r="J290" s="134" t="str">
        <f ca="1">IFERROR(__xludf.DUMMYFUNCTION("""COMPUTED_VALUE"""),"")</f>
        <v/>
      </c>
      <c r="N290" s="31"/>
      <c r="Q290" s="195"/>
      <c r="S290" s="51"/>
      <c r="T290" s="31"/>
    </row>
    <row r="291" spans="1:20" customFormat="1">
      <c r="A291" s="134" t="str">
        <f ca="1">IFERROR(__xludf.DUMMYFUNCTION("""COMPUTED_VALUE"""),"")</f>
        <v/>
      </c>
      <c r="B291" s="134" t="str">
        <f ca="1">IFERROR(__xludf.DUMMYFUNCTION("""COMPUTED_VALUE"""),"")</f>
        <v/>
      </c>
      <c r="C291" s="134" t="str">
        <f ca="1">IFERROR(__xludf.DUMMYFUNCTION("""COMPUTED_VALUE"""),"")</f>
        <v/>
      </c>
      <c r="D291" s="134" t="str">
        <f ca="1">IFERROR(__xludf.DUMMYFUNCTION("""COMPUTED_VALUE"""),"")</f>
        <v/>
      </c>
      <c r="E291" s="134" t="str">
        <f ca="1">IFERROR(__xludf.DUMMYFUNCTION("""COMPUTED_VALUE"""),"")</f>
        <v/>
      </c>
      <c r="F291" s="134" t="str">
        <f ca="1">IFERROR(__xludf.DUMMYFUNCTION("""COMPUTED_VALUE"""),"")</f>
        <v/>
      </c>
      <c r="G291" s="134" t="str">
        <f ca="1">IFERROR(__xludf.DUMMYFUNCTION("""COMPUTED_VALUE"""),"")</f>
        <v/>
      </c>
      <c r="H291" s="134" t="str">
        <f ca="1">IFERROR(__xludf.DUMMYFUNCTION("""COMPUTED_VALUE"""),"")</f>
        <v/>
      </c>
      <c r="I291" s="134" t="str">
        <f ca="1">IFERROR(__xludf.DUMMYFUNCTION("""COMPUTED_VALUE"""),"")</f>
        <v/>
      </c>
      <c r="J291" s="134" t="str">
        <f ca="1">IFERROR(__xludf.DUMMYFUNCTION("""COMPUTED_VALUE"""),"")</f>
        <v/>
      </c>
      <c r="N291" s="31"/>
      <c r="Q291" s="195"/>
      <c r="S291" s="51"/>
      <c r="T291" s="31"/>
    </row>
    <row r="292" spans="1:20" customFormat="1">
      <c r="A292" s="134" t="str">
        <f ca="1">IFERROR(__xludf.DUMMYFUNCTION("""COMPUTED_VALUE"""),"")</f>
        <v/>
      </c>
      <c r="B292" s="134" t="str">
        <f ca="1">IFERROR(__xludf.DUMMYFUNCTION("""COMPUTED_VALUE"""),"")</f>
        <v/>
      </c>
      <c r="C292" s="134" t="str">
        <f ca="1">IFERROR(__xludf.DUMMYFUNCTION("""COMPUTED_VALUE"""),"")</f>
        <v/>
      </c>
      <c r="D292" s="134" t="str">
        <f ca="1">IFERROR(__xludf.DUMMYFUNCTION("""COMPUTED_VALUE"""),"")</f>
        <v/>
      </c>
      <c r="E292" s="134" t="str">
        <f ca="1">IFERROR(__xludf.DUMMYFUNCTION("""COMPUTED_VALUE"""),"")</f>
        <v/>
      </c>
      <c r="F292" s="134" t="str">
        <f ca="1">IFERROR(__xludf.DUMMYFUNCTION("""COMPUTED_VALUE"""),"")</f>
        <v/>
      </c>
      <c r="G292" s="134" t="str">
        <f ca="1">IFERROR(__xludf.DUMMYFUNCTION("""COMPUTED_VALUE"""),"")</f>
        <v/>
      </c>
      <c r="H292" s="134" t="str">
        <f ca="1">IFERROR(__xludf.DUMMYFUNCTION("""COMPUTED_VALUE"""),"")</f>
        <v/>
      </c>
      <c r="I292" s="134" t="str">
        <f ca="1">IFERROR(__xludf.DUMMYFUNCTION("""COMPUTED_VALUE"""),"")</f>
        <v/>
      </c>
      <c r="J292" s="134" t="str">
        <f ca="1">IFERROR(__xludf.DUMMYFUNCTION("""COMPUTED_VALUE"""),"")</f>
        <v/>
      </c>
      <c r="N292" s="31"/>
      <c r="Q292" s="195"/>
      <c r="S292" s="51"/>
      <c r="T292" s="31"/>
    </row>
    <row r="293" spans="1:20" customFormat="1">
      <c r="A293" s="134" t="str">
        <f ca="1">IFERROR(__xludf.DUMMYFUNCTION("""COMPUTED_VALUE"""),"")</f>
        <v/>
      </c>
      <c r="B293" s="134" t="str">
        <f ca="1">IFERROR(__xludf.DUMMYFUNCTION("""COMPUTED_VALUE"""),"")</f>
        <v/>
      </c>
      <c r="C293" s="134" t="str">
        <f ca="1">IFERROR(__xludf.DUMMYFUNCTION("""COMPUTED_VALUE"""),"")</f>
        <v/>
      </c>
      <c r="D293" s="134" t="str">
        <f ca="1">IFERROR(__xludf.DUMMYFUNCTION("""COMPUTED_VALUE"""),"")</f>
        <v/>
      </c>
      <c r="E293" s="134" t="str">
        <f ca="1">IFERROR(__xludf.DUMMYFUNCTION("""COMPUTED_VALUE"""),"")</f>
        <v/>
      </c>
      <c r="F293" s="134" t="str">
        <f ca="1">IFERROR(__xludf.DUMMYFUNCTION("""COMPUTED_VALUE"""),"")</f>
        <v/>
      </c>
      <c r="G293" s="134" t="str">
        <f ca="1">IFERROR(__xludf.DUMMYFUNCTION("""COMPUTED_VALUE"""),"")</f>
        <v/>
      </c>
      <c r="H293" s="134" t="str">
        <f ca="1">IFERROR(__xludf.DUMMYFUNCTION("""COMPUTED_VALUE"""),"")</f>
        <v/>
      </c>
      <c r="I293" s="134" t="str">
        <f ca="1">IFERROR(__xludf.DUMMYFUNCTION("""COMPUTED_VALUE"""),"")</f>
        <v/>
      </c>
      <c r="J293" s="134" t="str">
        <f ca="1">IFERROR(__xludf.DUMMYFUNCTION("""COMPUTED_VALUE"""),"")</f>
        <v/>
      </c>
      <c r="N293" s="31"/>
      <c r="Q293" s="195"/>
      <c r="S293" s="51"/>
      <c r="T293" s="31"/>
    </row>
    <row r="294" spans="1:20" customFormat="1">
      <c r="A294" s="134" t="str">
        <f ca="1">IFERROR(__xludf.DUMMYFUNCTION("""COMPUTED_VALUE"""),"")</f>
        <v/>
      </c>
      <c r="B294" s="134" t="str">
        <f ca="1">IFERROR(__xludf.DUMMYFUNCTION("""COMPUTED_VALUE"""),"")</f>
        <v/>
      </c>
      <c r="C294" s="134" t="str">
        <f ca="1">IFERROR(__xludf.DUMMYFUNCTION("""COMPUTED_VALUE"""),"")</f>
        <v/>
      </c>
      <c r="D294" s="134" t="str">
        <f ca="1">IFERROR(__xludf.DUMMYFUNCTION("""COMPUTED_VALUE"""),"")</f>
        <v/>
      </c>
      <c r="E294" s="134" t="str">
        <f ca="1">IFERROR(__xludf.DUMMYFUNCTION("""COMPUTED_VALUE"""),"")</f>
        <v/>
      </c>
      <c r="F294" s="134" t="str">
        <f ca="1">IFERROR(__xludf.DUMMYFUNCTION("""COMPUTED_VALUE"""),"")</f>
        <v/>
      </c>
      <c r="G294" s="134" t="str">
        <f ca="1">IFERROR(__xludf.DUMMYFUNCTION("""COMPUTED_VALUE"""),"")</f>
        <v/>
      </c>
      <c r="H294" s="134" t="str">
        <f ca="1">IFERROR(__xludf.DUMMYFUNCTION("""COMPUTED_VALUE"""),"")</f>
        <v/>
      </c>
      <c r="I294" s="134" t="str">
        <f ca="1">IFERROR(__xludf.DUMMYFUNCTION("""COMPUTED_VALUE"""),"")</f>
        <v/>
      </c>
      <c r="J294" s="134" t="str">
        <f ca="1">IFERROR(__xludf.DUMMYFUNCTION("""COMPUTED_VALUE"""),"")</f>
        <v/>
      </c>
      <c r="N294" s="31"/>
      <c r="Q294" s="195"/>
      <c r="S294" s="51"/>
      <c r="T294" s="31"/>
    </row>
    <row r="295" spans="1:20" customFormat="1">
      <c r="A295" s="134" t="str">
        <f ca="1">IFERROR(__xludf.DUMMYFUNCTION("""COMPUTED_VALUE"""),"")</f>
        <v/>
      </c>
      <c r="B295" s="134" t="str">
        <f ca="1">IFERROR(__xludf.DUMMYFUNCTION("""COMPUTED_VALUE"""),"")</f>
        <v/>
      </c>
      <c r="C295" s="134" t="str">
        <f ca="1">IFERROR(__xludf.DUMMYFUNCTION("""COMPUTED_VALUE"""),"")</f>
        <v/>
      </c>
      <c r="D295" s="134" t="str">
        <f ca="1">IFERROR(__xludf.DUMMYFUNCTION("""COMPUTED_VALUE"""),"")</f>
        <v/>
      </c>
      <c r="E295" s="134" t="str">
        <f ca="1">IFERROR(__xludf.DUMMYFUNCTION("""COMPUTED_VALUE"""),"")</f>
        <v/>
      </c>
      <c r="F295" s="134" t="str">
        <f ca="1">IFERROR(__xludf.DUMMYFUNCTION("""COMPUTED_VALUE"""),"")</f>
        <v/>
      </c>
      <c r="G295" s="134" t="str">
        <f ca="1">IFERROR(__xludf.DUMMYFUNCTION("""COMPUTED_VALUE"""),"")</f>
        <v/>
      </c>
      <c r="H295" s="134" t="str">
        <f ca="1">IFERROR(__xludf.DUMMYFUNCTION("""COMPUTED_VALUE"""),"")</f>
        <v/>
      </c>
      <c r="I295" s="134" t="str">
        <f ca="1">IFERROR(__xludf.DUMMYFUNCTION("""COMPUTED_VALUE"""),"")</f>
        <v/>
      </c>
      <c r="J295" s="134" t="str">
        <f ca="1">IFERROR(__xludf.DUMMYFUNCTION("""COMPUTED_VALUE"""),"")</f>
        <v/>
      </c>
      <c r="N295" s="31"/>
      <c r="Q295" s="195"/>
      <c r="S295" s="51"/>
      <c r="T295" s="31"/>
    </row>
    <row r="296" spans="1:20" customFormat="1">
      <c r="A296" s="134" t="str">
        <f ca="1">IFERROR(__xludf.DUMMYFUNCTION("""COMPUTED_VALUE"""),"")</f>
        <v/>
      </c>
      <c r="B296" s="134" t="str">
        <f ca="1">IFERROR(__xludf.DUMMYFUNCTION("""COMPUTED_VALUE"""),"")</f>
        <v/>
      </c>
      <c r="C296" s="134" t="str">
        <f ca="1">IFERROR(__xludf.DUMMYFUNCTION("""COMPUTED_VALUE"""),"")</f>
        <v/>
      </c>
      <c r="D296" s="134" t="str">
        <f ca="1">IFERROR(__xludf.DUMMYFUNCTION("""COMPUTED_VALUE"""),"")</f>
        <v/>
      </c>
      <c r="E296" s="134" t="str">
        <f ca="1">IFERROR(__xludf.DUMMYFUNCTION("""COMPUTED_VALUE"""),"")</f>
        <v/>
      </c>
      <c r="F296" s="134" t="str">
        <f ca="1">IFERROR(__xludf.DUMMYFUNCTION("""COMPUTED_VALUE"""),"")</f>
        <v/>
      </c>
      <c r="G296" s="134" t="str">
        <f ca="1">IFERROR(__xludf.DUMMYFUNCTION("""COMPUTED_VALUE"""),"")</f>
        <v/>
      </c>
      <c r="H296" s="134" t="str">
        <f ca="1">IFERROR(__xludf.DUMMYFUNCTION("""COMPUTED_VALUE"""),"")</f>
        <v/>
      </c>
      <c r="I296" s="134" t="str">
        <f ca="1">IFERROR(__xludf.DUMMYFUNCTION("""COMPUTED_VALUE"""),"")</f>
        <v/>
      </c>
      <c r="J296" s="134" t="str">
        <f ca="1">IFERROR(__xludf.DUMMYFUNCTION("""COMPUTED_VALUE"""),"")</f>
        <v/>
      </c>
      <c r="N296" s="31"/>
      <c r="Q296" s="195"/>
      <c r="S296" s="51"/>
      <c r="T296" s="31"/>
    </row>
    <row r="297" spans="1:20" customFormat="1">
      <c r="A297" s="134" t="str">
        <f ca="1">IFERROR(__xludf.DUMMYFUNCTION("""COMPUTED_VALUE"""),"")</f>
        <v/>
      </c>
      <c r="B297" s="134" t="str">
        <f ca="1">IFERROR(__xludf.DUMMYFUNCTION("""COMPUTED_VALUE"""),"")</f>
        <v/>
      </c>
      <c r="C297" s="134" t="str">
        <f ca="1">IFERROR(__xludf.DUMMYFUNCTION("""COMPUTED_VALUE"""),"")</f>
        <v/>
      </c>
      <c r="D297" s="134" t="str">
        <f ca="1">IFERROR(__xludf.DUMMYFUNCTION("""COMPUTED_VALUE"""),"")</f>
        <v/>
      </c>
      <c r="E297" s="134" t="str">
        <f ca="1">IFERROR(__xludf.DUMMYFUNCTION("""COMPUTED_VALUE"""),"")</f>
        <v/>
      </c>
      <c r="F297" s="134" t="str">
        <f ca="1">IFERROR(__xludf.DUMMYFUNCTION("""COMPUTED_VALUE"""),"")</f>
        <v/>
      </c>
      <c r="G297" s="134" t="str">
        <f ca="1">IFERROR(__xludf.DUMMYFUNCTION("""COMPUTED_VALUE"""),"")</f>
        <v/>
      </c>
      <c r="H297" s="134" t="str">
        <f ca="1">IFERROR(__xludf.DUMMYFUNCTION("""COMPUTED_VALUE"""),"")</f>
        <v/>
      </c>
      <c r="I297" s="134" t="str">
        <f ca="1">IFERROR(__xludf.DUMMYFUNCTION("""COMPUTED_VALUE"""),"")</f>
        <v/>
      </c>
      <c r="J297" s="134" t="str">
        <f ca="1">IFERROR(__xludf.DUMMYFUNCTION("""COMPUTED_VALUE"""),"")</f>
        <v/>
      </c>
      <c r="N297" s="31"/>
      <c r="Q297" s="195"/>
      <c r="S297" s="51"/>
      <c r="T297" s="31"/>
    </row>
    <row r="298" spans="1:20" customFormat="1">
      <c r="A298" s="134" t="str">
        <f ca="1">IFERROR(__xludf.DUMMYFUNCTION("""COMPUTED_VALUE"""),"")</f>
        <v/>
      </c>
      <c r="B298" s="134" t="str">
        <f ca="1">IFERROR(__xludf.DUMMYFUNCTION("""COMPUTED_VALUE"""),"")</f>
        <v/>
      </c>
      <c r="C298" s="134" t="str">
        <f ca="1">IFERROR(__xludf.DUMMYFUNCTION("""COMPUTED_VALUE"""),"")</f>
        <v/>
      </c>
      <c r="D298" s="134" t="str">
        <f ca="1">IFERROR(__xludf.DUMMYFUNCTION("""COMPUTED_VALUE"""),"")</f>
        <v/>
      </c>
      <c r="E298" s="134" t="str">
        <f ca="1">IFERROR(__xludf.DUMMYFUNCTION("""COMPUTED_VALUE"""),"")</f>
        <v/>
      </c>
      <c r="F298" s="134" t="str">
        <f ca="1">IFERROR(__xludf.DUMMYFUNCTION("""COMPUTED_VALUE"""),"")</f>
        <v/>
      </c>
      <c r="G298" s="134" t="str">
        <f ca="1">IFERROR(__xludf.DUMMYFUNCTION("""COMPUTED_VALUE"""),"")</f>
        <v/>
      </c>
      <c r="H298" s="134" t="str">
        <f ca="1">IFERROR(__xludf.DUMMYFUNCTION("""COMPUTED_VALUE"""),"")</f>
        <v/>
      </c>
      <c r="I298" s="134" t="str">
        <f ca="1">IFERROR(__xludf.DUMMYFUNCTION("""COMPUTED_VALUE"""),"")</f>
        <v/>
      </c>
      <c r="J298" s="134" t="str">
        <f ca="1">IFERROR(__xludf.DUMMYFUNCTION("""COMPUTED_VALUE"""),"")</f>
        <v/>
      </c>
      <c r="N298" s="31"/>
      <c r="Q298" s="195"/>
      <c r="S298" s="51"/>
      <c r="T298" s="31"/>
    </row>
    <row r="299" spans="1:20" customFormat="1">
      <c r="A299" s="134" t="str">
        <f ca="1">IFERROR(__xludf.DUMMYFUNCTION("""COMPUTED_VALUE"""),"")</f>
        <v/>
      </c>
      <c r="B299" s="134" t="str">
        <f ca="1">IFERROR(__xludf.DUMMYFUNCTION("""COMPUTED_VALUE"""),"")</f>
        <v/>
      </c>
      <c r="C299" s="134" t="str">
        <f ca="1">IFERROR(__xludf.DUMMYFUNCTION("""COMPUTED_VALUE"""),"")</f>
        <v/>
      </c>
      <c r="D299" s="134" t="str">
        <f ca="1">IFERROR(__xludf.DUMMYFUNCTION("""COMPUTED_VALUE"""),"")</f>
        <v/>
      </c>
      <c r="E299" s="134" t="str">
        <f ca="1">IFERROR(__xludf.DUMMYFUNCTION("""COMPUTED_VALUE"""),"")</f>
        <v/>
      </c>
      <c r="F299" s="134" t="str">
        <f ca="1">IFERROR(__xludf.DUMMYFUNCTION("""COMPUTED_VALUE"""),"")</f>
        <v/>
      </c>
      <c r="G299" s="134" t="str">
        <f ca="1">IFERROR(__xludf.DUMMYFUNCTION("""COMPUTED_VALUE"""),"")</f>
        <v/>
      </c>
      <c r="H299" s="134" t="str">
        <f ca="1">IFERROR(__xludf.DUMMYFUNCTION("""COMPUTED_VALUE"""),"")</f>
        <v/>
      </c>
      <c r="I299" s="134" t="str">
        <f ca="1">IFERROR(__xludf.DUMMYFUNCTION("""COMPUTED_VALUE"""),"")</f>
        <v/>
      </c>
      <c r="J299" s="134" t="str">
        <f ca="1">IFERROR(__xludf.DUMMYFUNCTION("""COMPUTED_VALUE"""),"")</f>
        <v/>
      </c>
      <c r="N299" s="31"/>
      <c r="Q299" s="195"/>
      <c r="S299" s="51"/>
      <c r="T299" s="31"/>
    </row>
    <row r="300" spans="1:20" customFormat="1">
      <c r="A300" s="134" t="str">
        <f ca="1">IFERROR(__xludf.DUMMYFUNCTION("""COMPUTED_VALUE"""),"")</f>
        <v/>
      </c>
      <c r="B300" s="134" t="str">
        <f ca="1">IFERROR(__xludf.DUMMYFUNCTION("""COMPUTED_VALUE"""),"")</f>
        <v/>
      </c>
      <c r="C300" s="134" t="str">
        <f ca="1">IFERROR(__xludf.DUMMYFUNCTION("""COMPUTED_VALUE"""),"")</f>
        <v/>
      </c>
      <c r="D300" s="134" t="str">
        <f ca="1">IFERROR(__xludf.DUMMYFUNCTION("""COMPUTED_VALUE"""),"")</f>
        <v/>
      </c>
      <c r="E300" s="134" t="str">
        <f ca="1">IFERROR(__xludf.DUMMYFUNCTION("""COMPUTED_VALUE"""),"")</f>
        <v/>
      </c>
      <c r="F300" s="134" t="str">
        <f ca="1">IFERROR(__xludf.DUMMYFUNCTION("""COMPUTED_VALUE"""),"")</f>
        <v/>
      </c>
      <c r="G300" s="134" t="str">
        <f ca="1">IFERROR(__xludf.DUMMYFUNCTION("""COMPUTED_VALUE"""),"")</f>
        <v/>
      </c>
      <c r="H300" s="134" t="str">
        <f ca="1">IFERROR(__xludf.DUMMYFUNCTION("""COMPUTED_VALUE"""),"")</f>
        <v/>
      </c>
      <c r="I300" s="134" t="str">
        <f ca="1">IFERROR(__xludf.DUMMYFUNCTION("""COMPUTED_VALUE"""),"")</f>
        <v/>
      </c>
      <c r="J300" s="134" t="str">
        <f ca="1">IFERROR(__xludf.DUMMYFUNCTION("""COMPUTED_VALUE"""),"")</f>
        <v/>
      </c>
      <c r="N300" s="31"/>
      <c r="Q300" s="195"/>
      <c r="S300" s="51"/>
      <c r="T300" s="31"/>
    </row>
    <row r="301" spans="1:20" customFormat="1">
      <c r="A301" s="134" t="str">
        <f ca="1">IFERROR(__xludf.DUMMYFUNCTION("""COMPUTED_VALUE"""),"")</f>
        <v/>
      </c>
      <c r="B301" s="134" t="str">
        <f ca="1">IFERROR(__xludf.DUMMYFUNCTION("""COMPUTED_VALUE"""),"")</f>
        <v/>
      </c>
      <c r="C301" s="134" t="str">
        <f ca="1">IFERROR(__xludf.DUMMYFUNCTION("""COMPUTED_VALUE"""),"")</f>
        <v/>
      </c>
      <c r="D301" s="134" t="str">
        <f ca="1">IFERROR(__xludf.DUMMYFUNCTION("""COMPUTED_VALUE"""),"")</f>
        <v/>
      </c>
      <c r="E301" s="134" t="str">
        <f ca="1">IFERROR(__xludf.DUMMYFUNCTION("""COMPUTED_VALUE"""),"")</f>
        <v/>
      </c>
      <c r="F301" s="134" t="str">
        <f ca="1">IFERROR(__xludf.DUMMYFUNCTION("""COMPUTED_VALUE"""),"")</f>
        <v/>
      </c>
      <c r="G301" s="134" t="str">
        <f ca="1">IFERROR(__xludf.DUMMYFUNCTION("""COMPUTED_VALUE"""),"")</f>
        <v/>
      </c>
      <c r="H301" s="134" t="str">
        <f ca="1">IFERROR(__xludf.DUMMYFUNCTION("""COMPUTED_VALUE"""),"")</f>
        <v/>
      </c>
      <c r="I301" s="134" t="str">
        <f ca="1">IFERROR(__xludf.DUMMYFUNCTION("""COMPUTED_VALUE"""),"")</f>
        <v/>
      </c>
      <c r="J301" s="134" t="str">
        <f ca="1">IFERROR(__xludf.DUMMYFUNCTION("""COMPUTED_VALUE"""),"")</f>
        <v/>
      </c>
      <c r="N301" s="31"/>
      <c r="Q301" s="195"/>
      <c r="S301" s="51"/>
      <c r="T301" s="31"/>
    </row>
    <row r="302" spans="1:20" customFormat="1">
      <c r="A302" s="134" t="str">
        <f ca="1">IFERROR(__xludf.DUMMYFUNCTION("""COMPUTED_VALUE"""),"")</f>
        <v/>
      </c>
      <c r="B302" s="134" t="str">
        <f ca="1">IFERROR(__xludf.DUMMYFUNCTION("""COMPUTED_VALUE"""),"")</f>
        <v/>
      </c>
      <c r="C302" s="134" t="str">
        <f ca="1">IFERROR(__xludf.DUMMYFUNCTION("""COMPUTED_VALUE"""),"")</f>
        <v/>
      </c>
      <c r="D302" s="134" t="str">
        <f ca="1">IFERROR(__xludf.DUMMYFUNCTION("""COMPUTED_VALUE"""),"")</f>
        <v/>
      </c>
      <c r="E302" s="134" t="str">
        <f ca="1">IFERROR(__xludf.DUMMYFUNCTION("""COMPUTED_VALUE"""),"")</f>
        <v/>
      </c>
      <c r="F302" s="134" t="str">
        <f ca="1">IFERROR(__xludf.DUMMYFUNCTION("""COMPUTED_VALUE"""),"")</f>
        <v/>
      </c>
      <c r="G302" s="134" t="str">
        <f ca="1">IFERROR(__xludf.DUMMYFUNCTION("""COMPUTED_VALUE"""),"")</f>
        <v/>
      </c>
      <c r="H302" s="134" t="str">
        <f ca="1">IFERROR(__xludf.DUMMYFUNCTION("""COMPUTED_VALUE"""),"")</f>
        <v/>
      </c>
      <c r="I302" s="134" t="str">
        <f ca="1">IFERROR(__xludf.DUMMYFUNCTION("""COMPUTED_VALUE"""),"")</f>
        <v/>
      </c>
      <c r="J302" s="134" t="str">
        <f ca="1">IFERROR(__xludf.DUMMYFUNCTION("""COMPUTED_VALUE"""),"")</f>
        <v/>
      </c>
      <c r="N302" s="31"/>
      <c r="Q302" s="195"/>
      <c r="S302" s="51"/>
      <c r="T302" s="31"/>
    </row>
    <row r="303" spans="1:20" customFormat="1">
      <c r="A303" s="134" t="str">
        <f ca="1">IFERROR(__xludf.DUMMYFUNCTION("""COMPUTED_VALUE"""),"")</f>
        <v/>
      </c>
      <c r="B303" s="134" t="str">
        <f ca="1">IFERROR(__xludf.DUMMYFUNCTION("""COMPUTED_VALUE"""),"")</f>
        <v/>
      </c>
      <c r="C303" s="134" t="str">
        <f ca="1">IFERROR(__xludf.DUMMYFUNCTION("""COMPUTED_VALUE"""),"")</f>
        <v/>
      </c>
      <c r="D303" s="134" t="str">
        <f ca="1">IFERROR(__xludf.DUMMYFUNCTION("""COMPUTED_VALUE"""),"")</f>
        <v/>
      </c>
      <c r="E303" s="134" t="str">
        <f ca="1">IFERROR(__xludf.DUMMYFUNCTION("""COMPUTED_VALUE"""),"")</f>
        <v/>
      </c>
      <c r="F303" s="134" t="str">
        <f ca="1">IFERROR(__xludf.DUMMYFUNCTION("""COMPUTED_VALUE"""),"")</f>
        <v/>
      </c>
      <c r="G303" s="134" t="str">
        <f ca="1">IFERROR(__xludf.DUMMYFUNCTION("""COMPUTED_VALUE"""),"")</f>
        <v/>
      </c>
      <c r="H303" s="134" t="str">
        <f ca="1">IFERROR(__xludf.DUMMYFUNCTION("""COMPUTED_VALUE"""),"")</f>
        <v/>
      </c>
      <c r="I303" s="134" t="str">
        <f ca="1">IFERROR(__xludf.DUMMYFUNCTION("""COMPUTED_VALUE"""),"")</f>
        <v/>
      </c>
      <c r="J303" s="134" t="str">
        <f ca="1">IFERROR(__xludf.DUMMYFUNCTION("""COMPUTED_VALUE"""),"")</f>
        <v/>
      </c>
      <c r="N303" s="31"/>
      <c r="Q303" s="195"/>
      <c r="S303" s="51"/>
      <c r="T303" s="31"/>
    </row>
    <row r="304" spans="1:20" customFormat="1">
      <c r="A304" s="134" t="str">
        <f ca="1">IFERROR(__xludf.DUMMYFUNCTION("""COMPUTED_VALUE"""),"")</f>
        <v/>
      </c>
      <c r="B304" s="134" t="str">
        <f ca="1">IFERROR(__xludf.DUMMYFUNCTION("""COMPUTED_VALUE"""),"")</f>
        <v/>
      </c>
      <c r="C304" s="134" t="str">
        <f ca="1">IFERROR(__xludf.DUMMYFUNCTION("""COMPUTED_VALUE"""),"")</f>
        <v/>
      </c>
      <c r="D304" s="134" t="str">
        <f ca="1">IFERROR(__xludf.DUMMYFUNCTION("""COMPUTED_VALUE"""),"")</f>
        <v/>
      </c>
      <c r="E304" s="134" t="str">
        <f ca="1">IFERROR(__xludf.DUMMYFUNCTION("""COMPUTED_VALUE"""),"")</f>
        <v/>
      </c>
      <c r="F304" s="134" t="str">
        <f ca="1">IFERROR(__xludf.DUMMYFUNCTION("""COMPUTED_VALUE"""),"")</f>
        <v/>
      </c>
      <c r="G304" s="134" t="str">
        <f ca="1">IFERROR(__xludf.DUMMYFUNCTION("""COMPUTED_VALUE"""),"")</f>
        <v/>
      </c>
      <c r="H304" s="134" t="str">
        <f ca="1">IFERROR(__xludf.DUMMYFUNCTION("""COMPUTED_VALUE"""),"")</f>
        <v/>
      </c>
      <c r="I304" s="134" t="str">
        <f ca="1">IFERROR(__xludf.DUMMYFUNCTION("""COMPUTED_VALUE"""),"")</f>
        <v/>
      </c>
      <c r="J304" s="134" t="str">
        <f ca="1">IFERROR(__xludf.DUMMYFUNCTION("""COMPUTED_VALUE"""),"")</f>
        <v/>
      </c>
      <c r="N304" s="31"/>
      <c r="Q304" s="195"/>
      <c r="S304" s="51"/>
      <c r="T304" s="31"/>
    </row>
    <row r="305" spans="1:20" customFormat="1">
      <c r="A305" s="134" t="str">
        <f ca="1">IFERROR(__xludf.DUMMYFUNCTION("""COMPUTED_VALUE"""),"")</f>
        <v/>
      </c>
      <c r="B305" s="134" t="str">
        <f ca="1">IFERROR(__xludf.DUMMYFUNCTION("""COMPUTED_VALUE"""),"")</f>
        <v/>
      </c>
      <c r="C305" s="134" t="str">
        <f ca="1">IFERROR(__xludf.DUMMYFUNCTION("""COMPUTED_VALUE"""),"")</f>
        <v/>
      </c>
      <c r="D305" s="134" t="str">
        <f ca="1">IFERROR(__xludf.DUMMYFUNCTION("""COMPUTED_VALUE"""),"")</f>
        <v/>
      </c>
      <c r="E305" s="134" t="str">
        <f ca="1">IFERROR(__xludf.DUMMYFUNCTION("""COMPUTED_VALUE"""),"")</f>
        <v/>
      </c>
      <c r="F305" s="134" t="str">
        <f ca="1">IFERROR(__xludf.DUMMYFUNCTION("""COMPUTED_VALUE"""),"")</f>
        <v/>
      </c>
      <c r="G305" s="134" t="str">
        <f ca="1">IFERROR(__xludf.DUMMYFUNCTION("""COMPUTED_VALUE"""),"")</f>
        <v/>
      </c>
      <c r="H305" s="134" t="str">
        <f ca="1">IFERROR(__xludf.DUMMYFUNCTION("""COMPUTED_VALUE"""),"")</f>
        <v/>
      </c>
      <c r="I305" s="134" t="str">
        <f ca="1">IFERROR(__xludf.DUMMYFUNCTION("""COMPUTED_VALUE"""),"")</f>
        <v/>
      </c>
      <c r="J305" s="134" t="str">
        <f ca="1">IFERROR(__xludf.DUMMYFUNCTION("""COMPUTED_VALUE"""),"")</f>
        <v/>
      </c>
      <c r="N305" s="31"/>
      <c r="Q305" s="195"/>
      <c r="S305" s="51"/>
      <c r="T305" s="31"/>
    </row>
    <row r="306" spans="1:20" customFormat="1">
      <c r="A306" s="134" t="str">
        <f ca="1">IFERROR(__xludf.DUMMYFUNCTION("""COMPUTED_VALUE"""),"")</f>
        <v/>
      </c>
      <c r="B306" s="134" t="str">
        <f ca="1">IFERROR(__xludf.DUMMYFUNCTION("""COMPUTED_VALUE"""),"")</f>
        <v/>
      </c>
      <c r="C306" s="134" t="str">
        <f ca="1">IFERROR(__xludf.DUMMYFUNCTION("""COMPUTED_VALUE"""),"")</f>
        <v/>
      </c>
      <c r="D306" s="134" t="str">
        <f ca="1">IFERROR(__xludf.DUMMYFUNCTION("""COMPUTED_VALUE"""),"")</f>
        <v/>
      </c>
      <c r="E306" s="134" t="str">
        <f ca="1">IFERROR(__xludf.DUMMYFUNCTION("""COMPUTED_VALUE"""),"")</f>
        <v/>
      </c>
      <c r="F306" s="134" t="str">
        <f ca="1">IFERROR(__xludf.DUMMYFUNCTION("""COMPUTED_VALUE"""),"")</f>
        <v/>
      </c>
      <c r="G306" s="134" t="str">
        <f ca="1">IFERROR(__xludf.DUMMYFUNCTION("""COMPUTED_VALUE"""),"")</f>
        <v/>
      </c>
      <c r="H306" s="134" t="str">
        <f ca="1">IFERROR(__xludf.DUMMYFUNCTION("""COMPUTED_VALUE"""),"")</f>
        <v/>
      </c>
      <c r="I306" s="134" t="str">
        <f ca="1">IFERROR(__xludf.DUMMYFUNCTION("""COMPUTED_VALUE"""),"")</f>
        <v/>
      </c>
      <c r="J306" s="134" t="str">
        <f ca="1">IFERROR(__xludf.DUMMYFUNCTION("""COMPUTED_VALUE"""),"")</f>
        <v/>
      </c>
      <c r="N306" s="31"/>
      <c r="Q306" s="195"/>
      <c r="S306" s="51"/>
      <c r="T306" s="31"/>
    </row>
    <row r="307" spans="1:20" customFormat="1">
      <c r="A307" s="134" t="str">
        <f ca="1">IFERROR(__xludf.DUMMYFUNCTION("""COMPUTED_VALUE"""),"")</f>
        <v/>
      </c>
      <c r="B307" s="134" t="str">
        <f ca="1">IFERROR(__xludf.DUMMYFUNCTION("""COMPUTED_VALUE"""),"")</f>
        <v/>
      </c>
      <c r="C307" s="134" t="str">
        <f ca="1">IFERROR(__xludf.DUMMYFUNCTION("""COMPUTED_VALUE"""),"")</f>
        <v/>
      </c>
      <c r="D307" s="134" t="str">
        <f ca="1">IFERROR(__xludf.DUMMYFUNCTION("""COMPUTED_VALUE"""),"")</f>
        <v/>
      </c>
      <c r="E307" s="134" t="str">
        <f ca="1">IFERROR(__xludf.DUMMYFUNCTION("""COMPUTED_VALUE"""),"")</f>
        <v/>
      </c>
      <c r="F307" s="134" t="str">
        <f ca="1">IFERROR(__xludf.DUMMYFUNCTION("""COMPUTED_VALUE"""),"")</f>
        <v/>
      </c>
      <c r="G307" s="134" t="str">
        <f ca="1">IFERROR(__xludf.DUMMYFUNCTION("""COMPUTED_VALUE"""),"")</f>
        <v/>
      </c>
      <c r="H307" s="134" t="str">
        <f ca="1">IFERROR(__xludf.DUMMYFUNCTION("""COMPUTED_VALUE"""),"")</f>
        <v/>
      </c>
      <c r="I307" s="134" t="str">
        <f ca="1">IFERROR(__xludf.DUMMYFUNCTION("""COMPUTED_VALUE"""),"")</f>
        <v/>
      </c>
      <c r="J307" s="134" t="str">
        <f ca="1">IFERROR(__xludf.DUMMYFUNCTION("""COMPUTED_VALUE"""),"")</f>
        <v/>
      </c>
      <c r="N307" s="31"/>
      <c r="Q307" s="195"/>
      <c r="S307" s="51"/>
      <c r="T307" s="31"/>
    </row>
    <row r="308" spans="1:20" customFormat="1">
      <c r="A308" s="134" t="str">
        <f ca="1">IFERROR(__xludf.DUMMYFUNCTION("""COMPUTED_VALUE"""),"")</f>
        <v/>
      </c>
      <c r="B308" s="134" t="str">
        <f ca="1">IFERROR(__xludf.DUMMYFUNCTION("""COMPUTED_VALUE"""),"")</f>
        <v/>
      </c>
      <c r="C308" s="134" t="str">
        <f ca="1">IFERROR(__xludf.DUMMYFUNCTION("""COMPUTED_VALUE"""),"")</f>
        <v/>
      </c>
      <c r="D308" s="134" t="str">
        <f ca="1">IFERROR(__xludf.DUMMYFUNCTION("""COMPUTED_VALUE"""),"")</f>
        <v/>
      </c>
      <c r="E308" s="134" t="str">
        <f ca="1">IFERROR(__xludf.DUMMYFUNCTION("""COMPUTED_VALUE"""),"")</f>
        <v/>
      </c>
      <c r="F308" s="134" t="str">
        <f ca="1">IFERROR(__xludf.DUMMYFUNCTION("""COMPUTED_VALUE"""),"")</f>
        <v/>
      </c>
      <c r="G308" s="134" t="str">
        <f ca="1">IFERROR(__xludf.DUMMYFUNCTION("""COMPUTED_VALUE"""),"")</f>
        <v/>
      </c>
      <c r="H308" s="134" t="str">
        <f ca="1">IFERROR(__xludf.DUMMYFUNCTION("""COMPUTED_VALUE"""),"")</f>
        <v/>
      </c>
      <c r="I308" s="134" t="str">
        <f ca="1">IFERROR(__xludf.DUMMYFUNCTION("""COMPUTED_VALUE"""),"")</f>
        <v/>
      </c>
      <c r="J308" s="134" t="str">
        <f ca="1">IFERROR(__xludf.DUMMYFUNCTION("""COMPUTED_VALUE"""),"")</f>
        <v/>
      </c>
      <c r="N308" s="31"/>
      <c r="Q308" s="195"/>
      <c r="S308" s="51"/>
      <c r="T308" s="31"/>
    </row>
    <row r="309" spans="1:20" customFormat="1">
      <c r="A309" s="134" t="str">
        <f ca="1">IFERROR(__xludf.DUMMYFUNCTION("""COMPUTED_VALUE"""),"")</f>
        <v/>
      </c>
      <c r="B309" s="134" t="str">
        <f ca="1">IFERROR(__xludf.DUMMYFUNCTION("""COMPUTED_VALUE"""),"")</f>
        <v/>
      </c>
      <c r="C309" s="134" t="str">
        <f ca="1">IFERROR(__xludf.DUMMYFUNCTION("""COMPUTED_VALUE"""),"")</f>
        <v/>
      </c>
      <c r="D309" s="134" t="str">
        <f ca="1">IFERROR(__xludf.DUMMYFUNCTION("""COMPUTED_VALUE"""),"")</f>
        <v/>
      </c>
      <c r="E309" s="134" t="str">
        <f ca="1">IFERROR(__xludf.DUMMYFUNCTION("""COMPUTED_VALUE"""),"")</f>
        <v/>
      </c>
      <c r="F309" s="134" t="str">
        <f ca="1">IFERROR(__xludf.DUMMYFUNCTION("""COMPUTED_VALUE"""),"")</f>
        <v/>
      </c>
      <c r="G309" s="134" t="str">
        <f ca="1">IFERROR(__xludf.DUMMYFUNCTION("""COMPUTED_VALUE"""),"")</f>
        <v/>
      </c>
      <c r="H309" s="134" t="str">
        <f ca="1">IFERROR(__xludf.DUMMYFUNCTION("""COMPUTED_VALUE"""),"")</f>
        <v/>
      </c>
      <c r="I309" s="134" t="str">
        <f ca="1">IFERROR(__xludf.DUMMYFUNCTION("""COMPUTED_VALUE"""),"")</f>
        <v/>
      </c>
      <c r="J309" s="134" t="str">
        <f ca="1">IFERROR(__xludf.DUMMYFUNCTION("""COMPUTED_VALUE"""),"")</f>
        <v/>
      </c>
      <c r="N309" s="31"/>
      <c r="Q309" s="195"/>
      <c r="S309" s="51"/>
      <c r="T309" s="31"/>
    </row>
    <row r="310" spans="1:20" customFormat="1">
      <c r="A310" s="134" t="str">
        <f ca="1">IFERROR(__xludf.DUMMYFUNCTION("""COMPUTED_VALUE"""),"")</f>
        <v/>
      </c>
      <c r="B310" s="134" t="str">
        <f ca="1">IFERROR(__xludf.DUMMYFUNCTION("""COMPUTED_VALUE"""),"")</f>
        <v/>
      </c>
      <c r="C310" s="134" t="str">
        <f ca="1">IFERROR(__xludf.DUMMYFUNCTION("""COMPUTED_VALUE"""),"")</f>
        <v/>
      </c>
      <c r="D310" s="134" t="str">
        <f ca="1">IFERROR(__xludf.DUMMYFUNCTION("""COMPUTED_VALUE"""),"")</f>
        <v/>
      </c>
      <c r="E310" s="134" t="str">
        <f ca="1">IFERROR(__xludf.DUMMYFUNCTION("""COMPUTED_VALUE"""),"")</f>
        <v/>
      </c>
      <c r="F310" s="134" t="str">
        <f ca="1">IFERROR(__xludf.DUMMYFUNCTION("""COMPUTED_VALUE"""),"")</f>
        <v/>
      </c>
      <c r="G310" s="134" t="str">
        <f ca="1">IFERROR(__xludf.DUMMYFUNCTION("""COMPUTED_VALUE"""),"")</f>
        <v/>
      </c>
      <c r="H310" s="134" t="str">
        <f ca="1">IFERROR(__xludf.DUMMYFUNCTION("""COMPUTED_VALUE"""),"")</f>
        <v/>
      </c>
      <c r="I310" s="134" t="str">
        <f ca="1">IFERROR(__xludf.DUMMYFUNCTION("""COMPUTED_VALUE"""),"")</f>
        <v/>
      </c>
      <c r="J310" s="134" t="str">
        <f ca="1">IFERROR(__xludf.DUMMYFUNCTION("""COMPUTED_VALUE"""),"")</f>
        <v/>
      </c>
      <c r="N310" s="31"/>
      <c r="Q310" s="195"/>
      <c r="S310" s="51"/>
      <c r="T310" s="31"/>
    </row>
    <row r="311" spans="1:20" customFormat="1">
      <c r="A311" s="134" t="str">
        <f ca="1">IFERROR(__xludf.DUMMYFUNCTION("""COMPUTED_VALUE"""),"")</f>
        <v/>
      </c>
      <c r="B311" s="134" t="str">
        <f ca="1">IFERROR(__xludf.DUMMYFUNCTION("""COMPUTED_VALUE"""),"")</f>
        <v/>
      </c>
      <c r="C311" s="134" t="str">
        <f ca="1">IFERROR(__xludf.DUMMYFUNCTION("""COMPUTED_VALUE"""),"")</f>
        <v/>
      </c>
      <c r="D311" s="134" t="str">
        <f ca="1">IFERROR(__xludf.DUMMYFUNCTION("""COMPUTED_VALUE"""),"")</f>
        <v/>
      </c>
      <c r="E311" s="134" t="str">
        <f ca="1">IFERROR(__xludf.DUMMYFUNCTION("""COMPUTED_VALUE"""),"")</f>
        <v/>
      </c>
      <c r="F311" s="134" t="str">
        <f ca="1">IFERROR(__xludf.DUMMYFUNCTION("""COMPUTED_VALUE"""),"")</f>
        <v/>
      </c>
      <c r="G311" s="134" t="str">
        <f ca="1">IFERROR(__xludf.DUMMYFUNCTION("""COMPUTED_VALUE"""),"")</f>
        <v/>
      </c>
      <c r="H311" s="134" t="str">
        <f ca="1">IFERROR(__xludf.DUMMYFUNCTION("""COMPUTED_VALUE"""),"")</f>
        <v/>
      </c>
      <c r="I311" s="134" t="str">
        <f ca="1">IFERROR(__xludf.DUMMYFUNCTION("""COMPUTED_VALUE"""),"")</f>
        <v/>
      </c>
      <c r="J311" s="134" t="str">
        <f ca="1">IFERROR(__xludf.DUMMYFUNCTION("""COMPUTED_VALUE"""),"")</f>
        <v/>
      </c>
      <c r="N311" s="31"/>
      <c r="Q311" s="195"/>
      <c r="S311" s="51"/>
      <c r="T311" s="31"/>
    </row>
    <row r="312" spans="1:20" customFormat="1">
      <c r="A312" s="134" t="str">
        <f ca="1">IFERROR(__xludf.DUMMYFUNCTION("""COMPUTED_VALUE"""),"")</f>
        <v/>
      </c>
      <c r="B312" s="134" t="str">
        <f ca="1">IFERROR(__xludf.DUMMYFUNCTION("""COMPUTED_VALUE"""),"")</f>
        <v/>
      </c>
      <c r="C312" s="134" t="str">
        <f ca="1">IFERROR(__xludf.DUMMYFUNCTION("""COMPUTED_VALUE"""),"")</f>
        <v/>
      </c>
      <c r="D312" s="134" t="str">
        <f ca="1">IFERROR(__xludf.DUMMYFUNCTION("""COMPUTED_VALUE"""),"")</f>
        <v/>
      </c>
      <c r="E312" s="134" t="str">
        <f ca="1">IFERROR(__xludf.DUMMYFUNCTION("""COMPUTED_VALUE"""),"")</f>
        <v/>
      </c>
      <c r="F312" s="134" t="str">
        <f ca="1">IFERROR(__xludf.DUMMYFUNCTION("""COMPUTED_VALUE"""),"")</f>
        <v/>
      </c>
      <c r="G312" s="134" t="str">
        <f ca="1">IFERROR(__xludf.DUMMYFUNCTION("""COMPUTED_VALUE"""),"")</f>
        <v/>
      </c>
      <c r="H312" s="134" t="str">
        <f ca="1">IFERROR(__xludf.DUMMYFUNCTION("""COMPUTED_VALUE"""),"")</f>
        <v/>
      </c>
      <c r="I312" s="134" t="str">
        <f ca="1">IFERROR(__xludf.DUMMYFUNCTION("""COMPUTED_VALUE"""),"")</f>
        <v/>
      </c>
      <c r="J312" s="134" t="str">
        <f ca="1">IFERROR(__xludf.DUMMYFUNCTION("""COMPUTED_VALUE"""),"")</f>
        <v/>
      </c>
      <c r="N312" s="31"/>
      <c r="Q312" s="195"/>
      <c r="S312" s="51"/>
      <c r="T312" s="31"/>
    </row>
    <row r="313" spans="1:20" customFormat="1">
      <c r="A313" s="134" t="str">
        <f ca="1">IFERROR(__xludf.DUMMYFUNCTION("""COMPUTED_VALUE"""),"")</f>
        <v/>
      </c>
      <c r="B313" s="134" t="str">
        <f ca="1">IFERROR(__xludf.DUMMYFUNCTION("""COMPUTED_VALUE"""),"")</f>
        <v/>
      </c>
      <c r="C313" s="134" t="str">
        <f ca="1">IFERROR(__xludf.DUMMYFUNCTION("""COMPUTED_VALUE"""),"")</f>
        <v/>
      </c>
      <c r="D313" s="134" t="str">
        <f ca="1">IFERROR(__xludf.DUMMYFUNCTION("""COMPUTED_VALUE"""),"")</f>
        <v/>
      </c>
      <c r="E313" s="134" t="str">
        <f ca="1">IFERROR(__xludf.DUMMYFUNCTION("""COMPUTED_VALUE"""),"")</f>
        <v/>
      </c>
      <c r="F313" s="134" t="str">
        <f ca="1">IFERROR(__xludf.DUMMYFUNCTION("""COMPUTED_VALUE"""),"")</f>
        <v/>
      </c>
      <c r="G313" s="134" t="str">
        <f ca="1">IFERROR(__xludf.DUMMYFUNCTION("""COMPUTED_VALUE"""),"")</f>
        <v/>
      </c>
      <c r="H313" s="134" t="str">
        <f ca="1">IFERROR(__xludf.DUMMYFUNCTION("""COMPUTED_VALUE"""),"")</f>
        <v/>
      </c>
      <c r="I313" s="134" t="str">
        <f ca="1">IFERROR(__xludf.DUMMYFUNCTION("""COMPUTED_VALUE"""),"")</f>
        <v/>
      </c>
      <c r="J313" s="134" t="str">
        <f ca="1">IFERROR(__xludf.DUMMYFUNCTION("""COMPUTED_VALUE"""),"")</f>
        <v/>
      </c>
      <c r="N313" s="31"/>
      <c r="Q313" s="195"/>
      <c r="S313" s="51"/>
      <c r="T313" s="31"/>
    </row>
    <row r="314" spans="1:20" customFormat="1">
      <c r="A314" s="134" t="str">
        <f ca="1">IFERROR(__xludf.DUMMYFUNCTION("""COMPUTED_VALUE"""),"")</f>
        <v/>
      </c>
      <c r="B314" s="134" t="str">
        <f ca="1">IFERROR(__xludf.DUMMYFUNCTION("""COMPUTED_VALUE"""),"")</f>
        <v/>
      </c>
      <c r="C314" s="134" t="str">
        <f ca="1">IFERROR(__xludf.DUMMYFUNCTION("""COMPUTED_VALUE"""),"")</f>
        <v/>
      </c>
      <c r="D314" s="134" t="str">
        <f ca="1">IFERROR(__xludf.DUMMYFUNCTION("""COMPUTED_VALUE"""),"")</f>
        <v/>
      </c>
      <c r="E314" s="134" t="str">
        <f ca="1">IFERROR(__xludf.DUMMYFUNCTION("""COMPUTED_VALUE"""),"")</f>
        <v/>
      </c>
      <c r="F314" s="134" t="str">
        <f ca="1">IFERROR(__xludf.DUMMYFUNCTION("""COMPUTED_VALUE"""),"")</f>
        <v/>
      </c>
      <c r="G314" s="134" t="str">
        <f ca="1">IFERROR(__xludf.DUMMYFUNCTION("""COMPUTED_VALUE"""),"")</f>
        <v/>
      </c>
      <c r="H314" s="134" t="str">
        <f ca="1">IFERROR(__xludf.DUMMYFUNCTION("""COMPUTED_VALUE"""),"")</f>
        <v/>
      </c>
      <c r="I314" s="134" t="str">
        <f ca="1">IFERROR(__xludf.DUMMYFUNCTION("""COMPUTED_VALUE"""),"")</f>
        <v/>
      </c>
      <c r="J314" s="134" t="str">
        <f ca="1">IFERROR(__xludf.DUMMYFUNCTION("""COMPUTED_VALUE"""),"")</f>
        <v/>
      </c>
      <c r="N314" s="31"/>
      <c r="Q314" s="195"/>
      <c r="S314" s="51"/>
      <c r="T314" s="31"/>
    </row>
    <row r="315" spans="1:20" customFormat="1">
      <c r="A315" s="134" t="str">
        <f ca="1">IFERROR(__xludf.DUMMYFUNCTION("""COMPUTED_VALUE"""),"")</f>
        <v/>
      </c>
      <c r="B315" s="134" t="str">
        <f ca="1">IFERROR(__xludf.DUMMYFUNCTION("""COMPUTED_VALUE"""),"")</f>
        <v/>
      </c>
      <c r="C315" s="134" t="str">
        <f ca="1">IFERROR(__xludf.DUMMYFUNCTION("""COMPUTED_VALUE"""),"")</f>
        <v/>
      </c>
      <c r="D315" s="134" t="str">
        <f ca="1">IFERROR(__xludf.DUMMYFUNCTION("""COMPUTED_VALUE"""),"")</f>
        <v/>
      </c>
      <c r="E315" s="134" t="str">
        <f ca="1">IFERROR(__xludf.DUMMYFUNCTION("""COMPUTED_VALUE"""),"")</f>
        <v/>
      </c>
      <c r="F315" s="134" t="str">
        <f ca="1">IFERROR(__xludf.DUMMYFUNCTION("""COMPUTED_VALUE"""),"")</f>
        <v/>
      </c>
      <c r="G315" s="134" t="str">
        <f ca="1">IFERROR(__xludf.DUMMYFUNCTION("""COMPUTED_VALUE"""),"")</f>
        <v/>
      </c>
      <c r="H315" s="134" t="str">
        <f ca="1">IFERROR(__xludf.DUMMYFUNCTION("""COMPUTED_VALUE"""),"")</f>
        <v/>
      </c>
      <c r="I315" s="134" t="str">
        <f ca="1">IFERROR(__xludf.DUMMYFUNCTION("""COMPUTED_VALUE"""),"")</f>
        <v/>
      </c>
      <c r="J315" s="134" t="str">
        <f ca="1">IFERROR(__xludf.DUMMYFUNCTION("""COMPUTED_VALUE"""),"")</f>
        <v/>
      </c>
      <c r="N315" s="31"/>
      <c r="Q315" s="195"/>
      <c r="S315" s="51"/>
      <c r="T315" s="31"/>
    </row>
    <row r="316" spans="1:20" customFormat="1">
      <c r="A316" s="134" t="str">
        <f ca="1">IFERROR(__xludf.DUMMYFUNCTION("""COMPUTED_VALUE"""),"")</f>
        <v/>
      </c>
      <c r="B316" s="134" t="str">
        <f ca="1">IFERROR(__xludf.DUMMYFUNCTION("""COMPUTED_VALUE"""),"")</f>
        <v/>
      </c>
      <c r="C316" s="134" t="str">
        <f ca="1">IFERROR(__xludf.DUMMYFUNCTION("""COMPUTED_VALUE"""),"")</f>
        <v/>
      </c>
      <c r="D316" s="134" t="str">
        <f ca="1">IFERROR(__xludf.DUMMYFUNCTION("""COMPUTED_VALUE"""),"")</f>
        <v/>
      </c>
      <c r="E316" s="134" t="str">
        <f ca="1">IFERROR(__xludf.DUMMYFUNCTION("""COMPUTED_VALUE"""),"")</f>
        <v/>
      </c>
      <c r="F316" s="134" t="str">
        <f ca="1">IFERROR(__xludf.DUMMYFUNCTION("""COMPUTED_VALUE"""),"")</f>
        <v/>
      </c>
      <c r="G316" s="134" t="str">
        <f ca="1">IFERROR(__xludf.DUMMYFUNCTION("""COMPUTED_VALUE"""),"")</f>
        <v/>
      </c>
      <c r="H316" s="134" t="str">
        <f ca="1">IFERROR(__xludf.DUMMYFUNCTION("""COMPUTED_VALUE"""),"")</f>
        <v/>
      </c>
      <c r="I316" s="134" t="str">
        <f ca="1">IFERROR(__xludf.DUMMYFUNCTION("""COMPUTED_VALUE"""),"")</f>
        <v/>
      </c>
      <c r="J316" s="134" t="str">
        <f ca="1">IFERROR(__xludf.DUMMYFUNCTION("""COMPUTED_VALUE"""),"")</f>
        <v/>
      </c>
      <c r="N316" s="31"/>
      <c r="Q316" s="195"/>
      <c r="S316" s="51"/>
      <c r="T316" s="31"/>
    </row>
    <row r="317" spans="1:20" customFormat="1">
      <c r="A317" s="134" t="str">
        <f ca="1">IFERROR(__xludf.DUMMYFUNCTION("""COMPUTED_VALUE"""),"")</f>
        <v/>
      </c>
      <c r="B317" s="134" t="str">
        <f ca="1">IFERROR(__xludf.DUMMYFUNCTION("""COMPUTED_VALUE"""),"")</f>
        <v/>
      </c>
      <c r="C317" s="134" t="str">
        <f ca="1">IFERROR(__xludf.DUMMYFUNCTION("""COMPUTED_VALUE"""),"")</f>
        <v/>
      </c>
      <c r="D317" s="134" t="str">
        <f ca="1">IFERROR(__xludf.DUMMYFUNCTION("""COMPUTED_VALUE"""),"")</f>
        <v/>
      </c>
      <c r="E317" s="134" t="str">
        <f ca="1">IFERROR(__xludf.DUMMYFUNCTION("""COMPUTED_VALUE"""),"")</f>
        <v/>
      </c>
      <c r="F317" s="134" t="str">
        <f ca="1">IFERROR(__xludf.DUMMYFUNCTION("""COMPUTED_VALUE"""),"")</f>
        <v/>
      </c>
      <c r="G317" s="134" t="str">
        <f ca="1">IFERROR(__xludf.DUMMYFUNCTION("""COMPUTED_VALUE"""),"")</f>
        <v/>
      </c>
      <c r="H317" s="134" t="str">
        <f ca="1">IFERROR(__xludf.DUMMYFUNCTION("""COMPUTED_VALUE"""),"")</f>
        <v/>
      </c>
      <c r="I317" s="134" t="str">
        <f ca="1">IFERROR(__xludf.DUMMYFUNCTION("""COMPUTED_VALUE"""),"")</f>
        <v/>
      </c>
      <c r="J317" s="134" t="str">
        <f ca="1">IFERROR(__xludf.DUMMYFUNCTION("""COMPUTED_VALUE"""),"")</f>
        <v/>
      </c>
      <c r="N317" s="31"/>
      <c r="Q317" s="195"/>
      <c r="S317" s="51"/>
      <c r="T317" s="31"/>
    </row>
    <row r="318" spans="1:20" customFormat="1">
      <c r="A318" s="134" t="str">
        <f ca="1">IFERROR(__xludf.DUMMYFUNCTION("""COMPUTED_VALUE"""),"")</f>
        <v/>
      </c>
      <c r="B318" s="134" t="str">
        <f ca="1">IFERROR(__xludf.DUMMYFUNCTION("""COMPUTED_VALUE"""),"")</f>
        <v/>
      </c>
      <c r="C318" s="134" t="str">
        <f ca="1">IFERROR(__xludf.DUMMYFUNCTION("""COMPUTED_VALUE"""),"")</f>
        <v/>
      </c>
      <c r="D318" s="134" t="str">
        <f ca="1">IFERROR(__xludf.DUMMYFUNCTION("""COMPUTED_VALUE"""),"")</f>
        <v/>
      </c>
      <c r="E318" s="134" t="str">
        <f ca="1">IFERROR(__xludf.DUMMYFUNCTION("""COMPUTED_VALUE"""),"")</f>
        <v/>
      </c>
      <c r="F318" s="134" t="str">
        <f ca="1">IFERROR(__xludf.DUMMYFUNCTION("""COMPUTED_VALUE"""),"")</f>
        <v/>
      </c>
      <c r="G318" s="134" t="str">
        <f ca="1">IFERROR(__xludf.DUMMYFUNCTION("""COMPUTED_VALUE"""),"")</f>
        <v/>
      </c>
      <c r="H318" s="134" t="str">
        <f ca="1">IFERROR(__xludf.DUMMYFUNCTION("""COMPUTED_VALUE"""),"")</f>
        <v/>
      </c>
      <c r="I318" s="134" t="str">
        <f ca="1">IFERROR(__xludf.DUMMYFUNCTION("""COMPUTED_VALUE"""),"")</f>
        <v/>
      </c>
      <c r="J318" s="134" t="str">
        <f ca="1">IFERROR(__xludf.DUMMYFUNCTION("""COMPUTED_VALUE"""),"")</f>
        <v/>
      </c>
      <c r="N318" s="31"/>
      <c r="Q318" s="195"/>
      <c r="S318" s="51"/>
      <c r="T318" s="31"/>
    </row>
    <row r="319" spans="1:20" customFormat="1">
      <c r="A319" s="134" t="str">
        <f ca="1">IFERROR(__xludf.DUMMYFUNCTION("""COMPUTED_VALUE"""),"")</f>
        <v/>
      </c>
      <c r="B319" s="134" t="str">
        <f ca="1">IFERROR(__xludf.DUMMYFUNCTION("""COMPUTED_VALUE"""),"")</f>
        <v/>
      </c>
      <c r="C319" s="134" t="str">
        <f ca="1">IFERROR(__xludf.DUMMYFUNCTION("""COMPUTED_VALUE"""),"")</f>
        <v/>
      </c>
      <c r="D319" s="134" t="str">
        <f ca="1">IFERROR(__xludf.DUMMYFUNCTION("""COMPUTED_VALUE"""),"")</f>
        <v/>
      </c>
      <c r="E319" s="134" t="str">
        <f ca="1">IFERROR(__xludf.DUMMYFUNCTION("""COMPUTED_VALUE"""),"")</f>
        <v/>
      </c>
      <c r="F319" s="134" t="str">
        <f ca="1">IFERROR(__xludf.DUMMYFUNCTION("""COMPUTED_VALUE"""),"")</f>
        <v/>
      </c>
      <c r="G319" s="134" t="str">
        <f ca="1">IFERROR(__xludf.DUMMYFUNCTION("""COMPUTED_VALUE"""),"")</f>
        <v/>
      </c>
      <c r="H319" s="134" t="str">
        <f ca="1">IFERROR(__xludf.DUMMYFUNCTION("""COMPUTED_VALUE"""),"")</f>
        <v/>
      </c>
      <c r="I319" s="134" t="str">
        <f ca="1">IFERROR(__xludf.DUMMYFUNCTION("""COMPUTED_VALUE"""),"")</f>
        <v/>
      </c>
      <c r="J319" s="134" t="str">
        <f ca="1">IFERROR(__xludf.DUMMYFUNCTION("""COMPUTED_VALUE"""),"")</f>
        <v/>
      </c>
      <c r="N319" s="31"/>
      <c r="Q319" s="195"/>
      <c r="S319" s="51"/>
      <c r="T319" s="31"/>
    </row>
    <row r="320" spans="1:20" customFormat="1">
      <c r="A320" s="134" t="str">
        <f ca="1">IFERROR(__xludf.DUMMYFUNCTION("""COMPUTED_VALUE"""),"")</f>
        <v/>
      </c>
      <c r="B320" s="134" t="str">
        <f ca="1">IFERROR(__xludf.DUMMYFUNCTION("""COMPUTED_VALUE"""),"")</f>
        <v/>
      </c>
      <c r="C320" s="134" t="str">
        <f ca="1">IFERROR(__xludf.DUMMYFUNCTION("""COMPUTED_VALUE"""),"")</f>
        <v/>
      </c>
      <c r="D320" s="134" t="str">
        <f ca="1">IFERROR(__xludf.DUMMYFUNCTION("""COMPUTED_VALUE"""),"")</f>
        <v/>
      </c>
      <c r="E320" s="134" t="str">
        <f ca="1">IFERROR(__xludf.DUMMYFUNCTION("""COMPUTED_VALUE"""),"")</f>
        <v/>
      </c>
      <c r="F320" s="134" t="str">
        <f ca="1">IFERROR(__xludf.DUMMYFUNCTION("""COMPUTED_VALUE"""),"")</f>
        <v/>
      </c>
      <c r="G320" s="134" t="str">
        <f ca="1">IFERROR(__xludf.DUMMYFUNCTION("""COMPUTED_VALUE"""),"")</f>
        <v/>
      </c>
      <c r="H320" s="134" t="str">
        <f ca="1">IFERROR(__xludf.DUMMYFUNCTION("""COMPUTED_VALUE"""),"")</f>
        <v/>
      </c>
      <c r="I320" s="134" t="str">
        <f ca="1">IFERROR(__xludf.DUMMYFUNCTION("""COMPUTED_VALUE"""),"")</f>
        <v/>
      </c>
      <c r="J320" s="134" t="str">
        <f ca="1">IFERROR(__xludf.DUMMYFUNCTION("""COMPUTED_VALUE"""),"")</f>
        <v/>
      </c>
      <c r="N320" s="31"/>
      <c r="Q320" s="195"/>
      <c r="S320" s="51"/>
      <c r="T320" s="31"/>
    </row>
    <row r="321" spans="1:20" customFormat="1">
      <c r="A321" s="134" t="str">
        <f ca="1">IFERROR(__xludf.DUMMYFUNCTION("""COMPUTED_VALUE"""),"")</f>
        <v/>
      </c>
      <c r="B321" s="134" t="str">
        <f ca="1">IFERROR(__xludf.DUMMYFUNCTION("""COMPUTED_VALUE"""),"")</f>
        <v/>
      </c>
      <c r="C321" s="134" t="str">
        <f ca="1">IFERROR(__xludf.DUMMYFUNCTION("""COMPUTED_VALUE"""),"")</f>
        <v/>
      </c>
      <c r="D321" s="134" t="str">
        <f ca="1">IFERROR(__xludf.DUMMYFUNCTION("""COMPUTED_VALUE"""),"")</f>
        <v/>
      </c>
      <c r="E321" s="134" t="str">
        <f ca="1">IFERROR(__xludf.DUMMYFUNCTION("""COMPUTED_VALUE"""),"")</f>
        <v/>
      </c>
      <c r="F321" s="134" t="str">
        <f ca="1">IFERROR(__xludf.DUMMYFUNCTION("""COMPUTED_VALUE"""),"")</f>
        <v/>
      </c>
      <c r="G321" s="134" t="str">
        <f ca="1">IFERROR(__xludf.DUMMYFUNCTION("""COMPUTED_VALUE"""),"")</f>
        <v/>
      </c>
      <c r="H321" s="134" t="str">
        <f ca="1">IFERROR(__xludf.DUMMYFUNCTION("""COMPUTED_VALUE"""),"")</f>
        <v/>
      </c>
      <c r="I321" s="134" t="str">
        <f ca="1">IFERROR(__xludf.DUMMYFUNCTION("""COMPUTED_VALUE"""),"")</f>
        <v/>
      </c>
      <c r="J321" s="134" t="str">
        <f ca="1">IFERROR(__xludf.DUMMYFUNCTION("""COMPUTED_VALUE"""),"")</f>
        <v/>
      </c>
      <c r="N321" s="31"/>
      <c r="Q321" s="195"/>
      <c r="S321" s="51"/>
      <c r="T321" s="31"/>
    </row>
    <row r="322" spans="1:20" customFormat="1">
      <c r="A322" s="134" t="str">
        <f ca="1">IFERROR(__xludf.DUMMYFUNCTION("""COMPUTED_VALUE"""),"")</f>
        <v/>
      </c>
      <c r="B322" s="134" t="str">
        <f ca="1">IFERROR(__xludf.DUMMYFUNCTION("""COMPUTED_VALUE"""),"")</f>
        <v/>
      </c>
      <c r="C322" s="134" t="str">
        <f ca="1">IFERROR(__xludf.DUMMYFUNCTION("""COMPUTED_VALUE"""),"")</f>
        <v/>
      </c>
      <c r="D322" s="134" t="str">
        <f ca="1">IFERROR(__xludf.DUMMYFUNCTION("""COMPUTED_VALUE"""),"")</f>
        <v/>
      </c>
      <c r="E322" s="134" t="str">
        <f ca="1">IFERROR(__xludf.DUMMYFUNCTION("""COMPUTED_VALUE"""),"")</f>
        <v/>
      </c>
      <c r="F322" s="134" t="str">
        <f ca="1">IFERROR(__xludf.DUMMYFUNCTION("""COMPUTED_VALUE"""),"")</f>
        <v/>
      </c>
      <c r="G322" s="134" t="str">
        <f ca="1">IFERROR(__xludf.DUMMYFUNCTION("""COMPUTED_VALUE"""),"")</f>
        <v/>
      </c>
      <c r="H322" s="134" t="str">
        <f ca="1">IFERROR(__xludf.DUMMYFUNCTION("""COMPUTED_VALUE"""),"")</f>
        <v/>
      </c>
      <c r="I322" s="134" t="str">
        <f ca="1">IFERROR(__xludf.DUMMYFUNCTION("""COMPUTED_VALUE"""),"")</f>
        <v/>
      </c>
      <c r="J322" s="134" t="str">
        <f ca="1">IFERROR(__xludf.DUMMYFUNCTION("""COMPUTED_VALUE"""),"")</f>
        <v/>
      </c>
      <c r="N322" s="31"/>
      <c r="Q322" s="195"/>
      <c r="S322" s="51"/>
      <c r="T322" s="31"/>
    </row>
    <row r="323" spans="1:20" customFormat="1">
      <c r="A323" s="134" t="str">
        <f ca="1">IFERROR(__xludf.DUMMYFUNCTION("""COMPUTED_VALUE"""),"")</f>
        <v/>
      </c>
      <c r="B323" s="134" t="str">
        <f ca="1">IFERROR(__xludf.DUMMYFUNCTION("""COMPUTED_VALUE"""),"")</f>
        <v/>
      </c>
      <c r="C323" s="134" t="str">
        <f ca="1">IFERROR(__xludf.DUMMYFUNCTION("""COMPUTED_VALUE"""),"")</f>
        <v/>
      </c>
      <c r="D323" s="134" t="str">
        <f ca="1">IFERROR(__xludf.DUMMYFUNCTION("""COMPUTED_VALUE"""),"")</f>
        <v/>
      </c>
      <c r="E323" s="134" t="str">
        <f ca="1">IFERROR(__xludf.DUMMYFUNCTION("""COMPUTED_VALUE"""),"")</f>
        <v/>
      </c>
      <c r="F323" s="134" t="str">
        <f ca="1">IFERROR(__xludf.DUMMYFUNCTION("""COMPUTED_VALUE"""),"")</f>
        <v/>
      </c>
      <c r="G323" s="134" t="str">
        <f ca="1">IFERROR(__xludf.DUMMYFUNCTION("""COMPUTED_VALUE"""),"")</f>
        <v/>
      </c>
      <c r="H323" s="134" t="str">
        <f ca="1">IFERROR(__xludf.DUMMYFUNCTION("""COMPUTED_VALUE"""),"")</f>
        <v/>
      </c>
      <c r="I323" s="134" t="str">
        <f ca="1">IFERROR(__xludf.DUMMYFUNCTION("""COMPUTED_VALUE"""),"")</f>
        <v/>
      </c>
      <c r="J323" s="134" t="str">
        <f ca="1">IFERROR(__xludf.DUMMYFUNCTION("""COMPUTED_VALUE"""),"")</f>
        <v/>
      </c>
      <c r="N323" s="31"/>
      <c r="Q323" s="195"/>
      <c r="S323" s="51"/>
      <c r="T323" s="31"/>
    </row>
    <row r="324" spans="1:20" customFormat="1">
      <c r="A324" s="134" t="str">
        <f ca="1">IFERROR(__xludf.DUMMYFUNCTION("""COMPUTED_VALUE"""),"")</f>
        <v/>
      </c>
      <c r="B324" s="134" t="str">
        <f ca="1">IFERROR(__xludf.DUMMYFUNCTION("""COMPUTED_VALUE"""),"")</f>
        <v/>
      </c>
      <c r="C324" s="134" t="str">
        <f ca="1">IFERROR(__xludf.DUMMYFUNCTION("""COMPUTED_VALUE"""),"")</f>
        <v/>
      </c>
      <c r="D324" s="134" t="str">
        <f ca="1">IFERROR(__xludf.DUMMYFUNCTION("""COMPUTED_VALUE"""),"")</f>
        <v/>
      </c>
      <c r="E324" s="134" t="str">
        <f ca="1">IFERROR(__xludf.DUMMYFUNCTION("""COMPUTED_VALUE"""),"")</f>
        <v/>
      </c>
      <c r="F324" s="134" t="str">
        <f ca="1">IFERROR(__xludf.DUMMYFUNCTION("""COMPUTED_VALUE"""),"")</f>
        <v/>
      </c>
      <c r="G324" s="134" t="str">
        <f ca="1">IFERROR(__xludf.DUMMYFUNCTION("""COMPUTED_VALUE"""),"")</f>
        <v/>
      </c>
      <c r="H324" s="134" t="str">
        <f ca="1">IFERROR(__xludf.DUMMYFUNCTION("""COMPUTED_VALUE"""),"")</f>
        <v/>
      </c>
      <c r="I324" s="134" t="str">
        <f ca="1">IFERROR(__xludf.DUMMYFUNCTION("""COMPUTED_VALUE"""),"")</f>
        <v/>
      </c>
      <c r="J324" s="134" t="str">
        <f ca="1">IFERROR(__xludf.DUMMYFUNCTION("""COMPUTED_VALUE"""),"")</f>
        <v/>
      </c>
      <c r="N324" s="31"/>
      <c r="Q324" s="195"/>
      <c r="S324" s="51"/>
      <c r="T324" s="31"/>
    </row>
    <row r="325" spans="1:20" customFormat="1">
      <c r="A325" s="134" t="str">
        <f ca="1">IFERROR(__xludf.DUMMYFUNCTION("""COMPUTED_VALUE"""),"")</f>
        <v/>
      </c>
      <c r="B325" s="134" t="str">
        <f ca="1">IFERROR(__xludf.DUMMYFUNCTION("""COMPUTED_VALUE"""),"")</f>
        <v/>
      </c>
      <c r="C325" s="134" t="str">
        <f ca="1">IFERROR(__xludf.DUMMYFUNCTION("""COMPUTED_VALUE"""),"")</f>
        <v/>
      </c>
      <c r="D325" s="134" t="str">
        <f ca="1">IFERROR(__xludf.DUMMYFUNCTION("""COMPUTED_VALUE"""),"")</f>
        <v/>
      </c>
      <c r="E325" s="134" t="str">
        <f ca="1">IFERROR(__xludf.DUMMYFUNCTION("""COMPUTED_VALUE"""),"")</f>
        <v/>
      </c>
      <c r="F325" s="134" t="str">
        <f ca="1">IFERROR(__xludf.DUMMYFUNCTION("""COMPUTED_VALUE"""),"")</f>
        <v/>
      </c>
      <c r="G325" s="134" t="str">
        <f ca="1">IFERROR(__xludf.DUMMYFUNCTION("""COMPUTED_VALUE"""),"")</f>
        <v/>
      </c>
      <c r="H325" s="134" t="str">
        <f ca="1">IFERROR(__xludf.DUMMYFUNCTION("""COMPUTED_VALUE"""),"")</f>
        <v/>
      </c>
      <c r="I325" s="134" t="str">
        <f ca="1">IFERROR(__xludf.DUMMYFUNCTION("""COMPUTED_VALUE"""),"")</f>
        <v/>
      </c>
      <c r="J325" s="134" t="str">
        <f ca="1">IFERROR(__xludf.DUMMYFUNCTION("""COMPUTED_VALUE"""),"")</f>
        <v/>
      </c>
      <c r="N325" s="31"/>
      <c r="Q325" s="195"/>
      <c r="S325" s="51"/>
      <c r="T325" s="31"/>
    </row>
    <row r="326" spans="1:20" customFormat="1">
      <c r="A326" s="134" t="str">
        <f ca="1">IFERROR(__xludf.DUMMYFUNCTION("""COMPUTED_VALUE"""),"")</f>
        <v/>
      </c>
      <c r="B326" s="134" t="str">
        <f ca="1">IFERROR(__xludf.DUMMYFUNCTION("""COMPUTED_VALUE"""),"")</f>
        <v/>
      </c>
      <c r="C326" s="134" t="str">
        <f ca="1">IFERROR(__xludf.DUMMYFUNCTION("""COMPUTED_VALUE"""),"")</f>
        <v/>
      </c>
      <c r="D326" s="134" t="str">
        <f ca="1">IFERROR(__xludf.DUMMYFUNCTION("""COMPUTED_VALUE"""),"")</f>
        <v/>
      </c>
      <c r="E326" s="134" t="str">
        <f ca="1">IFERROR(__xludf.DUMMYFUNCTION("""COMPUTED_VALUE"""),"")</f>
        <v/>
      </c>
      <c r="F326" s="134" t="str">
        <f ca="1">IFERROR(__xludf.DUMMYFUNCTION("""COMPUTED_VALUE"""),"")</f>
        <v/>
      </c>
      <c r="G326" s="134" t="str">
        <f ca="1">IFERROR(__xludf.DUMMYFUNCTION("""COMPUTED_VALUE"""),"")</f>
        <v/>
      </c>
      <c r="H326" s="134" t="str">
        <f ca="1">IFERROR(__xludf.DUMMYFUNCTION("""COMPUTED_VALUE"""),"")</f>
        <v/>
      </c>
      <c r="I326" s="134" t="str">
        <f ca="1">IFERROR(__xludf.DUMMYFUNCTION("""COMPUTED_VALUE"""),"")</f>
        <v/>
      </c>
      <c r="J326" s="134" t="str">
        <f ca="1">IFERROR(__xludf.DUMMYFUNCTION("""COMPUTED_VALUE"""),"")</f>
        <v/>
      </c>
      <c r="N326" s="31"/>
      <c r="Q326" s="195"/>
      <c r="S326" s="51"/>
      <c r="T326" s="31"/>
    </row>
    <row r="327" spans="1:20" customFormat="1">
      <c r="A327" s="134" t="str">
        <f ca="1">IFERROR(__xludf.DUMMYFUNCTION("""COMPUTED_VALUE"""),"")</f>
        <v/>
      </c>
      <c r="B327" s="134" t="str">
        <f ca="1">IFERROR(__xludf.DUMMYFUNCTION("""COMPUTED_VALUE"""),"")</f>
        <v/>
      </c>
      <c r="C327" s="134" t="str">
        <f ca="1">IFERROR(__xludf.DUMMYFUNCTION("""COMPUTED_VALUE"""),"")</f>
        <v/>
      </c>
      <c r="D327" s="134" t="str">
        <f ca="1">IFERROR(__xludf.DUMMYFUNCTION("""COMPUTED_VALUE"""),"")</f>
        <v/>
      </c>
      <c r="E327" s="134" t="str">
        <f ca="1">IFERROR(__xludf.DUMMYFUNCTION("""COMPUTED_VALUE"""),"")</f>
        <v/>
      </c>
      <c r="F327" s="134" t="str">
        <f ca="1">IFERROR(__xludf.DUMMYFUNCTION("""COMPUTED_VALUE"""),"")</f>
        <v/>
      </c>
      <c r="G327" s="134" t="str">
        <f ca="1">IFERROR(__xludf.DUMMYFUNCTION("""COMPUTED_VALUE"""),"")</f>
        <v/>
      </c>
      <c r="H327" s="134" t="str">
        <f ca="1">IFERROR(__xludf.DUMMYFUNCTION("""COMPUTED_VALUE"""),"")</f>
        <v/>
      </c>
      <c r="I327" s="134" t="str">
        <f ca="1">IFERROR(__xludf.DUMMYFUNCTION("""COMPUTED_VALUE"""),"")</f>
        <v/>
      </c>
      <c r="J327" s="134" t="str">
        <f ca="1">IFERROR(__xludf.DUMMYFUNCTION("""COMPUTED_VALUE"""),"")</f>
        <v/>
      </c>
      <c r="N327" s="31"/>
      <c r="Q327" s="195"/>
      <c r="S327" s="51"/>
      <c r="T327" s="31"/>
    </row>
    <row r="328" spans="1:20" customFormat="1">
      <c r="A328" s="134" t="str">
        <f ca="1">IFERROR(__xludf.DUMMYFUNCTION("""COMPUTED_VALUE"""),"")</f>
        <v/>
      </c>
      <c r="B328" s="134" t="str">
        <f ca="1">IFERROR(__xludf.DUMMYFUNCTION("""COMPUTED_VALUE"""),"")</f>
        <v/>
      </c>
      <c r="C328" s="134" t="str">
        <f ca="1">IFERROR(__xludf.DUMMYFUNCTION("""COMPUTED_VALUE"""),"")</f>
        <v/>
      </c>
      <c r="D328" s="134" t="str">
        <f ca="1">IFERROR(__xludf.DUMMYFUNCTION("""COMPUTED_VALUE"""),"")</f>
        <v/>
      </c>
      <c r="E328" s="134" t="str">
        <f ca="1">IFERROR(__xludf.DUMMYFUNCTION("""COMPUTED_VALUE"""),"")</f>
        <v/>
      </c>
      <c r="F328" s="134" t="str">
        <f ca="1">IFERROR(__xludf.DUMMYFUNCTION("""COMPUTED_VALUE"""),"")</f>
        <v/>
      </c>
      <c r="G328" s="134" t="str">
        <f ca="1">IFERROR(__xludf.DUMMYFUNCTION("""COMPUTED_VALUE"""),"")</f>
        <v/>
      </c>
      <c r="H328" s="134" t="str">
        <f ca="1">IFERROR(__xludf.DUMMYFUNCTION("""COMPUTED_VALUE"""),"")</f>
        <v/>
      </c>
      <c r="I328" s="134" t="str">
        <f ca="1">IFERROR(__xludf.DUMMYFUNCTION("""COMPUTED_VALUE"""),"")</f>
        <v/>
      </c>
      <c r="J328" s="134" t="str">
        <f ca="1">IFERROR(__xludf.DUMMYFUNCTION("""COMPUTED_VALUE"""),"")</f>
        <v/>
      </c>
      <c r="N328" s="31"/>
      <c r="Q328" s="195"/>
      <c r="S328" s="51"/>
      <c r="T328" s="31"/>
    </row>
    <row r="329" spans="1:20" customFormat="1">
      <c r="A329" s="134" t="str">
        <f ca="1">IFERROR(__xludf.DUMMYFUNCTION("""COMPUTED_VALUE"""),"")</f>
        <v/>
      </c>
      <c r="B329" s="134" t="str">
        <f ca="1">IFERROR(__xludf.DUMMYFUNCTION("""COMPUTED_VALUE"""),"")</f>
        <v/>
      </c>
      <c r="C329" s="134" t="str">
        <f ca="1">IFERROR(__xludf.DUMMYFUNCTION("""COMPUTED_VALUE"""),"")</f>
        <v/>
      </c>
      <c r="D329" s="134" t="str">
        <f ca="1">IFERROR(__xludf.DUMMYFUNCTION("""COMPUTED_VALUE"""),"")</f>
        <v/>
      </c>
      <c r="E329" s="134" t="str">
        <f ca="1">IFERROR(__xludf.DUMMYFUNCTION("""COMPUTED_VALUE"""),"")</f>
        <v/>
      </c>
      <c r="F329" s="134" t="str">
        <f ca="1">IFERROR(__xludf.DUMMYFUNCTION("""COMPUTED_VALUE"""),"")</f>
        <v/>
      </c>
      <c r="G329" s="134" t="str">
        <f ca="1">IFERROR(__xludf.DUMMYFUNCTION("""COMPUTED_VALUE"""),"")</f>
        <v/>
      </c>
      <c r="H329" s="134" t="str">
        <f ca="1">IFERROR(__xludf.DUMMYFUNCTION("""COMPUTED_VALUE"""),"")</f>
        <v/>
      </c>
      <c r="I329" s="134" t="str">
        <f ca="1">IFERROR(__xludf.DUMMYFUNCTION("""COMPUTED_VALUE"""),"")</f>
        <v/>
      </c>
      <c r="J329" s="134" t="str">
        <f ca="1">IFERROR(__xludf.DUMMYFUNCTION("""COMPUTED_VALUE"""),"")</f>
        <v/>
      </c>
      <c r="N329" s="31"/>
      <c r="Q329" s="195"/>
      <c r="S329" s="51"/>
      <c r="T329" s="31"/>
    </row>
    <row r="330" spans="1:20" customFormat="1">
      <c r="A330" s="134" t="str">
        <f ca="1">IFERROR(__xludf.DUMMYFUNCTION("""COMPUTED_VALUE"""),"")</f>
        <v/>
      </c>
      <c r="B330" s="134" t="str">
        <f ca="1">IFERROR(__xludf.DUMMYFUNCTION("""COMPUTED_VALUE"""),"")</f>
        <v/>
      </c>
      <c r="C330" s="134" t="str">
        <f ca="1">IFERROR(__xludf.DUMMYFUNCTION("""COMPUTED_VALUE"""),"")</f>
        <v/>
      </c>
      <c r="D330" s="134" t="str">
        <f ca="1">IFERROR(__xludf.DUMMYFUNCTION("""COMPUTED_VALUE"""),"")</f>
        <v/>
      </c>
      <c r="E330" s="134" t="str">
        <f ca="1">IFERROR(__xludf.DUMMYFUNCTION("""COMPUTED_VALUE"""),"")</f>
        <v/>
      </c>
      <c r="F330" s="134" t="str">
        <f ca="1">IFERROR(__xludf.DUMMYFUNCTION("""COMPUTED_VALUE"""),"")</f>
        <v/>
      </c>
      <c r="G330" s="134" t="str">
        <f ca="1">IFERROR(__xludf.DUMMYFUNCTION("""COMPUTED_VALUE"""),"")</f>
        <v/>
      </c>
      <c r="H330" s="134" t="str">
        <f ca="1">IFERROR(__xludf.DUMMYFUNCTION("""COMPUTED_VALUE"""),"")</f>
        <v/>
      </c>
      <c r="I330" s="134" t="str">
        <f ca="1">IFERROR(__xludf.DUMMYFUNCTION("""COMPUTED_VALUE"""),"")</f>
        <v/>
      </c>
      <c r="J330" s="134" t="str">
        <f ca="1">IFERROR(__xludf.DUMMYFUNCTION("""COMPUTED_VALUE"""),"")</f>
        <v/>
      </c>
      <c r="N330" s="31"/>
      <c r="Q330" s="195"/>
      <c r="S330" s="51"/>
      <c r="T330" s="31"/>
    </row>
    <row r="331" spans="1:20" customFormat="1">
      <c r="A331" s="134" t="str">
        <f ca="1">IFERROR(__xludf.DUMMYFUNCTION("""COMPUTED_VALUE"""),"")</f>
        <v/>
      </c>
      <c r="B331" s="134" t="str">
        <f ca="1">IFERROR(__xludf.DUMMYFUNCTION("""COMPUTED_VALUE"""),"")</f>
        <v/>
      </c>
      <c r="C331" s="134" t="str">
        <f ca="1">IFERROR(__xludf.DUMMYFUNCTION("""COMPUTED_VALUE"""),"")</f>
        <v/>
      </c>
      <c r="D331" s="134" t="str">
        <f ca="1">IFERROR(__xludf.DUMMYFUNCTION("""COMPUTED_VALUE"""),"")</f>
        <v/>
      </c>
      <c r="E331" s="134" t="str">
        <f ca="1">IFERROR(__xludf.DUMMYFUNCTION("""COMPUTED_VALUE"""),"")</f>
        <v/>
      </c>
      <c r="F331" s="134" t="str">
        <f ca="1">IFERROR(__xludf.DUMMYFUNCTION("""COMPUTED_VALUE"""),"")</f>
        <v/>
      </c>
      <c r="G331" s="134" t="str">
        <f ca="1">IFERROR(__xludf.DUMMYFUNCTION("""COMPUTED_VALUE"""),"")</f>
        <v/>
      </c>
      <c r="H331" s="134" t="str">
        <f ca="1">IFERROR(__xludf.DUMMYFUNCTION("""COMPUTED_VALUE"""),"")</f>
        <v/>
      </c>
      <c r="I331" s="134" t="str">
        <f ca="1">IFERROR(__xludf.DUMMYFUNCTION("""COMPUTED_VALUE"""),"")</f>
        <v/>
      </c>
      <c r="J331" s="134" t="str">
        <f ca="1">IFERROR(__xludf.DUMMYFUNCTION("""COMPUTED_VALUE"""),"")</f>
        <v/>
      </c>
      <c r="N331" s="31"/>
      <c r="Q331" s="195"/>
      <c r="S331" s="51"/>
      <c r="T331" s="31"/>
    </row>
    <row r="332" spans="1:20" customFormat="1">
      <c r="A332" s="134" t="str">
        <f ca="1">IFERROR(__xludf.DUMMYFUNCTION("""COMPUTED_VALUE"""),"")</f>
        <v/>
      </c>
      <c r="B332" s="134" t="str">
        <f ca="1">IFERROR(__xludf.DUMMYFUNCTION("""COMPUTED_VALUE"""),"")</f>
        <v/>
      </c>
      <c r="C332" s="134" t="str">
        <f ca="1">IFERROR(__xludf.DUMMYFUNCTION("""COMPUTED_VALUE"""),"")</f>
        <v/>
      </c>
      <c r="D332" s="134" t="str">
        <f ca="1">IFERROR(__xludf.DUMMYFUNCTION("""COMPUTED_VALUE"""),"")</f>
        <v/>
      </c>
      <c r="E332" s="134" t="str">
        <f ca="1">IFERROR(__xludf.DUMMYFUNCTION("""COMPUTED_VALUE"""),"")</f>
        <v/>
      </c>
      <c r="F332" s="134" t="str">
        <f ca="1">IFERROR(__xludf.DUMMYFUNCTION("""COMPUTED_VALUE"""),"")</f>
        <v/>
      </c>
      <c r="G332" s="134" t="str">
        <f ca="1">IFERROR(__xludf.DUMMYFUNCTION("""COMPUTED_VALUE"""),"")</f>
        <v/>
      </c>
      <c r="H332" s="134" t="str">
        <f ca="1">IFERROR(__xludf.DUMMYFUNCTION("""COMPUTED_VALUE"""),"")</f>
        <v/>
      </c>
      <c r="I332" s="134" t="str">
        <f ca="1">IFERROR(__xludf.DUMMYFUNCTION("""COMPUTED_VALUE"""),"")</f>
        <v/>
      </c>
      <c r="J332" s="134" t="str">
        <f ca="1">IFERROR(__xludf.DUMMYFUNCTION("""COMPUTED_VALUE"""),"")</f>
        <v/>
      </c>
      <c r="N332" s="31"/>
      <c r="Q332" s="195"/>
      <c r="S332" s="51"/>
      <c r="T332" s="31"/>
    </row>
    <row r="333" spans="1:20" customFormat="1">
      <c r="C333" s="134" t="str">
        <f ca="1">IFERROR(__xludf.DUMMYFUNCTION("""COMPUTED_VALUE"""),"")</f>
        <v/>
      </c>
      <c r="D333" s="134" t="str">
        <f ca="1">IFERROR(__xludf.DUMMYFUNCTION("""COMPUTED_VALUE"""),"")</f>
        <v/>
      </c>
      <c r="E333" s="134" t="str">
        <f ca="1">IFERROR(__xludf.DUMMYFUNCTION("""COMPUTED_VALUE"""),"")</f>
        <v/>
      </c>
      <c r="F333" s="134" t="str">
        <f ca="1">IFERROR(__xludf.DUMMYFUNCTION("""COMPUTED_VALUE"""),"")</f>
        <v/>
      </c>
      <c r="G333" s="134" t="str">
        <f ca="1">IFERROR(__xludf.DUMMYFUNCTION("""COMPUTED_VALUE"""),"")</f>
        <v/>
      </c>
      <c r="H333" s="134" t="str">
        <f ca="1">IFERROR(__xludf.DUMMYFUNCTION("""COMPUTED_VALUE"""),"")</f>
        <v/>
      </c>
      <c r="I333" s="134" t="str">
        <f ca="1">IFERROR(__xludf.DUMMYFUNCTION("""COMPUTED_VALUE"""),"")</f>
        <v/>
      </c>
      <c r="J333" s="134" t="str">
        <f ca="1">IFERROR(__xludf.DUMMYFUNCTION("""COMPUTED_VALUE"""),"")</f>
        <v/>
      </c>
      <c r="N333" s="31"/>
      <c r="Q333" s="195"/>
      <c r="S333" s="51"/>
      <c r="T333" s="31"/>
    </row>
    <row r="334" spans="1:20" customFormat="1" ht="14.25">
      <c r="N334" s="31"/>
      <c r="Q334" s="195"/>
      <c r="S334" s="51"/>
      <c r="T334" s="31"/>
    </row>
    <row r="335" spans="1:20" customFormat="1" ht="14.25">
      <c r="N335" s="31"/>
      <c r="Q335" s="195"/>
      <c r="S335" s="51"/>
      <c r="T335" s="31"/>
    </row>
    <row r="336" spans="1:20" customFormat="1" ht="14.25">
      <c r="N336" s="31"/>
      <c r="Q336" s="195"/>
      <c r="S336" s="51"/>
      <c r="T336" s="31"/>
    </row>
    <row r="337" spans="14:20" customFormat="1" ht="14.25">
      <c r="N337" s="31"/>
      <c r="Q337" s="195"/>
      <c r="S337" s="51"/>
      <c r="T337" s="31"/>
    </row>
    <row r="338" spans="14:20" customFormat="1" ht="14.25">
      <c r="N338" s="31"/>
      <c r="Q338" s="195"/>
      <c r="S338" s="51"/>
      <c r="T338" s="31"/>
    </row>
    <row r="339" spans="14:20" customFormat="1" ht="14.25">
      <c r="N339" s="31"/>
      <c r="Q339" s="195"/>
      <c r="S339" s="51"/>
      <c r="T339" s="31"/>
    </row>
    <row r="340" spans="14:20" customFormat="1" ht="14.25">
      <c r="N340" s="31"/>
      <c r="Q340" s="195"/>
      <c r="S340" s="51"/>
      <c r="T340" s="31"/>
    </row>
    <row r="341" spans="14:20" customFormat="1" ht="14.25">
      <c r="N341" s="31"/>
      <c r="Q341" s="195"/>
      <c r="S341" s="51"/>
      <c r="T341" s="31"/>
    </row>
    <row r="342" spans="14:20" customFormat="1" ht="14.25">
      <c r="N342" s="31"/>
      <c r="Q342" s="195"/>
      <c r="S342" s="51"/>
      <c r="T342" s="31"/>
    </row>
    <row r="343" spans="14:20" customFormat="1" ht="14.25">
      <c r="N343" s="31"/>
      <c r="Q343" s="195"/>
      <c r="S343" s="51"/>
      <c r="T343" s="31"/>
    </row>
    <row r="344" spans="14:20" customFormat="1" ht="14.25">
      <c r="N344" s="31"/>
      <c r="Q344" s="195"/>
      <c r="S344" s="51"/>
      <c r="T344" s="31"/>
    </row>
    <row r="345" spans="14:20" customFormat="1" ht="14.25">
      <c r="N345" s="31"/>
      <c r="Q345" s="195"/>
      <c r="S345" s="51"/>
      <c r="T345" s="31"/>
    </row>
    <row r="346" spans="14:20" customFormat="1" ht="14.25">
      <c r="N346" s="31"/>
      <c r="Q346" s="195"/>
      <c r="S346" s="51"/>
      <c r="T346" s="31"/>
    </row>
    <row r="347" spans="14:20" customFormat="1" ht="14.25">
      <c r="N347" s="31"/>
      <c r="Q347" s="195"/>
      <c r="S347" s="51"/>
      <c r="T347" s="31"/>
    </row>
    <row r="348" spans="14:20" customFormat="1" ht="14.25">
      <c r="N348" s="31"/>
      <c r="Q348" s="195"/>
      <c r="S348" s="51"/>
      <c r="T348" s="31"/>
    </row>
    <row r="349" spans="14:20" customFormat="1" ht="14.25">
      <c r="N349" s="31"/>
      <c r="Q349" s="195"/>
      <c r="S349" s="51"/>
      <c r="T349" s="31"/>
    </row>
    <row r="350" spans="14:20" customFormat="1" ht="14.25">
      <c r="N350" s="31"/>
      <c r="Q350" s="195"/>
      <c r="S350" s="51"/>
      <c r="T350" s="31"/>
    </row>
    <row r="351" spans="14:20" customFormat="1" ht="14.25">
      <c r="N351" s="31"/>
      <c r="Q351" s="195"/>
      <c r="S351" s="51"/>
      <c r="T351" s="31"/>
    </row>
    <row r="352" spans="14:20" customFormat="1" ht="14.25">
      <c r="N352" s="31"/>
      <c r="Q352" s="195"/>
      <c r="S352" s="51"/>
      <c r="T352" s="31"/>
    </row>
    <row r="353" spans="14:20" customFormat="1" ht="14.25">
      <c r="N353" s="31"/>
      <c r="Q353" s="195"/>
      <c r="S353" s="51"/>
      <c r="T353" s="31"/>
    </row>
    <row r="354" spans="14:20" customFormat="1" ht="14.25">
      <c r="N354" s="31"/>
      <c r="Q354" s="195"/>
      <c r="S354" s="51"/>
      <c r="T354" s="31"/>
    </row>
    <row r="355" spans="14:20" customFormat="1" ht="14.25">
      <c r="N355" s="31"/>
      <c r="Q355" s="195"/>
      <c r="S355" s="51"/>
      <c r="T355" s="31"/>
    </row>
    <row r="356" spans="14:20" customFormat="1" ht="14.25">
      <c r="N356" s="31"/>
      <c r="Q356" s="195"/>
      <c r="S356" s="51"/>
      <c r="T356" s="31"/>
    </row>
    <row r="357" spans="14:20" customFormat="1" ht="14.25">
      <c r="N357" s="31"/>
      <c r="Q357" s="195"/>
      <c r="S357" s="51"/>
      <c r="T357" s="31"/>
    </row>
    <row r="358" spans="14:20" customFormat="1" ht="14.25">
      <c r="N358" s="31"/>
      <c r="Q358" s="195"/>
      <c r="S358" s="51"/>
      <c r="T358" s="31"/>
    </row>
    <row r="359" spans="14:20" customFormat="1" ht="14.25">
      <c r="N359" s="31"/>
      <c r="Q359" s="195"/>
      <c r="S359" s="51"/>
      <c r="T359" s="31"/>
    </row>
    <row r="360" spans="14:20" customFormat="1" ht="14.25">
      <c r="N360" s="31"/>
      <c r="Q360" s="195"/>
      <c r="S360" s="51"/>
      <c r="T360" s="31"/>
    </row>
    <row r="361" spans="14:20" customFormat="1" ht="14.25">
      <c r="N361" s="31"/>
      <c r="Q361" s="195"/>
      <c r="S361" s="51"/>
      <c r="T361" s="31"/>
    </row>
    <row r="362" spans="14:20" customFormat="1" ht="14.25">
      <c r="N362" s="31"/>
      <c r="Q362" s="195"/>
      <c r="S362" s="51"/>
      <c r="T362" s="31"/>
    </row>
    <row r="363" spans="14:20" customFormat="1" ht="14.25">
      <c r="N363" s="31"/>
      <c r="Q363" s="195"/>
      <c r="S363" s="51"/>
      <c r="T363" s="31"/>
    </row>
    <row r="364" spans="14:20" customFormat="1" ht="14.25">
      <c r="N364" s="31"/>
      <c r="Q364" s="195"/>
      <c r="S364" s="51"/>
      <c r="T364" s="31"/>
    </row>
    <row r="365" spans="14:20" customFormat="1" ht="14.25">
      <c r="N365" s="31"/>
      <c r="Q365" s="195"/>
      <c r="S365" s="51"/>
      <c r="T365" s="31"/>
    </row>
    <row r="366" spans="14:20" customFormat="1" ht="14.25">
      <c r="N366" s="31"/>
      <c r="Q366" s="195"/>
      <c r="S366" s="51"/>
      <c r="T366" s="31"/>
    </row>
    <row r="367" spans="14:20" customFormat="1" ht="14.25">
      <c r="N367" s="31"/>
      <c r="Q367" s="195"/>
      <c r="S367" s="51"/>
      <c r="T367" s="31"/>
    </row>
    <row r="368" spans="14:20" customFormat="1" ht="14.25">
      <c r="N368" s="31"/>
      <c r="Q368" s="195"/>
      <c r="S368" s="51"/>
      <c r="T368" s="31"/>
    </row>
    <row r="369" spans="14:20" customFormat="1" ht="14.25">
      <c r="N369" s="31"/>
      <c r="Q369" s="195"/>
      <c r="S369" s="51"/>
      <c r="T369" s="31"/>
    </row>
    <row r="370" spans="14:20" customFormat="1" ht="14.25">
      <c r="N370" s="31"/>
      <c r="Q370" s="195"/>
      <c r="S370" s="51"/>
      <c r="T370" s="31"/>
    </row>
    <row r="371" spans="14:20" customFormat="1" ht="14.25">
      <c r="N371" s="31"/>
      <c r="Q371" s="195"/>
      <c r="S371" s="51"/>
      <c r="T371" s="31"/>
    </row>
    <row r="372" spans="14:20" customFormat="1" ht="14.25">
      <c r="N372" s="31"/>
      <c r="Q372" s="195"/>
      <c r="S372" s="51"/>
      <c r="T372" s="31"/>
    </row>
    <row r="373" spans="14:20" customFormat="1" ht="14.25">
      <c r="N373" s="31"/>
      <c r="Q373" s="195"/>
      <c r="S373" s="51"/>
      <c r="T373" s="31"/>
    </row>
    <row r="374" spans="14:20" customFormat="1" ht="14.25">
      <c r="N374" s="31"/>
      <c r="Q374" s="195"/>
      <c r="S374" s="51"/>
      <c r="T374" s="31"/>
    </row>
    <row r="375" spans="14:20" customFormat="1" ht="14.25">
      <c r="N375" s="31"/>
      <c r="Q375" s="195"/>
      <c r="S375" s="51"/>
      <c r="T375" s="31"/>
    </row>
    <row r="376" spans="14:20" customFormat="1" ht="14.25">
      <c r="N376" s="31"/>
      <c r="Q376" s="195"/>
      <c r="S376" s="51"/>
      <c r="T376" s="31"/>
    </row>
    <row r="377" spans="14:20" customFormat="1" ht="14.25">
      <c r="N377" s="31"/>
      <c r="Q377" s="195"/>
      <c r="S377" s="51"/>
      <c r="T377" s="31"/>
    </row>
    <row r="378" spans="14:20" customFormat="1" ht="14.25">
      <c r="N378" s="31"/>
      <c r="Q378" s="195"/>
      <c r="S378" s="51"/>
      <c r="T378" s="31"/>
    </row>
    <row r="379" spans="14:20" customFormat="1" ht="14.25">
      <c r="N379" s="31"/>
      <c r="Q379" s="195"/>
      <c r="S379" s="51"/>
      <c r="T379" s="31"/>
    </row>
    <row r="380" spans="14:20" customFormat="1" ht="14.25">
      <c r="N380" s="31"/>
      <c r="Q380" s="195"/>
      <c r="S380" s="51"/>
      <c r="T380" s="31"/>
    </row>
    <row r="381" spans="14:20" customFormat="1" ht="14.25">
      <c r="N381" s="31"/>
      <c r="Q381" s="195"/>
      <c r="S381" s="51"/>
      <c r="T381" s="31"/>
    </row>
    <row r="382" spans="14:20" customFormat="1" ht="14.25">
      <c r="N382" s="31"/>
      <c r="Q382" s="195"/>
      <c r="S382" s="51"/>
      <c r="T382" s="31"/>
    </row>
    <row r="383" spans="14:20" customFormat="1" ht="14.25">
      <c r="N383" s="31"/>
      <c r="Q383" s="195"/>
      <c r="S383" s="51"/>
      <c r="T383" s="31"/>
    </row>
    <row r="384" spans="14:20" customFormat="1" ht="14.25">
      <c r="N384" s="31"/>
      <c r="Q384" s="195"/>
      <c r="S384" s="51"/>
      <c r="T384" s="31"/>
    </row>
    <row r="385" spans="14:20" customFormat="1" ht="14.25">
      <c r="N385" s="31"/>
      <c r="Q385" s="195"/>
      <c r="S385" s="51"/>
      <c r="T385" s="31"/>
    </row>
    <row r="386" spans="14:20" customFormat="1" ht="14.25">
      <c r="N386" s="31"/>
      <c r="Q386" s="195"/>
      <c r="S386" s="51"/>
      <c r="T386" s="31"/>
    </row>
    <row r="387" spans="14:20" customFormat="1" ht="14.25">
      <c r="N387" s="31"/>
      <c r="Q387" s="195"/>
      <c r="S387" s="51"/>
      <c r="T387" s="31"/>
    </row>
    <row r="388" spans="14:20" customFormat="1" ht="14.25">
      <c r="N388" s="31"/>
      <c r="Q388" s="195"/>
      <c r="S388" s="51"/>
      <c r="T388" s="31"/>
    </row>
    <row r="389" spans="14:20" customFormat="1" ht="14.25">
      <c r="N389" s="31"/>
      <c r="Q389" s="195"/>
      <c r="S389" s="51"/>
      <c r="T389" s="31"/>
    </row>
    <row r="390" spans="14:20" customFormat="1" ht="14.25">
      <c r="N390" s="31"/>
      <c r="Q390" s="195"/>
      <c r="S390" s="51"/>
      <c r="T390" s="31"/>
    </row>
    <row r="391" spans="14:20" customFormat="1" ht="14.25">
      <c r="N391" s="31"/>
      <c r="Q391" s="195"/>
      <c r="S391" s="51"/>
      <c r="T391" s="31"/>
    </row>
    <row r="392" spans="14:20" customFormat="1" ht="14.25">
      <c r="N392" s="31"/>
      <c r="Q392" s="195"/>
      <c r="S392" s="51"/>
      <c r="T392" s="31"/>
    </row>
    <row r="393" spans="14:20" customFormat="1" ht="14.25">
      <c r="N393" s="31"/>
      <c r="Q393" s="195"/>
      <c r="S393" s="51"/>
      <c r="T393" s="31"/>
    </row>
    <row r="394" spans="14:20" customFormat="1" ht="14.25">
      <c r="N394" s="31"/>
      <c r="Q394" s="195"/>
      <c r="S394" s="51"/>
      <c r="T394" s="31"/>
    </row>
    <row r="395" spans="14:20" customFormat="1" ht="14.25">
      <c r="N395" s="31"/>
      <c r="Q395" s="195"/>
      <c r="S395" s="51"/>
      <c r="T395" s="31"/>
    </row>
    <row r="396" spans="14:20" customFormat="1" ht="14.25">
      <c r="N396" s="31"/>
      <c r="Q396" s="195"/>
      <c r="S396" s="51"/>
      <c r="T396" s="31"/>
    </row>
    <row r="397" spans="14:20" customFormat="1" ht="14.25">
      <c r="N397" s="31"/>
      <c r="Q397" s="195"/>
      <c r="S397" s="51"/>
      <c r="T397" s="31"/>
    </row>
    <row r="398" spans="14:20" customFormat="1" ht="14.25">
      <c r="N398" s="31"/>
      <c r="Q398" s="195"/>
      <c r="S398" s="51"/>
      <c r="T398" s="31"/>
    </row>
    <row r="399" spans="14:20" customFormat="1" ht="14.25">
      <c r="N399" s="31"/>
      <c r="Q399" s="195"/>
      <c r="S399" s="51"/>
      <c r="T399" s="31"/>
    </row>
    <row r="400" spans="14:20" customFormat="1" ht="14.25">
      <c r="N400" s="31"/>
      <c r="Q400" s="195"/>
      <c r="S400" s="51"/>
      <c r="T400" s="31"/>
    </row>
    <row r="401" spans="14:20" customFormat="1" ht="14.25">
      <c r="N401" s="31"/>
      <c r="Q401" s="195"/>
      <c r="S401" s="51"/>
      <c r="T401" s="31"/>
    </row>
    <row r="402" spans="14:20" customFormat="1" ht="14.25">
      <c r="N402" s="31"/>
      <c r="Q402" s="195"/>
      <c r="S402" s="51"/>
      <c r="T402" s="31"/>
    </row>
    <row r="403" spans="14:20" customFormat="1" ht="14.25">
      <c r="N403" s="31"/>
      <c r="Q403" s="195"/>
      <c r="S403" s="51"/>
      <c r="T403" s="31"/>
    </row>
    <row r="404" spans="14:20" customFormat="1" ht="14.25">
      <c r="N404" s="31"/>
      <c r="Q404" s="195"/>
      <c r="S404" s="51"/>
      <c r="T404" s="31"/>
    </row>
    <row r="405" spans="14:20" customFormat="1" ht="14.25">
      <c r="N405" s="31"/>
      <c r="Q405" s="195"/>
      <c r="S405" s="51"/>
      <c r="T405" s="31"/>
    </row>
    <row r="406" spans="14:20" customFormat="1" ht="14.25">
      <c r="N406" s="31"/>
      <c r="Q406" s="195"/>
      <c r="S406" s="51"/>
      <c r="T406" s="31"/>
    </row>
    <row r="407" spans="14:20" customFormat="1" ht="14.25">
      <c r="N407" s="31"/>
      <c r="Q407" s="195"/>
      <c r="S407" s="51"/>
      <c r="T407" s="31"/>
    </row>
    <row r="408" spans="14:20" customFormat="1" ht="14.25">
      <c r="N408" s="31"/>
      <c r="Q408" s="195"/>
      <c r="S408" s="51"/>
      <c r="T408" s="31"/>
    </row>
    <row r="409" spans="14:20" customFormat="1" ht="14.25">
      <c r="N409" s="31"/>
      <c r="Q409" s="195"/>
      <c r="S409" s="51"/>
      <c r="T409" s="31"/>
    </row>
    <row r="410" spans="14:20" customFormat="1" ht="14.25">
      <c r="N410" s="31"/>
      <c r="Q410" s="195"/>
      <c r="S410" s="51"/>
      <c r="T410" s="31"/>
    </row>
    <row r="411" spans="14:20" customFormat="1" ht="14.25">
      <c r="N411" s="31"/>
      <c r="Q411" s="195"/>
      <c r="S411" s="51"/>
      <c r="T411" s="31"/>
    </row>
    <row r="412" spans="14:20" customFormat="1" ht="14.25">
      <c r="N412" s="31"/>
      <c r="Q412" s="195"/>
      <c r="S412" s="51"/>
      <c r="T412" s="31"/>
    </row>
    <row r="413" spans="14:20" customFormat="1" ht="14.25">
      <c r="N413" s="31"/>
      <c r="Q413" s="195"/>
      <c r="S413" s="51"/>
      <c r="T413" s="31"/>
    </row>
    <row r="414" spans="14:20" customFormat="1" ht="14.25">
      <c r="N414" s="31"/>
      <c r="Q414" s="195"/>
      <c r="S414" s="51"/>
      <c r="T414" s="31"/>
    </row>
    <row r="415" spans="14:20" customFormat="1" ht="14.25">
      <c r="N415" s="31"/>
      <c r="Q415" s="195"/>
      <c r="S415" s="51"/>
      <c r="T415" s="31"/>
    </row>
    <row r="416" spans="14:20" customFormat="1" ht="14.25">
      <c r="N416" s="31"/>
      <c r="Q416" s="195"/>
      <c r="S416" s="51"/>
      <c r="T416" s="31"/>
    </row>
    <row r="417" spans="1:20" customFormat="1" ht="14.25">
      <c r="N417" s="31"/>
      <c r="Q417" s="195"/>
      <c r="S417" s="51"/>
      <c r="T417" s="31"/>
    </row>
    <row r="418" spans="1:20" customFormat="1" ht="14.25">
      <c r="N418" s="31"/>
      <c r="Q418" s="195"/>
      <c r="S418" s="51"/>
      <c r="T418" s="31"/>
    </row>
    <row r="419" spans="1:20" customFormat="1" ht="14.25">
      <c r="N419" s="31"/>
      <c r="Q419" s="195"/>
      <c r="S419" s="51"/>
      <c r="T419" s="31"/>
    </row>
    <row r="420" spans="1:20" customFormat="1" ht="14.25">
      <c r="A420" s="28"/>
      <c r="B420" s="28"/>
      <c r="N420" s="31"/>
      <c r="Q420" s="195"/>
      <c r="S420" s="51"/>
      <c r="T420" s="31"/>
    </row>
  </sheetData>
  <autoFilter ref="A1:AA48" xr:uid="{E22027BC-A94A-4ABD-9BD7-D2B187C64E2B}"/>
  <sortState xmlns:xlrd2="http://schemas.microsoft.com/office/spreadsheetml/2017/richdata2" ref="A2:AA2">
    <sortCondition ref="O2"/>
  </sortState>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00"/>
    <outlinePr summaryBelow="0" summaryRight="0"/>
  </sheetPr>
  <dimension ref="A1:W430"/>
  <sheetViews>
    <sheetView zoomScale="70" zoomScaleNormal="70" workbookViewId="0">
      <selection activeCell="Q1" sqref="Q1:W1048576"/>
    </sheetView>
  </sheetViews>
  <sheetFormatPr defaultColWidth="12.625" defaultRowHeight="15" customHeight="1"/>
  <cols>
    <col min="1" max="1" width="39.75" style="28" customWidth="1"/>
    <col min="2" max="2" width="12.5" style="28" customWidth="1"/>
    <col min="3" max="3" width="10.375" style="28" customWidth="1"/>
    <col min="4" max="4" width="15.75" style="28" customWidth="1"/>
    <col min="5" max="5" width="22.25" style="28" customWidth="1"/>
    <col min="6" max="7" width="18.875" style="28" customWidth="1"/>
    <col min="8" max="8" width="7.875" style="28" customWidth="1"/>
    <col min="9" max="9" width="15.5" style="28" customWidth="1"/>
    <col min="10" max="10" width="10.75" style="28" hidden="1" customWidth="1"/>
    <col min="11" max="12" width="0" hidden="1" customWidth="1"/>
    <col min="13" max="13" width="17.5" hidden="1" customWidth="1"/>
    <col min="14" max="14" width="0" style="31" hidden="1" customWidth="1"/>
    <col min="15" max="16" width="12.625" style="28"/>
    <col min="17" max="17" width="0" style="31" hidden="1" customWidth="1"/>
    <col min="18" max="23" width="0" style="28" hidden="1" customWidth="1"/>
    <col min="24" max="16384" width="12.625" style="28"/>
  </cols>
  <sheetData>
    <row r="1" spans="1:20" s="236" customFormat="1" ht="45">
      <c r="A1" s="166" t="s">
        <v>1224</v>
      </c>
      <c r="B1" s="166" t="s">
        <v>1225</v>
      </c>
      <c r="C1" s="166" t="s">
        <v>1228</v>
      </c>
      <c r="D1" s="166" t="s">
        <v>1246</v>
      </c>
      <c r="E1" s="166" t="s">
        <v>1247</v>
      </c>
      <c r="F1" s="166" t="s">
        <v>1248</v>
      </c>
      <c r="G1" s="166" t="s">
        <v>18</v>
      </c>
      <c r="H1" s="166" t="s">
        <v>1249</v>
      </c>
      <c r="I1" s="166" t="s">
        <v>1250</v>
      </c>
      <c r="J1" s="166" t="s">
        <v>10</v>
      </c>
      <c r="K1" s="167" t="s">
        <v>3651</v>
      </c>
      <c r="L1" s="167" t="s">
        <v>3652</v>
      </c>
      <c r="M1" s="167" t="s">
        <v>6939</v>
      </c>
      <c r="N1" s="167" t="s">
        <v>3654</v>
      </c>
      <c r="O1" s="235">
        <v>43991</v>
      </c>
      <c r="P1" s="53" t="s">
        <v>3655</v>
      </c>
      <c r="Q1" s="89" t="s">
        <v>3656</v>
      </c>
      <c r="R1" s="53"/>
      <c r="S1" s="53" t="s">
        <v>3657</v>
      </c>
      <c r="T1" s="167" t="s">
        <v>3658</v>
      </c>
    </row>
    <row r="2" spans="1:20" s="57" customFormat="1">
      <c r="A2" s="181" t="s">
        <v>137</v>
      </c>
      <c r="B2" s="181" t="s">
        <v>3659</v>
      </c>
      <c r="C2" s="181" t="s">
        <v>1492</v>
      </c>
      <c r="D2" s="181" t="s">
        <v>1494</v>
      </c>
      <c r="E2" s="181" t="s">
        <v>1495</v>
      </c>
      <c r="F2" s="181" t="s">
        <v>1496</v>
      </c>
      <c r="G2" s="181" t="s">
        <v>18</v>
      </c>
      <c r="H2" s="181" t="s">
        <v>19</v>
      </c>
      <c r="I2" s="181">
        <v>99</v>
      </c>
      <c r="J2" s="181" t="s">
        <v>141</v>
      </c>
      <c r="K2" s="142">
        <v>2.75</v>
      </c>
      <c r="L2" s="142">
        <v>3.5</v>
      </c>
      <c r="M2" s="221" t="s">
        <v>3631</v>
      </c>
      <c r="N2" s="132">
        <v>1</v>
      </c>
      <c r="O2" s="56">
        <f t="shared" ref="O2:O34" si="0">$O$1+N2</f>
        <v>43992</v>
      </c>
      <c r="P2" s="172" t="s">
        <v>3842</v>
      </c>
      <c r="Q2" s="132">
        <f>ROUNDUP(I2/$R$2,0)</f>
        <v>2</v>
      </c>
      <c r="R2" s="57">
        <v>50</v>
      </c>
      <c r="S2" s="207" t="s">
        <v>3661</v>
      </c>
      <c r="T2" s="57">
        <v>4</v>
      </c>
    </row>
    <row r="3" spans="1:20" s="55" customFormat="1">
      <c r="A3" s="181" t="s">
        <v>565</v>
      </c>
      <c r="B3" s="181" t="s">
        <v>3659</v>
      </c>
      <c r="C3" s="181" t="s">
        <v>2307</v>
      </c>
      <c r="D3" s="181" t="s">
        <v>2309</v>
      </c>
      <c r="E3" s="181" t="s">
        <v>2310</v>
      </c>
      <c r="F3" s="181" t="s">
        <v>2311</v>
      </c>
      <c r="G3" s="181" t="s">
        <v>18</v>
      </c>
      <c r="H3" s="181" t="s">
        <v>30</v>
      </c>
      <c r="I3" s="181">
        <v>90</v>
      </c>
      <c r="J3" s="181" t="s">
        <v>327</v>
      </c>
      <c r="K3" s="142">
        <v>2.5</v>
      </c>
      <c r="L3" s="142">
        <v>3.25</v>
      </c>
      <c r="M3" s="221" t="s">
        <v>3631</v>
      </c>
      <c r="N3" s="132">
        <v>1</v>
      </c>
      <c r="O3" s="56">
        <f t="shared" si="0"/>
        <v>43992</v>
      </c>
      <c r="P3" s="174" t="s">
        <v>3953</v>
      </c>
      <c r="Q3" s="132">
        <f t="shared" ref="Q3:Q59" si="1">ROUNDUP(I3/$R$2,0)</f>
        <v>2</v>
      </c>
      <c r="R3" s="143"/>
      <c r="S3" s="207" t="s">
        <v>3661</v>
      </c>
      <c r="T3" s="143"/>
    </row>
    <row r="4" spans="1:20" s="55" customFormat="1">
      <c r="A4" s="181" t="s">
        <v>3110</v>
      </c>
      <c r="B4" s="181" t="s">
        <v>1312</v>
      </c>
      <c r="C4" s="181" t="s">
        <v>1492</v>
      </c>
      <c r="D4" s="181" t="s">
        <v>3111</v>
      </c>
      <c r="E4" s="181" t="s">
        <v>3112</v>
      </c>
      <c r="F4" s="181" t="s">
        <v>1798</v>
      </c>
      <c r="G4" s="181" t="s">
        <v>18</v>
      </c>
      <c r="H4" s="181" t="s">
        <v>1298</v>
      </c>
      <c r="I4" s="181">
        <v>119</v>
      </c>
      <c r="J4" s="145" t="s">
        <v>3659</v>
      </c>
      <c r="K4" s="142">
        <v>3.3055555555555554</v>
      </c>
      <c r="L4" s="142">
        <v>4.0555555555555554</v>
      </c>
      <c r="M4" s="221" t="s">
        <v>3631</v>
      </c>
      <c r="N4" s="132">
        <v>2</v>
      </c>
      <c r="O4" s="56">
        <f t="shared" si="0"/>
        <v>43993</v>
      </c>
      <c r="P4" s="174" t="s">
        <v>3867</v>
      </c>
      <c r="Q4" s="132">
        <f t="shared" si="1"/>
        <v>3</v>
      </c>
      <c r="R4" s="143"/>
      <c r="S4" s="207" t="s">
        <v>3661</v>
      </c>
      <c r="T4" s="143"/>
    </row>
    <row r="5" spans="1:20" s="57" customFormat="1">
      <c r="A5" s="181" t="s">
        <v>2736</v>
      </c>
      <c r="B5" s="181" t="s">
        <v>343</v>
      </c>
      <c r="C5" s="181" t="s">
        <v>1492</v>
      </c>
      <c r="D5" s="181" t="s">
        <v>2737</v>
      </c>
      <c r="E5" s="181" t="s">
        <v>2738</v>
      </c>
      <c r="F5" s="181" t="s">
        <v>1798</v>
      </c>
      <c r="G5" s="181" t="s">
        <v>18</v>
      </c>
      <c r="H5" s="181" t="s">
        <v>1298</v>
      </c>
      <c r="I5" s="181">
        <v>73</v>
      </c>
      <c r="J5" s="145" t="s">
        <v>3659</v>
      </c>
      <c r="K5" s="142">
        <v>2.0277777777777777</v>
      </c>
      <c r="L5" s="142">
        <v>2.7777777777777777</v>
      </c>
      <c r="M5" s="221" t="s">
        <v>3631</v>
      </c>
      <c r="N5" s="132">
        <v>2</v>
      </c>
      <c r="O5" s="56">
        <f t="shared" si="0"/>
        <v>43993</v>
      </c>
      <c r="P5" s="172" t="s">
        <v>3868</v>
      </c>
      <c r="Q5" s="132">
        <f t="shared" si="1"/>
        <v>2</v>
      </c>
      <c r="S5" s="207" t="s">
        <v>3661</v>
      </c>
    </row>
    <row r="6" spans="1:20" s="57" customFormat="1">
      <c r="A6" s="181" t="s">
        <v>1794</v>
      </c>
      <c r="B6" s="181" t="s">
        <v>343</v>
      </c>
      <c r="C6" s="181" t="s">
        <v>1492</v>
      </c>
      <c r="D6" s="181" t="s">
        <v>1796</v>
      </c>
      <c r="E6" s="181" t="s">
        <v>1797</v>
      </c>
      <c r="F6" s="181" t="s">
        <v>1798</v>
      </c>
      <c r="G6" s="181" t="s">
        <v>18</v>
      </c>
      <c r="H6" s="181" t="s">
        <v>1298</v>
      </c>
      <c r="I6" s="181">
        <v>67</v>
      </c>
      <c r="J6" s="181" t="s">
        <v>3659</v>
      </c>
      <c r="K6" s="142">
        <v>1.8611111111111112</v>
      </c>
      <c r="L6" s="142">
        <v>2.6111111111111112</v>
      </c>
      <c r="M6" s="221" t="s">
        <v>3631</v>
      </c>
      <c r="N6" s="132">
        <v>2</v>
      </c>
      <c r="O6" s="56">
        <f t="shared" si="0"/>
        <v>43993</v>
      </c>
      <c r="P6" s="172" t="s">
        <v>3954</v>
      </c>
      <c r="Q6" s="132">
        <f t="shared" si="1"/>
        <v>2</v>
      </c>
      <c r="S6" s="207" t="s">
        <v>3661</v>
      </c>
    </row>
    <row r="7" spans="1:20" s="55" customFormat="1">
      <c r="A7" s="181" t="s">
        <v>1063</v>
      </c>
      <c r="B7" s="181" t="s">
        <v>3659</v>
      </c>
      <c r="C7" s="181" t="s">
        <v>1492</v>
      </c>
      <c r="D7" s="181" t="s">
        <v>3955</v>
      </c>
      <c r="E7" s="181" t="s">
        <v>2206</v>
      </c>
      <c r="F7" s="181" t="s">
        <v>3956</v>
      </c>
      <c r="G7" s="181" t="s">
        <v>18</v>
      </c>
      <c r="H7" s="181" t="s">
        <v>19</v>
      </c>
      <c r="I7" s="181">
        <v>45</v>
      </c>
      <c r="J7" s="145" t="s">
        <v>252</v>
      </c>
      <c r="K7" s="142">
        <v>1.25</v>
      </c>
      <c r="L7" s="142">
        <v>2</v>
      </c>
      <c r="M7" s="221" t="s">
        <v>3631</v>
      </c>
      <c r="N7" s="132">
        <v>2</v>
      </c>
      <c r="O7" s="56">
        <f t="shared" si="0"/>
        <v>43993</v>
      </c>
      <c r="P7" s="174" t="s">
        <v>3957</v>
      </c>
      <c r="Q7" s="132">
        <f t="shared" si="1"/>
        <v>1</v>
      </c>
      <c r="R7" s="143"/>
      <c r="S7" s="207" t="s">
        <v>3661</v>
      </c>
      <c r="T7" s="143"/>
    </row>
    <row r="8" spans="1:20" s="57" customFormat="1">
      <c r="A8" s="181" t="s">
        <v>1182</v>
      </c>
      <c r="B8" s="181" t="s">
        <v>1527</v>
      </c>
      <c r="C8" s="181" t="s">
        <v>1553</v>
      </c>
      <c r="D8" s="181" t="s">
        <v>3270</v>
      </c>
      <c r="E8" s="181" t="s">
        <v>3271</v>
      </c>
      <c r="F8" s="181" t="s">
        <v>1556</v>
      </c>
      <c r="G8" s="181" t="s">
        <v>18</v>
      </c>
      <c r="H8" s="181" t="s">
        <v>30</v>
      </c>
      <c r="I8" s="181">
        <v>200</v>
      </c>
      <c r="J8" s="145" t="s">
        <v>3659</v>
      </c>
      <c r="K8" s="142">
        <v>5.5555555555555554</v>
      </c>
      <c r="L8" s="142">
        <v>6.3055555555555554</v>
      </c>
      <c r="M8" s="221" t="s">
        <v>3631</v>
      </c>
      <c r="N8" s="132">
        <v>3</v>
      </c>
      <c r="O8" s="56">
        <f t="shared" si="0"/>
        <v>43994</v>
      </c>
      <c r="P8" s="172" t="s">
        <v>3958</v>
      </c>
      <c r="Q8" s="132">
        <f t="shared" si="1"/>
        <v>4</v>
      </c>
      <c r="S8" s="207" t="s">
        <v>3661</v>
      </c>
    </row>
    <row r="9" spans="1:20" s="55" customFormat="1">
      <c r="A9" s="181" t="s">
        <v>1551</v>
      </c>
      <c r="B9" s="181" t="s">
        <v>1312</v>
      </c>
      <c r="C9" s="181" t="s">
        <v>1553</v>
      </c>
      <c r="D9" s="181" t="s">
        <v>1554</v>
      </c>
      <c r="E9" s="181" t="s">
        <v>1555</v>
      </c>
      <c r="F9" s="181" t="s">
        <v>1556</v>
      </c>
      <c r="G9" s="181" t="s">
        <v>18</v>
      </c>
      <c r="H9" s="181" t="s">
        <v>1298</v>
      </c>
      <c r="I9" s="181">
        <v>110</v>
      </c>
      <c r="J9" s="145" t="s">
        <v>569</v>
      </c>
      <c r="K9" s="142">
        <v>3.0555555555555554</v>
      </c>
      <c r="L9" s="142">
        <v>3.8055555555555554</v>
      </c>
      <c r="M9" s="221" t="s">
        <v>3631</v>
      </c>
      <c r="N9" s="132">
        <v>3</v>
      </c>
      <c r="O9" s="56">
        <f t="shared" si="0"/>
        <v>43994</v>
      </c>
      <c r="P9" s="174" t="s">
        <v>3959</v>
      </c>
      <c r="Q9" s="132">
        <f t="shared" si="1"/>
        <v>3</v>
      </c>
      <c r="R9" s="143"/>
      <c r="S9" s="207" t="s">
        <v>3661</v>
      </c>
      <c r="T9" s="143"/>
    </row>
    <row r="10" spans="1:20" s="55" customFormat="1">
      <c r="A10" s="181" t="s">
        <v>560</v>
      </c>
      <c r="B10" s="181" t="s">
        <v>3659</v>
      </c>
      <c r="C10" s="181" t="s">
        <v>1553</v>
      </c>
      <c r="D10" s="181" t="s">
        <v>2304</v>
      </c>
      <c r="E10" s="181" t="s">
        <v>2305</v>
      </c>
      <c r="F10" s="181" t="s">
        <v>1556</v>
      </c>
      <c r="G10" s="181" t="s">
        <v>18</v>
      </c>
      <c r="H10" s="181" t="s">
        <v>19</v>
      </c>
      <c r="I10" s="181">
        <v>70</v>
      </c>
      <c r="J10" s="145" t="s">
        <v>564</v>
      </c>
      <c r="K10" s="142">
        <v>1.9444444444444444</v>
      </c>
      <c r="L10" s="142">
        <v>2.6944444444444446</v>
      </c>
      <c r="M10" s="221" t="s">
        <v>3631</v>
      </c>
      <c r="N10" s="132">
        <v>3</v>
      </c>
      <c r="O10" s="56">
        <f t="shared" si="0"/>
        <v>43994</v>
      </c>
      <c r="P10" s="174" t="s">
        <v>3960</v>
      </c>
      <c r="Q10" s="132">
        <f t="shared" si="1"/>
        <v>2</v>
      </c>
      <c r="R10" s="143"/>
      <c r="S10" s="207" t="s">
        <v>3661</v>
      </c>
      <c r="T10" s="143"/>
    </row>
    <row r="11" spans="1:20" s="55" customFormat="1">
      <c r="A11" s="181" t="s">
        <v>864</v>
      </c>
      <c r="B11" s="181" t="s">
        <v>3659</v>
      </c>
      <c r="C11" s="181" t="s">
        <v>1995</v>
      </c>
      <c r="D11" s="181" t="s">
        <v>3074</v>
      </c>
      <c r="E11" s="181" t="s">
        <v>3075</v>
      </c>
      <c r="F11" s="181" t="s">
        <v>3076</v>
      </c>
      <c r="G11" s="181" t="s">
        <v>18</v>
      </c>
      <c r="H11" s="181" t="s">
        <v>30</v>
      </c>
      <c r="I11" s="181">
        <v>80</v>
      </c>
      <c r="J11" s="145" t="s">
        <v>3659</v>
      </c>
      <c r="K11" s="142">
        <v>2.2222222222222223</v>
      </c>
      <c r="L11" s="142">
        <v>2.9722222222222223</v>
      </c>
      <c r="M11" s="221" t="s">
        <v>3631</v>
      </c>
      <c r="N11" s="132">
        <v>4</v>
      </c>
      <c r="O11" s="56">
        <f t="shared" si="0"/>
        <v>43995</v>
      </c>
      <c r="P11" s="174" t="s">
        <v>3848</v>
      </c>
      <c r="Q11" s="132">
        <f t="shared" si="1"/>
        <v>2</v>
      </c>
      <c r="R11" s="143"/>
      <c r="S11" s="207" t="s">
        <v>3661</v>
      </c>
      <c r="T11" s="143"/>
    </row>
    <row r="12" spans="1:20" s="55" customFormat="1">
      <c r="A12" s="181" t="s">
        <v>323</v>
      </c>
      <c r="B12" s="181" t="s">
        <v>3659</v>
      </c>
      <c r="C12" s="181" t="s">
        <v>1553</v>
      </c>
      <c r="D12" s="181" t="s">
        <v>1878</v>
      </c>
      <c r="E12" s="181" t="s">
        <v>1879</v>
      </c>
      <c r="F12" s="181" t="s">
        <v>1556</v>
      </c>
      <c r="G12" s="181" t="s">
        <v>18</v>
      </c>
      <c r="H12" s="181" t="s">
        <v>19</v>
      </c>
      <c r="I12" s="181">
        <v>55</v>
      </c>
      <c r="J12" s="181" t="s">
        <v>3659</v>
      </c>
      <c r="K12" s="142">
        <v>1.5277777777777777</v>
      </c>
      <c r="L12" s="142">
        <v>2.2777777777777777</v>
      </c>
      <c r="M12" s="221" t="s">
        <v>3631</v>
      </c>
      <c r="N12" s="132">
        <v>4</v>
      </c>
      <c r="O12" s="56">
        <f t="shared" si="0"/>
        <v>43995</v>
      </c>
      <c r="P12" s="174" t="s">
        <v>3961</v>
      </c>
      <c r="Q12" s="132">
        <f t="shared" si="1"/>
        <v>2</v>
      </c>
      <c r="R12" s="143"/>
      <c r="S12" s="207" t="s">
        <v>3661</v>
      </c>
      <c r="T12" s="143"/>
    </row>
    <row r="13" spans="1:20" s="55" customFormat="1">
      <c r="A13" s="181" t="s">
        <v>305</v>
      </c>
      <c r="B13" s="181" t="s">
        <v>3659</v>
      </c>
      <c r="C13" s="181" t="s">
        <v>1553</v>
      </c>
      <c r="D13" s="181" t="s">
        <v>1863</v>
      </c>
      <c r="E13" s="181" t="s">
        <v>1864</v>
      </c>
      <c r="F13" s="181" t="s">
        <v>1865</v>
      </c>
      <c r="G13" s="181" t="s">
        <v>18</v>
      </c>
      <c r="H13" s="181" t="s">
        <v>30</v>
      </c>
      <c r="I13" s="181">
        <v>50</v>
      </c>
      <c r="J13" s="145" t="s">
        <v>3659</v>
      </c>
      <c r="K13" s="142">
        <v>1.3888888888888888</v>
      </c>
      <c r="L13" s="142">
        <v>2.1388888888888888</v>
      </c>
      <c r="M13" s="221" t="s">
        <v>3631</v>
      </c>
      <c r="N13" s="132">
        <v>4</v>
      </c>
      <c r="O13" s="56">
        <f t="shared" si="0"/>
        <v>43995</v>
      </c>
      <c r="P13" s="174" t="s">
        <v>3870</v>
      </c>
      <c r="Q13" s="132">
        <f t="shared" si="1"/>
        <v>1</v>
      </c>
      <c r="R13" s="143"/>
      <c r="S13" s="207" t="s">
        <v>3661</v>
      </c>
      <c r="T13" s="143"/>
    </row>
    <row r="14" spans="1:20" s="55" customFormat="1">
      <c r="A14" s="181" t="s">
        <v>339</v>
      </c>
      <c r="B14" s="181" t="s">
        <v>343</v>
      </c>
      <c r="C14" s="181" t="s">
        <v>1995</v>
      </c>
      <c r="D14" s="181" t="s">
        <v>1997</v>
      </c>
      <c r="E14" s="181" t="s">
        <v>1998</v>
      </c>
      <c r="F14" s="181" t="s">
        <v>1999</v>
      </c>
      <c r="G14" s="181" t="s">
        <v>18</v>
      </c>
      <c r="H14" s="181" t="s">
        <v>1298</v>
      </c>
      <c r="I14" s="181">
        <v>104</v>
      </c>
      <c r="J14" s="145" t="s">
        <v>3665</v>
      </c>
      <c r="K14" s="142">
        <v>2.8888888888888888</v>
      </c>
      <c r="L14" s="142">
        <v>3.6388888888888888</v>
      </c>
      <c r="M14" s="221" t="s">
        <v>3631</v>
      </c>
      <c r="N14" s="132">
        <v>6</v>
      </c>
      <c r="O14" s="56">
        <f t="shared" si="0"/>
        <v>43997</v>
      </c>
      <c r="P14" s="174" t="s">
        <v>3895</v>
      </c>
      <c r="Q14" s="132">
        <f t="shared" si="1"/>
        <v>3</v>
      </c>
      <c r="R14" s="143"/>
      <c r="S14" s="207" t="s">
        <v>3661</v>
      </c>
      <c r="T14" s="143"/>
    </row>
    <row r="15" spans="1:20" s="55" customFormat="1">
      <c r="A15" s="181" t="s">
        <v>3173</v>
      </c>
      <c r="B15" s="181" t="s">
        <v>1300</v>
      </c>
      <c r="C15" s="181" t="s">
        <v>1995</v>
      </c>
      <c r="D15" s="181" t="s">
        <v>3174</v>
      </c>
      <c r="E15" s="181" t="s">
        <v>3175</v>
      </c>
      <c r="F15" s="181" t="s">
        <v>2804</v>
      </c>
      <c r="G15" s="181" t="s">
        <v>18</v>
      </c>
      <c r="H15" s="181" t="s">
        <v>30</v>
      </c>
      <c r="I15" s="181">
        <v>100</v>
      </c>
      <c r="J15" s="145" t="s">
        <v>3665</v>
      </c>
      <c r="K15" s="142">
        <v>2.7777777777777777</v>
      </c>
      <c r="L15" s="142">
        <v>3.5277777777777777</v>
      </c>
      <c r="M15" s="221" t="s">
        <v>3631</v>
      </c>
      <c r="N15" s="132">
        <v>6</v>
      </c>
      <c r="O15" s="56">
        <f t="shared" si="0"/>
        <v>43997</v>
      </c>
      <c r="P15" s="174" t="s">
        <v>3962</v>
      </c>
      <c r="Q15" s="132">
        <f t="shared" si="1"/>
        <v>2</v>
      </c>
      <c r="R15" s="143"/>
      <c r="S15" s="207" t="s">
        <v>3661</v>
      </c>
      <c r="T15" s="143"/>
    </row>
    <row r="16" spans="1:20" s="55" customFormat="1">
      <c r="A16" s="181" t="s">
        <v>2800</v>
      </c>
      <c r="B16" s="181" t="s">
        <v>1312</v>
      </c>
      <c r="C16" s="181" t="s">
        <v>1995</v>
      </c>
      <c r="D16" s="181" t="s">
        <v>2802</v>
      </c>
      <c r="E16" s="181" t="s">
        <v>2803</v>
      </c>
      <c r="F16" s="181" t="s">
        <v>2804</v>
      </c>
      <c r="G16" s="181" t="s">
        <v>18</v>
      </c>
      <c r="H16" s="181" t="s">
        <v>1298</v>
      </c>
      <c r="I16" s="181">
        <v>99</v>
      </c>
      <c r="J16" s="145" t="s">
        <v>400</v>
      </c>
      <c r="K16" s="142">
        <v>2.75</v>
      </c>
      <c r="L16" s="142">
        <v>3.5</v>
      </c>
      <c r="M16" s="221" t="s">
        <v>3631</v>
      </c>
      <c r="N16" s="132">
        <v>6</v>
      </c>
      <c r="O16" s="56">
        <f t="shared" si="0"/>
        <v>43997</v>
      </c>
      <c r="P16" s="174" t="s">
        <v>3963</v>
      </c>
      <c r="Q16" s="132">
        <f t="shared" si="1"/>
        <v>2</v>
      </c>
      <c r="R16" s="143"/>
      <c r="S16" s="207" t="s">
        <v>3661</v>
      </c>
      <c r="T16" s="143"/>
    </row>
    <row r="17" spans="1:20" s="55" customFormat="1">
      <c r="A17" s="181" t="s">
        <v>1311</v>
      </c>
      <c r="B17" s="181" t="s">
        <v>1312</v>
      </c>
      <c r="C17" s="181" t="s">
        <v>1314</v>
      </c>
      <c r="D17" s="181" t="s">
        <v>1316</v>
      </c>
      <c r="E17" s="181" t="s">
        <v>1317</v>
      </c>
      <c r="F17" s="181" t="s">
        <v>1318</v>
      </c>
      <c r="G17" s="181" t="s">
        <v>18</v>
      </c>
      <c r="H17" s="181" t="s">
        <v>1298</v>
      </c>
      <c r="I17" s="181">
        <v>111</v>
      </c>
      <c r="J17" s="145" t="s">
        <v>707</v>
      </c>
      <c r="K17" s="142">
        <v>3.0833333333333335</v>
      </c>
      <c r="L17" s="142">
        <v>3.8333333333333335</v>
      </c>
      <c r="M17" s="221" t="s">
        <v>3631</v>
      </c>
      <c r="N17" s="132">
        <v>7</v>
      </c>
      <c r="O17" s="56">
        <f t="shared" si="0"/>
        <v>43998</v>
      </c>
      <c r="P17" s="174" t="s">
        <v>3895</v>
      </c>
      <c r="Q17" s="132">
        <f t="shared" si="1"/>
        <v>3</v>
      </c>
      <c r="R17" s="143"/>
      <c r="S17" s="207" t="s">
        <v>3661</v>
      </c>
      <c r="T17" s="143"/>
    </row>
    <row r="18" spans="1:20" s="55" customFormat="1">
      <c r="A18" s="181" t="s">
        <v>1969</v>
      </c>
      <c r="B18" s="181" t="s">
        <v>1903</v>
      </c>
      <c r="C18" s="181" t="s">
        <v>1314</v>
      </c>
      <c r="D18" s="181" t="s">
        <v>1970</v>
      </c>
      <c r="E18" s="181" t="s">
        <v>1971</v>
      </c>
      <c r="F18" s="181" t="s">
        <v>1318</v>
      </c>
      <c r="G18" s="181" t="s">
        <v>18</v>
      </c>
      <c r="H18" s="181" t="s">
        <v>1298</v>
      </c>
      <c r="I18" s="181">
        <v>75</v>
      </c>
      <c r="J18" s="145" t="s">
        <v>3659</v>
      </c>
      <c r="K18" s="142">
        <v>2.0833333333333335</v>
      </c>
      <c r="L18" s="142">
        <v>2.8333333333333335</v>
      </c>
      <c r="M18" s="221" t="s">
        <v>3631</v>
      </c>
      <c r="N18" s="132">
        <v>7</v>
      </c>
      <c r="O18" s="56">
        <f t="shared" si="0"/>
        <v>43998</v>
      </c>
      <c r="P18" s="174" t="s">
        <v>3847</v>
      </c>
      <c r="Q18" s="132">
        <f t="shared" si="1"/>
        <v>2</v>
      </c>
      <c r="R18" s="143"/>
      <c r="S18" s="207" t="s">
        <v>3661</v>
      </c>
      <c r="T18" s="143"/>
    </row>
    <row r="19" spans="1:20" s="55" customFormat="1" ht="14.1" customHeight="1">
      <c r="A19" s="181" t="s">
        <v>3154</v>
      </c>
      <c r="B19" s="181" t="s">
        <v>1300</v>
      </c>
      <c r="C19" s="181" t="s">
        <v>1314</v>
      </c>
      <c r="D19" s="181" t="s">
        <v>3156</v>
      </c>
      <c r="E19" s="181" t="s">
        <v>3157</v>
      </c>
      <c r="F19" s="181" t="s">
        <v>3158</v>
      </c>
      <c r="G19" s="181" t="s">
        <v>18</v>
      </c>
      <c r="H19" s="181" t="s">
        <v>30</v>
      </c>
      <c r="I19" s="181">
        <v>67</v>
      </c>
      <c r="J19" s="145" t="s">
        <v>3659</v>
      </c>
      <c r="K19" s="142">
        <v>1.8611111111111112</v>
      </c>
      <c r="L19" s="142">
        <v>2.6111111111111112</v>
      </c>
      <c r="M19" s="221" t="s">
        <v>3631</v>
      </c>
      <c r="N19" s="132">
        <v>7</v>
      </c>
      <c r="O19" s="56">
        <f t="shared" si="0"/>
        <v>43998</v>
      </c>
      <c r="P19" s="174" t="s">
        <v>3964</v>
      </c>
      <c r="Q19" s="132">
        <f t="shared" si="1"/>
        <v>2</v>
      </c>
      <c r="R19" s="143"/>
      <c r="S19" s="207" t="s">
        <v>3661</v>
      </c>
      <c r="T19" s="143"/>
    </row>
    <row r="20" spans="1:20" s="55" customFormat="1">
      <c r="A20" s="181" t="s">
        <v>2860</v>
      </c>
      <c r="B20" s="181" t="s">
        <v>1312</v>
      </c>
      <c r="C20" s="181" t="s">
        <v>1574</v>
      </c>
      <c r="D20" s="181" t="s">
        <v>2861</v>
      </c>
      <c r="E20" s="181" t="s">
        <v>2862</v>
      </c>
      <c r="F20" s="181" t="s">
        <v>2200</v>
      </c>
      <c r="G20" s="181" t="s">
        <v>18</v>
      </c>
      <c r="H20" s="181" t="s">
        <v>1298</v>
      </c>
      <c r="I20" s="181">
        <v>136</v>
      </c>
      <c r="J20" s="145" t="s">
        <v>3659</v>
      </c>
      <c r="K20" s="142">
        <v>3.7777777777777777</v>
      </c>
      <c r="L20" s="142">
        <v>4.5277777777777777</v>
      </c>
      <c r="M20" s="221" t="s">
        <v>3631</v>
      </c>
      <c r="N20" s="132">
        <v>8</v>
      </c>
      <c r="O20" s="56">
        <f t="shared" si="0"/>
        <v>43999</v>
      </c>
      <c r="P20" s="174" t="s">
        <v>3965</v>
      </c>
      <c r="Q20" s="132">
        <f t="shared" si="1"/>
        <v>3</v>
      </c>
      <c r="R20" s="143"/>
      <c r="S20" s="207" t="s">
        <v>3661</v>
      </c>
      <c r="T20" s="143"/>
    </row>
    <row r="21" spans="1:20" s="55" customFormat="1">
      <c r="A21" s="181" t="s">
        <v>1573</v>
      </c>
      <c r="B21" s="181" t="s">
        <v>1303</v>
      </c>
      <c r="C21" s="181" t="s">
        <v>1574</v>
      </c>
      <c r="D21" s="181" t="s">
        <v>3966</v>
      </c>
      <c r="E21" s="181" t="s">
        <v>1575</v>
      </c>
      <c r="F21" s="181" t="s">
        <v>3967</v>
      </c>
      <c r="G21" s="181" t="s">
        <v>18</v>
      </c>
      <c r="H21" s="181" t="s">
        <v>1298</v>
      </c>
      <c r="I21" s="181">
        <v>112</v>
      </c>
      <c r="J21" s="145" t="s">
        <v>3659</v>
      </c>
      <c r="K21" s="142">
        <v>3.1111111111111112</v>
      </c>
      <c r="L21" s="142">
        <v>3.8611111111111112</v>
      </c>
      <c r="M21" s="221" t="s">
        <v>3631</v>
      </c>
      <c r="N21" s="132">
        <v>9</v>
      </c>
      <c r="O21" s="56">
        <f t="shared" si="0"/>
        <v>44000</v>
      </c>
      <c r="P21" s="174" t="s">
        <v>3895</v>
      </c>
      <c r="Q21" s="132">
        <f t="shared" si="1"/>
        <v>3</v>
      </c>
      <c r="R21" s="143"/>
      <c r="S21" s="207" t="s">
        <v>3661</v>
      </c>
      <c r="T21" s="143"/>
    </row>
    <row r="22" spans="1:20" s="55" customFormat="1">
      <c r="A22" s="181" t="s">
        <v>2974</v>
      </c>
      <c r="B22" s="181" t="s">
        <v>1312</v>
      </c>
      <c r="C22" s="181" t="s">
        <v>1574</v>
      </c>
      <c r="D22" s="181" t="s">
        <v>2975</v>
      </c>
      <c r="E22" s="181" t="s">
        <v>2976</v>
      </c>
      <c r="F22" s="181" t="s">
        <v>1628</v>
      </c>
      <c r="G22" s="181" t="s">
        <v>18</v>
      </c>
      <c r="H22" s="181" t="s">
        <v>1298</v>
      </c>
      <c r="I22" s="181">
        <v>106</v>
      </c>
      <c r="J22" s="145" t="s">
        <v>3659</v>
      </c>
      <c r="K22" s="142">
        <v>2.9444444444444446</v>
      </c>
      <c r="L22" s="142">
        <v>3.6944444444444446</v>
      </c>
      <c r="M22" s="221" t="s">
        <v>3631</v>
      </c>
      <c r="N22" s="132">
        <v>9</v>
      </c>
      <c r="O22" s="56">
        <f t="shared" si="0"/>
        <v>44000</v>
      </c>
      <c r="P22" s="174" t="s">
        <v>3852</v>
      </c>
      <c r="Q22" s="132">
        <f t="shared" si="1"/>
        <v>3</v>
      </c>
      <c r="R22" s="143"/>
      <c r="S22" s="207" t="s">
        <v>3661</v>
      </c>
      <c r="T22" s="143"/>
    </row>
    <row r="23" spans="1:20" s="55" customFormat="1">
      <c r="A23" s="181" t="s">
        <v>2196</v>
      </c>
      <c r="B23" s="181" t="s">
        <v>2148</v>
      </c>
      <c r="C23" s="181" t="s">
        <v>1574</v>
      </c>
      <c r="D23" s="181" t="s">
        <v>2198</v>
      </c>
      <c r="E23" s="181" t="s">
        <v>6901</v>
      </c>
      <c r="F23" s="181" t="s">
        <v>2200</v>
      </c>
      <c r="G23" s="181" t="s">
        <v>18</v>
      </c>
      <c r="H23" s="181" t="s">
        <v>1298</v>
      </c>
      <c r="I23" s="181">
        <v>38</v>
      </c>
      <c r="J23" s="145" t="s">
        <v>296</v>
      </c>
      <c r="K23" s="142">
        <v>1.0555555555555556</v>
      </c>
      <c r="L23" s="142">
        <v>1.8055555555555556</v>
      </c>
      <c r="M23" s="221" t="s">
        <v>3631</v>
      </c>
      <c r="N23" s="132">
        <v>9</v>
      </c>
      <c r="O23" s="56">
        <f t="shared" si="0"/>
        <v>44000</v>
      </c>
      <c r="P23" s="174" t="s">
        <v>3968</v>
      </c>
      <c r="Q23" s="132">
        <f t="shared" si="1"/>
        <v>1</v>
      </c>
      <c r="R23" s="143"/>
      <c r="S23" s="207" t="s">
        <v>3661</v>
      </c>
      <c r="T23" s="143"/>
    </row>
    <row r="24" spans="1:20" s="57" customFormat="1">
      <c r="A24" s="181" t="s">
        <v>2958</v>
      </c>
      <c r="B24" s="181" t="s">
        <v>343</v>
      </c>
      <c r="C24" s="181" t="s">
        <v>1574</v>
      </c>
      <c r="D24" s="181" t="s">
        <v>2960</v>
      </c>
      <c r="E24" s="181" t="s">
        <v>2961</v>
      </c>
      <c r="F24" s="181" t="s">
        <v>2962</v>
      </c>
      <c r="G24" s="181" t="s">
        <v>18</v>
      </c>
      <c r="H24" s="181" t="s">
        <v>1298</v>
      </c>
      <c r="I24" s="181">
        <v>98</v>
      </c>
      <c r="J24" s="145" t="s">
        <v>3659</v>
      </c>
      <c r="K24" s="142">
        <v>2.7222222222222223</v>
      </c>
      <c r="L24" s="142">
        <v>3.4722222222222223</v>
      </c>
      <c r="M24" s="221" t="s">
        <v>3631</v>
      </c>
      <c r="N24" s="132">
        <v>10</v>
      </c>
      <c r="O24" s="56">
        <f t="shared" si="0"/>
        <v>44001</v>
      </c>
      <c r="P24" s="172" t="s">
        <v>3842</v>
      </c>
      <c r="Q24" s="132">
        <f t="shared" si="1"/>
        <v>2</v>
      </c>
      <c r="S24" s="207" t="s">
        <v>3661</v>
      </c>
    </row>
    <row r="25" spans="1:20" s="55" customFormat="1">
      <c r="A25" s="181" t="s">
        <v>3048</v>
      </c>
      <c r="B25" s="181" t="s">
        <v>343</v>
      </c>
      <c r="C25" s="181" t="s">
        <v>1574</v>
      </c>
      <c r="D25" s="181" t="s">
        <v>3049</v>
      </c>
      <c r="E25" s="181" t="s">
        <v>3050</v>
      </c>
      <c r="F25" s="181" t="s">
        <v>1628</v>
      </c>
      <c r="G25" s="181" t="s">
        <v>18</v>
      </c>
      <c r="H25" s="181" t="s">
        <v>1298</v>
      </c>
      <c r="I25" s="181">
        <v>98</v>
      </c>
      <c r="J25" s="145" t="s">
        <v>343</v>
      </c>
      <c r="K25" s="142">
        <v>2.7222222222222223</v>
      </c>
      <c r="L25" s="142">
        <v>3.4722222222222223</v>
      </c>
      <c r="M25" s="221" t="s">
        <v>3631</v>
      </c>
      <c r="N25" s="132">
        <v>10</v>
      </c>
      <c r="O25" s="56">
        <f t="shared" si="0"/>
        <v>44001</v>
      </c>
      <c r="P25" s="174" t="s">
        <v>3953</v>
      </c>
      <c r="Q25" s="132">
        <f t="shared" si="1"/>
        <v>2</v>
      </c>
      <c r="R25" s="143"/>
      <c r="S25" s="207" t="s">
        <v>3661</v>
      </c>
      <c r="T25" s="143"/>
    </row>
    <row r="26" spans="1:20" s="57" customFormat="1">
      <c r="A26" s="181" t="s">
        <v>3051</v>
      </c>
      <c r="B26" s="181" t="s">
        <v>343</v>
      </c>
      <c r="C26" s="181" t="s">
        <v>3053</v>
      </c>
      <c r="D26" s="181" t="s">
        <v>3054</v>
      </c>
      <c r="E26" s="181" t="s">
        <v>3055</v>
      </c>
      <c r="F26" s="181" t="s">
        <v>3056</v>
      </c>
      <c r="G26" s="181" t="s">
        <v>18</v>
      </c>
      <c r="H26" s="181" t="s">
        <v>1298</v>
      </c>
      <c r="I26" s="181">
        <v>75</v>
      </c>
      <c r="J26" s="181" t="s">
        <v>3659</v>
      </c>
      <c r="K26" s="142">
        <v>2.0833333333333335</v>
      </c>
      <c r="L26" s="142">
        <v>2.8333333333333335</v>
      </c>
      <c r="M26" s="221" t="s">
        <v>3631</v>
      </c>
      <c r="N26" s="132">
        <v>11</v>
      </c>
      <c r="O26" s="56">
        <f t="shared" si="0"/>
        <v>44002</v>
      </c>
      <c r="P26" s="172" t="s">
        <v>3848</v>
      </c>
      <c r="Q26" s="132">
        <f t="shared" si="1"/>
        <v>2</v>
      </c>
      <c r="S26" s="207" t="s">
        <v>3661</v>
      </c>
    </row>
    <row r="27" spans="1:20" s="55" customFormat="1">
      <c r="A27" s="181" t="s">
        <v>720</v>
      </c>
      <c r="B27" s="181" t="s">
        <v>3659</v>
      </c>
      <c r="C27" s="181" t="s">
        <v>2296</v>
      </c>
      <c r="D27" s="181" t="s">
        <v>2656</v>
      </c>
      <c r="E27" s="181" t="s">
        <v>2657</v>
      </c>
      <c r="F27" s="181" t="s">
        <v>2658</v>
      </c>
      <c r="G27" s="181" t="s">
        <v>18</v>
      </c>
      <c r="H27" s="181" t="s">
        <v>30</v>
      </c>
      <c r="I27" s="181">
        <v>135</v>
      </c>
      <c r="J27" s="145" t="s">
        <v>685</v>
      </c>
      <c r="K27" s="142">
        <v>3.75</v>
      </c>
      <c r="L27" s="142">
        <f>K27+(($B$66+$B$67)/60)</f>
        <v>4.5</v>
      </c>
      <c r="M27" s="221" t="s">
        <v>3631</v>
      </c>
      <c r="N27" s="132">
        <v>11</v>
      </c>
      <c r="O27" s="56">
        <f t="shared" si="0"/>
        <v>44002</v>
      </c>
      <c r="P27" s="174" t="s">
        <v>3902</v>
      </c>
      <c r="Q27" s="132">
        <f t="shared" si="1"/>
        <v>3</v>
      </c>
      <c r="R27" s="143"/>
      <c r="S27" s="207" t="s">
        <v>3661</v>
      </c>
      <c r="T27" s="143"/>
    </row>
    <row r="28" spans="1:20" s="143" customFormat="1">
      <c r="A28" s="181" t="s">
        <v>3969</v>
      </c>
      <c r="B28" s="181" t="s">
        <v>1903</v>
      </c>
      <c r="C28" s="181" t="s">
        <v>3351</v>
      </c>
      <c r="D28" s="256">
        <v>8125473427</v>
      </c>
      <c r="E28" s="181" t="s">
        <v>3970</v>
      </c>
      <c r="F28" s="181" t="s">
        <v>3971</v>
      </c>
      <c r="G28" s="181" t="s">
        <v>18</v>
      </c>
      <c r="H28" s="181" t="s">
        <v>30</v>
      </c>
      <c r="I28" s="181">
        <v>103</v>
      </c>
      <c r="J28" s="145"/>
      <c r="K28" s="142">
        <f>I28/B69</f>
        <v>2.8611111111111112</v>
      </c>
      <c r="L28" s="142">
        <f>K28+(($B$66+$B$67)/60)</f>
        <v>3.6111111111111112</v>
      </c>
      <c r="M28" s="221" t="s">
        <v>3631</v>
      </c>
      <c r="N28" s="132">
        <v>13</v>
      </c>
      <c r="O28" s="56">
        <f t="shared" si="0"/>
        <v>44004</v>
      </c>
      <c r="P28" s="264" t="s">
        <v>3851</v>
      </c>
      <c r="Q28" s="132">
        <f t="shared" si="1"/>
        <v>3</v>
      </c>
      <c r="S28" s="207" t="s">
        <v>3661</v>
      </c>
    </row>
    <row r="29" spans="1:20" s="143" customFormat="1" ht="15.6" customHeight="1">
      <c r="A29" s="181" t="s">
        <v>1071</v>
      </c>
      <c r="B29" s="181" t="s">
        <v>3659</v>
      </c>
      <c r="C29" s="181" t="s">
        <v>1574</v>
      </c>
      <c r="D29" s="181">
        <v>8126304401</v>
      </c>
      <c r="E29" s="181" t="s">
        <v>3972</v>
      </c>
      <c r="F29" s="181" t="s">
        <v>3967</v>
      </c>
      <c r="G29" s="181" t="s">
        <v>18</v>
      </c>
      <c r="H29" s="181" t="s">
        <v>3665</v>
      </c>
      <c r="I29" s="181">
        <v>90</v>
      </c>
      <c r="J29" s="145" t="s">
        <v>3973</v>
      </c>
      <c r="K29" s="142">
        <f>I29/B69</f>
        <v>2.5</v>
      </c>
      <c r="L29" s="142">
        <f>K29+(B66+B67)/60</f>
        <v>3.25</v>
      </c>
      <c r="M29" s="221" t="s">
        <v>3631</v>
      </c>
      <c r="N29" s="132">
        <v>13</v>
      </c>
      <c r="O29" s="56">
        <f>$O$1+N29</f>
        <v>44004</v>
      </c>
      <c r="P29" s="143" t="s">
        <v>3887</v>
      </c>
      <c r="Q29" s="132">
        <f>ROUNDUP(I29/$R$2,0)</f>
        <v>2</v>
      </c>
    </row>
    <row r="30" spans="1:20" s="59" customFormat="1">
      <c r="A30" s="182" t="s">
        <v>2063</v>
      </c>
      <c r="B30" s="182" t="s">
        <v>1265</v>
      </c>
      <c r="C30" s="182" t="s">
        <v>1762</v>
      </c>
      <c r="D30" s="257" t="s">
        <v>3974</v>
      </c>
      <c r="E30" s="182" t="s">
        <v>2064</v>
      </c>
      <c r="F30" s="182" t="s">
        <v>3975</v>
      </c>
      <c r="G30" s="182" t="s">
        <v>18</v>
      </c>
      <c r="H30" s="182" t="s">
        <v>30</v>
      </c>
      <c r="I30" s="182">
        <v>175</v>
      </c>
      <c r="J30" s="146" t="s">
        <v>863</v>
      </c>
      <c r="K30" s="147">
        <v>4.8611111111111107</v>
      </c>
      <c r="L30" s="147">
        <v>5.6111111111111107</v>
      </c>
      <c r="M30" s="222">
        <v>23</v>
      </c>
      <c r="N30" s="133">
        <v>1</v>
      </c>
      <c r="O30" s="58">
        <f t="shared" si="0"/>
        <v>43992</v>
      </c>
      <c r="P30" s="138" t="s">
        <v>3850</v>
      </c>
      <c r="Q30" s="133">
        <f t="shared" si="1"/>
        <v>4</v>
      </c>
      <c r="R30" s="149"/>
      <c r="S30" s="169" t="s">
        <v>3661</v>
      </c>
      <c r="T30" s="149">
        <v>6</v>
      </c>
    </row>
    <row r="31" spans="1:20" s="59" customFormat="1">
      <c r="A31" s="182" t="s">
        <v>808</v>
      </c>
      <c r="B31" s="182" t="s">
        <v>2880</v>
      </c>
      <c r="C31" s="182" t="s">
        <v>1762</v>
      </c>
      <c r="D31" s="182" t="s">
        <v>2894</v>
      </c>
      <c r="E31" s="182" t="s">
        <v>2895</v>
      </c>
      <c r="F31" s="182" t="s">
        <v>1765</v>
      </c>
      <c r="G31" s="182" t="s">
        <v>18</v>
      </c>
      <c r="H31" s="182" t="s">
        <v>30</v>
      </c>
      <c r="I31" s="182">
        <v>75</v>
      </c>
      <c r="J31" s="146" t="s">
        <v>3659</v>
      </c>
      <c r="K31" s="147">
        <v>2.0833333333333335</v>
      </c>
      <c r="L31" s="147">
        <v>2.8333333333333335</v>
      </c>
      <c r="M31" s="147"/>
      <c r="N31" s="133">
        <v>1</v>
      </c>
      <c r="O31" s="58">
        <f t="shared" si="0"/>
        <v>43992</v>
      </c>
      <c r="P31" s="138" t="s">
        <v>3927</v>
      </c>
      <c r="Q31" s="133">
        <f t="shared" si="1"/>
        <v>2</v>
      </c>
      <c r="R31" s="149"/>
      <c r="S31" s="169" t="s">
        <v>3661</v>
      </c>
      <c r="T31" s="149"/>
    </row>
    <row r="32" spans="1:20" s="59" customFormat="1">
      <c r="A32" s="182" t="s">
        <v>3294</v>
      </c>
      <c r="B32" s="182" t="s">
        <v>1312</v>
      </c>
      <c r="C32" s="182" t="s">
        <v>1762</v>
      </c>
      <c r="D32" s="182" t="s">
        <v>3295</v>
      </c>
      <c r="E32" s="182" t="s">
        <v>3296</v>
      </c>
      <c r="F32" s="182" t="s">
        <v>3069</v>
      </c>
      <c r="G32" s="182" t="s">
        <v>18</v>
      </c>
      <c r="H32" s="182" t="s">
        <v>1298</v>
      </c>
      <c r="I32" s="182">
        <v>108</v>
      </c>
      <c r="J32" s="182" t="s">
        <v>161</v>
      </c>
      <c r="K32" s="147">
        <v>3</v>
      </c>
      <c r="L32" s="147">
        <v>3.75</v>
      </c>
      <c r="M32" s="147"/>
      <c r="N32" s="133">
        <v>2</v>
      </c>
      <c r="O32" s="58">
        <f t="shared" si="0"/>
        <v>43993</v>
      </c>
      <c r="P32" s="138" t="s">
        <v>3895</v>
      </c>
      <c r="Q32" s="133">
        <f t="shared" si="1"/>
        <v>3</v>
      </c>
      <c r="R32" s="149"/>
      <c r="S32" s="169" t="s">
        <v>3661</v>
      </c>
      <c r="T32" s="149"/>
    </row>
    <row r="33" spans="1:19" s="59" customFormat="1">
      <c r="A33" s="182" t="s">
        <v>1760</v>
      </c>
      <c r="B33" s="182" t="s">
        <v>343</v>
      </c>
      <c r="C33" s="182" t="s">
        <v>1762</v>
      </c>
      <c r="D33" s="182" t="s">
        <v>1763</v>
      </c>
      <c r="E33" s="182" t="s">
        <v>1764</v>
      </c>
      <c r="F33" s="182" t="s">
        <v>1765</v>
      </c>
      <c r="G33" s="182" t="s">
        <v>18</v>
      </c>
      <c r="H33" s="182" t="s">
        <v>1298</v>
      </c>
      <c r="I33" s="182">
        <v>100</v>
      </c>
      <c r="J33" s="146" t="s">
        <v>3659</v>
      </c>
      <c r="K33" s="147">
        <v>2.7777777777777777</v>
      </c>
      <c r="L33" s="147">
        <v>3.5277777777777777</v>
      </c>
      <c r="M33" s="147"/>
      <c r="N33" s="133">
        <v>2</v>
      </c>
      <c r="O33" s="58">
        <f t="shared" si="0"/>
        <v>43993</v>
      </c>
      <c r="P33" s="138" t="s">
        <v>3899</v>
      </c>
      <c r="Q33" s="133">
        <f t="shared" si="1"/>
        <v>2</v>
      </c>
      <c r="R33" s="149"/>
      <c r="S33" s="169" t="s">
        <v>3661</v>
      </c>
    </row>
    <row r="34" spans="1:19" s="59" customFormat="1">
      <c r="A34" s="182" t="s">
        <v>859</v>
      </c>
      <c r="B34" s="182" t="s">
        <v>3659</v>
      </c>
      <c r="C34" s="182" t="s">
        <v>1762</v>
      </c>
      <c r="D34" s="182" t="s">
        <v>3071</v>
      </c>
      <c r="E34" s="182" t="s">
        <v>3072</v>
      </c>
      <c r="F34" s="182" t="s">
        <v>3069</v>
      </c>
      <c r="G34" s="182" t="s">
        <v>18</v>
      </c>
      <c r="H34" s="182" t="s">
        <v>30</v>
      </c>
      <c r="I34" s="182">
        <v>60</v>
      </c>
      <c r="J34" s="182" t="s">
        <v>858</v>
      </c>
      <c r="K34" s="147">
        <v>1.6666666666666667</v>
      </c>
      <c r="L34" s="147">
        <v>2.416666666666667</v>
      </c>
      <c r="M34" s="147"/>
      <c r="N34" s="133">
        <v>2</v>
      </c>
      <c r="O34" s="58">
        <f t="shared" si="0"/>
        <v>43993</v>
      </c>
      <c r="P34" s="138" t="s">
        <v>3911</v>
      </c>
      <c r="Q34" s="133">
        <f t="shared" si="1"/>
        <v>2</v>
      </c>
      <c r="R34" s="149"/>
      <c r="S34" s="169" t="s">
        <v>3661</v>
      </c>
    </row>
    <row r="35" spans="1:19" s="59" customFormat="1">
      <c r="A35" s="182" t="s">
        <v>1987</v>
      </c>
      <c r="B35" s="182" t="s">
        <v>1903</v>
      </c>
      <c r="C35" s="182" t="s">
        <v>1762</v>
      </c>
      <c r="D35" s="182" t="s">
        <v>1988</v>
      </c>
      <c r="E35" s="182" t="s">
        <v>1989</v>
      </c>
      <c r="F35" s="182" t="s">
        <v>1765</v>
      </c>
      <c r="G35" s="182" t="s">
        <v>18</v>
      </c>
      <c r="H35" s="182" t="s">
        <v>1298</v>
      </c>
      <c r="I35" s="182">
        <v>128</v>
      </c>
      <c r="J35" s="182" t="s">
        <v>3659</v>
      </c>
      <c r="K35" s="147">
        <v>3.5555555555555554</v>
      </c>
      <c r="L35" s="147">
        <v>4.3055555555555554</v>
      </c>
      <c r="M35" s="147"/>
      <c r="N35" s="133">
        <v>3</v>
      </c>
      <c r="O35" s="58">
        <f t="shared" ref="O35:O53" si="2">$O$1+N35</f>
        <v>43994</v>
      </c>
      <c r="P35" s="138" t="s">
        <v>3867</v>
      </c>
      <c r="Q35" s="133">
        <f t="shared" si="1"/>
        <v>3</v>
      </c>
      <c r="R35" s="149"/>
      <c r="S35" s="169" t="s">
        <v>3661</v>
      </c>
    </row>
    <row r="36" spans="1:19" s="59" customFormat="1">
      <c r="A36" s="182" t="s">
        <v>292</v>
      </c>
      <c r="B36" s="182" t="s">
        <v>3659</v>
      </c>
      <c r="C36" s="182" t="s">
        <v>1762</v>
      </c>
      <c r="D36" s="182" t="s">
        <v>1823</v>
      </c>
      <c r="E36" s="182" t="s">
        <v>1824</v>
      </c>
      <c r="F36" s="182" t="s">
        <v>1825</v>
      </c>
      <c r="G36" s="182" t="s">
        <v>18</v>
      </c>
      <c r="H36" s="182" t="s">
        <v>19</v>
      </c>
      <c r="I36" s="182">
        <v>100</v>
      </c>
      <c r="J36" s="182" t="s">
        <v>3659</v>
      </c>
      <c r="K36" s="147">
        <v>2.7777777777777777</v>
      </c>
      <c r="L36" s="147">
        <v>3.5277777777777777</v>
      </c>
      <c r="M36" s="147"/>
      <c r="N36" s="133">
        <v>3</v>
      </c>
      <c r="O36" s="58">
        <f t="shared" si="2"/>
        <v>43994</v>
      </c>
      <c r="P36" s="138" t="s">
        <v>3915</v>
      </c>
      <c r="Q36" s="133">
        <f t="shared" si="1"/>
        <v>2</v>
      </c>
      <c r="R36" s="149"/>
      <c r="S36" s="169" t="s">
        <v>3661</v>
      </c>
    </row>
    <row r="37" spans="1:19" s="59" customFormat="1">
      <c r="A37" s="182" t="s">
        <v>854</v>
      </c>
      <c r="B37" s="182" t="s">
        <v>3659</v>
      </c>
      <c r="C37" s="182" t="s">
        <v>1762</v>
      </c>
      <c r="D37" s="182" t="s">
        <v>3067</v>
      </c>
      <c r="E37" s="182" t="s">
        <v>3068</v>
      </c>
      <c r="F37" s="182" t="s">
        <v>3069</v>
      </c>
      <c r="G37" s="182" t="s">
        <v>18</v>
      </c>
      <c r="H37" s="182" t="s">
        <v>30</v>
      </c>
      <c r="I37" s="182">
        <v>90</v>
      </c>
      <c r="J37" s="146" t="s">
        <v>3665</v>
      </c>
      <c r="K37" s="147">
        <v>2.5</v>
      </c>
      <c r="L37" s="147">
        <v>3.25</v>
      </c>
      <c r="M37" s="147"/>
      <c r="N37" s="133">
        <v>4</v>
      </c>
      <c r="O37" s="58">
        <f t="shared" si="2"/>
        <v>43995</v>
      </c>
      <c r="P37" s="138" t="s">
        <v>3842</v>
      </c>
      <c r="Q37" s="133">
        <f t="shared" si="1"/>
        <v>2</v>
      </c>
      <c r="R37" s="149"/>
      <c r="S37" s="169" t="s">
        <v>3661</v>
      </c>
    </row>
    <row r="38" spans="1:19" s="60" customFormat="1">
      <c r="A38" s="182" t="s">
        <v>396</v>
      </c>
      <c r="B38" s="182" t="s">
        <v>3659</v>
      </c>
      <c r="C38" s="182" t="s">
        <v>1507</v>
      </c>
      <c r="D38" s="182" t="s">
        <v>2114</v>
      </c>
      <c r="E38" s="182" t="s">
        <v>2115</v>
      </c>
      <c r="F38" s="182" t="s">
        <v>1512</v>
      </c>
      <c r="G38" s="182" t="s">
        <v>18</v>
      </c>
      <c r="H38" s="182" t="s">
        <v>30</v>
      </c>
      <c r="I38" s="182">
        <v>275</v>
      </c>
      <c r="J38" s="146" t="s">
        <v>3659</v>
      </c>
      <c r="K38" s="147">
        <v>7.6388888888888893</v>
      </c>
      <c r="L38" s="147">
        <v>8.3888888888888893</v>
      </c>
      <c r="M38" s="147"/>
      <c r="N38" s="133">
        <v>6</v>
      </c>
      <c r="O38" s="58">
        <f t="shared" si="2"/>
        <v>43997</v>
      </c>
      <c r="P38" s="173" t="s">
        <v>3976</v>
      </c>
      <c r="Q38" s="133">
        <f t="shared" si="1"/>
        <v>6</v>
      </c>
      <c r="S38" s="169" t="s">
        <v>3661</v>
      </c>
    </row>
    <row r="39" spans="1:19" s="59" customFormat="1">
      <c r="A39" s="182" t="s">
        <v>2688</v>
      </c>
      <c r="B39" s="182" t="s">
        <v>343</v>
      </c>
      <c r="C39" s="182" t="s">
        <v>1507</v>
      </c>
      <c r="D39" s="182" t="s">
        <v>2689</v>
      </c>
      <c r="E39" s="182" t="s">
        <v>2690</v>
      </c>
      <c r="F39" s="182" t="s">
        <v>2691</v>
      </c>
      <c r="G39" s="182" t="s">
        <v>18</v>
      </c>
      <c r="H39" s="182" t="s">
        <v>1298</v>
      </c>
      <c r="I39" s="182">
        <v>85</v>
      </c>
      <c r="J39" s="146" t="s">
        <v>3659</v>
      </c>
      <c r="K39" s="147">
        <v>2.3611111111111112</v>
      </c>
      <c r="L39" s="147">
        <v>3.1111111111111112</v>
      </c>
      <c r="M39" s="147"/>
      <c r="N39" s="133">
        <v>6</v>
      </c>
      <c r="O39" s="58">
        <f t="shared" si="2"/>
        <v>43997</v>
      </c>
      <c r="P39" s="138" t="s">
        <v>3918</v>
      </c>
      <c r="Q39" s="133">
        <f t="shared" si="1"/>
        <v>2</v>
      </c>
      <c r="R39" s="149"/>
      <c r="S39" s="169" t="s">
        <v>3661</v>
      </c>
    </row>
    <row r="40" spans="1:19" s="59" customFormat="1">
      <c r="A40" s="182" t="s">
        <v>2000</v>
      </c>
      <c r="B40" s="182" t="s">
        <v>343</v>
      </c>
      <c r="C40" s="182" t="s">
        <v>1507</v>
      </c>
      <c r="D40" s="182" t="s">
        <v>2002</v>
      </c>
      <c r="E40" s="182" t="s">
        <v>2003</v>
      </c>
      <c r="F40" s="182" t="s">
        <v>2004</v>
      </c>
      <c r="G40" s="182" t="s">
        <v>18</v>
      </c>
      <c r="H40" s="182" t="s">
        <v>1298</v>
      </c>
      <c r="I40" s="182">
        <v>240</v>
      </c>
      <c r="J40" s="182" t="s">
        <v>146</v>
      </c>
      <c r="K40" s="147">
        <v>6.666666666666667</v>
      </c>
      <c r="L40" s="147">
        <v>7.416666666666667</v>
      </c>
      <c r="M40" s="147"/>
      <c r="N40" s="133">
        <v>7</v>
      </c>
      <c r="O40" s="58">
        <f t="shared" si="2"/>
        <v>43998</v>
      </c>
      <c r="P40" s="138" t="s">
        <v>3863</v>
      </c>
      <c r="Q40" s="133">
        <f t="shared" si="1"/>
        <v>5</v>
      </c>
      <c r="R40" s="149"/>
      <c r="S40" s="169" t="s">
        <v>3661</v>
      </c>
    </row>
    <row r="41" spans="1:19" s="59" customFormat="1">
      <c r="A41" s="182" t="s">
        <v>1984</v>
      </c>
      <c r="B41" s="182" t="s">
        <v>1903</v>
      </c>
      <c r="C41" s="182" t="s">
        <v>1507</v>
      </c>
      <c r="D41" s="182" t="s">
        <v>1985</v>
      </c>
      <c r="E41" s="182" t="s">
        <v>1986</v>
      </c>
      <c r="F41" s="182" t="s">
        <v>1512</v>
      </c>
      <c r="G41" s="182" t="s">
        <v>18</v>
      </c>
      <c r="H41" s="182" t="s">
        <v>1298</v>
      </c>
      <c r="I41" s="182">
        <v>89</v>
      </c>
      <c r="J41" s="146" t="s">
        <v>3659</v>
      </c>
      <c r="K41" s="147">
        <v>2.4722222222222223</v>
      </c>
      <c r="L41" s="147">
        <v>3.2222222222222223</v>
      </c>
      <c r="M41" s="147"/>
      <c r="N41" s="133">
        <v>7</v>
      </c>
      <c r="O41" s="58">
        <f t="shared" si="2"/>
        <v>43998</v>
      </c>
      <c r="P41" s="138" t="s">
        <v>3977</v>
      </c>
      <c r="Q41" s="133">
        <f t="shared" si="1"/>
        <v>2</v>
      </c>
      <c r="R41" s="149"/>
      <c r="S41" s="169" t="s">
        <v>3661</v>
      </c>
    </row>
    <row r="42" spans="1:19" s="59" customFormat="1">
      <c r="A42" s="182" t="s">
        <v>2696</v>
      </c>
      <c r="B42" s="182" t="s">
        <v>3659</v>
      </c>
      <c r="C42" s="182" t="s">
        <v>1507</v>
      </c>
      <c r="D42" s="182" t="s">
        <v>3978</v>
      </c>
      <c r="E42" s="182" t="s">
        <v>2697</v>
      </c>
      <c r="F42" s="182" t="s">
        <v>3979</v>
      </c>
      <c r="G42" s="182" t="s">
        <v>18</v>
      </c>
      <c r="H42" s="182" t="s">
        <v>30</v>
      </c>
      <c r="I42" s="182">
        <v>150</v>
      </c>
      <c r="J42" s="146" t="s">
        <v>3659</v>
      </c>
      <c r="K42" s="147">
        <v>4.166666666666667</v>
      </c>
      <c r="L42" s="147">
        <v>4.916666666666667</v>
      </c>
      <c r="M42" s="147"/>
      <c r="N42" s="133">
        <v>8</v>
      </c>
      <c r="O42" s="58">
        <f t="shared" si="2"/>
        <v>43999</v>
      </c>
      <c r="P42" s="138" t="s">
        <v>3883</v>
      </c>
      <c r="Q42" s="133">
        <f t="shared" si="1"/>
        <v>3</v>
      </c>
      <c r="R42" s="149"/>
      <c r="S42" s="169" t="s">
        <v>3661</v>
      </c>
    </row>
    <row r="43" spans="1:19" s="59" customFormat="1">
      <c r="A43" s="182" t="s">
        <v>3218</v>
      </c>
      <c r="B43" s="182" t="s">
        <v>1312</v>
      </c>
      <c r="C43" s="182" t="s">
        <v>1507</v>
      </c>
      <c r="D43" s="182" t="s">
        <v>3219</v>
      </c>
      <c r="E43" s="182" t="s">
        <v>3220</v>
      </c>
      <c r="F43" s="182" t="s">
        <v>2691</v>
      </c>
      <c r="G43" s="182" t="s">
        <v>18</v>
      </c>
      <c r="H43" s="182" t="s">
        <v>1298</v>
      </c>
      <c r="I43" s="182">
        <v>141</v>
      </c>
      <c r="J43" s="146" t="s">
        <v>3659</v>
      </c>
      <c r="K43" s="147">
        <v>3.9166666666666665</v>
      </c>
      <c r="L43" s="147">
        <v>4.6666666666666661</v>
      </c>
      <c r="M43" s="147"/>
      <c r="N43" s="133">
        <v>8</v>
      </c>
      <c r="O43" s="58">
        <f t="shared" si="2"/>
        <v>43999</v>
      </c>
      <c r="P43" s="138" t="s">
        <v>3980</v>
      </c>
      <c r="Q43" s="133">
        <f t="shared" si="1"/>
        <v>3</v>
      </c>
      <c r="R43" s="149"/>
      <c r="S43" s="169" t="s">
        <v>3661</v>
      </c>
    </row>
    <row r="44" spans="1:19" s="60" customFormat="1">
      <c r="A44" s="182" t="s">
        <v>1695</v>
      </c>
      <c r="B44" s="182" t="s">
        <v>343</v>
      </c>
      <c r="C44" s="182" t="s">
        <v>1507</v>
      </c>
      <c r="D44" s="182" t="s">
        <v>1696</v>
      </c>
      <c r="E44" s="182" t="s">
        <v>1697</v>
      </c>
      <c r="F44" s="182" t="s">
        <v>1512</v>
      </c>
      <c r="G44" s="182" t="s">
        <v>18</v>
      </c>
      <c r="H44" s="182" t="s">
        <v>1298</v>
      </c>
      <c r="I44" s="182">
        <v>139</v>
      </c>
      <c r="J44" s="146" t="s">
        <v>3659</v>
      </c>
      <c r="K44" s="147">
        <v>3.8611111111111112</v>
      </c>
      <c r="L44" s="147">
        <v>4.6111111111111107</v>
      </c>
      <c r="M44" s="147"/>
      <c r="N44" s="133">
        <v>9</v>
      </c>
      <c r="O44" s="58">
        <f t="shared" si="2"/>
        <v>44000</v>
      </c>
      <c r="P44" s="173" t="s">
        <v>3883</v>
      </c>
      <c r="Q44" s="133">
        <f t="shared" si="1"/>
        <v>3</v>
      </c>
      <c r="S44" s="169" t="s">
        <v>3661</v>
      </c>
    </row>
    <row r="45" spans="1:19" s="60" customFormat="1">
      <c r="A45" s="182" t="s">
        <v>2615</v>
      </c>
      <c r="B45" s="182" t="s">
        <v>343</v>
      </c>
      <c r="C45" s="182" t="s">
        <v>1507</v>
      </c>
      <c r="D45" s="182" t="s">
        <v>2616</v>
      </c>
      <c r="E45" s="182" t="s">
        <v>2617</v>
      </c>
      <c r="F45" s="182" t="s">
        <v>1512</v>
      </c>
      <c r="G45" s="182" t="s">
        <v>18</v>
      </c>
      <c r="H45" s="182" t="s">
        <v>1298</v>
      </c>
      <c r="I45" s="182">
        <v>132</v>
      </c>
      <c r="J45" s="182" t="s">
        <v>3659</v>
      </c>
      <c r="K45" s="147">
        <v>3.6666666666666665</v>
      </c>
      <c r="L45" s="147">
        <v>4.4166666666666661</v>
      </c>
      <c r="M45" s="147"/>
      <c r="N45" s="133">
        <v>9</v>
      </c>
      <c r="O45" s="58">
        <f t="shared" si="2"/>
        <v>44000</v>
      </c>
      <c r="P45" s="173" t="s">
        <v>3910</v>
      </c>
      <c r="Q45" s="133">
        <f t="shared" si="1"/>
        <v>3</v>
      </c>
      <c r="S45" s="169" t="s">
        <v>3661</v>
      </c>
    </row>
    <row r="46" spans="1:19" s="59" customFormat="1">
      <c r="A46" s="182" t="s">
        <v>2622</v>
      </c>
      <c r="B46" s="182" t="s">
        <v>1312</v>
      </c>
      <c r="C46" s="182" t="s">
        <v>1507</v>
      </c>
      <c r="D46" s="182" t="s">
        <v>2623</v>
      </c>
      <c r="E46" s="182" t="s">
        <v>2624</v>
      </c>
      <c r="F46" s="182" t="s">
        <v>2625</v>
      </c>
      <c r="G46" s="182" t="s">
        <v>18</v>
      </c>
      <c r="H46" s="182" t="s">
        <v>1298</v>
      </c>
      <c r="I46" s="182">
        <v>124</v>
      </c>
      <c r="J46" s="182" t="s">
        <v>3659</v>
      </c>
      <c r="K46" s="147">
        <v>3.4444444444444446</v>
      </c>
      <c r="L46" s="147">
        <v>4.1944444444444446</v>
      </c>
      <c r="M46" s="147"/>
      <c r="N46" s="133">
        <v>10</v>
      </c>
      <c r="O46" s="58">
        <f t="shared" si="2"/>
        <v>44001</v>
      </c>
      <c r="P46" s="138" t="s">
        <v>3867</v>
      </c>
      <c r="Q46" s="133">
        <f t="shared" si="1"/>
        <v>3</v>
      </c>
      <c r="R46" s="149"/>
      <c r="S46" s="169" t="s">
        <v>3661</v>
      </c>
    </row>
    <row r="47" spans="1:19" s="59" customFormat="1">
      <c r="A47" s="182" t="s">
        <v>3032</v>
      </c>
      <c r="B47" s="182" t="s">
        <v>1303</v>
      </c>
      <c r="C47" s="182" t="s">
        <v>1507</v>
      </c>
      <c r="D47" s="182" t="s">
        <v>3033</v>
      </c>
      <c r="E47" s="182" t="s">
        <v>3034</v>
      </c>
      <c r="F47" s="182" t="s">
        <v>2691</v>
      </c>
      <c r="G47" s="182" t="s">
        <v>18</v>
      </c>
      <c r="H47" s="182" t="s">
        <v>30</v>
      </c>
      <c r="I47" s="182">
        <v>117</v>
      </c>
      <c r="J47" s="146" t="s">
        <v>3659</v>
      </c>
      <c r="K47" s="147">
        <v>3.25</v>
      </c>
      <c r="L47" s="147">
        <v>4</v>
      </c>
      <c r="M47" s="147"/>
      <c r="N47" s="133">
        <v>10</v>
      </c>
      <c r="O47" s="58">
        <f t="shared" si="2"/>
        <v>44001</v>
      </c>
      <c r="P47" s="138" t="s">
        <v>3915</v>
      </c>
      <c r="Q47" s="133">
        <f t="shared" si="1"/>
        <v>3</v>
      </c>
      <c r="R47" s="149"/>
      <c r="S47" s="169" t="s">
        <v>3661</v>
      </c>
    </row>
    <row r="48" spans="1:19" s="60" customFormat="1">
      <c r="A48" s="182" t="s">
        <v>1923</v>
      </c>
      <c r="B48" s="182" t="s">
        <v>1903</v>
      </c>
      <c r="C48" s="182" t="s">
        <v>1507</v>
      </c>
      <c r="D48" s="182" t="s">
        <v>1926</v>
      </c>
      <c r="E48" s="182" t="s">
        <v>1927</v>
      </c>
      <c r="F48" s="182" t="s">
        <v>1928</v>
      </c>
      <c r="G48" s="182" t="s">
        <v>18</v>
      </c>
      <c r="H48" s="182" t="s">
        <v>1298</v>
      </c>
      <c r="I48" s="182">
        <v>93</v>
      </c>
      <c r="J48" s="146" t="s">
        <v>3659</v>
      </c>
      <c r="K48" s="147">
        <v>2.5833333333333335</v>
      </c>
      <c r="L48" s="147">
        <v>3.3333333333333335</v>
      </c>
      <c r="M48" s="147"/>
      <c r="N48" s="133">
        <v>10</v>
      </c>
      <c r="O48" s="58">
        <f t="shared" si="2"/>
        <v>44001</v>
      </c>
      <c r="P48" s="173" t="s">
        <v>3981</v>
      </c>
      <c r="Q48" s="133">
        <f t="shared" si="1"/>
        <v>2</v>
      </c>
      <c r="S48" s="169" t="s">
        <v>3661</v>
      </c>
    </row>
    <row r="49" spans="1:23" s="60" customFormat="1">
      <c r="A49" s="182" t="s">
        <v>2791</v>
      </c>
      <c r="B49" s="182" t="s">
        <v>1312</v>
      </c>
      <c r="C49" s="182" t="s">
        <v>1507</v>
      </c>
      <c r="D49" s="182" t="s">
        <v>2792</v>
      </c>
      <c r="E49" s="182" t="s">
        <v>2793</v>
      </c>
      <c r="F49" s="182" t="s">
        <v>2794</v>
      </c>
      <c r="G49" s="182" t="s">
        <v>18</v>
      </c>
      <c r="H49" s="182" t="s">
        <v>1298</v>
      </c>
      <c r="I49" s="182">
        <v>115</v>
      </c>
      <c r="J49" s="146" t="s">
        <v>812</v>
      </c>
      <c r="K49" s="147">
        <v>3.1944444444444446</v>
      </c>
      <c r="L49" s="147">
        <v>3.9444444444444446</v>
      </c>
      <c r="M49" s="147"/>
      <c r="N49" s="133">
        <v>11</v>
      </c>
      <c r="O49" s="58">
        <f t="shared" si="2"/>
        <v>44002</v>
      </c>
      <c r="P49" s="173" t="s">
        <v>3895</v>
      </c>
      <c r="Q49" s="133">
        <f t="shared" si="1"/>
        <v>3</v>
      </c>
      <c r="S49" s="169" t="s">
        <v>3661</v>
      </c>
    </row>
    <row r="50" spans="1:23" s="59" customFormat="1">
      <c r="A50" s="182" t="s">
        <v>142</v>
      </c>
      <c r="B50" s="182" t="s">
        <v>3659</v>
      </c>
      <c r="C50" s="182" t="s">
        <v>1507</v>
      </c>
      <c r="D50" s="182" t="s">
        <v>1510</v>
      </c>
      <c r="E50" s="182" t="s">
        <v>1511</v>
      </c>
      <c r="F50" s="182" t="s">
        <v>1512</v>
      </c>
      <c r="G50" s="182" t="s">
        <v>18</v>
      </c>
      <c r="H50" s="182" t="s">
        <v>19</v>
      </c>
      <c r="I50" s="182">
        <v>114</v>
      </c>
      <c r="J50" s="146" t="s">
        <v>3665</v>
      </c>
      <c r="K50" s="147">
        <v>3.1666666666666665</v>
      </c>
      <c r="L50" s="147">
        <v>3.9166666666666665</v>
      </c>
      <c r="M50" s="147"/>
      <c r="N50" s="133">
        <v>11</v>
      </c>
      <c r="O50" s="58">
        <f t="shared" si="2"/>
        <v>44002</v>
      </c>
      <c r="P50" s="138" t="s">
        <v>3899</v>
      </c>
      <c r="Q50" s="133">
        <f t="shared" si="1"/>
        <v>3</v>
      </c>
      <c r="R50" s="149"/>
      <c r="S50" s="169" t="s">
        <v>3661</v>
      </c>
      <c r="T50" s="149"/>
      <c r="U50" s="149"/>
      <c r="V50" s="149"/>
      <c r="W50" s="149"/>
    </row>
    <row r="51" spans="1:23" s="59" customFormat="1">
      <c r="A51" s="182" t="s">
        <v>2718</v>
      </c>
      <c r="B51" s="182" t="s">
        <v>3659</v>
      </c>
      <c r="C51" s="182" t="s">
        <v>1507</v>
      </c>
      <c r="D51" s="182" t="s">
        <v>3982</v>
      </c>
      <c r="E51" s="182" t="s">
        <v>2719</v>
      </c>
      <c r="F51" s="182" t="s">
        <v>3979</v>
      </c>
      <c r="G51" s="182" t="s">
        <v>18</v>
      </c>
      <c r="H51" s="182" t="s">
        <v>19</v>
      </c>
      <c r="I51" s="182">
        <v>100</v>
      </c>
      <c r="J51" s="146" t="s">
        <v>3659</v>
      </c>
      <c r="K51" s="147">
        <v>2.7777777777777777</v>
      </c>
      <c r="L51" s="147">
        <v>3.5277777777777777</v>
      </c>
      <c r="M51" s="147"/>
      <c r="N51" s="133">
        <v>11</v>
      </c>
      <c r="O51" s="58">
        <f t="shared" si="2"/>
        <v>44002</v>
      </c>
      <c r="P51" s="138" t="s">
        <v>3983</v>
      </c>
      <c r="Q51" s="133">
        <f t="shared" si="1"/>
        <v>2</v>
      </c>
      <c r="R51" s="149"/>
      <c r="S51" s="169" t="s">
        <v>3661</v>
      </c>
      <c r="T51" s="149"/>
      <c r="U51" s="149"/>
      <c r="V51" s="149"/>
      <c r="W51" s="149"/>
    </row>
    <row r="52" spans="1:23" s="60" customFormat="1">
      <c r="A52" s="182" t="s">
        <v>2585</v>
      </c>
      <c r="B52" s="182" t="s">
        <v>343</v>
      </c>
      <c r="C52" s="182" t="s">
        <v>2587</v>
      </c>
      <c r="D52" s="182" t="s">
        <v>2590</v>
      </c>
      <c r="E52" s="182" t="s">
        <v>2591</v>
      </c>
      <c r="F52" s="182" t="s">
        <v>2592</v>
      </c>
      <c r="G52" s="182" t="s">
        <v>18</v>
      </c>
      <c r="H52" s="182" t="s">
        <v>1298</v>
      </c>
      <c r="I52" s="182">
        <v>80</v>
      </c>
      <c r="J52" s="146" t="s">
        <v>3659</v>
      </c>
      <c r="K52" s="147">
        <v>2.2222222222222223</v>
      </c>
      <c r="L52" s="147">
        <v>2.9722222222222223</v>
      </c>
      <c r="M52" s="147"/>
      <c r="N52" s="133">
        <v>13</v>
      </c>
      <c r="O52" s="58">
        <f t="shared" si="2"/>
        <v>44004</v>
      </c>
      <c r="P52" s="173" t="s">
        <v>3848</v>
      </c>
      <c r="Q52" s="133">
        <f t="shared" si="1"/>
        <v>2</v>
      </c>
      <c r="S52" s="169" t="s">
        <v>3661</v>
      </c>
    </row>
    <row r="53" spans="1:23" s="59" customFormat="1">
      <c r="A53" s="182" t="s">
        <v>753</v>
      </c>
      <c r="B53" s="182" t="s">
        <v>3659</v>
      </c>
      <c r="C53" s="182" t="s">
        <v>2587</v>
      </c>
      <c r="D53" s="182" t="s">
        <v>2741</v>
      </c>
      <c r="E53" s="182" t="s">
        <v>2742</v>
      </c>
      <c r="F53" s="182" t="s">
        <v>2743</v>
      </c>
      <c r="G53" s="182" t="s">
        <v>18</v>
      </c>
      <c r="H53" s="182" t="s">
        <v>30</v>
      </c>
      <c r="I53" s="182">
        <v>65</v>
      </c>
      <c r="J53" s="146" t="s">
        <v>3659</v>
      </c>
      <c r="K53" s="147">
        <v>1.8055555555555556</v>
      </c>
      <c r="L53" s="147">
        <v>2.5555555555555554</v>
      </c>
      <c r="M53" s="147"/>
      <c r="N53" s="133">
        <v>13</v>
      </c>
      <c r="O53" s="58">
        <f t="shared" si="2"/>
        <v>44004</v>
      </c>
      <c r="P53" s="138" t="s">
        <v>3984</v>
      </c>
      <c r="Q53" s="133">
        <f t="shared" si="1"/>
        <v>2</v>
      </c>
      <c r="R53" s="149"/>
      <c r="S53" s="169" t="s">
        <v>3661</v>
      </c>
      <c r="T53" s="149"/>
      <c r="U53" s="149"/>
      <c r="V53" s="149"/>
      <c r="W53" s="149"/>
    </row>
    <row r="54" spans="1:23" s="350" customFormat="1">
      <c r="A54" s="348" t="s">
        <v>3086</v>
      </c>
      <c r="B54" s="348" t="s">
        <v>1527</v>
      </c>
      <c r="C54" s="348" t="s">
        <v>1507</v>
      </c>
      <c r="D54" s="348" t="s">
        <v>3088</v>
      </c>
      <c r="E54" s="348" t="s">
        <v>3089</v>
      </c>
      <c r="F54" s="348" t="s">
        <v>3090</v>
      </c>
      <c r="G54" s="348" t="s">
        <v>91</v>
      </c>
      <c r="H54" s="348"/>
      <c r="I54" s="348">
        <v>70</v>
      </c>
      <c r="J54" s="348" t="s">
        <v>3665</v>
      </c>
      <c r="K54" s="349">
        <v>6.25</v>
      </c>
      <c r="L54" s="349">
        <v>8.75</v>
      </c>
      <c r="M54" s="349" t="s">
        <v>6933</v>
      </c>
      <c r="O54" s="360">
        <v>44005</v>
      </c>
      <c r="P54" s="350" t="s">
        <v>6940</v>
      </c>
      <c r="Q54" s="351">
        <f t="shared" si="1"/>
        <v>2</v>
      </c>
    </row>
    <row r="55" spans="1:23" s="353" customFormat="1">
      <c r="A55" s="348" t="s">
        <v>157</v>
      </c>
      <c r="B55" s="348" t="s">
        <v>3659</v>
      </c>
      <c r="C55" s="348" t="s">
        <v>1507</v>
      </c>
      <c r="D55" s="348" t="s">
        <v>1540</v>
      </c>
      <c r="E55" s="348" t="s">
        <v>1541</v>
      </c>
      <c r="F55" s="348" t="s">
        <v>1512</v>
      </c>
      <c r="G55" s="348" t="s">
        <v>91</v>
      </c>
      <c r="H55" s="348" t="s">
        <v>3659</v>
      </c>
      <c r="I55" s="348">
        <v>60</v>
      </c>
      <c r="J55" s="352" t="s">
        <v>3665</v>
      </c>
      <c r="K55" s="349">
        <v>6.25</v>
      </c>
      <c r="L55" s="349">
        <v>8.75</v>
      </c>
      <c r="M55" s="349" t="s">
        <v>6933</v>
      </c>
      <c r="N55" s="351"/>
      <c r="O55" s="360">
        <v>44006</v>
      </c>
      <c r="P55" s="350" t="s">
        <v>6940</v>
      </c>
      <c r="Q55" s="351">
        <f t="shared" si="1"/>
        <v>2</v>
      </c>
    </row>
    <row r="56" spans="1:23" s="353" customFormat="1">
      <c r="A56" s="348" t="s">
        <v>712</v>
      </c>
      <c r="B56" s="348" t="s">
        <v>1624</v>
      </c>
      <c r="C56" s="348" t="s">
        <v>1553</v>
      </c>
      <c r="D56" s="348" t="s">
        <v>2651</v>
      </c>
      <c r="E56" s="348" t="s">
        <v>2652</v>
      </c>
      <c r="F56" s="348" t="s">
        <v>2653</v>
      </c>
      <c r="G56" s="348" t="s">
        <v>91</v>
      </c>
      <c r="H56" s="348" t="s">
        <v>3659</v>
      </c>
      <c r="I56" s="348">
        <v>45</v>
      </c>
      <c r="J56" s="352" t="s">
        <v>3659</v>
      </c>
      <c r="K56" s="349">
        <v>3.125</v>
      </c>
      <c r="L56" s="349">
        <v>5.625</v>
      </c>
      <c r="M56" s="349" t="s">
        <v>6933</v>
      </c>
      <c r="N56" s="351"/>
      <c r="O56" s="360">
        <v>44007</v>
      </c>
      <c r="P56" s="350" t="s">
        <v>3850</v>
      </c>
      <c r="Q56" s="351">
        <f t="shared" si="1"/>
        <v>1</v>
      </c>
    </row>
    <row r="57" spans="1:23" s="353" customFormat="1">
      <c r="A57" s="348" t="s">
        <v>1166</v>
      </c>
      <c r="B57" s="348" t="s">
        <v>1527</v>
      </c>
      <c r="C57" s="348" t="s">
        <v>1492</v>
      </c>
      <c r="D57" s="348" t="s">
        <v>3124</v>
      </c>
      <c r="E57" s="348" t="s">
        <v>3125</v>
      </c>
      <c r="F57" s="348" t="s">
        <v>1798</v>
      </c>
      <c r="G57" s="348" t="s">
        <v>91</v>
      </c>
      <c r="H57" s="348"/>
      <c r="I57" s="348">
        <v>59</v>
      </c>
      <c r="J57" s="352" t="s">
        <v>3665</v>
      </c>
      <c r="K57" s="349">
        <v>6.25</v>
      </c>
      <c r="L57" s="349">
        <v>8.75</v>
      </c>
      <c r="M57" s="349" t="s">
        <v>6933</v>
      </c>
      <c r="N57" s="351"/>
      <c r="O57" s="360">
        <v>44008</v>
      </c>
      <c r="P57" s="350" t="s">
        <v>6940</v>
      </c>
      <c r="Q57" s="351">
        <f t="shared" si="1"/>
        <v>2</v>
      </c>
    </row>
    <row r="58" spans="1:23" s="353" customFormat="1">
      <c r="A58" s="348" t="s">
        <v>210</v>
      </c>
      <c r="B58" s="348" t="s">
        <v>1624</v>
      </c>
      <c r="C58" s="348" t="s">
        <v>1574</v>
      </c>
      <c r="D58" s="348" t="s">
        <v>1626</v>
      </c>
      <c r="E58" s="348" t="s">
        <v>1627</v>
      </c>
      <c r="F58" s="348" t="s">
        <v>1628</v>
      </c>
      <c r="G58" s="348" t="s">
        <v>91</v>
      </c>
      <c r="H58" s="348" t="s">
        <v>3659</v>
      </c>
      <c r="I58" s="348">
        <v>60</v>
      </c>
      <c r="J58" s="352" t="s">
        <v>3665</v>
      </c>
      <c r="K58" s="349">
        <v>6.25</v>
      </c>
      <c r="L58" s="349">
        <v>8.75</v>
      </c>
      <c r="M58" s="349" t="s">
        <v>6933</v>
      </c>
      <c r="N58" s="351"/>
      <c r="O58" s="360">
        <v>44009</v>
      </c>
      <c r="P58" s="350" t="s">
        <v>6940</v>
      </c>
      <c r="Q58" s="351">
        <f t="shared" si="1"/>
        <v>2</v>
      </c>
    </row>
    <row r="59" spans="1:23" s="353" customFormat="1">
      <c r="A59" s="348" t="s">
        <v>703</v>
      </c>
      <c r="B59" s="348" t="s">
        <v>3659</v>
      </c>
      <c r="C59" s="348" t="s">
        <v>1574</v>
      </c>
      <c r="D59" s="348" t="s">
        <v>2643</v>
      </c>
      <c r="E59" s="348" t="s">
        <v>2644</v>
      </c>
      <c r="F59" s="348" t="s">
        <v>2645</v>
      </c>
      <c r="G59" s="348" t="s">
        <v>91</v>
      </c>
      <c r="H59" s="348"/>
      <c r="I59" s="348">
        <v>180</v>
      </c>
      <c r="J59" s="352" t="s">
        <v>3659</v>
      </c>
      <c r="K59" s="349">
        <f>E67/I62</f>
        <v>12.5</v>
      </c>
      <c r="L59" s="349">
        <f>K59+(F68+F70)/60</f>
        <v>14</v>
      </c>
      <c r="M59" s="349" t="s">
        <v>6933</v>
      </c>
      <c r="N59" s="351"/>
      <c r="O59" s="360" t="s">
        <v>6934</v>
      </c>
      <c r="P59" s="354" t="s">
        <v>3841</v>
      </c>
      <c r="Q59" s="351">
        <f t="shared" si="1"/>
        <v>4</v>
      </c>
      <c r="S59" s="350" t="s">
        <v>3661</v>
      </c>
    </row>
    <row r="60" spans="1:23" customFormat="1">
      <c r="A60" s="180" t="s">
        <v>681</v>
      </c>
      <c r="B60" s="180" t="s">
        <v>3659</v>
      </c>
      <c r="C60" s="180" t="s">
        <v>1762</v>
      </c>
      <c r="D60" s="180" t="s">
        <v>2609</v>
      </c>
      <c r="E60" s="180" t="s">
        <v>2610</v>
      </c>
      <c r="F60" s="180" t="s">
        <v>1765</v>
      </c>
      <c r="G60" s="180" t="s">
        <v>54</v>
      </c>
      <c r="H60" s="180" t="s">
        <v>3659</v>
      </c>
      <c r="I60" s="180">
        <v>142</v>
      </c>
      <c r="J60" s="134"/>
      <c r="K60" s="29"/>
      <c r="L60" s="29"/>
      <c r="M60" s="29"/>
      <c r="N60" s="270"/>
      <c r="Q60" s="31"/>
    </row>
    <row r="61" spans="1:23" customFormat="1" ht="15.75" hidden="1" thickBot="1">
      <c r="A61" s="180"/>
      <c r="B61" s="180"/>
      <c r="C61" s="180"/>
      <c r="D61" s="180"/>
      <c r="E61" s="180"/>
      <c r="F61" s="180"/>
      <c r="G61" s="180"/>
      <c r="H61" s="180"/>
      <c r="I61" s="180"/>
      <c r="J61" s="134"/>
      <c r="K61" s="29"/>
      <c r="L61" s="29"/>
      <c r="M61" s="29"/>
      <c r="N61" s="270"/>
      <c r="Q61" s="31"/>
    </row>
    <row r="62" spans="1:23" customFormat="1" ht="15.75" hidden="1" thickBot="1">
      <c r="A62" s="414" t="s">
        <v>3695</v>
      </c>
      <c r="B62" s="415"/>
      <c r="C62" s="134" t="str">
        <f ca="1">IFERROR(__xludf.DUMMYFUNCTION("""COMPUTED_VALUE"""),"")</f>
        <v/>
      </c>
      <c r="D62" s="414" t="s">
        <v>3696</v>
      </c>
      <c r="E62" s="416"/>
      <c r="F62" s="416"/>
      <c r="G62" s="415"/>
      <c r="I62" s="134">
        <v>60</v>
      </c>
      <c r="J62" s="134" t="s">
        <v>3697</v>
      </c>
      <c r="L62" s="159">
        <v>43992</v>
      </c>
      <c r="M62" s="159"/>
      <c r="N62" s="159"/>
      <c r="O62" s="159"/>
      <c r="P62" s="159">
        <v>43994</v>
      </c>
      <c r="Q62" s="196"/>
      <c r="R62" s="159">
        <v>43995</v>
      </c>
      <c r="S62" s="159"/>
      <c r="T62" s="159">
        <v>43997</v>
      </c>
      <c r="U62" s="159"/>
      <c r="V62" s="159">
        <v>43998</v>
      </c>
      <c r="W62" s="159"/>
    </row>
    <row r="63" spans="1:23" customFormat="1" hidden="1">
      <c r="A63" s="43"/>
      <c r="B63" s="36" t="s">
        <v>3365</v>
      </c>
      <c r="C63" s="134" t="str">
        <f ca="1">IFERROR(__xludf.DUMMYFUNCTION("""COMPUTED_VALUE"""),"")</f>
        <v/>
      </c>
      <c r="D63" s="43"/>
      <c r="E63" s="44" t="s">
        <v>3366</v>
      </c>
      <c r="F63" s="50" t="s">
        <v>3367</v>
      </c>
      <c r="G63" s="36"/>
      <c r="I63" s="29"/>
      <c r="L63" s="160">
        <f>SUM(I2, I3, I30, I31)</f>
        <v>439</v>
      </c>
      <c r="M63" s="160">
        <f>SUM(Q2, Q3, Q30, Q31)</f>
        <v>10</v>
      </c>
      <c r="N63" s="134">
        <f>SUM(I4, I5, I6, I7, I32, I33, I34)</f>
        <v>572</v>
      </c>
      <c r="O63" s="134">
        <f>SUM(Q4, Q5, Q6, Q7, Q32, Q33, Q34)</f>
        <v>15</v>
      </c>
      <c r="P63" s="134">
        <f>SUM(I8, I9, I10, I35, I36)</f>
        <v>608</v>
      </c>
      <c r="Q63" s="135">
        <f>SUM(Q8, Q9, Q10, Q35, Q36)</f>
        <v>14</v>
      </c>
      <c r="R63" s="134">
        <f>SUM(I11, I12, I13, I37)</f>
        <v>275</v>
      </c>
      <c r="S63" s="134">
        <f>SUM(Q11, Q12, Q13, Q37)</f>
        <v>7</v>
      </c>
      <c r="T63" s="134">
        <f>SUM(I14, I15, I16, I38, I39)</f>
        <v>663</v>
      </c>
      <c r="U63" s="134">
        <f>SUM(Q14, Q15, Q16, Q38, Q39)</f>
        <v>15</v>
      </c>
      <c r="V63" s="134">
        <f>SUM(I17, I18, I19, I40, I41)</f>
        <v>582</v>
      </c>
      <c r="W63" s="134">
        <f>SUM(Q17, Q18, Q19, Q40, Q41)</f>
        <v>14</v>
      </c>
    </row>
    <row r="64" spans="1:23" customFormat="1" hidden="1">
      <c r="A64" s="45" t="s">
        <v>3368</v>
      </c>
      <c r="B64" s="48">
        <v>5</v>
      </c>
      <c r="C64" s="134" t="str">
        <f ca="1">IFERROR(__xludf.DUMMYFUNCTION("""COMPUTED_VALUE"""),"")</f>
        <v/>
      </c>
      <c r="D64" s="45" t="s">
        <v>3369</v>
      </c>
      <c r="E64" s="27">
        <f>(50/$F$67)*60</f>
        <v>187.5</v>
      </c>
      <c r="F64" s="37">
        <v>15</v>
      </c>
      <c r="G64" s="38" t="s">
        <v>3370</v>
      </c>
      <c r="I64" s="29"/>
      <c r="L64" s="134" t="str">
        <f ca="1">IFERROR(__xludf.DUMMYFUNCTION("""COMPUTED_VALUE"""),"")</f>
        <v/>
      </c>
      <c r="M64" s="134" t="str">
        <f ca="1">IFERROR(__xludf.DUMMYFUNCTION("""COMPUTED_VALUE"""),"")</f>
        <v/>
      </c>
      <c r="Q64" s="31"/>
    </row>
    <row r="65" spans="1:21" customFormat="1" hidden="1">
      <c r="A65" s="45" t="s">
        <v>3371</v>
      </c>
      <c r="B65" s="48">
        <v>3</v>
      </c>
      <c r="C65" s="134" t="str">
        <f ca="1">IFERROR(__xludf.DUMMYFUNCTION("""COMPUTED_VALUE"""),"")</f>
        <v/>
      </c>
      <c r="D65" s="45" t="s">
        <v>3372</v>
      </c>
      <c r="E65" s="27">
        <f>(100/$F$67)*60</f>
        <v>375</v>
      </c>
      <c r="F65" s="37">
        <v>5</v>
      </c>
      <c r="G65" s="38" t="s">
        <v>3373</v>
      </c>
      <c r="I65" s="29"/>
      <c r="L65" s="135" t="str">
        <f ca="1">IFERROR(__xludf.DUMMYFUNCTION("""COMPUTED_VALUE"""),"")</f>
        <v/>
      </c>
      <c r="M65" s="135" t="str">
        <f ca="1">IFERROR(__xludf.DUMMYFUNCTION("""COMPUTED_VALUE"""),"")</f>
        <v/>
      </c>
      <c r="Q65" s="31"/>
    </row>
    <row r="66" spans="1:21" customFormat="1" hidden="1">
      <c r="A66" s="45" t="s">
        <v>3374</v>
      </c>
      <c r="B66" s="48">
        <v>15</v>
      </c>
      <c r="C66" s="134" t="str">
        <f ca="1">IFERROR(__xludf.DUMMYFUNCTION("""COMPUTED_VALUE"""),"")</f>
        <v/>
      </c>
      <c r="D66" s="45" t="s">
        <v>3375</v>
      </c>
      <c r="E66" s="27">
        <f>(150/$F$67)*60</f>
        <v>562.5</v>
      </c>
      <c r="F66" s="37">
        <v>5.5</v>
      </c>
      <c r="G66" s="38" t="s">
        <v>3376</v>
      </c>
      <c r="I66" s="29"/>
      <c r="L66" s="135" t="str">
        <f ca="1">IFERROR(__xludf.DUMMYFUNCTION("""COMPUTED_VALUE"""),"")</f>
        <v/>
      </c>
      <c r="M66" s="135" t="str">
        <f ca="1">IFERROR(__xludf.DUMMYFUNCTION("""COMPUTED_VALUE"""),"")</f>
        <v/>
      </c>
      <c r="Q66" s="31"/>
    </row>
    <row r="67" spans="1:21" customFormat="1" hidden="1">
      <c r="A67" s="45" t="s">
        <v>3377</v>
      </c>
      <c r="B67" s="48">
        <v>30</v>
      </c>
      <c r="C67" s="134" t="str">
        <f ca="1">IFERROR(__xludf.DUMMYFUNCTION("""COMPUTED_VALUE"""),"")</f>
        <v/>
      </c>
      <c r="D67" s="45" t="s">
        <v>3378</v>
      </c>
      <c r="E67" s="27">
        <f>(200/$F$67)*60</f>
        <v>750</v>
      </c>
      <c r="F67" s="37">
        <f>ROUNDDOWN(F66*3,0)</f>
        <v>16</v>
      </c>
      <c r="G67" s="38" t="s">
        <v>3698</v>
      </c>
      <c r="I67" s="29"/>
      <c r="L67" s="159">
        <v>43999</v>
      </c>
      <c r="M67" s="159"/>
      <c r="N67" s="159">
        <v>44000</v>
      </c>
      <c r="O67" s="159"/>
      <c r="P67" s="159">
        <v>44001</v>
      </c>
      <c r="Q67" s="196"/>
      <c r="R67" s="159">
        <v>44002</v>
      </c>
      <c r="S67" s="159"/>
      <c r="T67" s="159">
        <v>44004</v>
      </c>
      <c r="U67" s="159"/>
    </row>
    <row r="68" spans="1:21" customFormat="1" hidden="1">
      <c r="A68" s="45"/>
      <c r="B68" s="48"/>
      <c r="C68" s="134" t="str">
        <f ca="1">IFERROR(__xludf.DUMMYFUNCTION("""COMPUTED_VALUE"""),"")</f>
        <v/>
      </c>
      <c r="D68" s="45" t="s">
        <v>3381</v>
      </c>
      <c r="E68" s="27">
        <f>(250/$F$67)*60</f>
        <v>937.5</v>
      </c>
      <c r="F68" s="37">
        <v>45</v>
      </c>
      <c r="G68" s="38" t="s">
        <v>3382</v>
      </c>
      <c r="I68" s="29"/>
      <c r="L68" s="130">
        <f>SUM(I59, I20, I42, I43)</f>
        <v>607</v>
      </c>
      <c r="M68" s="130">
        <f>SUM(Q59, Q20, Q42, Q43)</f>
        <v>13</v>
      </c>
      <c r="N68" s="130">
        <f>SUM(I21, I22, I23, I44, I45)</f>
        <v>527</v>
      </c>
      <c r="O68" s="130">
        <f>SUM(Q21, Q22, Q23, Q44, Q45)</f>
        <v>13</v>
      </c>
      <c r="P68" s="130">
        <f>SUM(I24, I25, I46, I47, I48)</f>
        <v>530</v>
      </c>
      <c r="Q68" s="131">
        <f>SUM(Q24, Q25, Q46, Q47, Q48)</f>
        <v>12</v>
      </c>
      <c r="R68" s="130">
        <f>SUM(I26, I27, I49, I50, I51)</f>
        <v>539</v>
      </c>
      <c r="S68" s="130">
        <f>SUM(Q26, Q27, Q49, Q50, Q51)</f>
        <v>13</v>
      </c>
      <c r="T68" s="130">
        <f>SUM(I52, I53,I28)</f>
        <v>248</v>
      </c>
      <c r="U68" s="130">
        <f>SUM(Q52, Q53,Q28)</f>
        <v>7</v>
      </c>
    </row>
    <row r="69" spans="1:21" customFormat="1" hidden="1">
      <c r="A69" s="45" t="s">
        <v>3380</v>
      </c>
      <c r="B69" s="48">
        <f>(60/B64)*B65</f>
        <v>36</v>
      </c>
      <c r="C69" s="134" t="str">
        <f ca="1">IFERROR(__xludf.DUMMYFUNCTION("""COMPUTED_VALUE"""),"")</f>
        <v/>
      </c>
      <c r="D69" s="45" t="s">
        <v>3385</v>
      </c>
      <c r="E69" s="27">
        <f>(300/$F$67)*60</f>
        <v>1125</v>
      </c>
      <c r="F69" s="39">
        <v>60</v>
      </c>
      <c r="G69" s="40" t="s">
        <v>3386</v>
      </c>
      <c r="I69" s="29"/>
      <c r="Q69" s="31"/>
    </row>
    <row r="70" spans="1:21" customFormat="1" ht="15.75" hidden="1" thickBot="1">
      <c r="A70" s="46" t="s">
        <v>3383</v>
      </c>
      <c r="B70" s="49" t="s">
        <v>3384</v>
      </c>
      <c r="C70" s="134" t="str">
        <f ca="1">IFERROR(__xludf.DUMMYFUNCTION("""COMPUTED_VALUE"""),"")</f>
        <v/>
      </c>
      <c r="D70" s="46" t="s">
        <v>3387</v>
      </c>
      <c r="E70" s="27">
        <f>(350/$F$67)*60</f>
        <v>1312.5</v>
      </c>
      <c r="F70" s="41">
        <v>45</v>
      </c>
      <c r="G70" s="42" t="s">
        <v>3388</v>
      </c>
      <c r="I70" s="29"/>
      <c r="Q70" s="31"/>
    </row>
    <row r="71" spans="1:21" customFormat="1" hidden="1">
      <c r="A71" s="134" t="str">
        <f ca="1">IFERROR(__xludf.DUMMYFUNCTION("""COMPUTED_VALUE"""),"")</f>
        <v/>
      </c>
      <c r="B71" s="134" t="str">
        <f ca="1">IFERROR(__xludf.DUMMYFUNCTION("""COMPUTED_VALUE"""),"")</f>
        <v/>
      </c>
      <c r="C71" s="134" t="str">
        <f ca="1">IFERROR(__xludf.DUMMYFUNCTION("""COMPUTED_VALUE"""),"")</f>
        <v/>
      </c>
      <c r="D71" s="134" t="str">
        <f ca="1">IFERROR(__xludf.DUMMYFUNCTION("""COMPUTED_VALUE"""),"")</f>
        <v/>
      </c>
      <c r="E71" s="134" t="str">
        <f ca="1">IFERROR(__xludf.DUMMYFUNCTION("""COMPUTED_VALUE"""),"")</f>
        <v/>
      </c>
      <c r="F71" s="134" t="str">
        <f ca="1">IFERROR(__xludf.DUMMYFUNCTION("""COMPUTED_VALUE"""),"")</f>
        <v/>
      </c>
      <c r="G71" s="134" t="str">
        <f ca="1">IFERROR(__xludf.DUMMYFUNCTION("""COMPUTED_VALUE"""),"")</f>
        <v/>
      </c>
      <c r="I71" s="29"/>
      <c r="L71" s="134" t="str">
        <f ca="1">IFERROR(__xludf.DUMMYFUNCTION("""COMPUTED_VALUE"""),"")</f>
        <v/>
      </c>
      <c r="M71" s="134" t="str">
        <f ca="1">IFERROR(__xludf.DUMMYFUNCTION("""COMPUTED_VALUE"""),"")</f>
        <v/>
      </c>
      <c r="Q71" s="31"/>
    </row>
    <row r="72" spans="1:21" customFormat="1" hidden="1">
      <c r="A72" s="134" t="str">
        <f ca="1">IFERROR(__xludf.DUMMYFUNCTION("""COMPUTED_VALUE"""),"")</f>
        <v/>
      </c>
      <c r="B72" s="134" t="str">
        <f ca="1">IFERROR(__xludf.DUMMYFUNCTION("""COMPUTED_VALUE"""),"")</f>
        <v/>
      </c>
      <c r="C72" s="134" t="str">
        <f ca="1">IFERROR(__xludf.DUMMYFUNCTION("""COMPUTED_VALUE"""),"")</f>
        <v/>
      </c>
      <c r="D72" s="134" t="str">
        <f ca="1">IFERROR(__xludf.DUMMYFUNCTION("""COMPUTED_VALUE"""),"")</f>
        <v/>
      </c>
      <c r="E72" s="134" t="str">
        <f ca="1">IFERROR(__xludf.DUMMYFUNCTION("""COMPUTED_VALUE"""),"")</f>
        <v/>
      </c>
      <c r="F72" s="134" t="str">
        <f ca="1">IFERROR(__xludf.DUMMYFUNCTION("""COMPUTED_VALUE"""),"")</f>
        <v/>
      </c>
      <c r="G72" s="134" t="str">
        <f ca="1">IFERROR(__xludf.DUMMYFUNCTION("""COMPUTED_VALUE"""),"")</f>
        <v/>
      </c>
      <c r="H72" s="134" t="str">
        <f ca="1">IFERROR(__xludf.DUMMYFUNCTION("""COMPUTED_VALUE"""),"")</f>
        <v/>
      </c>
      <c r="I72" s="134" t="str">
        <f ca="1">IFERROR(__xludf.DUMMYFUNCTION("""COMPUTED_VALUE"""),"")</f>
        <v/>
      </c>
      <c r="J72" s="134" t="str">
        <f ca="1">IFERROR(__xludf.DUMMYFUNCTION("""COMPUTED_VALUE"""),"")</f>
        <v/>
      </c>
      <c r="L72" s="135" t="str">
        <f ca="1">IFERROR(__xludf.DUMMYFUNCTION("""COMPUTED_VALUE"""),"")</f>
        <v/>
      </c>
      <c r="M72" s="135" t="str">
        <f ca="1">IFERROR(__xludf.DUMMYFUNCTION("""COMPUTED_VALUE"""),"")</f>
        <v/>
      </c>
      <c r="Q72" s="31"/>
    </row>
    <row r="73" spans="1:21" customFormat="1">
      <c r="A73" s="134" t="str">
        <f ca="1">IFERROR(__xludf.DUMMYFUNCTION("""COMPUTED_VALUE"""),"")</f>
        <v/>
      </c>
      <c r="B73" s="134" t="str">
        <f ca="1">IFERROR(__xludf.DUMMYFUNCTION("""COMPUTED_VALUE"""),"")</f>
        <v/>
      </c>
      <c r="C73" s="134" t="str">
        <f ca="1">IFERROR(__xludf.DUMMYFUNCTION("""COMPUTED_VALUE"""),"")</f>
        <v/>
      </c>
      <c r="D73" s="134" t="str">
        <f ca="1">IFERROR(__xludf.DUMMYFUNCTION("""COMPUTED_VALUE"""),"")</f>
        <v/>
      </c>
      <c r="E73" s="134" t="str">
        <f ca="1">IFERROR(__xludf.DUMMYFUNCTION("""COMPUTED_VALUE"""),"")</f>
        <v/>
      </c>
      <c r="F73" s="134" t="str">
        <f ca="1">IFERROR(__xludf.DUMMYFUNCTION("""COMPUTED_VALUE"""),"")</f>
        <v/>
      </c>
      <c r="G73" s="134" t="str">
        <f ca="1">IFERROR(__xludf.DUMMYFUNCTION("""COMPUTED_VALUE"""),"")</f>
        <v/>
      </c>
      <c r="H73" s="134" t="str">
        <f ca="1">IFERROR(__xludf.DUMMYFUNCTION("""COMPUTED_VALUE"""),"")</f>
        <v/>
      </c>
      <c r="I73" s="134" t="str">
        <f ca="1">IFERROR(__xludf.DUMMYFUNCTION("""COMPUTED_VALUE"""),"")</f>
        <v/>
      </c>
      <c r="J73" s="134" t="str">
        <f ca="1">IFERROR(__xludf.DUMMYFUNCTION("""COMPUTED_VALUE"""),"")</f>
        <v/>
      </c>
      <c r="L73" s="135" t="str">
        <f ca="1">IFERROR(__xludf.DUMMYFUNCTION("""COMPUTED_VALUE"""),"")</f>
        <v/>
      </c>
      <c r="M73" s="135" t="str">
        <f ca="1">IFERROR(__xludf.DUMMYFUNCTION("""COMPUTED_VALUE"""),"")</f>
        <v/>
      </c>
      <c r="Q73" s="31"/>
    </row>
    <row r="74" spans="1:21" customFormat="1">
      <c r="A74" s="134" t="str">
        <f ca="1">IFERROR(__xludf.DUMMYFUNCTION("""COMPUTED_VALUE"""),"")</f>
        <v/>
      </c>
      <c r="B74" s="134" t="str">
        <f ca="1">IFERROR(__xludf.DUMMYFUNCTION("""COMPUTED_VALUE"""),"")</f>
        <v/>
      </c>
      <c r="C74" s="134" t="str">
        <f ca="1">IFERROR(__xludf.DUMMYFUNCTION("""COMPUTED_VALUE"""),"")</f>
        <v/>
      </c>
      <c r="D74" s="134" t="str">
        <f ca="1">IFERROR(__xludf.DUMMYFUNCTION("""COMPUTED_VALUE"""),"")</f>
        <v/>
      </c>
      <c r="E74" s="134" t="str">
        <f ca="1">IFERROR(__xludf.DUMMYFUNCTION("""COMPUTED_VALUE"""),"")</f>
        <v/>
      </c>
      <c r="F74" s="134" t="str">
        <f ca="1">IFERROR(__xludf.DUMMYFUNCTION("""COMPUTED_VALUE"""),"")</f>
        <v/>
      </c>
      <c r="G74" s="134" t="str">
        <f ca="1">IFERROR(__xludf.DUMMYFUNCTION("""COMPUTED_VALUE"""),"")</f>
        <v/>
      </c>
      <c r="H74" s="134" t="str">
        <f ca="1">IFERROR(__xludf.DUMMYFUNCTION("""COMPUTED_VALUE"""),"")</f>
        <v/>
      </c>
      <c r="I74" s="134" t="str">
        <f ca="1">IFERROR(__xludf.DUMMYFUNCTION("""COMPUTED_VALUE"""),"")</f>
        <v/>
      </c>
      <c r="J74" s="134" t="str">
        <f ca="1">IFERROR(__xludf.DUMMYFUNCTION("""COMPUTED_VALUE"""),"")</f>
        <v/>
      </c>
      <c r="Q74" s="31"/>
    </row>
    <row r="75" spans="1:21" customFormat="1">
      <c r="A75" s="134" t="str">
        <f ca="1">IFERROR(__xludf.DUMMYFUNCTION("""COMPUTED_VALUE"""),"")</f>
        <v/>
      </c>
      <c r="B75" s="134" t="str">
        <f ca="1">IFERROR(__xludf.DUMMYFUNCTION("""COMPUTED_VALUE"""),"")</f>
        <v/>
      </c>
      <c r="C75" s="134" t="str">
        <f ca="1">IFERROR(__xludf.DUMMYFUNCTION("""COMPUTED_VALUE"""),"")</f>
        <v/>
      </c>
      <c r="D75" s="134" t="str">
        <f ca="1">IFERROR(__xludf.DUMMYFUNCTION("""COMPUTED_VALUE"""),"")</f>
        <v/>
      </c>
      <c r="E75" s="134" t="str">
        <f ca="1">IFERROR(__xludf.DUMMYFUNCTION("""COMPUTED_VALUE"""),"")</f>
        <v/>
      </c>
      <c r="F75" s="134" t="str">
        <f ca="1">IFERROR(__xludf.DUMMYFUNCTION("""COMPUTED_VALUE"""),"")</f>
        <v/>
      </c>
      <c r="G75" s="134" t="str">
        <f ca="1">IFERROR(__xludf.DUMMYFUNCTION("""COMPUTED_VALUE"""),"")</f>
        <v/>
      </c>
      <c r="H75" s="134" t="str">
        <f ca="1">IFERROR(__xludf.DUMMYFUNCTION("""COMPUTED_VALUE"""),"")</f>
        <v/>
      </c>
      <c r="I75" s="134" t="str">
        <f ca="1">IFERROR(__xludf.DUMMYFUNCTION("""COMPUTED_VALUE"""),"")</f>
        <v/>
      </c>
      <c r="J75" s="134" t="str">
        <f ca="1">IFERROR(__xludf.DUMMYFUNCTION("""COMPUTED_VALUE"""),"")</f>
        <v/>
      </c>
      <c r="Q75" s="31"/>
    </row>
    <row r="76" spans="1:21" customFormat="1">
      <c r="A76" s="134" t="str">
        <f ca="1">IFERROR(__xludf.DUMMYFUNCTION("""COMPUTED_VALUE"""),"")</f>
        <v/>
      </c>
      <c r="B76" s="134" t="str">
        <f ca="1">IFERROR(__xludf.DUMMYFUNCTION("""COMPUTED_VALUE"""),"")</f>
        <v/>
      </c>
      <c r="C76" s="134" t="str">
        <f ca="1">IFERROR(__xludf.DUMMYFUNCTION("""COMPUTED_VALUE"""),"")</f>
        <v/>
      </c>
      <c r="D76" s="134" t="str">
        <f ca="1">IFERROR(__xludf.DUMMYFUNCTION("""COMPUTED_VALUE"""),"")</f>
        <v/>
      </c>
      <c r="E76" s="134" t="str">
        <f ca="1">IFERROR(__xludf.DUMMYFUNCTION("""COMPUTED_VALUE"""),"")</f>
        <v/>
      </c>
      <c r="F76" s="134" t="str">
        <f ca="1">IFERROR(__xludf.DUMMYFUNCTION("""COMPUTED_VALUE"""),"")</f>
        <v/>
      </c>
      <c r="G76" s="134" t="str">
        <f ca="1">IFERROR(__xludf.DUMMYFUNCTION("""COMPUTED_VALUE"""),"")</f>
        <v/>
      </c>
      <c r="H76" s="134" t="str">
        <f ca="1">IFERROR(__xludf.DUMMYFUNCTION("""COMPUTED_VALUE"""),"")</f>
        <v/>
      </c>
      <c r="I76" s="134" t="str">
        <f ca="1">IFERROR(__xludf.DUMMYFUNCTION("""COMPUTED_VALUE"""),"")</f>
        <v/>
      </c>
      <c r="J76" s="134" t="str">
        <f ca="1">IFERROR(__xludf.DUMMYFUNCTION("""COMPUTED_VALUE"""),"")</f>
        <v/>
      </c>
      <c r="Q76" s="31"/>
    </row>
    <row r="77" spans="1:21" customFormat="1">
      <c r="A77" s="134" t="str">
        <f ca="1">IFERROR(__xludf.DUMMYFUNCTION("""COMPUTED_VALUE"""),"")</f>
        <v/>
      </c>
      <c r="B77" s="134" t="str">
        <f ca="1">IFERROR(__xludf.DUMMYFUNCTION("""COMPUTED_VALUE"""),"")</f>
        <v/>
      </c>
      <c r="C77" s="134" t="str">
        <f ca="1">IFERROR(__xludf.DUMMYFUNCTION("""COMPUTED_VALUE"""),"")</f>
        <v/>
      </c>
      <c r="D77" s="134" t="str">
        <f ca="1">IFERROR(__xludf.DUMMYFUNCTION("""COMPUTED_VALUE"""),"")</f>
        <v/>
      </c>
      <c r="E77" s="134" t="str">
        <f ca="1">IFERROR(__xludf.DUMMYFUNCTION("""COMPUTED_VALUE"""),"")</f>
        <v/>
      </c>
      <c r="F77" s="134" t="str">
        <f ca="1">IFERROR(__xludf.DUMMYFUNCTION("""COMPUTED_VALUE"""),"")</f>
        <v/>
      </c>
      <c r="G77" s="134" t="str">
        <f ca="1">IFERROR(__xludf.DUMMYFUNCTION("""COMPUTED_VALUE"""),"")</f>
        <v/>
      </c>
      <c r="H77" s="134" t="str">
        <f ca="1">IFERROR(__xludf.DUMMYFUNCTION("""COMPUTED_VALUE"""),"")</f>
        <v/>
      </c>
      <c r="I77" s="134" t="str">
        <f ca="1">IFERROR(__xludf.DUMMYFUNCTION("""COMPUTED_VALUE"""),"")</f>
        <v/>
      </c>
      <c r="J77" s="134" t="str">
        <f ca="1">IFERROR(__xludf.DUMMYFUNCTION("""COMPUTED_VALUE"""),"")</f>
        <v/>
      </c>
      <c r="Q77" s="31"/>
    </row>
    <row r="78" spans="1:21" customFormat="1">
      <c r="A78" s="134" t="str">
        <f ca="1">IFERROR(__xludf.DUMMYFUNCTION("""COMPUTED_VALUE"""),"")</f>
        <v/>
      </c>
      <c r="B78" s="134" t="str">
        <f ca="1">IFERROR(__xludf.DUMMYFUNCTION("""COMPUTED_VALUE"""),"")</f>
        <v/>
      </c>
      <c r="C78" s="134" t="str">
        <f ca="1">IFERROR(__xludf.DUMMYFUNCTION("""COMPUTED_VALUE"""),"")</f>
        <v/>
      </c>
      <c r="D78" s="134" t="str">
        <f ca="1">IFERROR(__xludf.DUMMYFUNCTION("""COMPUTED_VALUE"""),"")</f>
        <v/>
      </c>
      <c r="E78" s="134" t="str">
        <f ca="1">IFERROR(__xludf.DUMMYFUNCTION("""COMPUTED_VALUE"""),"")</f>
        <v/>
      </c>
      <c r="F78" s="134" t="str">
        <f ca="1">IFERROR(__xludf.DUMMYFUNCTION("""COMPUTED_VALUE"""),"")</f>
        <v/>
      </c>
      <c r="G78" s="134" t="str">
        <f ca="1">IFERROR(__xludf.DUMMYFUNCTION("""COMPUTED_VALUE"""),"")</f>
        <v/>
      </c>
      <c r="H78" s="134" t="str">
        <f ca="1">IFERROR(__xludf.DUMMYFUNCTION("""COMPUTED_VALUE"""),"")</f>
        <v/>
      </c>
      <c r="I78" s="134" t="str">
        <f ca="1">IFERROR(__xludf.DUMMYFUNCTION("""COMPUTED_VALUE"""),"")</f>
        <v/>
      </c>
      <c r="J78" s="134" t="str">
        <f ca="1">IFERROR(__xludf.DUMMYFUNCTION("""COMPUTED_VALUE"""),"")</f>
        <v/>
      </c>
      <c r="L78" s="137"/>
      <c r="M78" s="137"/>
      <c r="Q78" s="31"/>
    </row>
    <row r="79" spans="1:21" customFormat="1">
      <c r="A79" s="134" t="str">
        <f ca="1">IFERROR(__xludf.DUMMYFUNCTION("""COMPUTED_VALUE"""),"")</f>
        <v/>
      </c>
      <c r="B79" s="134" t="str">
        <f ca="1">IFERROR(__xludf.DUMMYFUNCTION("""COMPUTED_VALUE"""),"")</f>
        <v/>
      </c>
      <c r="C79" s="134" t="str">
        <f ca="1">IFERROR(__xludf.DUMMYFUNCTION("""COMPUTED_VALUE"""),"")</f>
        <v/>
      </c>
      <c r="D79" s="134" t="str">
        <f ca="1">IFERROR(__xludf.DUMMYFUNCTION("""COMPUTED_VALUE"""),"")</f>
        <v/>
      </c>
      <c r="E79" s="134" t="str">
        <f ca="1">IFERROR(__xludf.DUMMYFUNCTION("""COMPUTED_VALUE"""),"")</f>
        <v/>
      </c>
      <c r="F79" s="134" t="str">
        <f ca="1">IFERROR(__xludf.DUMMYFUNCTION("""COMPUTED_VALUE"""),"")</f>
        <v/>
      </c>
      <c r="G79" s="134" t="str">
        <f ca="1">IFERROR(__xludf.DUMMYFUNCTION("""COMPUTED_VALUE"""),"")</f>
        <v/>
      </c>
      <c r="H79" s="134" t="str">
        <f ca="1">IFERROR(__xludf.DUMMYFUNCTION("""COMPUTED_VALUE"""),"")</f>
        <v/>
      </c>
      <c r="I79" s="134" t="str">
        <f ca="1">IFERROR(__xludf.DUMMYFUNCTION("""COMPUTED_VALUE"""),"")</f>
        <v/>
      </c>
      <c r="J79" s="134" t="str">
        <f ca="1">IFERROR(__xludf.DUMMYFUNCTION("""COMPUTED_VALUE"""),"")</f>
        <v/>
      </c>
      <c r="L79" s="135"/>
      <c r="M79" s="135"/>
      <c r="Q79" s="31"/>
    </row>
    <row r="80" spans="1:21" customFormat="1">
      <c r="A80" s="134" t="str">
        <f ca="1">IFERROR(__xludf.DUMMYFUNCTION("""COMPUTED_VALUE"""),"")</f>
        <v/>
      </c>
      <c r="B80" s="134" t="str">
        <f ca="1">IFERROR(__xludf.DUMMYFUNCTION("""COMPUTED_VALUE"""),"")</f>
        <v/>
      </c>
      <c r="C80" s="134" t="str">
        <f ca="1">IFERROR(__xludf.DUMMYFUNCTION("""COMPUTED_VALUE"""),"")</f>
        <v/>
      </c>
      <c r="D80" s="134" t="str">
        <f ca="1">IFERROR(__xludf.DUMMYFUNCTION("""COMPUTED_VALUE"""),"")</f>
        <v/>
      </c>
      <c r="E80" s="134" t="str">
        <f ca="1">IFERROR(__xludf.DUMMYFUNCTION("""COMPUTED_VALUE"""),"")</f>
        <v/>
      </c>
      <c r="F80" s="134" t="str">
        <f ca="1">IFERROR(__xludf.DUMMYFUNCTION("""COMPUTED_VALUE"""),"")</f>
        <v/>
      </c>
      <c r="G80" s="134" t="str">
        <f ca="1">IFERROR(__xludf.DUMMYFUNCTION("""COMPUTED_VALUE"""),"")</f>
        <v/>
      </c>
      <c r="H80" s="134" t="str">
        <f ca="1">IFERROR(__xludf.DUMMYFUNCTION("""COMPUTED_VALUE"""),"")</f>
        <v/>
      </c>
      <c r="I80" s="134" t="str">
        <f ca="1">IFERROR(__xludf.DUMMYFUNCTION("""COMPUTED_VALUE"""),"")</f>
        <v/>
      </c>
      <c r="J80" s="134" t="str">
        <f ca="1">IFERROR(__xludf.DUMMYFUNCTION("""COMPUTED_VALUE"""),"")</f>
        <v/>
      </c>
      <c r="L80" s="135"/>
      <c r="M80" s="135"/>
      <c r="Q80" s="31"/>
    </row>
    <row r="81" spans="1:17" customFormat="1">
      <c r="A81" s="134" t="str">
        <f ca="1">IFERROR(__xludf.DUMMYFUNCTION("""COMPUTED_VALUE"""),"")</f>
        <v/>
      </c>
      <c r="B81" s="134" t="str">
        <f ca="1">IFERROR(__xludf.DUMMYFUNCTION("""COMPUTED_VALUE"""),"")</f>
        <v/>
      </c>
      <c r="C81" s="134" t="str">
        <f ca="1">IFERROR(__xludf.DUMMYFUNCTION("""COMPUTED_VALUE"""),"")</f>
        <v/>
      </c>
      <c r="D81" s="134" t="str">
        <f ca="1">IFERROR(__xludf.DUMMYFUNCTION("""COMPUTED_VALUE"""),"")</f>
        <v/>
      </c>
      <c r="E81" s="134" t="str">
        <f ca="1">IFERROR(__xludf.DUMMYFUNCTION("""COMPUTED_VALUE"""),"")</f>
        <v/>
      </c>
      <c r="F81" s="134" t="str">
        <f ca="1">IFERROR(__xludf.DUMMYFUNCTION("""COMPUTED_VALUE"""),"")</f>
        <v/>
      </c>
      <c r="G81" s="134" t="str">
        <f ca="1">IFERROR(__xludf.DUMMYFUNCTION("""COMPUTED_VALUE"""),"")</f>
        <v/>
      </c>
      <c r="H81" s="134" t="str">
        <f ca="1">IFERROR(__xludf.DUMMYFUNCTION("""COMPUTED_VALUE"""),"")</f>
        <v/>
      </c>
      <c r="I81" s="134" t="str">
        <f ca="1">IFERROR(__xludf.DUMMYFUNCTION("""COMPUTED_VALUE"""),"")</f>
        <v/>
      </c>
      <c r="J81" s="134" t="str">
        <f ca="1">IFERROR(__xludf.DUMMYFUNCTION("""COMPUTED_VALUE"""),"")</f>
        <v/>
      </c>
      <c r="Q81" s="31"/>
    </row>
    <row r="82" spans="1:17" customFormat="1">
      <c r="A82" s="134" t="str">
        <f ca="1">IFERROR(__xludf.DUMMYFUNCTION("""COMPUTED_VALUE"""),"")</f>
        <v/>
      </c>
      <c r="B82" s="134" t="str">
        <f ca="1">IFERROR(__xludf.DUMMYFUNCTION("""COMPUTED_VALUE"""),"")</f>
        <v/>
      </c>
      <c r="C82" s="134" t="str">
        <f ca="1">IFERROR(__xludf.DUMMYFUNCTION("""COMPUTED_VALUE"""),"")</f>
        <v/>
      </c>
      <c r="D82" s="134" t="str">
        <f ca="1">IFERROR(__xludf.DUMMYFUNCTION("""COMPUTED_VALUE"""),"")</f>
        <v/>
      </c>
      <c r="E82" s="134" t="str">
        <f ca="1">IFERROR(__xludf.DUMMYFUNCTION("""COMPUTED_VALUE"""),"")</f>
        <v/>
      </c>
      <c r="F82" s="134" t="str">
        <f ca="1">IFERROR(__xludf.DUMMYFUNCTION("""COMPUTED_VALUE"""),"")</f>
        <v/>
      </c>
      <c r="G82" s="134" t="str">
        <f ca="1">IFERROR(__xludf.DUMMYFUNCTION("""COMPUTED_VALUE"""),"")</f>
        <v/>
      </c>
      <c r="H82" s="134" t="str">
        <f ca="1">IFERROR(__xludf.DUMMYFUNCTION("""COMPUTED_VALUE"""),"")</f>
        <v/>
      </c>
      <c r="I82" s="134" t="str">
        <f ca="1">IFERROR(__xludf.DUMMYFUNCTION("""COMPUTED_VALUE"""),"")</f>
        <v/>
      </c>
      <c r="J82" s="134" t="str">
        <f ca="1">IFERROR(__xludf.DUMMYFUNCTION("""COMPUTED_VALUE"""),"")</f>
        <v/>
      </c>
      <c r="Q82" s="31"/>
    </row>
    <row r="83" spans="1:17" customFormat="1">
      <c r="A83" s="134" t="str">
        <f ca="1">IFERROR(__xludf.DUMMYFUNCTION("""COMPUTED_VALUE"""),"")</f>
        <v/>
      </c>
      <c r="B83" s="134" t="str">
        <f ca="1">IFERROR(__xludf.DUMMYFUNCTION("""COMPUTED_VALUE"""),"")</f>
        <v/>
      </c>
      <c r="C83" s="134" t="str">
        <f ca="1">IFERROR(__xludf.DUMMYFUNCTION("""COMPUTED_VALUE"""),"")</f>
        <v/>
      </c>
      <c r="D83" s="134" t="str">
        <f ca="1">IFERROR(__xludf.DUMMYFUNCTION("""COMPUTED_VALUE"""),"")</f>
        <v/>
      </c>
      <c r="E83" s="134" t="str">
        <f ca="1">IFERROR(__xludf.DUMMYFUNCTION("""COMPUTED_VALUE"""),"")</f>
        <v/>
      </c>
      <c r="F83" s="134" t="str">
        <f ca="1">IFERROR(__xludf.DUMMYFUNCTION("""COMPUTED_VALUE"""),"")</f>
        <v/>
      </c>
      <c r="G83" s="134" t="str">
        <f ca="1">IFERROR(__xludf.DUMMYFUNCTION("""COMPUTED_VALUE"""),"")</f>
        <v/>
      </c>
      <c r="H83" s="134" t="str">
        <f ca="1">IFERROR(__xludf.DUMMYFUNCTION("""COMPUTED_VALUE"""),"")</f>
        <v/>
      </c>
      <c r="I83" s="134" t="str">
        <f ca="1">IFERROR(__xludf.DUMMYFUNCTION("""COMPUTED_VALUE"""),"")</f>
        <v/>
      </c>
      <c r="J83" s="134" t="str">
        <f ca="1">IFERROR(__xludf.DUMMYFUNCTION("""COMPUTED_VALUE"""),"")</f>
        <v/>
      </c>
      <c r="Q83" s="31"/>
    </row>
    <row r="84" spans="1:17" customFormat="1">
      <c r="A84" s="134" t="str">
        <f ca="1">IFERROR(__xludf.DUMMYFUNCTION("""COMPUTED_VALUE"""),"")</f>
        <v/>
      </c>
      <c r="B84" s="134" t="str">
        <f ca="1">IFERROR(__xludf.DUMMYFUNCTION("""COMPUTED_VALUE"""),"")</f>
        <v/>
      </c>
      <c r="C84" s="134" t="str">
        <f ca="1">IFERROR(__xludf.DUMMYFUNCTION("""COMPUTED_VALUE"""),"")</f>
        <v/>
      </c>
      <c r="D84" s="134" t="str">
        <f ca="1">IFERROR(__xludf.DUMMYFUNCTION("""COMPUTED_VALUE"""),"")</f>
        <v/>
      </c>
      <c r="E84" s="134" t="str">
        <f ca="1">IFERROR(__xludf.DUMMYFUNCTION("""COMPUTED_VALUE"""),"")</f>
        <v/>
      </c>
      <c r="F84" s="134" t="str">
        <f ca="1">IFERROR(__xludf.DUMMYFUNCTION("""COMPUTED_VALUE"""),"")</f>
        <v/>
      </c>
      <c r="G84" s="134" t="str">
        <f ca="1">IFERROR(__xludf.DUMMYFUNCTION("""COMPUTED_VALUE"""),"")</f>
        <v/>
      </c>
      <c r="H84" s="134" t="str">
        <f ca="1">IFERROR(__xludf.DUMMYFUNCTION("""COMPUTED_VALUE"""),"")</f>
        <v/>
      </c>
      <c r="I84" s="134" t="str">
        <f ca="1">IFERROR(__xludf.DUMMYFUNCTION("""COMPUTED_VALUE"""),"")</f>
        <v/>
      </c>
      <c r="J84" s="134" t="str">
        <f ca="1">IFERROR(__xludf.DUMMYFUNCTION("""COMPUTED_VALUE"""),"")</f>
        <v/>
      </c>
      <c r="Q84" s="31"/>
    </row>
    <row r="85" spans="1:17" customFormat="1">
      <c r="A85" s="134" t="str">
        <f ca="1">IFERROR(__xludf.DUMMYFUNCTION("""COMPUTED_VALUE"""),"")</f>
        <v/>
      </c>
      <c r="B85" s="134" t="str">
        <f ca="1">IFERROR(__xludf.DUMMYFUNCTION("""COMPUTED_VALUE"""),"")</f>
        <v/>
      </c>
      <c r="C85" s="134" t="str">
        <f ca="1">IFERROR(__xludf.DUMMYFUNCTION("""COMPUTED_VALUE"""),"")</f>
        <v/>
      </c>
      <c r="D85" s="134" t="str">
        <f ca="1">IFERROR(__xludf.DUMMYFUNCTION("""COMPUTED_VALUE"""),"")</f>
        <v/>
      </c>
      <c r="E85" s="134" t="str">
        <f ca="1">IFERROR(__xludf.DUMMYFUNCTION("""COMPUTED_VALUE"""),"")</f>
        <v/>
      </c>
      <c r="F85" s="134" t="str">
        <f ca="1">IFERROR(__xludf.DUMMYFUNCTION("""COMPUTED_VALUE"""),"")</f>
        <v/>
      </c>
      <c r="G85" s="134" t="str">
        <f ca="1">IFERROR(__xludf.DUMMYFUNCTION("""COMPUTED_VALUE"""),"")</f>
        <v/>
      </c>
      <c r="H85" s="134" t="str">
        <f ca="1">IFERROR(__xludf.DUMMYFUNCTION("""COMPUTED_VALUE"""),"")</f>
        <v/>
      </c>
      <c r="I85" s="134" t="str">
        <f ca="1">IFERROR(__xludf.DUMMYFUNCTION("""COMPUTED_VALUE"""),"")</f>
        <v/>
      </c>
      <c r="J85" s="134" t="str">
        <f ca="1">IFERROR(__xludf.DUMMYFUNCTION("""COMPUTED_VALUE"""),"")</f>
        <v/>
      </c>
      <c r="L85" s="137"/>
      <c r="M85" s="137"/>
      <c r="Q85" s="31"/>
    </row>
    <row r="86" spans="1:17" customFormat="1">
      <c r="A86" s="134" t="str">
        <f ca="1">IFERROR(__xludf.DUMMYFUNCTION("""COMPUTED_VALUE"""),"")</f>
        <v/>
      </c>
      <c r="B86" s="134" t="str">
        <f ca="1">IFERROR(__xludf.DUMMYFUNCTION("""COMPUTED_VALUE"""),"")</f>
        <v/>
      </c>
      <c r="C86" s="134" t="str">
        <f ca="1">IFERROR(__xludf.DUMMYFUNCTION("""COMPUTED_VALUE"""),"")</f>
        <v/>
      </c>
      <c r="D86" s="134" t="str">
        <f ca="1">IFERROR(__xludf.DUMMYFUNCTION("""COMPUTED_VALUE"""),"")</f>
        <v/>
      </c>
      <c r="E86" s="134" t="str">
        <f ca="1">IFERROR(__xludf.DUMMYFUNCTION("""COMPUTED_VALUE"""),"")</f>
        <v/>
      </c>
      <c r="F86" s="134" t="str">
        <f ca="1">IFERROR(__xludf.DUMMYFUNCTION("""COMPUTED_VALUE"""),"")</f>
        <v/>
      </c>
      <c r="G86" s="134" t="str">
        <f ca="1">IFERROR(__xludf.DUMMYFUNCTION("""COMPUTED_VALUE"""),"")</f>
        <v/>
      </c>
      <c r="H86" s="134" t="str">
        <f ca="1">IFERROR(__xludf.DUMMYFUNCTION("""COMPUTED_VALUE"""),"")</f>
        <v/>
      </c>
      <c r="I86" s="134" t="str">
        <f ca="1">IFERROR(__xludf.DUMMYFUNCTION("""COMPUTED_VALUE"""),"")</f>
        <v/>
      </c>
      <c r="J86" s="134" t="str">
        <f ca="1">IFERROR(__xludf.DUMMYFUNCTION("""COMPUTED_VALUE"""),"")</f>
        <v/>
      </c>
      <c r="L86" s="135"/>
      <c r="M86" s="135"/>
      <c r="Q86" s="31"/>
    </row>
    <row r="87" spans="1:17" customFormat="1">
      <c r="A87" s="134" t="str">
        <f ca="1">IFERROR(__xludf.DUMMYFUNCTION("""COMPUTED_VALUE"""),"")</f>
        <v/>
      </c>
      <c r="B87" s="134" t="str">
        <f ca="1">IFERROR(__xludf.DUMMYFUNCTION("""COMPUTED_VALUE"""),"")</f>
        <v/>
      </c>
      <c r="C87" s="134" t="str">
        <f ca="1">IFERROR(__xludf.DUMMYFUNCTION("""COMPUTED_VALUE"""),"")</f>
        <v/>
      </c>
      <c r="D87" s="134" t="str">
        <f ca="1">IFERROR(__xludf.DUMMYFUNCTION("""COMPUTED_VALUE"""),"")</f>
        <v/>
      </c>
      <c r="E87" s="134" t="str">
        <f ca="1">IFERROR(__xludf.DUMMYFUNCTION("""COMPUTED_VALUE"""),"")</f>
        <v/>
      </c>
      <c r="F87" s="134" t="str">
        <f ca="1">IFERROR(__xludf.DUMMYFUNCTION("""COMPUTED_VALUE"""),"")</f>
        <v/>
      </c>
      <c r="G87" s="134" t="str">
        <f ca="1">IFERROR(__xludf.DUMMYFUNCTION("""COMPUTED_VALUE"""),"")</f>
        <v/>
      </c>
      <c r="H87" s="134" t="str">
        <f ca="1">IFERROR(__xludf.DUMMYFUNCTION("""COMPUTED_VALUE"""),"")</f>
        <v/>
      </c>
      <c r="I87" s="134" t="str">
        <f ca="1">IFERROR(__xludf.DUMMYFUNCTION("""COMPUTED_VALUE"""),"")</f>
        <v/>
      </c>
      <c r="J87" s="134" t="str">
        <f ca="1">IFERROR(__xludf.DUMMYFUNCTION("""COMPUTED_VALUE"""),"")</f>
        <v/>
      </c>
      <c r="L87" s="135"/>
      <c r="M87" s="135"/>
      <c r="Q87" s="31"/>
    </row>
    <row r="88" spans="1:17" customFormat="1">
      <c r="A88" s="134" t="str">
        <f ca="1">IFERROR(__xludf.DUMMYFUNCTION("""COMPUTED_VALUE"""),"")</f>
        <v/>
      </c>
      <c r="B88" s="134" t="str">
        <f ca="1">IFERROR(__xludf.DUMMYFUNCTION("""COMPUTED_VALUE"""),"")</f>
        <v/>
      </c>
      <c r="C88" s="134" t="str">
        <f ca="1">IFERROR(__xludf.DUMMYFUNCTION("""COMPUTED_VALUE"""),"")</f>
        <v/>
      </c>
      <c r="D88" s="134" t="str">
        <f ca="1">IFERROR(__xludf.DUMMYFUNCTION("""COMPUTED_VALUE"""),"")</f>
        <v/>
      </c>
      <c r="E88" s="134" t="str">
        <f ca="1">IFERROR(__xludf.DUMMYFUNCTION("""COMPUTED_VALUE"""),"")</f>
        <v/>
      </c>
      <c r="F88" s="134" t="str">
        <f ca="1">IFERROR(__xludf.DUMMYFUNCTION("""COMPUTED_VALUE"""),"")</f>
        <v/>
      </c>
      <c r="G88" s="134" t="str">
        <f ca="1">IFERROR(__xludf.DUMMYFUNCTION("""COMPUTED_VALUE"""),"")</f>
        <v/>
      </c>
      <c r="H88" s="134" t="str">
        <f ca="1">IFERROR(__xludf.DUMMYFUNCTION("""COMPUTED_VALUE"""),"")</f>
        <v/>
      </c>
      <c r="I88" s="134" t="str">
        <f ca="1">IFERROR(__xludf.DUMMYFUNCTION("""COMPUTED_VALUE"""),"")</f>
        <v/>
      </c>
      <c r="J88" s="134" t="str">
        <f ca="1">IFERROR(__xludf.DUMMYFUNCTION("""COMPUTED_VALUE"""),"")</f>
        <v/>
      </c>
      <c r="Q88" s="31"/>
    </row>
    <row r="89" spans="1:17" customFormat="1">
      <c r="A89" s="134" t="str">
        <f ca="1">IFERROR(__xludf.DUMMYFUNCTION("""COMPUTED_VALUE"""),"")</f>
        <v/>
      </c>
      <c r="B89" s="134" t="str">
        <f ca="1">IFERROR(__xludf.DUMMYFUNCTION("""COMPUTED_VALUE"""),"")</f>
        <v/>
      </c>
      <c r="C89" s="134" t="str">
        <f ca="1">IFERROR(__xludf.DUMMYFUNCTION("""COMPUTED_VALUE"""),"")</f>
        <v/>
      </c>
      <c r="D89" s="134" t="str">
        <f ca="1">IFERROR(__xludf.DUMMYFUNCTION("""COMPUTED_VALUE"""),"")</f>
        <v/>
      </c>
      <c r="E89" s="134" t="str">
        <f ca="1">IFERROR(__xludf.DUMMYFUNCTION("""COMPUTED_VALUE"""),"")</f>
        <v/>
      </c>
      <c r="F89" s="134" t="str">
        <f ca="1">IFERROR(__xludf.DUMMYFUNCTION("""COMPUTED_VALUE"""),"")</f>
        <v/>
      </c>
      <c r="G89" s="134" t="str">
        <f ca="1">IFERROR(__xludf.DUMMYFUNCTION("""COMPUTED_VALUE"""),"")</f>
        <v/>
      </c>
      <c r="H89" s="134" t="str">
        <f ca="1">IFERROR(__xludf.DUMMYFUNCTION("""COMPUTED_VALUE"""),"")</f>
        <v/>
      </c>
      <c r="I89" s="134" t="str">
        <f ca="1">IFERROR(__xludf.DUMMYFUNCTION("""COMPUTED_VALUE"""),"")</f>
        <v/>
      </c>
      <c r="J89" s="134" t="str">
        <f ca="1">IFERROR(__xludf.DUMMYFUNCTION("""COMPUTED_VALUE"""),"")</f>
        <v/>
      </c>
      <c r="Q89" s="31"/>
    </row>
    <row r="90" spans="1:17" customFormat="1">
      <c r="A90" s="134" t="str">
        <f ca="1">IFERROR(__xludf.DUMMYFUNCTION("""COMPUTED_VALUE"""),"")</f>
        <v/>
      </c>
      <c r="B90" s="134" t="str">
        <f ca="1">IFERROR(__xludf.DUMMYFUNCTION("""COMPUTED_VALUE"""),"")</f>
        <v/>
      </c>
      <c r="C90" s="134" t="str">
        <f ca="1">IFERROR(__xludf.DUMMYFUNCTION("""COMPUTED_VALUE"""),"")</f>
        <v/>
      </c>
      <c r="D90" s="134" t="str">
        <f ca="1">IFERROR(__xludf.DUMMYFUNCTION("""COMPUTED_VALUE"""),"")</f>
        <v/>
      </c>
      <c r="E90" s="134" t="str">
        <f ca="1">IFERROR(__xludf.DUMMYFUNCTION("""COMPUTED_VALUE"""),"")</f>
        <v/>
      </c>
      <c r="F90" s="134" t="str">
        <f ca="1">IFERROR(__xludf.DUMMYFUNCTION("""COMPUTED_VALUE"""),"")</f>
        <v/>
      </c>
      <c r="G90" s="134" t="str">
        <f ca="1">IFERROR(__xludf.DUMMYFUNCTION("""COMPUTED_VALUE"""),"")</f>
        <v/>
      </c>
      <c r="H90" s="134" t="str">
        <f ca="1">IFERROR(__xludf.DUMMYFUNCTION("""COMPUTED_VALUE"""),"")</f>
        <v/>
      </c>
      <c r="I90" s="134" t="str">
        <f ca="1">IFERROR(__xludf.DUMMYFUNCTION("""COMPUTED_VALUE"""),"")</f>
        <v/>
      </c>
      <c r="J90" s="134" t="str">
        <f ca="1">IFERROR(__xludf.DUMMYFUNCTION("""COMPUTED_VALUE"""),"")</f>
        <v/>
      </c>
      <c r="Q90" s="31"/>
    </row>
    <row r="91" spans="1:17" customFormat="1">
      <c r="A91" s="134" t="str">
        <f ca="1">IFERROR(__xludf.DUMMYFUNCTION("""COMPUTED_VALUE"""),"")</f>
        <v/>
      </c>
      <c r="B91" s="134" t="str">
        <f ca="1">IFERROR(__xludf.DUMMYFUNCTION("""COMPUTED_VALUE"""),"")</f>
        <v/>
      </c>
      <c r="C91" s="134" t="str">
        <f ca="1">IFERROR(__xludf.DUMMYFUNCTION("""COMPUTED_VALUE"""),"")</f>
        <v/>
      </c>
      <c r="D91" s="134" t="str">
        <f ca="1">IFERROR(__xludf.DUMMYFUNCTION("""COMPUTED_VALUE"""),"")</f>
        <v/>
      </c>
      <c r="E91" s="134" t="str">
        <f ca="1">IFERROR(__xludf.DUMMYFUNCTION("""COMPUTED_VALUE"""),"")</f>
        <v/>
      </c>
      <c r="F91" s="134" t="str">
        <f ca="1">IFERROR(__xludf.DUMMYFUNCTION("""COMPUTED_VALUE"""),"")</f>
        <v/>
      </c>
      <c r="G91" s="134" t="str">
        <f ca="1">IFERROR(__xludf.DUMMYFUNCTION("""COMPUTED_VALUE"""),"")</f>
        <v/>
      </c>
      <c r="H91" s="134" t="str">
        <f ca="1">IFERROR(__xludf.DUMMYFUNCTION("""COMPUTED_VALUE"""),"")</f>
        <v/>
      </c>
      <c r="I91" s="134" t="str">
        <f ca="1">IFERROR(__xludf.DUMMYFUNCTION("""COMPUTED_VALUE"""),"")</f>
        <v/>
      </c>
      <c r="J91" s="134" t="str">
        <f ca="1">IFERROR(__xludf.DUMMYFUNCTION("""COMPUTED_VALUE"""),"")</f>
        <v/>
      </c>
      <c r="Q91" s="31"/>
    </row>
    <row r="92" spans="1:17" customFormat="1">
      <c r="A92" s="134" t="str">
        <f ca="1">IFERROR(__xludf.DUMMYFUNCTION("""COMPUTED_VALUE"""),"")</f>
        <v/>
      </c>
      <c r="B92" s="134" t="str">
        <f ca="1">IFERROR(__xludf.DUMMYFUNCTION("""COMPUTED_VALUE"""),"")</f>
        <v/>
      </c>
      <c r="C92" s="134" t="str">
        <f ca="1">IFERROR(__xludf.DUMMYFUNCTION("""COMPUTED_VALUE"""),"")</f>
        <v/>
      </c>
      <c r="D92" s="134" t="str">
        <f ca="1">IFERROR(__xludf.DUMMYFUNCTION("""COMPUTED_VALUE"""),"")</f>
        <v/>
      </c>
      <c r="E92" s="134" t="str">
        <f ca="1">IFERROR(__xludf.DUMMYFUNCTION("""COMPUTED_VALUE"""),"")</f>
        <v/>
      </c>
      <c r="F92" s="134" t="str">
        <f ca="1">IFERROR(__xludf.DUMMYFUNCTION("""COMPUTED_VALUE"""),"")</f>
        <v/>
      </c>
      <c r="G92" s="134" t="str">
        <f ca="1">IFERROR(__xludf.DUMMYFUNCTION("""COMPUTED_VALUE"""),"")</f>
        <v/>
      </c>
      <c r="H92" s="134" t="str">
        <f ca="1">IFERROR(__xludf.DUMMYFUNCTION("""COMPUTED_VALUE"""),"")</f>
        <v/>
      </c>
      <c r="I92" s="134" t="str">
        <f ca="1">IFERROR(__xludf.DUMMYFUNCTION("""COMPUTED_VALUE"""),"")</f>
        <v/>
      </c>
      <c r="J92" s="134" t="str">
        <f ca="1">IFERROR(__xludf.DUMMYFUNCTION("""COMPUTED_VALUE"""),"")</f>
        <v/>
      </c>
      <c r="L92" s="137"/>
      <c r="M92" s="137"/>
      <c r="Q92" s="31"/>
    </row>
    <row r="93" spans="1:17" customFormat="1">
      <c r="A93" s="134" t="str">
        <f ca="1">IFERROR(__xludf.DUMMYFUNCTION("""COMPUTED_VALUE"""),"")</f>
        <v/>
      </c>
      <c r="B93" s="134" t="str">
        <f ca="1">IFERROR(__xludf.DUMMYFUNCTION("""COMPUTED_VALUE"""),"")</f>
        <v/>
      </c>
      <c r="C93" s="134" t="str">
        <f ca="1">IFERROR(__xludf.DUMMYFUNCTION("""COMPUTED_VALUE"""),"")</f>
        <v/>
      </c>
      <c r="D93" s="134" t="str">
        <f ca="1">IFERROR(__xludf.DUMMYFUNCTION("""COMPUTED_VALUE"""),"")</f>
        <v/>
      </c>
      <c r="E93" s="134" t="str">
        <f ca="1">IFERROR(__xludf.DUMMYFUNCTION("""COMPUTED_VALUE"""),"")</f>
        <v/>
      </c>
      <c r="F93" s="134" t="str">
        <f ca="1">IFERROR(__xludf.DUMMYFUNCTION("""COMPUTED_VALUE"""),"")</f>
        <v/>
      </c>
      <c r="G93" s="134" t="str">
        <f ca="1">IFERROR(__xludf.DUMMYFUNCTION("""COMPUTED_VALUE"""),"")</f>
        <v/>
      </c>
      <c r="H93" s="134" t="str">
        <f ca="1">IFERROR(__xludf.DUMMYFUNCTION("""COMPUTED_VALUE"""),"")</f>
        <v/>
      </c>
      <c r="I93" s="134" t="str">
        <f ca="1">IFERROR(__xludf.DUMMYFUNCTION("""COMPUTED_VALUE"""),"")</f>
        <v/>
      </c>
      <c r="J93" s="134" t="str">
        <f ca="1">IFERROR(__xludf.DUMMYFUNCTION("""COMPUTED_VALUE"""),"")</f>
        <v/>
      </c>
      <c r="L93" s="135"/>
      <c r="M93" s="135"/>
      <c r="Q93" s="31"/>
    </row>
    <row r="94" spans="1:17" customFormat="1">
      <c r="A94" s="134" t="str">
        <f ca="1">IFERROR(__xludf.DUMMYFUNCTION("""COMPUTED_VALUE"""),"")</f>
        <v/>
      </c>
      <c r="B94" s="134" t="str">
        <f ca="1">IFERROR(__xludf.DUMMYFUNCTION("""COMPUTED_VALUE"""),"")</f>
        <v/>
      </c>
      <c r="C94" s="134" t="str">
        <f ca="1">IFERROR(__xludf.DUMMYFUNCTION("""COMPUTED_VALUE"""),"")</f>
        <v/>
      </c>
      <c r="D94" s="134" t="str">
        <f ca="1">IFERROR(__xludf.DUMMYFUNCTION("""COMPUTED_VALUE"""),"")</f>
        <v/>
      </c>
      <c r="E94" s="134" t="str">
        <f ca="1">IFERROR(__xludf.DUMMYFUNCTION("""COMPUTED_VALUE"""),"")</f>
        <v/>
      </c>
      <c r="F94" s="134" t="str">
        <f ca="1">IFERROR(__xludf.DUMMYFUNCTION("""COMPUTED_VALUE"""),"")</f>
        <v/>
      </c>
      <c r="G94" s="134" t="str">
        <f ca="1">IFERROR(__xludf.DUMMYFUNCTION("""COMPUTED_VALUE"""),"")</f>
        <v/>
      </c>
      <c r="H94" s="134" t="str">
        <f ca="1">IFERROR(__xludf.DUMMYFUNCTION("""COMPUTED_VALUE"""),"")</f>
        <v/>
      </c>
      <c r="I94" s="134" t="str">
        <f ca="1">IFERROR(__xludf.DUMMYFUNCTION("""COMPUTED_VALUE"""),"")</f>
        <v/>
      </c>
      <c r="J94" s="134" t="str">
        <f ca="1">IFERROR(__xludf.DUMMYFUNCTION("""COMPUTED_VALUE"""),"")</f>
        <v/>
      </c>
      <c r="L94" s="135"/>
      <c r="M94" s="135"/>
      <c r="Q94" s="31"/>
    </row>
    <row r="95" spans="1:17" customFormat="1">
      <c r="A95" s="134" t="str">
        <f ca="1">IFERROR(__xludf.DUMMYFUNCTION("""COMPUTED_VALUE"""),"")</f>
        <v/>
      </c>
      <c r="B95" s="134" t="str">
        <f ca="1">IFERROR(__xludf.DUMMYFUNCTION("""COMPUTED_VALUE"""),"")</f>
        <v/>
      </c>
      <c r="C95" s="134" t="str">
        <f ca="1">IFERROR(__xludf.DUMMYFUNCTION("""COMPUTED_VALUE"""),"")</f>
        <v/>
      </c>
      <c r="D95" s="134" t="str">
        <f ca="1">IFERROR(__xludf.DUMMYFUNCTION("""COMPUTED_VALUE"""),"")</f>
        <v/>
      </c>
      <c r="E95" s="134" t="str">
        <f ca="1">IFERROR(__xludf.DUMMYFUNCTION("""COMPUTED_VALUE"""),"")</f>
        <v/>
      </c>
      <c r="F95" s="134" t="str">
        <f ca="1">IFERROR(__xludf.DUMMYFUNCTION("""COMPUTED_VALUE"""),"")</f>
        <v/>
      </c>
      <c r="G95" s="134" t="str">
        <f ca="1">IFERROR(__xludf.DUMMYFUNCTION("""COMPUTED_VALUE"""),"")</f>
        <v/>
      </c>
      <c r="H95" s="134" t="str">
        <f ca="1">IFERROR(__xludf.DUMMYFUNCTION("""COMPUTED_VALUE"""),"")</f>
        <v/>
      </c>
      <c r="I95" s="134" t="str">
        <f ca="1">IFERROR(__xludf.DUMMYFUNCTION("""COMPUTED_VALUE"""),"")</f>
        <v/>
      </c>
      <c r="J95" s="134" t="str">
        <f ca="1">IFERROR(__xludf.DUMMYFUNCTION("""COMPUTED_VALUE"""),"")</f>
        <v/>
      </c>
      <c r="Q95" s="31"/>
    </row>
    <row r="96" spans="1:17" customFormat="1">
      <c r="A96" s="134" t="str">
        <f ca="1">IFERROR(__xludf.DUMMYFUNCTION("""COMPUTED_VALUE"""),"")</f>
        <v/>
      </c>
      <c r="B96" s="134" t="str">
        <f ca="1">IFERROR(__xludf.DUMMYFUNCTION("""COMPUTED_VALUE"""),"")</f>
        <v/>
      </c>
      <c r="C96" s="134" t="str">
        <f ca="1">IFERROR(__xludf.DUMMYFUNCTION("""COMPUTED_VALUE"""),"")</f>
        <v/>
      </c>
      <c r="D96" s="134" t="str">
        <f ca="1">IFERROR(__xludf.DUMMYFUNCTION("""COMPUTED_VALUE"""),"")</f>
        <v/>
      </c>
      <c r="E96" s="134" t="str">
        <f ca="1">IFERROR(__xludf.DUMMYFUNCTION("""COMPUTED_VALUE"""),"")</f>
        <v/>
      </c>
      <c r="F96" s="134" t="str">
        <f ca="1">IFERROR(__xludf.DUMMYFUNCTION("""COMPUTED_VALUE"""),"")</f>
        <v/>
      </c>
      <c r="G96" s="134" t="str">
        <f ca="1">IFERROR(__xludf.DUMMYFUNCTION("""COMPUTED_VALUE"""),"")</f>
        <v/>
      </c>
      <c r="H96" s="134" t="str">
        <f ca="1">IFERROR(__xludf.DUMMYFUNCTION("""COMPUTED_VALUE"""),"")</f>
        <v/>
      </c>
      <c r="I96" s="134" t="str">
        <f ca="1">IFERROR(__xludf.DUMMYFUNCTION("""COMPUTED_VALUE"""),"")</f>
        <v/>
      </c>
      <c r="J96" s="134" t="str">
        <f ca="1">IFERROR(__xludf.DUMMYFUNCTION("""COMPUTED_VALUE"""),"")</f>
        <v/>
      </c>
      <c r="Q96" s="31"/>
    </row>
    <row r="97" spans="1:17" customFormat="1">
      <c r="A97" s="134" t="str">
        <f ca="1">IFERROR(__xludf.DUMMYFUNCTION("""COMPUTED_VALUE"""),"")</f>
        <v/>
      </c>
      <c r="B97" s="134" t="str">
        <f ca="1">IFERROR(__xludf.DUMMYFUNCTION("""COMPUTED_VALUE"""),"")</f>
        <v/>
      </c>
      <c r="C97" s="134" t="str">
        <f ca="1">IFERROR(__xludf.DUMMYFUNCTION("""COMPUTED_VALUE"""),"")</f>
        <v/>
      </c>
      <c r="D97" s="134" t="str">
        <f ca="1">IFERROR(__xludf.DUMMYFUNCTION("""COMPUTED_VALUE"""),"")</f>
        <v/>
      </c>
      <c r="E97" s="134" t="str">
        <f ca="1">IFERROR(__xludf.DUMMYFUNCTION("""COMPUTED_VALUE"""),"")</f>
        <v/>
      </c>
      <c r="F97" s="134" t="str">
        <f ca="1">IFERROR(__xludf.DUMMYFUNCTION("""COMPUTED_VALUE"""),"")</f>
        <v/>
      </c>
      <c r="G97" s="134" t="str">
        <f ca="1">IFERROR(__xludf.DUMMYFUNCTION("""COMPUTED_VALUE"""),"")</f>
        <v/>
      </c>
      <c r="H97" s="134" t="str">
        <f ca="1">IFERROR(__xludf.DUMMYFUNCTION("""COMPUTED_VALUE"""),"")</f>
        <v/>
      </c>
      <c r="I97" s="134" t="str">
        <f ca="1">IFERROR(__xludf.DUMMYFUNCTION("""COMPUTED_VALUE"""),"")</f>
        <v/>
      </c>
      <c r="J97" s="134" t="str">
        <f ca="1">IFERROR(__xludf.DUMMYFUNCTION("""COMPUTED_VALUE"""),"")</f>
        <v/>
      </c>
      <c r="Q97" s="31"/>
    </row>
    <row r="98" spans="1:17" customFormat="1">
      <c r="A98" s="134" t="str">
        <f ca="1">IFERROR(__xludf.DUMMYFUNCTION("""COMPUTED_VALUE"""),"")</f>
        <v/>
      </c>
      <c r="B98" s="134" t="str">
        <f ca="1">IFERROR(__xludf.DUMMYFUNCTION("""COMPUTED_VALUE"""),"")</f>
        <v/>
      </c>
      <c r="C98" s="134" t="str">
        <f ca="1">IFERROR(__xludf.DUMMYFUNCTION("""COMPUTED_VALUE"""),"")</f>
        <v/>
      </c>
      <c r="D98" s="134" t="str">
        <f ca="1">IFERROR(__xludf.DUMMYFUNCTION("""COMPUTED_VALUE"""),"")</f>
        <v/>
      </c>
      <c r="E98" s="134" t="str">
        <f ca="1">IFERROR(__xludf.DUMMYFUNCTION("""COMPUTED_VALUE"""),"")</f>
        <v/>
      </c>
      <c r="F98" s="134" t="str">
        <f ca="1">IFERROR(__xludf.DUMMYFUNCTION("""COMPUTED_VALUE"""),"")</f>
        <v/>
      </c>
      <c r="G98" s="134" t="str">
        <f ca="1">IFERROR(__xludf.DUMMYFUNCTION("""COMPUTED_VALUE"""),"")</f>
        <v/>
      </c>
      <c r="H98" s="134" t="str">
        <f ca="1">IFERROR(__xludf.DUMMYFUNCTION("""COMPUTED_VALUE"""),"")</f>
        <v/>
      </c>
      <c r="I98" s="134" t="str">
        <f ca="1">IFERROR(__xludf.DUMMYFUNCTION("""COMPUTED_VALUE"""),"")</f>
        <v/>
      </c>
      <c r="J98" s="134" t="str">
        <f ca="1">IFERROR(__xludf.DUMMYFUNCTION("""COMPUTED_VALUE"""),"")</f>
        <v/>
      </c>
      <c r="Q98" s="31"/>
    </row>
    <row r="99" spans="1:17" customFormat="1">
      <c r="A99" s="134" t="str">
        <f ca="1">IFERROR(__xludf.DUMMYFUNCTION("""COMPUTED_VALUE"""),"")</f>
        <v/>
      </c>
      <c r="B99" s="134" t="str">
        <f ca="1">IFERROR(__xludf.DUMMYFUNCTION("""COMPUTED_VALUE"""),"")</f>
        <v/>
      </c>
      <c r="C99" s="134" t="str">
        <f ca="1">IFERROR(__xludf.DUMMYFUNCTION("""COMPUTED_VALUE"""),"")</f>
        <v/>
      </c>
      <c r="D99" s="134" t="str">
        <f ca="1">IFERROR(__xludf.DUMMYFUNCTION("""COMPUTED_VALUE"""),"")</f>
        <v/>
      </c>
      <c r="E99" s="134" t="str">
        <f ca="1">IFERROR(__xludf.DUMMYFUNCTION("""COMPUTED_VALUE"""),"")</f>
        <v/>
      </c>
      <c r="F99" s="134" t="str">
        <f ca="1">IFERROR(__xludf.DUMMYFUNCTION("""COMPUTED_VALUE"""),"")</f>
        <v/>
      </c>
      <c r="G99" s="134" t="str">
        <f ca="1">IFERROR(__xludf.DUMMYFUNCTION("""COMPUTED_VALUE"""),"")</f>
        <v/>
      </c>
      <c r="H99" s="134" t="str">
        <f ca="1">IFERROR(__xludf.DUMMYFUNCTION("""COMPUTED_VALUE"""),"")</f>
        <v/>
      </c>
      <c r="I99" s="134" t="str">
        <f ca="1">IFERROR(__xludf.DUMMYFUNCTION("""COMPUTED_VALUE"""),"")</f>
        <v/>
      </c>
      <c r="J99" s="134" t="str">
        <f ca="1">IFERROR(__xludf.DUMMYFUNCTION("""COMPUTED_VALUE"""),"")</f>
        <v/>
      </c>
      <c r="N99" s="31"/>
      <c r="Q99" s="31"/>
    </row>
    <row r="100" spans="1:17" customFormat="1">
      <c r="A100" s="134" t="str">
        <f ca="1">IFERROR(__xludf.DUMMYFUNCTION("""COMPUTED_VALUE"""),"")</f>
        <v/>
      </c>
      <c r="B100" s="134" t="str">
        <f ca="1">IFERROR(__xludf.DUMMYFUNCTION("""COMPUTED_VALUE"""),"")</f>
        <v/>
      </c>
      <c r="C100" s="134" t="str">
        <f ca="1">IFERROR(__xludf.DUMMYFUNCTION("""COMPUTED_VALUE"""),"")</f>
        <v/>
      </c>
      <c r="D100" s="134" t="str">
        <f ca="1">IFERROR(__xludf.DUMMYFUNCTION("""COMPUTED_VALUE"""),"")</f>
        <v/>
      </c>
      <c r="E100" s="134" t="str">
        <f ca="1">IFERROR(__xludf.DUMMYFUNCTION("""COMPUTED_VALUE"""),"")</f>
        <v/>
      </c>
      <c r="F100" s="134" t="str">
        <f ca="1">IFERROR(__xludf.DUMMYFUNCTION("""COMPUTED_VALUE"""),"")</f>
        <v/>
      </c>
      <c r="G100" s="134" t="str">
        <f ca="1">IFERROR(__xludf.DUMMYFUNCTION("""COMPUTED_VALUE"""),"")</f>
        <v/>
      </c>
      <c r="H100" s="134" t="str">
        <f ca="1">IFERROR(__xludf.DUMMYFUNCTION("""COMPUTED_VALUE"""),"")</f>
        <v/>
      </c>
      <c r="I100" s="134" t="str">
        <f ca="1">IFERROR(__xludf.DUMMYFUNCTION("""COMPUTED_VALUE"""),"")</f>
        <v/>
      </c>
      <c r="J100" s="134" t="str">
        <f ca="1">IFERROR(__xludf.DUMMYFUNCTION("""COMPUTED_VALUE"""),"")</f>
        <v/>
      </c>
      <c r="N100" s="31"/>
      <c r="Q100" s="31"/>
    </row>
    <row r="101" spans="1:17" customFormat="1">
      <c r="A101" s="134" t="str">
        <f ca="1">IFERROR(__xludf.DUMMYFUNCTION("""COMPUTED_VALUE"""),"")</f>
        <v/>
      </c>
      <c r="B101" s="134" t="str">
        <f ca="1">IFERROR(__xludf.DUMMYFUNCTION("""COMPUTED_VALUE"""),"")</f>
        <v/>
      </c>
      <c r="C101" s="134" t="str">
        <f ca="1">IFERROR(__xludf.DUMMYFUNCTION("""COMPUTED_VALUE"""),"")</f>
        <v/>
      </c>
      <c r="D101" s="134" t="str">
        <f ca="1">IFERROR(__xludf.DUMMYFUNCTION("""COMPUTED_VALUE"""),"")</f>
        <v/>
      </c>
      <c r="E101" s="134" t="str">
        <f ca="1">IFERROR(__xludf.DUMMYFUNCTION("""COMPUTED_VALUE"""),"")</f>
        <v/>
      </c>
      <c r="F101" s="134" t="str">
        <f ca="1">IFERROR(__xludf.DUMMYFUNCTION("""COMPUTED_VALUE"""),"")</f>
        <v/>
      </c>
      <c r="G101" s="134" t="str">
        <f ca="1">IFERROR(__xludf.DUMMYFUNCTION("""COMPUTED_VALUE"""),"")</f>
        <v/>
      </c>
      <c r="H101" s="134" t="str">
        <f ca="1">IFERROR(__xludf.DUMMYFUNCTION("""COMPUTED_VALUE"""),"")</f>
        <v/>
      </c>
      <c r="I101" s="134" t="str">
        <f ca="1">IFERROR(__xludf.DUMMYFUNCTION("""COMPUTED_VALUE"""),"")</f>
        <v/>
      </c>
      <c r="J101" s="134" t="str">
        <f ca="1">IFERROR(__xludf.DUMMYFUNCTION("""COMPUTED_VALUE"""),"")</f>
        <v/>
      </c>
      <c r="N101" s="31"/>
      <c r="Q101" s="31"/>
    </row>
    <row r="102" spans="1:17" customFormat="1">
      <c r="A102" s="134" t="str">
        <f ca="1">IFERROR(__xludf.DUMMYFUNCTION("""COMPUTED_VALUE"""),"")</f>
        <v/>
      </c>
      <c r="B102" s="134" t="str">
        <f ca="1">IFERROR(__xludf.DUMMYFUNCTION("""COMPUTED_VALUE"""),"")</f>
        <v/>
      </c>
      <c r="C102" s="134" t="str">
        <f ca="1">IFERROR(__xludf.DUMMYFUNCTION("""COMPUTED_VALUE"""),"")</f>
        <v/>
      </c>
      <c r="D102" s="134" t="str">
        <f ca="1">IFERROR(__xludf.DUMMYFUNCTION("""COMPUTED_VALUE"""),"")</f>
        <v/>
      </c>
      <c r="E102" s="134" t="str">
        <f ca="1">IFERROR(__xludf.DUMMYFUNCTION("""COMPUTED_VALUE"""),"")</f>
        <v/>
      </c>
      <c r="F102" s="134" t="str">
        <f ca="1">IFERROR(__xludf.DUMMYFUNCTION("""COMPUTED_VALUE"""),"")</f>
        <v/>
      </c>
      <c r="G102" s="134" t="str">
        <f ca="1">IFERROR(__xludf.DUMMYFUNCTION("""COMPUTED_VALUE"""),"")</f>
        <v/>
      </c>
      <c r="H102" s="134" t="str">
        <f ca="1">IFERROR(__xludf.DUMMYFUNCTION("""COMPUTED_VALUE"""),"")</f>
        <v/>
      </c>
      <c r="I102" s="134" t="str">
        <f ca="1">IFERROR(__xludf.DUMMYFUNCTION("""COMPUTED_VALUE"""),"")</f>
        <v/>
      </c>
      <c r="J102" s="134" t="str">
        <f ca="1">IFERROR(__xludf.DUMMYFUNCTION("""COMPUTED_VALUE"""),"")</f>
        <v/>
      </c>
      <c r="N102" s="31"/>
      <c r="Q102" s="31"/>
    </row>
    <row r="103" spans="1:17" customFormat="1">
      <c r="A103" s="134" t="str">
        <f ca="1">IFERROR(__xludf.DUMMYFUNCTION("""COMPUTED_VALUE"""),"")</f>
        <v/>
      </c>
      <c r="B103" s="134" t="str">
        <f ca="1">IFERROR(__xludf.DUMMYFUNCTION("""COMPUTED_VALUE"""),"")</f>
        <v/>
      </c>
      <c r="C103" s="134" t="str">
        <f ca="1">IFERROR(__xludf.DUMMYFUNCTION("""COMPUTED_VALUE"""),"")</f>
        <v/>
      </c>
      <c r="D103" s="134" t="str">
        <f ca="1">IFERROR(__xludf.DUMMYFUNCTION("""COMPUTED_VALUE"""),"")</f>
        <v/>
      </c>
      <c r="E103" s="134" t="str">
        <f ca="1">IFERROR(__xludf.DUMMYFUNCTION("""COMPUTED_VALUE"""),"")</f>
        <v/>
      </c>
      <c r="F103" s="134" t="str">
        <f ca="1">IFERROR(__xludf.DUMMYFUNCTION("""COMPUTED_VALUE"""),"")</f>
        <v/>
      </c>
      <c r="G103" s="134" t="str">
        <f ca="1">IFERROR(__xludf.DUMMYFUNCTION("""COMPUTED_VALUE"""),"")</f>
        <v/>
      </c>
      <c r="H103" s="134" t="str">
        <f ca="1">IFERROR(__xludf.DUMMYFUNCTION("""COMPUTED_VALUE"""),"")</f>
        <v/>
      </c>
      <c r="I103" s="134" t="str">
        <f ca="1">IFERROR(__xludf.DUMMYFUNCTION("""COMPUTED_VALUE"""),"")</f>
        <v/>
      </c>
      <c r="J103" s="134" t="str">
        <f ca="1">IFERROR(__xludf.DUMMYFUNCTION("""COMPUTED_VALUE"""),"")</f>
        <v/>
      </c>
      <c r="N103" s="31"/>
      <c r="Q103" s="31"/>
    </row>
    <row r="104" spans="1:17" customFormat="1">
      <c r="A104" s="134" t="str">
        <f ca="1">IFERROR(__xludf.DUMMYFUNCTION("""COMPUTED_VALUE"""),"")</f>
        <v/>
      </c>
      <c r="B104" s="134" t="str">
        <f ca="1">IFERROR(__xludf.DUMMYFUNCTION("""COMPUTED_VALUE"""),"")</f>
        <v/>
      </c>
      <c r="C104" s="134" t="str">
        <f ca="1">IFERROR(__xludf.DUMMYFUNCTION("""COMPUTED_VALUE"""),"")</f>
        <v/>
      </c>
      <c r="D104" s="134" t="str">
        <f ca="1">IFERROR(__xludf.DUMMYFUNCTION("""COMPUTED_VALUE"""),"")</f>
        <v/>
      </c>
      <c r="E104" s="134" t="str">
        <f ca="1">IFERROR(__xludf.DUMMYFUNCTION("""COMPUTED_VALUE"""),"")</f>
        <v/>
      </c>
      <c r="F104" s="134" t="str">
        <f ca="1">IFERROR(__xludf.DUMMYFUNCTION("""COMPUTED_VALUE"""),"")</f>
        <v/>
      </c>
      <c r="G104" s="134" t="str">
        <f ca="1">IFERROR(__xludf.DUMMYFUNCTION("""COMPUTED_VALUE"""),"")</f>
        <v/>
      </c>
      <c r="H104" s="134" t="str">
        <f ca="1">IFERROR(__xludf.DUMMYFUNCTION("""COMPUTED_VALUE"""),"")</f>
        <v/>
      </c>
      <c r="I104" s="134" t="str">
        <f ca="1">IFERROR(__xludf.DUMMYFUNCTION("""COMPUTED_VALUE"""),"")</f>
        <v/>
      </c>
      <c r="J104" s="134" t="str">
        <f ca="1">IFERROR(__xludf.DUMMYFUNCTION("""COMPUTED_VALUE"""),"")</f>
        <v/>
      </c>
      <c r="N104" s="31"/>
      <c r="Q104" s="31"/>
    </row>
    <row r="105" spans="1:17" customFormat="1">
      <c r="A105" s="134" t="str">
        <f ca="1">IFERROR(__xludf.DUMMYFUNCTION("""COMPUTED_VALUE"""),"")</f>
        <v/>
      </c>
      <c r="B105" s="134" t="str">
        <f ca="1">IFERROR(__xludf.DUMMYFUNCTION("""COMPUTED_VALUE"""),"")</f>
        <v/>
      </c>
      <c r="C105" s="134" t="str">
        <f ca="1">IFERROR(__xludf.DUMMYFUNCTION("""COMPUTED_VALUE"""),"")</f>
        <v/>
      </c>
      <c r="D105" s="134" t="str">
        <f ca="1">IFERROR(__xludf.DUMMYFUNCTION("""COMPUTED_VALUE"""),"")</f>
        <v/>
      </c>
      <c r="E105" s="134" t="str">
        <f ca="1">IFERROR(__xludf.DUMMYFUNCTION("""COMPUTED_VALUE"""),"")</f>
        <v/>
      </c>
      <c r="F105" s="134" t="str">
        <f ca="1">IFERROR(__xludf.DUMMYFUNCTION("""COMPUTED_VALUE"""),"")</f>
        <v/>
      </c>
      <c r="G105" s="134" t="str">
        <f ca="1">IFERROR(__xludf.DUMMYFUNCTION("""COMPUTED_VALUE"""),"")</f>
        <v/>
      </c>
      <c r="H105" s="134" t="str">
        <f ca="1">IFERROR(__xludf.DUMMYFUNCTION("""COMPUTED_VALUE"""),"")</f>
        <v/>
      </c>
      <c r="I105" s="134" t="str">
        <f ca="1">IFERROR(__xludf.DUMMYFUNCTION("""COMPUTED_VALUE"""),"")</f>
        <v/>
      </c>
      <c r="J105" s="134" t="str">
        <f ca="1">IFERROR(__xludf.DUMMYFUNCTION("""COMPUTED_VALUE"""),"")</f>
        <v/>
      </c>
      <c r="N105" s="31"/>
      <c r="Q105" s="31"/>
    </row>
    <row r="106" spans="1:17" customFormat="1">
      <c r="A106" s="134" t="str">
        <f ca="1">IFERROR(__xludf.DUMMYFUNCTION("""COMPUTED_VALUE"""),"")</f>
        <v/>
      </c>
      <c r="B106" s="134" t="str">
        <f ca="1">IFERROR(__xludf.DUMMYFUNCTION("""COMPUTED_VALUE"""),"")</f>
        <v/>
      </c>
      <c r="C106" s="134" t="str">
        <f ca="1">IFERROR(__xludf.DUMMYFUNCTION("""COMPUTED_VALUE"""),"")</f>
        <v/>
      </c>
      <c r="D106" s="134" t="str">
        <f ca="1">IFERROR(__xludf.DUMMYFUNCTION("""COMPUTED_VALUE"""),"")</f>
        <v/>
      </c>
      <c r="E106" s="134" t="str">
        <f ca="1">IFERROR(__xludf.DUMMYFUNCTION("""COMPUTED_VALUE"""),"")</f>
        <v/>
      </c>
      <c r="F106" s="134" t="str">
        <f ca="1">IFERROR(__xludf.DUMMYFUNCTION("""COMPUTED_VALUE"""),"")</f>
        <v/>
      </c>
      <c r="G106" s="134" t="str">
        <f ca="1">IFERROR(__xludf.DUMMYFUNCTION("""COMPUTED_VALUE"""),"")</f>
        <v/>
      </c>
      <c r="H106" s="134" t="str">
        <f ca="1">IFERROR(__xludf.DUMMYFUNCTION("""COMPUTED_VALUE"""),"")</f>
        <v/>
      </c>
      <c r="I106" s="134" t="str">
        <f ca="1">IFERROR(__xludf.DUMMYFUNCTION("""COMPUTED_VALUE"""),"")</f>
        <v/>
      </c>
      <c r="J106" s="134" t="str">
        <f ca="1">IFERROR(__xludf.DUMMYFUNCTION("""COMPUTED_VALUE"""),"")</f>
        <v/>
      </c>
      <c r="N106" s="31"/>
      <c r="Q106" s="31"/>
    </row>
    <row r="107" spans="1:17" customFormat="1">
      <c r="A107" s="134" t="str">
        <f ca="1">IFERROR(__xludf.DUMMYFUNCTION("""COMPUTED_VALUE"""),"")</f>
        <v/>
      </c>
      <c r="B107" s="134" t="str">
        <f ca="1">IFERROR(__xludf.DUMMYFUNCTION("""COMPUTED_VALUE"""),"")</f>
        <v/>
      </c>
      <c r="C107" s="134" t="str">
        <f ca="1">IFERROR(__xludf.DUMMYFUNCTION("""COMPUTED_VALUE"""),"")</f>
        <v/>
      </c>
      <c r="D107" s="134" t="str">
        <f ca="1">IFERROR(__xludf.DUMMYFUNCTION("""COMPUTED_VALUE"""),"")</f>
        <v/>
      </c>
      <c r="E107" s="134" t="str">
        <f ca="1">IFERROR(__xludf.DUMMYFUNCTION("""COMPUTED_VALUE"""),"")</f>
        <v/>
      </c>
      <c r="F107" s="134" t="str">
        <f ca="1">IFERROR(__xludf.DUMMYFUNCTION("""COMPUTED_VALUE"""),"")</f>
        <v/>
      </c>
      <c r="G107" s="134" t="str">
        <f ca="1">IFERROR(__xludf.DUMMYFUNCTION("""COMPUTED_VALUE"""),"")</f>
        <v/>
      </c>
      <c r="H107" s="134" t="str">
        <f ca="1">IFERROR(__xludf.DUMMYFUNCTION("""COMPUTED_VALUE"""),"")</f>
        <v/>
      </c>
      <c r="I107" s="134" t="str">
        <f ca="1">IFERROR(__xludf.DUMMYFUNCTION("""COMPUTED_VALUE"""),"")</f>
        <v/>
      </c>
      <c r="J107" s="134" t="str">
        <f ca="1">IFERROR(__xludf.DUMMYFUNCTION("""COMPUTED_VALUE"""),"")</f>
        <v/>
      </c>
      <c r="N107" s="31"/>
      <c r="Q107" s="31"/>
    </row>
    <row r="108" spans="1:17" customFormat="1">
      <c r="A108" s="134" t="str">
        <f ca="1">IFERROR(__xludf.DUMMYFUNCTION("""COMPUTED_VALUE"""),"")</f>
        <v/>
      </c>
      <c r="B108" s="134" t="str">
        <f ca="1">IFERROR(__xludf.DUMMYFUNCTION("""COMPUTED_VALUE"""),"")</f>
        <v/>
      </c>
      <c r="C108" s="134" t="str">
        <f ca="1">IFERROR(__xludf.DUMMYFUNCTION("""COMPUTED_VALUE"""),"")</f>
        <v/>
      </c>
      <c r="D108" s="134" t="str">
        <f ca="1">IFERROR(__xludf.DUMMYFUNCTION("""COMPUTED_VALUE"""),"")</f>
        <v/>
      </c>
      <c r="E108" s="134" t="str">
        <f ca="1">IFERROR(__xludf.DUMMYFUNCTION("""COMPUTED_VALUE"""),"")</f>
        <v/>
      </c>
      <c r="F108" s="134" t="str">
        <f ca="1">IFERROR(__xludf.DUMMYFUNCTION("""COMPUTED_VALUE"""),"")</f>
        <v/>
      </c>
      <c r="G108" s="134" t="str">
        <f ca="1">IFERROR(__xludf.DUMMYFUNCTION("""COMPUTED_VALUE"""),"")</f>
        <v/>
      </c>
      <c r="H108" s="134" t="str">
        <f ca="1">IFERROR(__xludf.DUMMYFUNCTION("""COMPUTED_VALUE"""),"")</f>
        <v/>
      </c>
      <c r="I108" s="134" t="str">
        <f ca="1">IFERROR(__xludf.DUMMYFUNCTION("""COMPUTED_VALUE"""),"")</f>
        <v/>
      </c>
      <c r="J108" s="134" t="str">
        <f ca="1">IFERROR(__xludf.DUMMYFUNCTION("""COMPUTED_VALUE"""),"")</f>
        <v/>
      </c>
      <c r="N108" s="31"/>
      <c r="Q108" s="31"/>
    </row>
    <row r="109" spans="1:17" customFormat="1">
      <c r="A109" s="134" t="str">
        <f ca="1">IFERROR(__xludf.DUMMYFUNCTION("""COMPUTED_VALUE"""),"")</f>
        <v/>
      </c>
      <c r="B109" s="134" t="str">
        <f ca="1">IFERROR(__xludf.DUMMYFUNCTION("""COMPUTED_VALUE"""),"")</f>
        <v/>
      </c>
      <c r="C109" s="134" t="str">
        <f ca="1">IFERROR(__xludf.DUMMYFUNCTION("""COMPUTED_VALUE"""),"")</f>
        <v/>
      </c>
      <c r="D109" s="134" t="str">
        <f ca="1">IFERROR(__xludf.DUMMYFUNCTION("""COMPUTED_VALUE"""),"")</f>
        <v/>
      </c>
      <c r="E109" s="134" t="str">
        <f ca="1">IFERROR(__xludf.DUMMYFUNCTION("""COMPUTED_VALUE"""),"")</f>
        <v/>
      </c>
      <c r="F109" s="134" t="str">
        <f ca="1">IFERROR(__xludf.DUMMYFUNCTION("""COMPUTED_VALUE"""),"")</f>
        <v/>
      </c>
      <c r="G109" s="134" t="str">
        <f ca="1">IFERROR(__xludf.DUMMYFUNCTION("""COMPUTED_VALUE"""),"")</f>
        <v/>
      </c>
      <c r="H109" s="134" t="str">
        <f ca="1">IFERROR(__xludf.DUMMYFUNCTION("""COMPUTED_VALUE"""),"")</f>
        <v/>
      </c>
      <c r="I109" s="134" t="str">
        <f ca="1">IFERROR(__xludf.DUMMYFUNCTION("""COMPUTED_VALUE"""),"")</f>
        <v/>
      </c>
      <c r="J109" s="134" t="str">
        <f ca="1">IFERROR(__xludf.DUMMYFUNCTION("""COMPUTED_VALUE"""),"")</f>
        <v/>
      </c>
      <c r="N109" s="31"/>
      <c r="Q109" s="31"/>
    </row>
    <row r="110" spans="1:17" customFormat="1">
      <c r="A110" s="134" t="str">
        <f ca="1">IFERROR(__xludf.DUMMYFUNCTION("""COMPUTED_VALUE"""),"")</f>
        <v/>
      </c>
      <c r="B110" s="134" t="str">
        <f ca="1">IFERROR(__xludf.DUMMYFUNCTION("""COMPUTED_VALUE"""),"")</f>
        <v/>
      </c>
      <c r="C110" s="134" t="str">
        <f ca="1">IFERROR(__xludf.DUMMYFUNCTION("""COMPUTED_VALUE"""),"")</f>
        <v/>
      </c>
      <c r="D110" s="134" t="str">
        <f ca="1">IFERROR(__xludf.DUMMYFUNCTION("""COMPUTED_VALUE"""),"")</f>
        <v/>
      </c>
      <c r="E110" s="134" t="str">
        <f ca="1">IFERROR(__xludf.DUMMYFUNCTION("""COMPUTED_VALUE"""),"")</f>
        <v/>
      </c>
      <c r="F110" s="134" t="str">
        <f ca="1">IFERROR(__xludf.DUMMYFUNCTION("""COMPUTED_VALUE"""),"")</f>
        <v/>
      </c>
      <c r="G110" s="134" t="str">
        <f ca="1">IFERROR(__xludf.DUMMYFUNCTION("""COMPUTED_VALUE"""),"")</f>
        <v/>
      </c>
      <c r="H110" s="134" t="str">
        <f ca="1">IFERROR(__xludf.DUMMYFUNCTION("""COMPUTED_VALUE"""),"")</f>
        <v/>
      </c>
      <c r="I110" s="134" t="str">
        <f ca="1">IFERROR(__xludf.DUMMYFUNCTION("""COMPUTED_VALUE"""),"")</f>
        <v/>
      </c>
      <c r="J110" s="134" t="str">
        <f ca="1">IFERROR(__xludf.DUMMYFUNCTION("""COMPUTED_VALUE"""),"")</f>
        <v/>
      </c>
      <c r="N110" s="31"/>
      <c r="Q110" s="31"/>
    </row>
    <row r="111" spans="1:17" customFormat="1">
      <c r="A111" s="134" t="str">
        <f ca="1">IFERROR(__xludf.DUMMYFUNCTION("""COMPUTED_VALUE"""),"")</f>
        <v/>
      </c>
      <c r="B111" s="134" t="str">
        <f ca="1">IFERROR(__xludf.DUMMYFUNCTION("""COMPUTED_VALUE"""),"")</f>
        <v/>
      </c>
      <c r="C111" s="134" t="str">
        <f ca="1">IFERROR(__xludf.DUMMYFUNCTION("""COMPUTED_VALUE"""),"")</f>
        <v/>
      </c>
      <c r="D111" s="134" t="str">
        <f ca="1">IFERROR(__xludf.DUMMYFUNCTION("""COMPUTED_VALUE"""),"")</f>
        <v/>
      </c>
      <c r="E111" s="134" t="str">
        <f ca="1">IFERROR(__xludf.DUMMYFUNCTION("""COMPUTED_VALUE"""),"")</f>
        <v/>
      </c>
      <c r="F111" s="134" t="str">
        <f ca="1">IFERROR(__xludf.DUMMYFUNCTION("""COMPUTED_VALUE"""),"")</f>
        <v/>
      </c>
      <c r="G111" s="134" t="str">
        <f ca="1">IFERROR(__xludf.DUMMYFUNCTION("""COMPUTED_VALUE"""),"")</f>
        <v/>
      </c>
      <c r="H111" s="134" t="str">
        <f ca="1">IFERROR(__xludf.DUMMYFUNCTION("""COMPUTED_VALUE"""),"")</f>
        <v/>
      </c>
      <c r="I111" s="134" t="str">
        <f ca="1">IFERROR(__xludf.DUMMYFUNCTION("""COMPUTED_VALUE"""),"")</f>
        <v/>
      </c>
      <c r="J111" s="134" t="str">
        <f ca="1">IFERROR(__xludf.DUMMYFUNCTION("""COMPUTED_VALUE"""),"")</f>
        <v/>
      </c>
      <c r="N111" s="31"/>
      <c r="Q111" s="31"/>
    </row>
    <row r="112" spans="1:17" customFormat="1">
      <c r="A112" s="134" t="str">
        <f ca="1">IFERROR(__xludf.DUMMYFUNCTION("""COMPUTED_VALUE"""),"")</f>
        <v/>
      </c>
      <c r="B112" s="134" t="str">
        <f ca="1">IFERROR(__xludf.DUMMYFUNCTION("""COMPUTED_VALUE"""),"")</f>
        <v/>
      </c>
      <c r="C112" s="134" t="str">
        <f ca="1">IFERROR(__xludf.DUMMYFUNCTION("""COMPUTED_VALUE"""),"")</f>
        <v/>
      </c>
      <c r="D112" s="134" t="str">
        <f ca="1">IFERROR(__xludf.DUMMYFUNCTION("""COMPUTED_VALUE"""),"")</f>
        <v/>
      </c>
      <c r="E112" s="134" t="str">
        <f ca="1">IFERROR(__xludf.DUMMYFUNCTION("""COMPUTED_VALUE"""),"")</f>
        <v/>
      </c>
      <c r="F112" s="134" t="str">
        <f ca="1">IFERROR(__xludf.DUMMYFUNCTION("""COMPUTED_VALUE"""),"")</f>
        <v/>
      </c>
      <c r="G112" s="134" t="str">
        <f ca="1">IFERROR(__xludf.DUMMYFUNCTION("""COMPUTED_VALUE"""),"")</f>
        <v/>
      </c>
      <c r="H112" s="134" t="str">
        <f ca="1">IFERROR(__xludf.DUMMYFUNCTION("""COMPUTED_VALUE"""),"")</f>
        <v/>
      </c>
      <c r="I112" s="134" t="str">
        <f ca="1">IFERROR(__xludf.DUMMYFUNCTION("""COMPUTED_VALUE"""),"")</f>
        <v/>
      </c>
      <c r="J112" s="134" t="str">
        <f ca="1">IFERROR(__xludf.DUMMYFUNCTION("""COMPUTED_VALUE"""),"")</f>
        <v/>
      </c>
      <c r="N112" s="31"/>
      <c r="Q112" s="31"/>
    </row>
    <row r="113" spans="1:17" customFormat="1">
      <c r="A113" s="134" t="str">
        <f ca="1">IFERROR(__xludf.DUMMYFUNCTION("""COMPUTED_VALUE"""),"")</f>
        <v/>
      </c>
      <c r="B113" s="134" t="str">
        <f ca="1">IFERROR(__xludf.DUMMYFUNCTION("""COMPUTED_VALUE"""),"")</f>
        <v/>
      </c>
      <c r="C113" s="134" t="str">
        <f ca="1">IFERROR(__xludf.DUMMYFUNCTION("""COMPUTED_VALUE"""),"")</f>
        <v/>
      </c>
      <c r="D113" s="134" t="str">
        <f ca="1">IFERROR(__xludf.DUMMYFUNCTION("""COMPUTED_VALUE"""),"")</f>
        <v/>
      </c>
      <c r="E113" s="134" t="str">
        <f ca="1">IFERROR(__xludf.DUMMYFUNCTION("""COMPUTED_VALUE"""),"")</f>
        <v/>
      </c>
      <c r="F113" s="134" t="str">
        <f ca="1">IFERROR(__xludf.DUMMYFUNCTION("""COMPUTED_VALUE"""),"")</f>
        <v/>
      </c>
      <c r="G113" s="134" t="str">
        <f ca="1">IFERROR(__xludf.DUMMYFUNCTION("""COMPUTED_VALUE"""),"")</f>
        <v/>
      </c>
      <c r="H113" s="134" t="str">
        <f ca="1">IFERROR(__xludf.DUMMYFUNCTION("""COMPUTED_VALUE"""),"")</f>
        <v/>
      </c>
      <c r="I113" s="134" t="str">
        <f ca="1">IFERROR(__xludf.DUMMYFUNCTION("""COMPUTED_VALUE"""),"")</f>
        <v/>
      </c>
      <c r="J113" s="134" t="str">
        <f ca="1">IFERROR(__xludf.DUMMYFUNCTION("""COMPUTED_VALUE"""),"")</f>
        <v/>
      </c>
      <c r="N113" s="31"/>
      <c r="Q113" s="31"/>
    </row>
    <row r="114" spans="1:17" customFormat="1">
      <c r="A114" s="134" t="str">
        <f ca="1">IFERROR(__xludf.DUMMYFUNCTION("""COMPUTED_VALUE"""),"")</f>
        <v/>
      </c>
      <c r="B114" s="134" t="str">
        <f ca="1">IFERROR(__xludf.DUMMYFUNCTION("""COMPUTED_VALUE"""),"")</f>
        <v/>
      </c>
      <c r="C114" s="134" t="str">
        <f ca="1">IFERROR(__xludf.DUMMYFUNCTION("""COMPUTED_VALUE"""),"")</f>
        <v/>
      </c>
      <c r="D114" s="134" t="str">
        <f ca="1">IFERROR(__xludf.DUMMYFUNCTION("""COMPUTED_VALUE"""),"")</f>
        <v/>
      </c>
      <c r="E114" s="134" t="str">
        <f ca="1">IFERROR(__xludf.DUMMYFUNCTION("""COMPUTED_VALUE"""),"")</f>
        <v/>
      </c>
      <c r="F114" s="134" t="str">
        <f ca="1">IFERROR(__xludf.DUMMYFUNCTION("""COMPUTED_VALUE"""),"")</f>
        <v/>
      </c>
      <c r="G114" s="134" t="str">
        <f ca="1">IFERROR(__xludf.DUMMYFUNCTION("""COMPUTED_VALUE"""),"")</f>
        <v/>
      </c>
      <c r="H114" s="134" t="str">
        <f ca="1">IFERROR(__xludf.DUMMYFUNCTION("""COMPUTED_VALUE"""),"")</f>
        <v/>
      </c>
      <c r="I114" s="134" t="str">
        <f ca="1">IFERROR(__xludf.DUMMYFUNCTION("""COMPUTED_VALUE"""),"")</f>
        <v/>
      </c>
      <c r="J114" s="134" t="str">
        <f ca="1">IFERROR(__xludf.DUMMYFUNCTION("""COMPUTED_VALUE"""),"")</f>
        <v/>
      </c>
      <c r="N114" s="31"/>
      <c r="Q114" s="31"/>
    </row>
    <row r="115" spans="1:17" customFormat="1">
      <c r="A115" s="134" t="str">
        <f ca="1">IFERROR(__xludf.DUMMYFUNCTION("""COMPUTED_VALUE"""),"")</f>
        <v/>
      </c>
      <c r="B115" s="134" t="str">
        <f ca="1">IFERROR(__xludf.DUMMYFUNCTION("""COMPUTED_VALUE"""),"")</f>
        <v/>
      </c>
      <c r="C115" s="134" t="str">
        <f ca="1">IFERROR(__xludf.DUMMYFUNCTION("""COMPUTED_VALUE"""),"")</f>
        <v/>
      </c>
      <c r="D115" s="134" t="str">
        <f ca="1">IFERROR(__xludf.DUMMYFUNCTION("""COMPUTED_VALUE"""),"")</f>
        <v/>
      </c>
      <c r="E115" s="134" t="str">
        <f ca="1">IFERROR(__xludf.DUMMYFUNCTION("""COMPUTED_VALUE"""),"")</f>
        <v/>
      </c>
      <c r="F115" s="134" t="str">
        <f ca="1">IFERROR(__xludf.DUMMYFUNCTION("""COMPUTED_VALUE"""),"")</f>
        <v/>
      </c>
      <c r="G115" s="134" t="str">
        <f ca="1">IFERROR(__xludf.DUMMYFUNCTION("""COMPUTED_VALUE"""),"")</f>
        <v/>
      </c>
      <c r="H115" s="134" t="str">
        <f ca="1">IFERROR(__xludf.DUMMYFUNCTION("""COMPUTED_VALUE"""),"")</f>
        <v/>
      </c>
      <c r="I115" s="134" t="str">
        <f ca="1">IFERROR(__xludf.DUMMYFUNCTION("""COMPUTED_VALUE"""),"")</f>
        <v/>
      </c>
      <c r="J115" s="134" t="str">
        <f ca="1">IFERROR(__xludf.DUMMYFUNCTION("""COMPUTED_VALUE"""),"")</f>
        <v/>
      </c>
      <c r="N115" s="31"/>
      <c r="Q115" s="31"/>
    </row>
    <row r="116" spans="1:17" customFormat="1">
      <c r="A116" s="134" t="str">
        <f ca="1">IFERROR(__xludf.DUMMYFUNCTION("""COMPUTED_VALUE"""),"")</f>
        <v/>
      </c>
      <c r="B116" s="134" t="str">
        <f ca="1">IFERROR(__xludf.DUMMYFUNCTION("""COMPUTED_VALUE"""),"")</f>
        <v/>
      </c>
      <c r="C116" s="134" t="str">
        <f ca="1">IFERROR(__xludf.DUMMYFUNCTION("""COMPUTED_VALUE"""),"")</f>
        <v/>
      </c>
      <c r="D116" s="134" t="str">
        <f ca="1">IFERROR(__xludf.DUMMYFUNCTION("""COMPUTED_VALUE"""),"")</f>
        <v/>
      </c>
      <c r="E116" s="134" t="str">
        <f ca="1">IFERROR(__xludf.DUMMYFUNCTION("""COMPUTED_VALUE"""),"")</f>
        <v/>
      </c>
      <c r="F116" s="134" t="str">
        <f ca="1">IFERROR(__xludf.DUMMYFUNCTION("""COMPUTED_VALUE"""),"")</f>
        <v/>
      </c>
      <c r="G116" s="134" t="str">
        <f ca="1">IFERROR(__xludf.DUMMYFUNCTION("""COMPUTED_VALUE"""),"")</f>
        <v/>
      </c>
      <c r="H116" s="134" t="str">
        <f ca="1">IFERROR(__xludf.DUMMYFUNCTION("""COMPUTED_VALUE"""),"")</f>
        <v/>
      </c>
      <c r="I116" s="134" t="str">
        <f ca="1">IFERROR(__xludf.DUMMYFUNCTION("""COMPUTED_VALUE"""),"")</f>
        <v/>
      </c>
      <c r="J116" s="134" t="str">
        <f ca="1">IFERROR(__xludf.DUMMYFUNCTION("""COMPUTED_VALUE"""),"")</f>
        <v/>
      </c>
      <c r="N116" s="31"/>
      <c r="Q116" s="31"/>
    </row>
    <row r="117" spans="1:17" customFormat="1">
      <c r="A117" s="134" t="str">
        <f ca="1">IFERROR(__xludf.DUMMYFUNCTION("""COMPUTED_VALUE"""),"")</f>
        <v/>
      </c>
      <c r="B117" s="134" t="str">
        <f ca="1">IFERROR(__xludf.DUMMYFUNCTION("""COMPUTED_VALUE"""),"")</f>
        <v/>
      </c>
      <c r="C117" s="134" t="str">
        <f ca="1">IFERROR(__xludf.DUMMYFUNCTION("""COMPUTED_VALUE"""),"")</f>
        <v/>
      </c>
      <c r="D117" s="134" t="str">
        <f ca="1">IFERROR(__xludf.DUMMYFUNCTION("""COMPUTED_VALUE"""),"")</f>
        <v/>
      </c>
      <c r="E117" s="134" t="str">
        <f ca="1">IFERROR(__xludf.DUMMYFUNCTION("""COMPUTED_VALUE"""),"")</f>
        <v/>
      </c>
      <c r="F117" s="134" t="str">
        <f ca="1">IFERROR(__xludf.DUMMYFUNCTION("""COMPUTED_VALUE"""),"")</f>
        <v/>
      </c>
      <c r="G117" s="134" t="str">
        <f ca="1">IFERROR(__xludf.DUMMYFUNCTION("""COMPUTED_VALUE"""),"")</f>
        <v/>
      </c>
      <c r="H117" s="134" t="str">
        <f ca="1">IFERROR(__xludf.DUMMYFUNCTION("""COMPUTED_VALUE"""),"")</f>
        <v/>
      </c>
      <c r="I117" s="134" t="str">
        <f ca="1">IFERROR(__xludf.DUMMYFUNCTION("""COMPUTED_VALUE"""),"")</f>
        <v/>
      </c>
      <c r="J117" s="134" t="str">
        <f ca="1">IFERROR(__xludf.DUMMYFUNCTION("""COMPUTED_VALUE"""),"")</f>
        <v/>
      </c>
      <c r="N117" s="31"/>
      <c r="Q117" s="31"/>
    </row>
    <row r="118" spans="1:17" customFormat="1">
      <c r="A118" s="134" t="str">
        <f ca="1">IFERROR(__xludf.DUMMYFUNCTION("""COMPUTED_VALUE"""),"")</f>
        <v/>
      </c>
      <c r="B118" s="134" t="str">
        <f ca="1">IFERROR(__xludf.DUMMYFUNCTION("""COMPUTED_VALUE"""),"")</f>
        <v/>
      </c>
      <c r="C118" s="134" t="str">
        <f ca="1">IFERROR(__xludf.DUMMYFUNCTION("""COMPUTED_VALUE"""),"")</f>
        <v/>
      </c>
      <c r="D118" s="134" t="str">
        <f ca="1">IFERROR(__xludf.DUMMYFUNCTION("""COMPUTED_VALUE"""),"")</f>
        <v/>
      </c>
      <c r="E118" s="134" t="str">
        <f ca="1">IFERROR(__xludf.DUMMYFUNCTION("""COMPUTED_VALUE"""),"")</f>
        <v/>
      </c>
      <c r="F118" s="134" t="str">
        <f ca="1">IFERROR(__xludf.DUMMYFUNCTION("""COMPUTED_VALUE"""),"")</f>
        <v/>
      </c>
      <c r="G118" s="134" t="str">
        <f ca="1">IFERROR(__xludf.DUMMYFUNCTION("""COMPUTED_VALUE"""),"")</f>
        <v/>
      </c>
      <c r="H118" s="134" t="str">
        <f ca="1">IFERROR(__xludf.DUMMYFUNCTION("""COMPUTED_VALUE"""),"")</f>
        <v/>
      </c>
      <c r="I118" s="134" t="str">
        <f ca="1">IFERROR(__xludf.DUMMYFUNCTION("""COMPUTED_VALUE"""),"")</f>
        <v/>
      </c>
      <c r="J118" s="134" t="str">
        <f ca="1">IFERROR(__xludf.DUMMYFUNCTION("""COMPUTED_VALUE"""),"")</f>
        <v/>
      </c>
      <c r="N118" s="31"/>
      <c r="Q118" s="31"/>
    </row>
    <row r="119" spans="1:17" customFormat="1">
      <c r="A119" s="134" t="str">
        <f ca="1">IFERROR(__xludf.DUMMYFUNCTION("""COMPUTED_VALUE"""),"")</f>
        <v/>
      </c>
      <c r="B119" s="134" t="str">
        <f ca="1">IFERROR(__xludf.DUMMYFUNCTION("""COMPUTED_VALUE"""),"")</f>
        <v/>
      </c>
      <c r="C119" s="134" t="str">
        <f ca="1">IFERROR(__xludf.DUMMYFUNCTION("""COMPUTED_VALUE"""),"")</f>
        <v/>
      </c>
      <c r="D119" s="134" t="str">
        <f ca="1">IFERROR(__xludf.DUMMYFUNCTION("""COMPUTED_VALUE"""),"")</f>
        <v/>
      </c>
      <c r="E119" s="134" t="str">
        <f ca="1">IFERROR(__xludf.DUMMYFUNCTION("""COMPUTED_VALUE"""),"")</f>
        <v/>
      </c>
      <c r="F119" s="134" t="str">
        <f ca="1">IFERROR(__xludf.DUMMYFUNCTION("""COMPUTED_VALUE"""),"")</f>
        <v/>
      </c>
      <c r="G119" s="134" t="str">
        <f ca="1">IFERROR(__xludf.DUMMYFUNCTION("""COMPUTED_VALUE"""),"")</f>
        <v/>
      </c>
      <c r="H119" s="134" t="str">
        <f ca="1">IFERROR(__xludf.DUMMYFUNCTION("""COMPUTED_VALUE"""),"")</f>
        <v/>
      </c>
      <c r="I119" s="134" t="str">
        <f ca="1">IFERROR(__xludf.DUMMYFUNCTION("""COMPUTED_VALUE"""),"")</f>
        <v/>
      </c>
      <c r="J119" s="134" t="str">
        <f ca="1">IFERROR(__xludf.DUMMYFUNCTION("""COMPUTED_VALUE"""),"")</f>
        <v/>
      </c>
      <c r="N119" s="31"/>
      <c r="Q119" s="31"/>
    </row>
    <row r="120" spans="1:17" customFormat="1">
      <c r="A120" s="134" t="str">
        <f ca="1">IFERROR(__xludf.DUMMYFUNCTION("""COMPUTED_VALUE"""),"")</f>
        <v/>
      </c>
      <c r="B120" s="134" t="str">
        <f ca="1">IFERROR(__xludf.DUMMYFUNCTION("""COMPUTED_VALUE"""),"")</f>
        <v/>
      </c>
      <c r="C120" s="134" t="str">
        <f ca="1">IFERROR(__xludf.DUMMYFUNCTION("""COMPUTED_VALUE"""),"")</f>
        <v/>
      </c>
      <c r="D120" s="134" t="str">
        <f ca="1">IFERROR(__xludf.DUMMYFUNCTION("""COMPUTED_VALUE"""),"")</f>
        <v/>
      </c>
      <c r="E120" s="134" t="str">
        <f ca="1">IFERROR(__xludf.DUMMYFUNCTION("""COMPUTED_VALUE"""),"")</f>
        <v/>
      </c>
      <c r="F120" s="134" t="str">
        <f ca="1">IFERROR(__xludf.DUMMYFUNCTION("""COMPUTED_VALUE"""),"")</f>
        <v/>
      </c>
      <c r="G120" s="134" t="str">
        <f ca="1">IFERROR(__xludf.DUMMYFUNCTION("""COMPUTED_VALUE"""),"")</f>
        <v/>
      </c>
      <c r="H120" s="134" t="str">
        <f ca="1">IFERROR(__xludf.DUMMYFUNCTION("""COMPUTED_VALUE"""),"")</f>
        <v/>
      </c>
      <c r="I120" s="134" t="str">
        <f ca="1">IFERROR(__xludf.DUMMYFUNCTION("""COMPUTED_VALUE"""),"")</f>
        <v/>
      </c>
      <c r="J120" s="134" t="str">
        <f ca="1">IFERROR(__xludf.DUMMYFUNCTION("""COMPUTED_VALUE"""),"")</f>
        <v/>
      </c>
      <c r="N120" s="31"/>
      <c r="Q120" s="31"/>
    </row>
    <row r="121" spans="1:17" customFormat="1">
      <c r="A121" s="134" t="str">
        <f ca="1">IFERROR(__xludf.DUMMYFUNCTION("""COMPUTED_VALUE"""),"")</f>
        <v/>
      </c>
      <c r="B121" s="134" t="str">
        <f ca="1">IFERROR(__xludf.DUMMYFUNCTION("""COMPUTED_VALUE"""),"")</f>
        <v/>
      </c>
      <c r="C121" s="134" t="str">
        <f ca="1">IFERROR(__xludf.DUMMYFUNCTION("""COMPUTED_VALUE"""),"")</f>
        <v/>
      </c>
      <c r="D121" s="134" t="str">
        <f ca="1">IFERROR(__xludf.DUMMYFUNCTION("""COMPUTED_VALUE"""),"")</f>
        <v/>
      </c>
      <c r="E121" s="134" t="str">
        <f ca="1">IFERROR(__xludf.DUMMYFUNCTION("""COMPUTED_VALUE"""),"")</f>
        <v/>
      </c>
      <c r="F121" s="134" t="str">
        <f ca="1">IFERROR(__xludf.DUMMYFUNCTION("""COMPUTED_VALUE"""),"")</f>
        <v/>
      </c>
      <c r="G121" s="134" t="str">
        <f ca="1">IFERROR(__xludf.DUMMYFUNCTION("""COMPUTED_VALUE"""),"")</f>
        <v/>
      </c>
      <c r="H121" s="134" t="str">
        <f ca="1">IFERROR(__xludf.DUMMYFUNCTION("""COMPUTED_VALUE"""),"")</f>
        <v/>
      </c>
      <c r="I121" s="134" t="str">
        <f ca="1">IFERROR(__xludf.DUMMYFUNCTION("""COMPUTED_VALUE"""),"")</f>
        <v/>
      </c>
      <c r="J121" s="134" t="str">
        <f ca="1">IFERROR(__xludf.DUMMYFUNCTION("""COMPUTED_VALUE"""),"")</f>
        <v/>
      </c>
      <c r="N121" s="31"/>
      <c r="Q121" s="31"/>
    </row>
    <row r="122" spans="1:17" customFormat="1">
      <c r="A122" s="134" t="str">
        <f ca="1">IFERROR(__xludf.DUMMYFUNCTION("""COMPUTED_VALUE"""),"")</f>
        <v/>
      </c>
      <c r="B122" s="134" t="str">
        <f ca="1">IFERROR(__xludf.DUMMYFUNCTION("""COMPUTED_VALUE"""),"")</f>
        <v/>
      </c>
      <c r="C122" s="134" t="str">
        <f ca="1">IFERROR(__xludf.DUMMYFUNCTION("""COMPUTED_VALUE"""),"")</f>
        <v/>
      </c>
      <c r="D122" s="134" t="str">
        <f ca="1">IFERROR(__xludf.DUMMYFUNCTION("""COMPUTED_VALUE"""),"")</f>
        <v/>
      </c>
      <c r="E122" s="134" t="str">
        <f ca="1">IFERROR(__xludf.DUMMYFUNCTION("""COMPUTED_VALUE"""),"")</f>
        <v/>
      </c>
      <c r="F122" s="134" t="str">
        <f ca="1">IFERROR(__xludf.DUMMYFUNCTION("""COMPUTED_VALUE"""),"")</f>
        <v/>
      </c>
      <c r="G122" s="134" t="str">
        <f ca="1">IFERROR(__xludf.DUMMYFUNCTION("""COMPUTED_VALUE"""),"")</f>
        <v/>
      </c>
      <c r="H122" s="134" t="str">
        <f ca="1">IFERROR(__xludf.DUMMYFUNCTION("""COMPUTED_VALUE"""),"")</f>
        <v/>
      </c>
      <c r="I122" s="134" t="str">
        <f ca="1">IFERROR(__xludf.DUMMYFUNCTION("""COMPUTED_VALUE"""),"")</f>
        <v/>
      </c>
      <c r="J122" s="134" t="str">
        <f ca="1">IFERROR(__xludf.DUMMYFUNCTION("""COMPUTED_VALUE"""),"")</f>
        <v/>
      </c>
      <c r="N122" s="31"/>
      <c r="Q122" s="31"/>
    </row>
    <row r="123" spans="1:17" customFormat="1">
      <c r="A123" s="134" t="str">
        <f ca="1">IFERROR(__xludf.DUMMYFUNCTION("""COMPUTED_VALUE"""),"")</f>
        <v/>
      </c>
      <c r="B123" s="134" t="str">
        <f ca="1">IFERROR(__xludf.DUMMYFUNCTION("""COMPUTED_VALUE"""),"")</f>
        <v/>
      </c>
      <c r="C123" s="134" t="str">
        <f ca="1">IFERROR(__xludf.DUMMYFUNCTION("""COMPUTED_VALUE"""),"")</f>
        <v/>
      </c>
      <c r="D123" s="134" t="str">
        <f ca="1">IFERROR(__xludf.DUMMYFUNCTION("""COMPUTED_VALUE"""),"")</f>
        <v/>
      </c>
      <c r="E123" s="134" t="str">
        <f ca="1">IFERROR(__xludf.DUMMYFUNCTION("""COMPUTED_VALUE"""),"")</f>
        <v/>
      </c>
      <c r="F123" s="134" t="str">
        <f ca="1">IFERROR(__xludf.DUMMYFUNCTION("""COMPUTED_VALUE"""),"")</f>
        <v/>
      </c>
      <c r="G123" s="134" t="str">
        <f ca="1">IFERROR(__xludf.DUMMYFUNCTION("""COMPUTED_VALUE"""),"")</f>
        <v/>
      </c>
      <c r="H123" s="134" t="str">
        <f ca="1">IFERROR(__xludf.DUMMYFUNCTION("""COMPUTED_VALUE"""),"")</f>
        <v/>
      </c>
      <c r="I123" s="134" t="str">
        <f ca="1">IFERROR(__xludf.DUMMYFUNCTION("""COMPUTED_VALUE"""),"")</f>
        <v/>
      </c>
      <c r="J123" s="134" t="str">
        <f ca="1">IFERROR(__xludf.DUMMYFUNCTION("""COMPUTED_VALUE"""),"")</f>
        <v/>
      </c>
      <c r="N123" s="31"/>
      <c r="Q123" s="31"/>
    </row>
    <row r="124" spans="1:17" customFormat="1">
      <c r="A124" s="134" t="str">
        <f ca="1">IFERROR(__xludf.DUMMYFUNCTION("""COMPUTED_VALUE"""),"")</f>
        <v/>
      </c>
      <c r="B124" s="134" t="str">
        <f ca="1">IFERROR(__xludf.DUMMYFUNCTION("""COMPUTED_VALUE"""),"")</f>
        <v/>
      </c>
      <c r="C124" s="134" t="str">
        <f ca="1">IFERROR(__xludf.DUMMYFUNCTION("""COMPUTED_VALUE"""),"")</f>
        <v/>
      </c>
      <c r="D124" s="134" t="str">
        <f ca="1">IFERROR(__xludf.DUMMYFUNCTION("""COMPUTED_VALUE"""),"")</f>
        <v/>
      </c>
      <c r="E124" s="134" t="str">
        <f ca="1">IFERROR(__xludf.DUMMYFUNCTION("""COMPUTED_VALUE"""),"")</f>
        <v/>
      </c>
      <c r="F124" s="134" t="str">
        <f ca="1">IFERROR(__xludf.DUMMYFUNCTION("""COMPUTED_VALUE"""),"")</f>
        <v/>
      </c>
      <c r="G124" s="134" t="str">
        <f ca="1">IFERROR(__xludf.DUMMYFUNCTION("""COMPUTED_VALUE"""),"")</f>
        <v/>
      </c>
      <c r="H124" s="134" t="str">
        <f ca="1">IFERROR(__xludf.DUMMYFUNCTION("""COMPUTED_VALUE"""),"")</f>
        <v/>
      </c>
      <c r="I124" s="134" t="str">
        <f ca="1">IFERROR(__xludf.DUMMYFUNCTION("""COMPUTED_VALUE"""),"")</f>
        <v/>
      </c>
      <c r="J124" s="134" t="str">
        <f ca="1">IFERROR(__xludf.DUMMYFUNCTION("""COMPUTED_VALUE"""),"")</f>
        <v/>
      </c>
      <c r="N124" s="31"/>
      <c r="Q124" s="31"/>
    </row>
    <row r="125" spans="1:17" customFormat="1">
      <c r="A125" s="134" t="str">
        <f ca="1">IFERROR(__xludf.DUMMYFUNCTION("""COMPUTED_VALUE"""),"")</f>
        <v/>
      </c>
      <c r="B125" s="134" t="str">
        <f ca="1">IFERROR(__xludf.DUMMYFUNCTION("""COMPUTED_VALUE"""),"")</f>
        <v/>
      </c>
      <c r="C125" s="134" t="str">
        <f ca="1">IFERROR(__xludf.DUMMYFUNCTION("""COMPUTED_VALUE"""),"")</f>
        <v/>
      </c>
      <c r="D125" s="134" t="str">
        <f ca="1">IFERROR(__xludf.DUMMYFUNCTION("""COMPUTED_VALUE"""),"")</f>
        <v/>
      </c>
      <c r="E125" s="134" t="str">
        <f ca="1">IFERROR(__xludf.DUMMYFUNCTION("""COMPUTED_VALUE"""),"")</f>
        <v/>
      </c>
      <c r="F125" s="134" t="str">
        <f ca="1">IFERROR(__xludf.DUMMYFUNCTION("""COMPUTED_VALUE"""),"")</f>
        <v/>
      </c>
      <c r="G125" s="134" t="str">
        <f ca="1">IFERROR(__xludf.DUMMYFUNCTION("""COMPUTED_VALUE"""),"")</f>
        <v/>
      </c>
      <c r="H125" s="134" t="str">
        <f ca="1">IFERROR(__xludf.DUMMYFUNCTION("""COMPUTED_VALUE"""),"")</f>
        <v/>
      </c>
      <c r="I125" s="134" t="str">
        <f ca="1">IFERROR(__xludf.DUMMYFUNCTION("""COMPUTED_VALUE"""),"")</f>
        <v/>
      </c>
      <c r="J125" s="134" t="str">
        <f ca="1">IFERROR(__xludf.DUMMYFUNCTION("""COMPUTED_VALUE"""),"")</f>
        <v/>
      </c>
      <c r="N125" s="31"/>
      <c r="Q125" s="31"/>
    </row>
    <row r="126" spans="1:17" customFormat="1">
      <c r="A126" s="134" t="str">
        <f ca="1">IFERROR(__xludf.DUMMYFUNCTION("""COMPUTED_VALUE"""),"")</f>
        <v/>
      </c>
      <c r="B126" s="134" t="str">
        <f ca="1">IFERROR(__xludf.DUMMYFUNCTION("""COMPUTED_VALUE"""),"")</f>
        <v/>
      </c>
      <c r="C126" s="134" t="str">
        <f ca="1">IFERROR(__xludf.DUMMYFUNCTION("""COMPUTED_VALUE"""),"")</f>
        <v/>
      </c>
      <c r="D126" s="134" t="str">
        <f ca="1">IFERROR(__xludf.DUMMYFUNCTION("""COMPUTED_VALUE"""),"")</f>
        <v/>
      </c>
      <c r="E126" s="134" t="str">
        <f ca="1">IFERROR(__xludf.DUMMYFUNCTION("""COMPUTED_VALUE"""),"")</f>
        <v/>
      </c>
      <c r="F126" s="134" t="str">
        <f ca="1">IFERROR(__xludf.DUMMYFUNCTION("""COMPUTED_VALUE"""),"")</f>
        <v/>
      </c>
      <c r="G126" s="134" t="str">
        <f ca="1">IFERROR(__xludf.DUMMYFUNCTION("""COMPUTED_VALUE"""),"")</f>
        <v/>
      </c>
      <c r="H126" s="134" t="str">
        <f ca="1">IFERROR(__xludf.DUMMYFUNCTION("""COMPUTED_VALUE"""),"")</f>
        <v/>
      </c>
      <c r="I126" s="134" t="str">
        <f ca="1">IFERROR(__xludf.DUMMYFUNCTION("""COMPUTED_VALUE"""),"")</f>
        <v/>
      </c>
      <c r="J126" s="134" t="str">
        <f ca="1">IFERROR(__xludf.DUMMYFUNCTION("""COMPUTED_VALUE"""),"")</f>
        <v/>
      </c>
      <c r="N126" s="31"/>
      <c r="Q126" s="31"/>
    </row>
    <row r="127" spans="1:17" customFormat="1">
      <c r="A127" s="134" t="str">
        <f ca="1">IFERROR(__xludf.DUMMYFUNCTION("""COMPUTED_VALUE"""),"")</f>
        <v/>
      </c>
      <c r="B127" s="134" t="str">
        <f ca="1">IFERROR(__xludf.DUMMYFUNCTION("""COMPUTED_VALUE"""),"")</f>
        <v/>
      </c>
      <c r="C127" s="134" t="str">
        <f ca="1">IFERROR(__xludf.DUMMYFUNCTION("""COMPUTED_VALUE"""),"")</f>
        <v/>
      </c>
      <c r="D127" s="134" t="str">
        <f ca="1">IFERROR(__xludf.DUMMYFUNCTION("""COMPUTED_VALUE"""),"")</f>
        <v/>
      </c>
      <c r="E127" s="134" t="str">
        <f ca="1">IFERROR(__xludf.DUMMYFUNCTION("""COMPUTED_VALUE"""),"")</f>
        <v/>
      </c>
      <c r="F127" s="134" t="str">
        <f ca="1">IFERROR(__xludf.DUMMYFUNCTION("""COMPUTED_VALUE"""),"")</f>
        <v/>
      </c>
      <c r="G127" s="134" t="str">
        <f ca="1">IFERROR(__xludf.DUMMYFUNCTION("""COMPUTED_VALUE"""),"")</f>
        <v/>
      </c>
      <c r="H127" s="134" t="str">
        <f ca="1">IFERROR(__xludf.DUMMYFUNCTION("""COMPUTED_VALUE"""),"")</f>
        <v/>
      </c>
      <c r="I127" s="134" t="str">
        <f ca="1">IFERROR(__xludf.DUMMYFUNCTION("""COMPUTED_VALUE"""),"")</f>
        <v/>
      </c>
      <c r="J127" s="134" t="str">
        <f ca="1">IFERROR(__xludf.DUMMYFUNCTION("""COMPUTED_VALUE"""),"")</f>
        <v/>
      </c>
      <c r="N127" s="31"/>
      <c r="Q127" s="31"/>
    </row>
    <row r="128" spans="1:17" customFormat="1">
      <c r="A128" s="134" t="str">
        <f ca="1">IFERROR(__xludf.DUMMYFUNCTION("""COMPUTED_VALUE"""),"")</f>
        <v/>
      </c>
      <c r="B128" s="134" t="str">
        <f ca="1">IFERROR(__xludf.DUMMYFUNCTION("""COMPUTED_VALUE"""),"")</f>
        <v/>
      </c>
      <c r="C128" s="134" t="str">
        <f ca="1">IFERROR(__xludf.DUMMYFUNCTION("""COMPUTED_VALUE"""),"")</f>
        <v/>
      </c>
      <c r="D128" s="134" t="str">
        <f ca="1">IFERROR(__xludf.DUMMYFUNCTION("""COMPUTED_VALUE"""),"")</f>
        <v/>
      </c>
      <c r="E128" s="134" t="str">
        <f ca="1">IFERROR(__xludf.DUMMYFUNCTION("""COMPUTED_VALUE"""),"")</f>
        <v/>
      </c>
      <c r="F128" s="134" t="str">
        <f ca="1">IFERROR(__xludf.DUMMYFUNCTION("""COMPUTED_VALUE"""),"")</f>
        <v/>
      </c>
      <c r="G128" s="134" t="str">
        <f ca="1">IFERROR(__xludf.DUMMYFUNCTION("""COMPUTED_VALUE"""),"")</f>
        <v/>
      </c>
      <c r="H128" s="134" t="str">
        <f ca="1">IFERROR(__xludf.DUMMYFUNCTION("""COMPUTED_VALUE"""),"")</f>
        <v/>
      </c>
      <c r="I128" s="134" t="str">
        <f ca="1">IFERROR(__xludf.DUMMYFUNCTION("""COMPUTED_VALUE"""),"")</f>
        <v/>
      </c>
      <c r="J128" s="134" t="str">
        <f ca="1">IFERROR(__xludf.DUMMYFUNCTION("""COMPUTED_VALUE"""),"")</f>
        <v/>
      </c>
      <c r="N128" s="31"/>
      <c r="Q128" s="31"/>
    </row>
    <row r="129" spans="1:17" customFormat="1">
      <c r="A129" s="134" t="str">
        <f ca="1">IFERROR(__xludf.DUMMYFUNCTION("""COMPUTED_VALUE"""),"")</f>
        <v/>
      </c>
      <c r="B129" s="134" t="str">
        <f ca="1">IFERROR(__xludf.DUMMYFUNCTION("""COMPUTED_VALUE"""),"")</f>
        <v/>
      </c>
      <c r="C129" s="134" t="str">
        <f ca="1">IFERROR(__xludf.DUMMYFUNCTION("""COMPUTED_VALUE"""),"")</f>
        <v/>
      </c>
      <c r="D129" s="134" t="str">
        <f ca="1">IFERROR(__xludf.DUMMYFUNCTION("""COMPUTED_VALUE"""),"")</f>
        <v/>
      </c>
      <c r="E129" s="134" t="str">
        <f ca="1">IFERROR(__xludf.DUMMYFUNCTION("""COMPUTED_VALUE"""),"")</f>
        <v/>
      </c>
      <c r="F129" s="134" t="str">
        <f ca="1">IFERROR(__xludf.DUMMYFUNCTION("""COMPUTED_VALUE"""),"")</f>
        <v/>
      </c>
      <c r="G129" s="134" t="str">
        <f ca="1">IFERROR(__xludf.DUMMYFUNCTION("""COMPUTED_VALUE"""),"")</f>
        <v/>
      </c>
      <c r="H129" s="134" t="str">
        <f ca="1">IFERROR(__xludf.DUMMYFUNCTION("""COMPUTED_VALUE"""),"")</f>
        <v/>
      </c>
      <c r="I129" s="134" t="str">
        <f ca="1">IFERROR(__xludf.DUMMYFUNCTION("""COMPUTED_VALUE"""),"")</f>
        <v/>
      </c>
      <c r="J129" s="134" t="str">
        <f ca="1">IFERROR(__xludf.DUMMYFUNCTION("""COMPUTED_VALUE"""),"")</f>
        <v/>
      </c>
      <c r="N129" s="31"/>
      <c r="Q129" s="31"/>
    </row>
    <row r="130" spans="1:17" customFormat="1">
      <c r="A130" s="134" t="str">
        <f ca="1">IFERROR(__xludf.DUMMYFUNCTION("""COMPUTED_VALUE"""),"")</f>
        <v/>
      </c>
      <c r="B130" s="134" t="str">
        <f ca="1">IFERROR(__xludf.DUMMYFUNCTION("""COMPUTED_VALUE"""),"")</f>
        <v/>
      </c>
      <c r="C130" s="134" t="str">
        <f ca="1">IFERROR(__xludf.DUMMYFUNCTION("""COMPUTED_VALUE"""),"")</f>
        <v/>
      </c>
      <c r="D130" s="134" t="str">
        <f ca="1">IFERROR(__xludf.DUMMYFUNCTION("""COMPUTED_VALUE"""),"")</f>
        <v/>
      </c>
      <c r="E130" s="134" t="str">
        <f ca="1">IFERROR(__xludf.DUMMYFUNCTION("""COMPUTED_VALUE"""),"")</f>
        <v/>
      </c>
      <c r="F130" s="134" t="str">
        <f ca="1">IFERROR(__xludf.DUMMYFUNCTION("""COMPUTED_VALUE"""),"")</f>
        <v/>
      </c>
      <c r="G130" s="134" t="str">
        <f ca="1">IFERROR(__xludf.DUMMYFUNCTION("""COMPUTED_VALUE"""),"")</f>
        <v/>
      </c>
      <c r="H130" s="134" t="str">
        <f ca="1">IFERROR(__xludf.DUMMYFUNCTION("""COMPUTED_VALUE"""),"")</f>
        <v/>
      </c>
      <c r="I130" s="134" t="str">
        <f ca="1">IFERROR(__xludf.DUMMYFUNCTION("""COMPUTED_VALUE"""),"")</f>
        <v/>
      </c>
      <c r="J130" s="134" t="str">
        <f ca="1">IFERROR(__xludf.DUMMYFUNCTION("""COMPUTED_VALUE"""),"")</f>
        <v/>
      </c>
      <c r="N130" s="31"/>
      <c r="Q130" s="31"/>
    </row>
    <row r="131" spans="1:17" customFormat="1">
      <c r="A131" s="134" t="str">
        <f ca="1">IFERROR(__xludf.DUMMYFUNCTION("""COMPUTED_VALUE"""),"")</f>
        <v/>
      </c>
      <c r="B131" s="134" t="str">
        <f ca="1">IFERROR(__xludf.DUMMYFUNCTION("""COMPUTED_VALUE"""),"")</f>
        <v/>
      </c>
      <c r="C131" s="134" t="str">
        <f ca="1">IFERROR(__xludf.DUMMYFUNCTION("""COMPUTED_VALUE"""),"")</f>
        <v/>
      </c>
      <c r="D131" s="134" t="str">
        <f ca="1">IFERROR(__xludf.DUMMYFUNCTION("""COMPUTED_VALUE"""),"")</f>
        <v/>
      </c>
      <c r="E131" s="134" t="str">
        <f ca="1">IFERROR(__xludf.DUMMYFUNCTION("""COMPUTED_VALUE"""),"")</f>
        <v/>
      </c>
      <c r="F131" s="134" t="str">
        <f ca="1">IFERROR(__xludf.DUMMYFUNCTION("""COMPUTED_VALUE"""),"")</f>
        <v/>
      </c>
      <c r="G131" s="134" t="str">
        <f ca="1">IFERROR(__xludf.DUMMYFUNCTION("""COMPUTED_VALUE"""),"")</f>
        <v/>
      </c>
      <c r="H131" s="134" t="str">
        <f ca="1">IFERROR(__xludf.DUMMYFUNCTION("""COMPUTED_VALUE"""),"")</f>
        <v/>
      </c>
      <c r="I131" s="134" t="str">
        <f ca="1">IFERROR(__xludf.DUMMYFUNCTION("""COMPUTED_VALUE"""),"")</f>
        <v/>
      </c>
      <c r="J131" s="134" t="str">
        <f ca="1">IFERROR(__xludf.DUMMYFUNCTION("""COMPUTED_VALUE"""),"")</f>
        <v/>
      </c>
      <c r="N131" s="31"/>
      <c r="Q131" s="31"/>
    </row>
    <row r="132" spans="1:17" customFormat="1">
      <c r="A132" s="134" t="str">
        <f ca="1">IFERROR(__xludf.DUMMYFUNCTION("""COMPUTED_VALUE"""),"")</f>
        <v/>
      </c>
      <c r="B132" s="134" t="str">
        <f ca="1">IFERROR(__xludf.DUMMYFUNCTION("""COMPUTED_VALUE"""),"")</f>
        <v/>
      </c>
      <c r="C132" s="134" t="str">
        <f ca="1">IFERROR(__xludf.DUMMYFUNCTION("""COMPUTED_VALUE"""),"")</f>
        <v/>
      </c>
      <c r="D132" s="134" t="str">
        <f ca="1">IFERROR(__xludf.DUMMYFUNCTION("""COMPUTED_VALUE"""),"")</f>
        <v/>
      </c>
      <c r="E132" s="134" t="str">
        <f ca="1">IFERROR(__xludf.DUMMYFUNCTION("""COMPUTED_VALUE"""),"")</f>
        <v/>
      </c>
      <c r="F132" s="134" t="str">
        <f ca="1">IFERROR(__xludf.DUMMYFUNCTION("""COMPUTED_VALUE"""),"")</f>
        <v/>
      </c>
      <c r="G132" s="134" t="str">
        <f ca="1">IFERROR(__xludf.DUMMYFUNCTION("""COMPUTED_VALUE"""),"")</f>
        <v/>
      </c>
      <c r="H132" s="134" t="str">
        <f ca="1">IFERROR(__xludf.DUMMYFUNCTION("""COMPUTED_VALUE"""),"")</f>
        <v/>
      </c>
      <c r="I132" s="134" t="str">
        <f ca="1">IFERROR(__xludf.DUMMYFUNCTION("""COMPUTED_VALUE"""),"")</f>
        <v/>
      </c>
      <c r="J132" s="134" t="str">
        <f ca="1">IFERROR(__xludf.DUMMYFUNCTION("""COMPUTED_VALUE"""),"")</f>
        <v/>
      </c>
      <c r="N132" s="31"/>
      <c r="Q132" s="31"/>
    </row>
    <row r="133" spans="1:17" customFormat="1">
      <c r="A133" s="134" t="str">
        <f ca="1">IFERROR(__xludf.DUMMYFUNCTION("""COMPUTED_VALUE"""),"")</f>
        <v/>
      </c>
      <c r="B133" s="134" t="str">
        <f ca="1">IFERROR(__xludf.DUMMYFUNCTION("""COMPUTED_VALUE"""),"")</f>
        <v/>
      </c>
      <c r="C133" s="134" t="str">
        <f ca="1">IFERROR(__xludf.DUMMYFUNCTION("""COMPUTED_VALUE"""),"")</f>
        <v/>
      </c>
      <c r="D133" s="134" t="str">
        <f ca="1">IFERROR(__xludf.DUMMYFUNCTION("""COMPUTED_VALUE"""),"")</f>
        <v/>
      </c>
      <c r="E133" s="134" t="str">
        <f ca="1">IFERROR(__xludf.DUMMYFUNCTION("""COMPUTED_VALUE"""),"")</f>
        <v/>
      </c>
      <c r="F133" s="134" t="str">
        <f ca="1">IFERROR(__xludf.DUMMYFUNCTION("""COMPUTED_VALUE"""),"")</f>
        <v/>
      </c>
      <c r="G133" s="134" t="str">
        <f ca="1">IFERROR(__xludf.DUMMYFUNCTION("""COMPUTED_VALUE"""),"")</f>
        <v/>
      </c>
      <c r="H133" s="134" t="str">
        <f ca="1">IFERROR(__xludf.DUMMYFUNCTION("""COMPUTED_VALUE"""),"")</f>
        <v/>
      </c>
      <c r="I133" s="134" t="str">
        <f ca="1">IFERROR(__xludf.DUMMYFUNCTION("""COMPUTED_VALUE"""),"")</f>
        <v/>
      </c>
      <c r="J133" s="134" t="str">
        <f ca="1">IFERROR(__xludf.DUMMYFUNCTION("""COMPUTED_VALUE"""),"")</f>
        <v/>
      </c>
      <c r="N133" s="31"/>
      <c r="Q133" s="31"/>
    </row>
    <row r="134" spans="1:17" customFormat="1">
      <c r="A134" s="134" t="str">
        <f ca="1">IFERROR(__xludf.DUMMYFUNCTION("""COMPUTED_VALUE"""),"")</f>
        <v/>
      </c>
      <c r="B134" s="134" t="str">
        <f ca="1">IFERROR(__xludf.DUMMYFUNCTION("""COMPUTED_VALUE"""),"")</f>
        <v/>
      </c>
      <c r="C134" s="134" t="str">
        <f ca="1">IFERROR(__xludf.DUMMYFUNCTION("""COMPUTED_VALUE"""),"")</f>
        <v/>
      </c>
      <c r="D134" s="134" t="str">
        <f ca="1">IFERROR(__xludf.DUMMYFUNCTION("""COMPUTED_VALUE"""),"")</f>
        <v/>
      </c>
      <c r="E134" s="134" t="str">
        <f ca="1">IFERROR(__xludf.DUMMYFUNCTION("""COMPUTED_VALUE"""),"")</f>
        <v/>
      </c>
      <c r="F134" s="134" t="str">
        <f ca="1">IFERROR(__xludf.DUMMYFUNCTION("""COMPUTED_VALUE"""),"")</f>
        <v/>
      </c>
      <c r="G134" s="134" t="str">
        <f ca="1">IFERROR(__xludf.DUMMYFUNCTION("""COMPUTED_VALUE"""),"")</f>
        <v/>
      </c>
      <c r="H134" s="134" t="str">
        <f ca="1">IFERROR(__xludf.DUMMYFUNCTION("""COMPUTED_VALUE"""),"")</f>
        <v/>
      </c>
      <c r="I134" s="134" t="str">
        <f ca="1">IFERROR(__xludf.DUMMYFUNCTION("""COMPUTED_VALUE"""),"")</f>
        <v/>
      </c>
      <c r="J134" s="134" t="str">
        <f ca="1">IFERROR(__xludf.DUMMYFUNCTION("""COMPUTED_VALUE"""),"")</f>
        <v/>
      </c>
      <c r="N134" s="31"/>
      <c r="Q134" s="31"/>
    </row>
    <row r="135" spans="1:17" customFormat="1">
      <c r="A135" s="134" t="str">
        <f ca="1">IFERROR(__xludf.DUMMYFUNCTION("""COMPUTED_VALUE"""),"")</f>
        <v/>
      </c>
      <c r="B135" s="134" t="str">
        <f ca="1">IFERROR(__xludf.DUMMYFUNCTION("""COMPUTED_VALUE"""),"")</f>
        <v/>
      </c>
      <c r="C135" s="134" t="str">
        <f ca="1">IFERROR(__xludf.DUMMYFUNCTION("""COMPUTED_VALUE"""),"")</f>
        <v/>
      </c>
      <c r="D135" s="134" t="str">
        <f ca="1">IFERROR(__xludf.DUMMYFUNCTION("""COMPUTED_VALUE"""),"")</f>
        <v/>
      </c>
      <c r="E135" s="134" t="str">
        <f ca="1">IFERROR(__xludf.DUMMYFUNCTION("""COMPUTED_VALUE"""),"")</f>
        <v/>
      </c>
      <c r="F135" s="134" t="str">
        <f ca="1">IFERROR(__xludf.DUMMYFUNCTION("""COMPUTED_VALUE"""),"")</f>
        <v/>
      </c>
      <c r="G135" s="134" t="str">
        <f ca="1">IFERROR(__xludf.DUMMYFUNCTION("""COMPUTED_VALUE"""),"")</f>
        <v/>
      </c>
      <c r="H135" s="134" t="str">
        <f ca="1">IFERROR(__xludf.DUMMYFUNCTION("""COMPUTED_VALUE"""),"")</f>
        <v/>
      </c>
      <c r="I135" s="134" t="str">
        <f ca="1">IFERROR(__xludf.DUMMYFUNCTION("""COMPUTED_VALUE"""),"")</f>
        <v/>
      </c>
      <c r="J135" s="134" t="str">
        <f ca="1">IFERROR(__xludf.DUMMYFUNCTION("""COMPUTED_VALUE"""),"")</f>
        <v/>
      </c>
      <c r="N135" s="31"/>
      <c r="Q135" s="31"/>
    </row>
    <row r="136" spans="1:17" customFormat="1">
      <c r="A136" s="134" t="str">
        <f ca="1">IFERROR(__xludf.DUMMYFUNCTION("""COMPUTED_VALUE"""),"")</f>
        <v/>
      </c>
      <c r="B136" s="134" t="str">
        <f ca="1">IFERROR(__xludf.DUMMYFUNCTION("""COMPUTED_VALUE"""),"")</f>
        <v/>
      </c>
      <c r="C136" s="134" t="str">
        <f ca="1">IFERROR(__xludf.DUMMYFUNCTION("""COMPUTED_VALUE"""),"")</f>
        <v/>
      </c>
      <c r="D136" s="134" t="str">
        <f ca="1">IFERROR(__xludf.DUMMYFUNCTION("""COMPUTED_VALUE"""),"")</f>
        <v/>
      </c>
      <c r="E136" s="134" t="str">
        <f ca="1">IFERROR(__xludf.DUMMYFUNCTION("""COMPUTED_VALUE"""),"")</f>
        <v/>
      </c>
      <c r="F136" s="134" t="str">
        <f ca="1">IFERROR(__xludf.DUMMYFUNCTION("""COMPUTED_VALUE"""),"")</f>
        <v/>
      </c>
      <c r="G136" s="134" t="str">
        <f ca="1">IFERROR(__xludf.DUMMYFUNCTION("""COMPUTED_VALUE"""),"")</f>
        <v/>
      </c>
      <c r="H136" s="134" t="str">
        <f ca="1">IFERROR(__xludf.DUMMYFUNCTION("""COMPUTED_VALUE"""),"")</f>
        <v/>
      </c>
      <c r="I136" s="134" t="str">
        <f ca="1">IFERROR(__xludf.DUMMYFUNCTION("""COMPUTED_VALUE"""),"")</f>
        <v/>
      </c>
      <c r="J136" s="134" t="str">
        <f ca="1">IFERROR(__xludf.DUMMYFUNCTION("""COMPUTED_VALUE"""),"")</f>
        <v/>
      </c>
      <c r="N136" s="31"/>
      <c r="Q136" s="31"/>
    </row>
    <row r="137" spans="1:17" customFormat="1">
      <c r="A137" s="134" t="str">
        <f ca="1">IFERROR(__xludf.DUMMYFUNCTION("""COMPUTED_VALUE"""),"")</f>
        <v/>
      </c>
      <c r="B137" s="134" t="str">
        <f ca="1">IFERROR(__xludf.DUMMYFUNCTION("""COMPUTED_VALUE"""),"")</f>
        <v/>
      </c>
      <c r="C137" s="134" t="str">
        <f ca="1">IFERROR(__xludf.DUMMYFUNCTION("""COMPUTED_VALUE"""),"")</f>
        <v/>
      </c>
      <c r="D137" s="134" t="str">
        <f ca="1">IFERROR(__xludf.DUMMYFUNCTION("""COMPUTED_VALUE"""),"")</f>
        <v/>
      </c>
      <c r="E137" s="134" t="str">
        <f ca="1">IFERROR(__xludf.DUMMYFUNCTION("""COMPUTED_VALUE"""),"")</f>
        <v/>
      </c>
      <c r="F137" s="134" t="str">
        <f ca="1">IFERROR(__xludf.DUMMYFUNCTION("""COMPUTED_VALUE"""),"")</f>
        <v/>
      </c>
      <c r="G137" s="134" t="str">
        <f ca="1">IFERROR(__xludf.DUMMYFUNCTION("""COMPUTED_VALUE"""),"")</f>
        <v/>
      </c>
      <c r="H137" s="134" t="str">
        <f ca="1">IFERROR(__xludf.DUMMYFUNCTION("""COMPUTED_VALUE"""),"")</f>
        <v/>
      </c>
      <c r="I137" s="134" t="str">
        <f ca="1">IFERROR(__xludf.DUMMYFUNCTION("""COMPUTED_VALUE"""),"")</f>
        <v/>
      </c>
      <c r="J137" s="134" t="str">
        <f ca="1">IFERROR(__xludf.DUMMYFUNCTION("""COMPUTED_VALUE"""),"")</f>
        <v/>
      </c>
      <c r="N137" s="31"/>
      <c r="Q137" s="31"/>
    </row>
    <row r="138" spans="1:17" customFormat="1">
      <c r="A138" s="134" t="str">
        <f ca="1">IFERROR(__xludf.DUMMYFUNCTION("""COMPUTED_VALUE"""),"")</f>
        <v/>
      </c>
      <c r="B138" s="134" t="str">
        <f ca="1">IFERROR(__xludf.DUMMYFUNCTION("""COMPUTED_VALUE"""),"")</f>
        <v/>
      </c>
      <c r="C138" s="134" t="str">
        <f ca="1">IFERROR(__xludf.DUMMYFUNCTION("""COMPUTED_VALUE"""),"")</f>
        <v/>
      </c>
      <c r="D138" s="134" t="str">
        <f ca="1">IFERROR(__xludf.DUMMYFUNCTION("""COMPUTED_VALUE"""),"")</f>
        <v/>
      </c>
      <c r="E138" s="134" t="str">
        <f ca="1">IFERROR(__xludf.DUMMYFUNCTION("""COMPUTED_VALUE"""),"")</f>
        <v/>
      </c>
      <c r="F138" s="134" t="str">
        <f ca="1">IFERROR(__xludf.DUMMYFUNCTION("""COMPUTED_VALUE"""),"")</f>
        <v/>
      </c>
      <c r="G138" s="134" t="str">
        <f ca="1">IFERROR(__xludf.DUMMYFUNCTION("""COMPUTED_VALUE"""),"")</f>
        <v/>
      </c>
      <c r="H138" s="134" t="str">
        <f ca="1">IFERROR(__xludf.DUMMYFUNCTION("""COMPUTED_VALUE"""),"")</f>
        <v/>
      </c>
      <c r="I138" s="134" t="str">
        <f ca="1">IFERROR(__xludf.DUMMYFUNCTION("""COMPUTED_VALUE"""),"")</f>
        <v/>
      </c>
      <c r="J138" s="134" t="str">
        <f ca="1">IFERROR(__xludf.DUMMYFUNCTION("""COMPUTED_VALUE"""),"")</f>
        <v/>
      </c>
      <c r="N138" s="31"/>
      <c r="Q138" s="31"/>
    </row>
    <row r="139" spans="1:17" customFormat="1">
      <c r="A139" s="134" t="str">
        <f ca="1">IFERROR(__xludf.DUMMYFUNCTION("""COMPUTED_VALUE"""),"")</f>
        <v/>
      </c>
      <c r="B139" s="134" t="str">
        <f ca="1">IFERROR(__xludf.DUMMYFUNCTION("""COMPUTED_VALUE"""),"")</f>
        <v/>
      </c>
      <c r="C139" s="134" t="str">
        <f ca="1">IFERROR(__xludf.DUMMYFUNCTION("""COMPUTED_VALUE"""),"")</f>
        <v/>
      </c>
      <c r="D139" s="134" t="str">
        <f ca="1">IFERROR(__xludf.DUMMYFUNCTION("""COMPUTED_VALUE"""),"")</f>
        <v/>
      </c>
      <c r="E139" s="134" t="str">
        <f ca="1">IFERROR(__xludf.DUMMYFUNCTION("""COMPUTED_VALUE"""),"")</f>
        <v/>
      </c>
      <c r="F139" s="134" t="str">
        <f ca="1">IFERROR(__xludf.DUMMYFUNCTION("""COMPUTED_VALUE"""),"")</f>
        <v/>
      </c>
      <c r="G139" s="134" t="str">
        <f ca="1">IFERROR(__xludf.DUMMYFUNCTION("""COMPUTED_VALUE"""),"")</f>
        <v/>
      </c>
      <c r="H139" s="134" t="str">
        <f ca="1">IFERROR(__xludf.DUMMYFUNCTION("""COMPUTED_VALUE"""),"")</f>
        <v/>
      </c>
      <c r="I139" s="134" t="str">
        <f ca="1">IFERROR(__xludf.DUMMYFUNCTION("""COMPUTED_VALUE"""),"")</f>
        <v/>
      </c>
      <c r="J139" s="134" t="str">
        <f ca="1">IFERROR(__xludf.DUMMYFUNCTION("""COMPUTED_VALUE"""),"")</f>
        <v/>
      </c>
      <c r="N139" s="31"/>
      <c r="Q139" s="31"/>
    </row>
    <row r="140" spans="1:17" customFormat="1">
      <c r="A140" s="134" t="str">
        <f ca="1">IFERROR(__xludf.DUMMYFUNCTION("""COMPUTED_VALUE"""),"")</f>
        <v/>
      </c>
      <c r="B140" s="134" t="str">
        <f ca="1">IFERROR(__xludf.DUMMYFUNCTION("""COMPUTED_VALUE"""),"")</f>
        <v/>
      </c>
      <c r="C140" s="134" t="str">
        <f ca="1">IFERROR(__xludf.DUMMYFUNCTION("""COMPUTED_VALUE"""),"")</f>
        <v/>
      </c>
      <c r="D140" s="134" t="str">
        <f ca="1">IFERROR(__xludf.DUMMYFUNCTION("""COMPUTED_VALUE"""),"")</f>
        <v/>
      </c>
      <c r="E140" s="134" t="str">
        <f ca="1">IFERROR(__xludf.DUMMYFUNCTION("""COMPUTED_VALUE"""),"")</f>
        <v/>
      </c>
      <c r="F140" s="134" t="str">
        <f ca="1">IFERROR(__xludf.DUMMYFUNCTION("""COMPUTED_VALUE"""),"")</f>
        <v/>
      </c>
      <c r="G140" s="134" t="str">
        <f ca="1">IFERROR(__xludf.DUMMYFUNCTION("""COMPUTED_VALUE"""),"")</f>
        <v/>
      </c>
      <c r="H140" s="134" t="str">
        <f ca="1">IFERROR(__xludf.DUMMYFUNCTION("""COMPUTED_VALUE"""),"")</f>
        <v/>
      </c>
      <c r="I140" s="134" t="str">
        <f ca="1">IFERROR(__xludf.DUMMYFUNCTION("""COMPUTED_VALUE"""),"")</f>
        <v/>
      </c>
      <c r="J140" s="134" t="str">
        <f ca="1">IFERROR(__xludf.DUMMYFUNCTION("""COMPUTED_VALUE"""),"")</f>
        <v/>
      </c>
      <c r="N140" s="31"/>
      <c r="Q140" s="31"/>
    </row>
    <row r="141" spans="1:17" customFormat="1">
      <c r="A141" s="134" t="str">
        <f ca="1">IFERROR(__xludf.DUMMYFUNCTION("""COMPUTED_VALUE"""),"")</f>
        <v/>
      </c>
      <c r="B141" s="134" t="str">
        <f ca="1">IFERROR(__xludf.DUMMYFUNCTION("""COMPUTED_VALUE"""),"")</f>
        <v/>
      </c>
      <c r="C141" s="134" t="str">
        <f ca="1">IFERROR(__xludf.DUMMYFUNCTION("""COMPUTED_VALUE"""),"")</f>
        <v/>
      </c>
      <c r="D141" s="134" t="str">
        <f ca="1">IFERROR(__xludf.DUMMYFUNCTION("""COMPUTED_VALUE"""),"")</f>
        <v/>
      </c>
      <c r="E141" s="134" t="str">
        <f ca="1">IFERROR(__xludf.DUMMYFUNCTION("""COMPUTED_VALUE"""),"")</f>
        <v/>
      </c>
      <c r="F141" s="134" t="str">
        <f ca="1">IFERROR(__xludf.DUMMYFUNCTION("""COMPUTED_VALUE"""),"")</f>
        <v/>
      </c>
      <c r="G141" s="134" t="str">
        <f ca="1">IFERROR(__xludf.DUMMYFUNCTION("""COMPUTED_VALUE"""),"")</f>
        <v/>
      </c>
      <c r="H141" s="134" t="str">
        <f ca="1">IFERROR(__xludf.DUMMYFUNCTION("""COMPUTED_VALUE"""),"")</f>
        <v/>
      </c>
      <c r="I141" s="134" t="str">
        <f ca="1">IFERROR(__xludf.DUMMYFUNCTION("""COMPUTED_VALUE"""),"")</f>
        <v/>
      </c>
      <c r="J141" s="134" t="str">
        <f ca="1">IFERROR(__xludf.DUMMYFUNCTION("""COMPUTED_VALUE"""),"")</f>
        <v/>
      </c>
      <c r="N141" s="31"/>
      <c r="Q141" s="31"/>
    </row>
    <row r="142" spans="1:17" customFormat="1">
      <c r="A142" s="134" t="str">
        <f ca="1">IFERROR(__xludf.DUMMYFUNCTION("""COMPUTED_VALUE"""),"")</f>
        <v/>
      </c>
      <c r="B142" s="134" t="str">
        <f ca="1">IFERROR(__xludf.DUMMYFUNCTION("""COMPUTED_VALUE"""),"")</f>
        <v/>
      </c>
      <c r="C142" s="134" t="str">
        <f ca="1">IFERROR(__xludf.DUMMYFUNCTION("""COMPUTED_VALUE"""),"")</f>
        <v/>
      </c>
      <c r="D142" s="134" t="str">
        <f ca="1">IFERROR(__xludf.DUMMYFUNCTION("""COMPUTED_VALUE"""),"")</f>
        <v/>
      </c>
      <c r="E142" s="134" t="str">
        <f ca="1">IFERROR(__xludf.DUMMYFUNCTION("""COMPUTED_VALUE"""),"")</f>
        <v/>
      </c>
      <c r="F142" s="134" t="str">
        <f ca="1">IFERROR(__xludf.DUMMYFUNCTION("""COMPUTED_VALUE"""),"")</f>
        <v/>
      </c>
      <c r="G142" s="134" t="str">
        <f ca="1">IFERROR(__xludf.DUMMYFUNCTION("""COMPUTED_VALUE"""),"")</f>
        <v/>
      </c>
      <c r="H142" s="134" t="str">
        <f ca="1">IFERROR(__xludf.DUMMYFUNCTION("""COMPUTED_VALUE"""),"")</f>
        <v/>
      </c>
      <c r="I142" s="134" t="str">
        <f ca="1">IFERROR(__xludf.DUMMYFUNCTION("""COMPUTED_VALUE"""),"")</f>
        <v/>
      </c>
      <c r="J142" s="134" t="str">
        <f ca="1">IFERROR(__xludf.DUMMYFUNCTION("""COMPUTED_VALUE"""),"")</f>
        <v/>
      </c>
      <c r="N142" s="31"/>
      <c r="Q142" s="31"/>
    </row>
    <row r="143" spans="1:17" customFormat="1">
      <c r="A143" s="134" t="str">
        <f ca="1">IFERROR(__xludf.DUMMYFUNCTION("""COMPUTED_VALUE"""),"")</f>
        <v/>
      </c>
      <c r="B143" s="134" t="str">
        <f ca="1">IFERROR(__xludf.DUMMYFUNCTION("""COMPUTED_VALUE"""),"")</f>
        <v/>
      </c>
      <c r="C143" s="134" t="str">
        <f ca="1">IFERROR(__xludf.DUMMYFUNCTION("""COMPUTED_VALUE"""),"")</f>
        <v/>
      </c>
      <c r="D143" s="134" t="str">
        <f ca="1">IFERROR(__xludf.DUMMYFUNCTION("""COMPUTED_VALUE"""),"")</f>
        <v/>
      </c>
      <c r="E143" s="134" t="str">
        <f ca="1">IFERROR(__xludf.DUMMYFUNCTION("""COMPUTED_VALUE"""),"")</f>
        <v/>
      </c>
      <c r="F143" s="134" t="str">
        <f ca="1">IFERROR(__xludf.DUMMYFUNCTION("""COMPUTED_VALUE"""),"")</f>
        <v/>
      </c>
      <c r="G143" s="134" t="str">
        <f ca="1">IFERROR(__xludf.DUMMYFUNCTION("""COMPUTED_VALUE"""),"")</f>
        <v/>
      </c>
      <c r="H143" s="134" t="str">
        <f ca="1">IFERROR(__xludf.DUMMYFUNCTION("""COMPUTED_VALUE"""),"")</f>
        <v/>
      </c>
      <c r="I143" s="134" t="str">
        <f ca="1">IFERROR(__xludf.DUMMYFUNCTION("""COMPUTED_VALUE"""),"")</f>
        <v/>
      </c>
      <c r="J143" s="134" t="str">
        <f ca="1">IFERROR(__xludf.DUMMYFUNCTION("""COMPUTED_VALUE"""),"")</f>
        <v/>
      </c>
      <c r="N143" s="31"/>
      <c r="Q143" s="31"/>
    </row>
    <row r="144" spans="1:17" customFormat="1">
      <c r="A144" s="134" t="str">
        <f ca="1">IFERROR(__xludf.DUMMYFUNCTION("""COMPUTED_VALUE"""),"")</f>
        <v/>
      </c>
      <c r="B144" s="134" t="str">
        <f ca="1">IFERROR(__xludf.DUMMYFUNCTION("""COMPUTED_VALUE"""),"")</f>
        <v/>
      </c>
      <c r="C144" s="134" t="str">
        <f ca="1">IFERROR(__xludf.DUMMYFUNCTION("""COMPUTED_VALUE"""),"")</f>
        <v/>
      </c>
      <c r="D144" s="134" t="str">
        <f ca="1">IFERROR(__xludf.DUMMYFUNCTION("""COMPUTED_VALUE"""),"")</f>
        <v/>
      </c>
      <c r="E144" s="134" t="str">
        <f ca="1">IFERROR(__xludf.DUMMYFUNCTION("""COMPUTED_VALUE"""),"")</f>
        <v/>
      </c>
      <c r="F144" s="134" t="str">
        <f ca="1">IFERROR(__xludf.DUMMYFUNCTION("""COMPUTED_VALUE"""),"")</f>
        <v/>
      </c>
      <c r="G144" s="134" t="str">
        <f ca="1">IFERROR(__xludf.DUMMYFUNCTION("""COMPUTED_VALUE"""),"")</f>
        <v/>
      </c>
      <c r="H144" s="134" t="str">
        <f ca="1">IFERROR(__xludf.DUMMYFUNCTION("""COMPUTED_VALUE"""),"")</f>
        <v/>
      </c>
      <c r="I144" s="134" t="str">
        <f ca="1">IFERROR(__xludf.DUMMYFUNCTION("""COMPUTED_VALUE"""),"")</f>
        <v/>
      </c>
      <c r="J144" s="134" t="str">
        <f ca="1">IFERROR(__xludf.DUMMYFUNCTION("""COMPUTED_VALUE"""),"")</f>
        <v/>
      </c>
      <c r="N144" s="31"/>
      <c r="Q144" s="31"/>
    </row>
    <row r="145" spans="1:17" customFormat="1">
      <c r="A145" s="134" t="str">
        <f ca="1">IFERROR(__xludf.DUMMYFUNCTION("""COMPUTED_VALUE"""),"")</f>
        <v/>
      </c>
      <c r="B145" s="134" t="str">
        <f ca="1">IFERROR(__xludf.DUMMYFUNCTION("""COMPUTED_VALUE"""),"")</f>
        <v/>
      </c>
      <c r="C145" s="134" t="str">
        <f ca="1">IFERROR(__xludf.DUMMYFUNCTION("""COMPUTED_VALUE"""),"")</f>
        <v/>
      </c>
      <c r="D145" s="134" t="str">
        <f ca="1">IFERROR(__xludf.DUMMYFUNCTION("""COMPUTED_VALUE"""),"")</f>
        <v/>
      </c>
      <c r="E145" s="134" t="str">
        <f ca="1">IFERROR(__xludf.DUMMYFUNCTION("""COMPUTED_VALUE"""),"")</f>
        <v/>
      </c>
      <c r="F145" s="134" t="str">
        <f ca="1">IFERROR(__xludf.DUMMYFUNCTION("""COMPUTED_VALUE"""),"")</f>
        <v/>
      </c>
      <c r="G145" s="134" t="str">
        <f ca="1">IFERROR(__xludf.DUMMYFUNCTION("""COMPUTED_VALUE"""),"")</f>
        <v/>
      </c>
      <c r="H145" s="134" t="str">
        <f ca="1">IFERROR(__xludf.DUMMYFUNCTION("""COMPUTED_VALUE"""),"")</f>
        <v/>
      </c>
      <c r="I145" s="134" t="str">
        <f ca="1">IFERROR(__xludf.DUMMYFUNCTION("""COMPUTED_VALUE"""),"")</f>
        <v/>
      </c>
      <c r="J145" s="134" t="str">
        <f ca="1">IFERROR(__xludf.DUMMYFUNCTION("""COMPUTED_VALUE"""),"")</f>
        <v/>
      </c>
      <c r="N145" s="31"/>
      <c r="Q145" s="31"/>
    </row>
    <row r="146" spans="1:17" customFormat="1">
      <c r="A146" s="134" t="str">
        <f ca="1">IFERROR(__xludf.DUMMYFUNCTION("""COMPUTED_VALUE"""),"")</f>
        <v/>
      </c>
      <c r="B146" s="134" t="str">
        <f ca="1">IFERROR(__xludf.DUMMYFUNCTION("""COMPUTED_VALUE"""),"")</f>
        <v/>
      </c>
      <c r="C146" s="134" t="str">
        <f ca="1">IFERROR(__xludf.DUMMYFUNCTION("""COMPUTED_VALUE"""),"")</f>
        <v/>
      </c>
      <c r="D146" s="134" t="str">
        <f ca="1">IFERROR(__xludf.DUMMYFUNCTION("""COMPUTED_VALUE"""),"")</f>
        <v/>
      </c>
      <c r="E146" s="134" t="str">
        <f ca="1">IFERROR(__xludf.DUMMYFUNCTION("""COMPUTED_VALUE"""),"")</f>
        <v/>
      </c>
      <c r="F146" s="134" t="str">
        <f ca="1">IFERROR(__xludf.DUMMYFUNCTION("""COMPUTED_VALUE"""),"")</f>
        <v/>
      </c>
      <c r="G146" s="134" t="str">
        <f ca="1">IFERROR(__xludf.DUMMYFUNCTION("""COMPUTED_VALUE"""),"")</f>
        <v/>
      </c>
      <c r="H146" s="134" t="str">
        <f ca="1">IFERROR(__xludf.DUMMYFUNCTION("""COMPUTED_VALUE"""),"")</f>
        <v/>
      </c>
      <c r="I146" s="134" t="str">
        <f ca="1">IFERROR(__xludf.DUMMYFUNCTION("""COMPUTED_VALUE"""),"")</f>
        <v/>
      </c>
      <c r="J146" s="134" t="str">
        <f ca="1">IFERROR(__xludf.DUMMYFUNCTION("""COMPUTED_VALUE"""),"")</f>
        <v/>
      </c>
      <c r="N146" s="31"/>
      <c r="Q146" s="31"/>
    </row>
    <row r="147" spans="1:17" customFormat="1">
      <c r="A147" s="134" t="str">
        <f ca="1">IFERROR(__xludf.DUMMYFUNCTION("""COMPUTED_VALUE"""),"")</f>
        <v/>
      </c>
      <c r="B147" s="134" t="str">
        <f ca="1">IFERROR(__xludf.DUMMYFUNCTION("""COMPUTED_VALUE"""),"")</f>
        <v/>
      </c>
      <c r="C147" s="134" t="str">
        <f ca="1">IFERROR(__xludf.DUMMYFUNCTION("""COMPUTED_VALUE"""),"")</f>
        <v/>
      </c>
      <c r="D147" s="134" t="str">
        <f ca="1">IFERROR(__xludf.DUMMYFUNCTION("""COMPUTED_VALUE"""),"")</f>
        <v/>
      </c>
      <c r="E147" s="134" t="str">
        <f ca="1">IFERROR(__xludf.DUMMYFUNCTION("""COMPUTED_VALUE"""),"")</f>
        <v/>
      </c>
      <c r="F147" s="134" t="str">
        <f ca="1">IFERROR(__xludf.DUMMYFUNCTION("""COMPUTED_VALUE"""),"")</f>
        <v/>
      </c>
      <c r="G147" s="134" t="str">
        <f ca="1">IFERROR(__xludf.DUMMYFUNCTION("""COMPUTED_VALUE"""),"")</f>
        <v/>
      </c>
      <c r="H147" s="134" t="str">
        <f ca="1">IFERROR(__xludf.DUMMYFUNCTION("""COMPUTED_VALUE"""),"")</f>
        <v/>
      </c>
      <c r="I147" s="134" t="str">
        <f ca="1">IFERROR(__xludf.DUMMYFUNCTION("""COMPUTED_VALUE"""),"")</f>
        <v/>
      </c>
      <c r="J147" s="134" t="str">
        <f ca="1">IFERROR(__xludf.DUMMYFUNCTION("""COMPUTED_VALUE"""),"")</f>
        <v/>
      </c>
      <c r="N147" s="31"/>
      <c r="Q147" s="31"/>
    </row>
    <row r="148" spans="1:17" customFormat="1">
      <c r="A148" s="134" t="str">
        <f ca="1">IFERROR(__xludf.DUMMYFUNCTION("""COMPUTED_VALUE"""),"")</f>
        <v/>
      </c>
      <c r="B148" s="134" t="str">
        <f ca="1">IFERROR(__xludf.DUMMYFUNCTION("""COMPUTED_VALUE"""),"")</f>
        <v/>
      </c>
      <c r="C148" s="134" t="str">
        <f ca="1">IFERROR(__xludf.DUMMYFUNCTION("""COMPUTED_VALUE"""),"")</f>
        <v/>
      </c>
      <c r="D148" s="134" t="str">
        <f ca="1">IFERROR(__xludf.DUMMYFUNCTION("""COMPUTED_VALUE"""),"")</f>
        <v/>
      </c>
      <c r="E148" s="134" t="str">
        <f ca="1">IFERROR(__xludf.DUMMYFUNCTION("""COMPUTED_VALUE"""),"")</f>
        <v/>
      </c>
      <c r="F148" s="134" t="str">
        <f ca="1">IFERROR(__xludf.DUMMYFUNCTION("""COMPUTED_VALUE"""),"")</f>
        <v/>
      </c>
      <c r="G148" s="134" t="str">
        <f ca="1">IFERROR(__xludf.DUMMYFUNCTION("""COMPUTED_VALUE"""),"")</f>
        <v/>
      </c>
      <c r="H148" s="134" t="str">
        <f ca="1">IFERROR(__xludf.DUMMYFUNCTION("""COMPUTED_VALUE"""),"")</f>
        <v/>
      </c>
      <c r="I148" s="134" t="str">
        <f ca="1">IFERROR(__xludf.DUMMYFUNCTION("""COMPUTED_VALUE"""),"")</f>
        <v/>
      </c>
      <c r="J148" s="134" t="str">
        <f ca="1">IFERROR(__xludf.DUMMYFUNCTION("""COMPUTED_VALUE"""),"")</f>
        <v/>
      </c>
      <c r="N148" s="31"/>
      <c r="Q148" s="31"/>
    </row>
    <row r="149" spans="1:17" customFormat="1">
      <c r="A149" s="134" t="str">
        <f ca="1">IFERROR(__xludf.DUMMYFUNCTION("""COMPUTED_VALUE"""),"")</f>
        <v/>
      </c>
      <c r="B149" s="134" t="str">
        <f ca="1">IFERROR(__xludf.DUMMYFUNCTION("""COMPUTED_VALUE"""),"")</f>
        <v/>
      </c>
      <c r="C149" s="134" t="str">
        <f ca="1">IFERROR(__xludf.DUMMYFUNCTION("""COMPUTED_VALUE"""),"")</f>
        <v/>
      </c>
      <c r="D149" s="134" t="str">
        <f ca="1">IFERROR(__xludf.DUMMYFUNCTION("""COMPUTED_VALUE"""),"")</f>
        <v/>
      </c>
      <c r="E149" s="134" t="str">
        <f ca="1">IFERROR(__xludf.DUMMYFUNCTION("""COMPUTED_VALUE"""),"")</f>
        <v/>
      </c>
      <c r="F149" s="134" t="str">
        <f ca="1">IFERROR(__xludf.DUMMYFUNCTION("""COMPUTED_VALUE"""),"")</f>
        <v/>
      </c>
      <c r="G149" s="134" t="str">
        <f ca="1">IFERROR(__xludf.DUMMYFUNCTION("""COMPUTED_VALUE"""),"")</f>
        <v/>
      </c>
      <c r="H149" s="134" t="str">
        <f ca="1">IFERROR(__xludf.DUMMYFUNCTION("""COMPUTED_VALUE"""),"")</f>
        <v/>
      </c>
      <c r="I149" s="134" t="str">
        <f ca="1">IFERROR(__xludf.DUMMYFUNCTION("""COMPUTED_VALUE"""),"")</f>
        <v/>
      </c>
      <c r="J149" s="134" t="str">
        <f ca="1">IFERROR(__xludf.DUMMYFUNCTION("""COMPUTED_VALUE"""),"")</f>
        <v/>
      </c>
      <c r="N149" s="31"/>
      <c r="Q149" s="31"/>
    </row>
    <row r="150" spans="1:17" customFormat="1">
      <c r="A150" s="134" t="str">
        <f ca="1">IFERROR(__xludf.DUMMYFUNCTION("""COMPUTED_VALUE"""),"")</f>
        <v/>
      </c>
      <c r="B150" s="134" t="str">
        <f ca="1">IFERROR(__xludf.DUMMYFUNCTION("""COMPUTED_VALUE"""),"")</f>
        <v/>
      </c>
      <c r="C150" s="134" t="str">
        <f ca="1">IFERROR(__xludf.DUMMYFUNCTION("""COMPUTED_VALUE"""),"")</f>
        <v/>
      </c>
      <c r="D150" s="134" t="str">
        <f ca="1">IFERROR(__xludf.DUMMYFUNCTION("""COMPUTED_VALUE"""),"")</f>
        <v/>
      </c>
      <c r="E150" s="134" t="str">
        <f ca="1">IFERROR(__xludf.DUMMYFUNCTION("""COMPUTED_VALUE"""),"")</f>
        <v/>
      </c>
      <c r="F150" s="134" t="str">
        <f ca="1">IFERROR(__xludf.DUMMYFUNCTION("""COMPUTED_VALUE"""),"")</f>
        <v/>
      </c>
      <c r="G150" s="134" t="str">
        <f ca="1">IFERROR(__xludf.DUMMYFUNCTION("""COMPUTED_VALUE"""),"")</f>
        <v/>
      </c>
      <c r="H150" s="134" t="str">
        <f ca="1">IFERROR(__xludf.DUMMYFUNCTION("""COMPUTED_VALUE"""),"")</f>
        <v/>
      </c>
      <c r="I150" s="134" t="str">
        <f ca="1">IFERROR(__xludf.DUMMYFUNCTION("""COMPUTED_VALUE"""),"")</f>
        <v/>
      </c>
      <c r="J150" s="134" t="str">
        <f ca="1">IFERROR(__xludf.DUMMYFUNCTION("""COMPUTED_VALUE"""),"")</f>
        <v/>
      </c>
      <c r="N150" s="31"/>
      <c r="Q150" s="31"/>
    </row>
    <row r="151" spans="1:17" customFormat="1">
      <c r="A151" s="134" t="str">
        <f ca="1">IFERROR(__xludf.DUMMYFUNCTION("""COMPUTED_VALUE"""),"")</f>
        <v/>
      </c>
      <c r="B151" s="134" t="str">
        <f ca="1">IFERROR(__xludf.DUMMYFUNCTION("""COMPUTED_VALUE"""),"")</f>
        <v/>
      </c>
      <c r="C151" s="134" t="str">
        <f ca="1">IFERROR(__xludf.DUMMYFUNCTION("""COMPUTED_VALUE"""),"")</f>
        <v/>
      </c>
      <c r="D151" s="134" t="str">
        <f ca="1">IFERROR(__xludf.DUMMYFUNCTION("""COMPUTED_VALUE"""),"")</f>
        <v/>
      </c>
      <c r="E151" s="134" t="str">
        <f ca="1">IFERROR(__xludf.DUMMYFUNCTION("""COMPUTED_VALUE"""),"")</f>
        <v/>
      </c>
      <c r="F151" s="134" t="str">
        <f ca="1">IFERROR(__xludf.DUMMYFUNCTION("""COMPUTED_VALUE"""),"")</f>
        <v/>
      </c>
      <c r="G151" s="134" t="str">
        <f ca="1">IFERROR(__xludf.DUMMYFUNCTION("""COMPUTED_VALUE"""),"")</f>
        <v/>
      </c>
      <c r="H151" s="134" t="str">
        <f ca="1">IFERROR(__xludf.DUMMYFUNCTION("""COMPUTED_VALUE"""),"")</f>
        <v/>
      </c>
      <c r="I151" s="134" t="str">
        <f ca="1">IFERROR(__xludf.DUMMYFUNCTION("""COMPUTED_VALUE"""),"")</f>
        <v/>
      </c>
      <c r="J151" s="134" t="str">
        <f ca="1">IFERROR(__xludf.DUMMYFUNCTION("""COMPUTED_VALUE"""),"")</f>
        <v/>
      </c>
      <c r="N151" s="31"/>
      <c r="Q151" s="31"/>
    </row>
    <row r="152" spans="1:17" customFormat="1">
      <c r="A152" s="134" t="str">
        <f ca="1">IFERROR(__xludf.DUMMYFUNCTION("""COMPUTED_VALUE"""),"")</f>
        <v/>
      </c>
      <c r="B152" s="134" t="str">
        <f ca="1">IFERROR(__xludf.DUMMYFUNCTION("""COMPUTED_VALUE"""),"")</f>
        <v/>
      </c>
      <c r="C152" s="134" t="str">
        <f ca="1">IFERROR(__xludf.DUMMYFUNCTION("""COMPUTED_VALUE"""),"")</f>
        <v/>
      </c>
      <c r="D152" s="134" t="str">
        <f ca="1">IFERROR(__xludf.DUMMYFUNCTION("""COMPUTED_VALUE"""),"")</f>
        <v/>
      </c>
      <c r="E152" s="134" t="str">
        <f ca="1">IFERROR(__xludf.DUMMYFUNCTION("""COMPUTED_VALUE"""),"")</f>
        <v/>
      </c>
      <c r="F152" s="134" t="str">
        <f ca="1">IFERROR(__xludf.DUMMYFUNCTION("""COMPUTED_VALUE"""),"")</f>
        <v/>
      </c>
      <c r="G152" s="134" t="str">
        <f ca="1">IFERROR(__xludf.DUMMYFUNCTION("""COMPUTED_VALUE"""),"")</f>
        <v/>
      </c>
      <c r="H152" s="134" t="str">
        <f ca="1">IFERROR(__xludf.DUMMYFUNCTION("""COMPUTED_VALUE"""),"")</f>
        <v/>
      </c>
      <c r="I152" s="134" t="str">
        <f ca="1">IFERROR(__xludf.DUMMYFUNCTION("""COMPUTED_VALUE"""),"")</f>
        <v/>
      </c>
      <c r="J152" s="134" t="str">
        <f ca="1">IFERROR(__xludf.DUMMYFUNCTION("""COMPUTED_VALUE"""),"")</f>
        <v/>
      </c>
      <c r="N152" s="31"/>
      <c r="Q152" s="31"/>
    </row>
    <row r="153" spans="1:17" customFormat="1">
      <c r="A153" s="134" t="str">
        <f ca="1">IFERROR(__xludf.DUMMYFUNCTION("""COMPUTED_VALUE"""),"")</f>
        <v/>
      </c>
      <c r="B153" s="134" t="str">
        <f ca="1">IFERROR(__xludf.DUMMYFUNCTION("""COMPUTED_VALUE"""),"")</f>
        <v/>
      </c>
      <c r="C153" s="134" t="str">
        <f ca="1">IFERROR(__xludf.DUMMYFUNCTION("""COMPUTED_VALUE"""),"")</f>
        <v/>
      </c>
      <c r="D153" s="134" t="str">
        <f ca="1">IFERROR(__xludf.DUMMYFUNCTION("""COMPUTED_VALUE"""),"")</f>
        <v/>
      </c>
      <c r="E153" s="134" t="str">
        <f ca="1">IFERROR(__xludf.DUMMYFUNCTION("""COMPUTED_VALUE"""),"")</f>
        <v/>
      </c>
      <c r="F153" s="134" t="str">
        <f ca="1">IFERROR(__xludf.DUMMYFUNCTION("""COMPUTED_VALUE"""),"")</f>
        <v/>
      </c>
      <c r="G153" s="134" t="str">
        <f ca="1">IFERROR(__xludf.DUMMYFUNCTION("""COMPUTED_VALUE"""),"")</f>
        <v/>
      </c>
      <c r="H153" s="134" t="str">
        <f ca="1">IFERROR(__xludf.DUMMYFUNCTION("""COMPUTED_VALUE"""),"")</f>
        <v/>
      </c>
      <c r="I153" s="134" t="str">
        <f ca="1">IFERROR(__xludf.DUMMYFUNCTION("""COMPUTED_VALUE"""),"")</f>
        <v/>
      </c>
      <c r="J153" s="134" t="str">
        <f ca="1">IFERROR(__xludf.DUMMYFUNCTION("""COMPUTED_VALUE"""),"")</f>
        <v/>
      </c>
      <c r="N153" s="31"/>
      <c r="Q153" s="31"/>
    </row>
    <row r="154" spans="1:17" customFormat="1">
      <c r="A154" s="134" t="str">
        <f ca="1">IFERROR(__xludf.DUMMYFUNCTION("""COMPUTED_VALUE"""),"")</f>
        <v/>
      </c>
      <c r="B154" s="134" t="str">
        <f ca="1">IFERROR(__xludf.DUMMYFUNCTION("""COMPUTED_VALUE"""),"")</f>
        <v/>
      </c>
      <c r="C154" s="134" t="str">
        <f ca="1">IFERROR(__xludf.DUMMYFUNCTION("""COMPUTED_VALUE"""),"")</f>
        <v/>
      </c>
      <c r="D154" s="134" t="str">
        <f ca="1">IFERROR(__xludf.DUMMYFUNCTION("""COMPUTED_VALUE"""),"")</f>
        <v/>
      </c>
      <c r="E154" s="134" t="str">
        <f ca="1">IFERROR(__xludf.DUMMYFUNCTION("""COMPUTED_VALUE"""),"")</f>
        <v/>
      </c>
      <c r="F154" s="134" t="str">
        <f ca="1">IFERROR(__xludf.DUMMYFUNCTION("""COMPUTED_VALUE"""),"")</f>
        <v/>
      </c>
      <c r="G154" s="134" t="str">
        <f ca="1">IFERROR(__xludf.DUMMYFUNCTION("""COMPUTED_VALUE"""),"")</f>
        <v/>
      </c>
      <c r="H154" s="134" t="str">
        <f ca="1">IFERROR(__xludf.DUMMYFUNCTION("""COMPUTED_VALUE"""),"")</f>
        <v/>
      </c>
      <c r="I154" s="134" t="str">
        <f ca="1">IFERROR(__xludf.DUMMYFUNCTION("""COMPUTED_VALUE"""),"")</f>
        <v/>
      </c>
      <c r="J154" s="134" t="str">
        <f ca="1">IFERROR(__xludf.DUMMYFUNCTION("""COMPUTED_VALUE"""),"")</f>
        <v/>
      </c>
      <c r="N154" s="31"/>
      <c r="Q154" s="31"/>
    </row>
    <row r="155" spans="1:17" customFormat="1">
      <c r="A155" s="134" t="str">
        <f ca="1">IFERROR(__xludf.DUMMYFUNCTION("""COMPUTED_VALUE"""),"")</f>
        <v/>
      </c>
      <c r="B155" s="134" t="str">
        <f ca="1">IFERROR(__xludf.DUMMYFUNCTION("""COMPUTED_VALUE"""),"")</f>
        <v/>
      </c>
      <c r="C155" s="134" t="str">
        <f ca="1">IFERROR(__xludf.DUMMYFUNCTION("""COMPUTED_VALUE"""),"")</f>
        <v/>
      </c>
      <c r="D155" s="134" t="str">
        <f ca="1">IFERROR(__xludf.DUMMYFUNCTION("""COMPUTED_VALUE"""),"")</f>
        <v/>
      </c>
      <c r="E155" s="134" t="str">
        <f ca="1">IFERROR(__xludf.DUMMYFUNCTION("""COMPUTED_VALUE"""),"")</f>
        <v/>
      </c>
      <c r="F155" s="134" t="str">
        <f ca="1">IFERROR(__xludf.DUMMYFUNCTION("""COMPUTED_VALUE"""),"")</f>
        <v/>
      </c>
      <c r="G155" s="134" t="str">
        <f ca="1">IFERROR(__xludf.DUMMYFUNCTION("""COMPUTED_VALUE"""),"")</f>
        <v/>
      </c>
      <c r="H155" s="134" t="str">
        <f ca="1">IFERROR(__xludf.DUMMYFUNCTION("""COMPUTED_VALUE"""),"")</f>
        <v/>
      </c>
      <c r="I155" s="134" t="str">
        <f ca="1">IFERROR(__xludf.DUMMYFUNCTION("""COMPUTED_VALUE"""),"")</f>
        <v/>
      </c>
      <c r="J155" s="134" t="str">
        <f ca="1">IFERROR(__xludf.DUMMYFUNCTION("""COMPUTED_VALUE"""),"")</f>
        <v/>
      </c>
      <c r="N155" s="31"/>
      <c r="Q155" s="31"/>
    </row>
    <row r="156" spans="1:17" customFormat="1">
      <c r="A156" s="134" t="str">
        <f ca="1">IFERROR(__xludf.DUMMYFUNCTION("""COMPUTED_VALUE"""),"")</f>
        <v/>
      </c>
      <c r="B156" s="134" t="str">
        <f ca="1">IFERROR(__xludf.DUMMYFUNCTION("""COMPUTED_VALUE"""),"")</f>
        <v/>
      </c>
      <c r="C156" s="134" t="str">
        <f ca="1">IFERROR(__xludf.DUMMYFUNCTION("""COMPUTED_VALUE"""),"")</f>
        <v/>
      </c>
      <c r="D156" s="134" t="str">
        <f ca="1">IFERROR(__xludf.DUMMYFUNCTION("""COMPUTED_VALUE"""),"")</f>
        <v/>
      </c>
      <c r="E156" s="134" t="str">
        <f ca="1">IFERROR(__xludf.DUMMYFUNCTION("""COMPUTED_VALUE"""),"")</f>
        <v/>
      </c>
      <c r="F156" s="134" t="str">
        <f ca="1">IFERROR(__xludf.DUMMYFUNCTION("""COMPUTED_VALUE"""),"")</f>
        <v/>
      </c>
      <c r="G156" s="134" t="str">
        <f ca="1">IFERROR(__xludf.DUMMYFUNCTION("""COMPUTED_VALUE"""),"")</f>
        <v/>
      </c>
      <c r="H156" s="134" t="str">
        <f ca="1">IFERROR(__xludf.DUMMYFUNCTION("""COMPUTED_VALUE"""),"")</f>
        <v/>
      </c>
      <c r="I156" s="134" t="str">
        <f ca="1">IFERROR(__xludf.DUMMYFUNCTION("""COMPUTED_VALUE"""),"")</f>
        <v/>
      </c>
      <c r="J156" s="134" t="str">
        <f ca="1">IFERROR(__xludf.DUMMYFUNCTION("""COMPUTED_VALUE"""),"")</f>
        <v/>
      </c>
      <c r="N156" s="31"/>
      <c r="Q156" s="31"/>
    </row>
    <row r="157" spans="1:17" customFormat="1">
      <c r="A157" s="134" t="str">
        <f ca="1">IFERROR(__xludf.DUMMYFUNCTION("""COMPUTED_VALUE"""),"")</f>
        <v/>
      </c>
      <c r="B157" s="134" t="str">
        <f ca="1">IFERROR(__xludf.DUMMYFUNCTION("""COMPUTED_VALUE"""),"")</f>
        <v/>
      </c>
      <c r="C157" s="134" t="str">
        <f ca="1">IFERROR(__xludf.DUMMYFUNCTION("""COMPUTED_VALUE"""),"")</f>
        <v/>
      </c>
      <c r="D157" s="134" t="str">
        <f ca="1">IFERROR(__xludf.DUMMYFUNCTION("""COMPUTED_VALUE"""),"")</f>
        <v/>
      </c>
      <c r="E157" s="134" t="str">
        <f ca="1">IFERROR(__xludf.DUMMYFUNCTION("""COMPUTED_VALUE"""),"")</f>
        <v/>
      </c>
      <c r="F157" s="134" t="str">
        <f ca="1">IFERROR(__xludf.DUMMYFUNCTION("""COMPUTED_VALUE"""),"")</f>
        <v/>
      </c>
      <c r="G157" s="134" t="str">
        <f ca="1">IFERROR(__xludf.DUMMYFUNCTION("""COMPUTED_VALUE"""),"")</f>
        <v/>
      </c>
      <c r="H157" s="134" t="str">
        <f ca="1">IFERROR(__xludf.DUMMYFUNCTION("""COMPUTED_VALUE"""),"")</f>
        <v/>
      </c>
      <c r="I157" s="134" t="str">
        <f ca="1">IFERROR(__xludf.DUMMYFUNCTION("""COMPUTED_VALUE"""),"")</f>
        <v/>
      </c>
      <c r="J157" s="134" t="str">
        <f ca="1">IFERROR(__xludf.DUMMYFUNCTION("""COMPUTED_VALUE"""),"")</f>
        <v/>
      </c>
      <c r="N157" s="31"/>
      <c r="Q157" s="31"/>
    </row>
    <row r="158" spans="1:17" customFormat="1">
      <c r="A158" s="134" t="str">
        <f ca="1">IFERROR(__xludf.DUMMYFUNCTION("""COMPUTED_VALUE"""),"")</f>
        <v/>
      </c>
      <c r="B158" s="134" t="str">
        <f ca="1">IFERROR(__xludf.DUMMYFUNCTION("""COMPUTED_VALUE"""),"")</f>
        <v/>
      </c>
      <c r="C158" s="134" t="str">
        <f ca="1">IFERROR(__xludf.DUMMYFUNCTION("""COMPUTED_VALUE"""),"")</f>
        <v/>
      </c>
      <c r="D158" s="134" t="str">
        <f ca="1">IFERROR(__xludf.DUMMYFUNCTION("""COMPUTED_VALUE"""),"")</f>
        <v/>
      </c>
      <c r="E158" s="134" t="str">
        <f ca="1">IFERROR(__xludf.DUMMYFUNCTION("""COMPUTED_VALUE"""),"")</f>
        <v/>
      </c>
      <c r="F158" s="134" t="str">
        <f ca="1">IFERROR(__xludf.DUMMYFUNCTION("""COMPUTED_VALUE"""),"")</f>
        <v/>
      </c>
      <c r="G158" s="134" t="str">
        <f ca="1">IFERROR(__xludf.DUMMYFUNCTION("""COMPUTED_VALUE"""),"")</f>
        <v/>
      </c>
      <c r="H158" s="134" t="str">
        <f ca="1">IFERROR(__xludf.DUMMYFUNCTION("""COMPUTED_VALUE"""),"")</f>
        <v/>
      </c>
      <c r="I158" s="134" t="str">
        <f ca="1">IFERROR(__xludf.DUMMYFUNCTION("""COMPUTED_VALUE"""),"")</f>
        <v/>
      </c>
      <c r="J158" s="134" t="str">
        <f ca="1">IFERROR(__xludf.DUMMYFUNCTION("""COMPUTED_VALUE"""),"")</f>
        <v/>
      </c>
      <c r="N158" s="31"/>
      <c r="Q158" s="31"/>
    </row>
    <row r="159" spans="1:17" customFormat="1">
      <c r="A159" s="134" t="str">
        <f ca="1">IFERROR(__xludf.DUMMYFUNCTION("""COMPUTED_VALUE"""),"")</f>
        <v/>
      </c>
      <c r="B159" s="134" t="str">
        <f ca="1">IFERROR(__xludf.DUMMYFUNCTION("""COMPUTED_VALUE"""),"")</f>
        <v/>
      </c>
      <c r="C159" s="134" t="str">
        <f ca="1">IFERROR(__xludf.DUMMYFUNCTION("""COMPUTED_VALUE"""),"")</f>
        <v/>
      </c>
      <c r="D159" s="134" t="str">
        <f ca="1">IFERROR(__xludf.DUMMYFUNCTION("""COMPUTED_VALUE"""),"")</f>
        <v/>
      </c>
      <c r="E159" s="134" t="str">
        <f ca="1">IFERROR(__xludf.DUMMYFUNCTION("""COMPUTED_VALUE"""),"")</f>
        <v/>
      </c>
      <c r="F159" s="134" t="str">
        <f ca="1">IFERROR(__xludf.DUMMYFUNCTION("""COMPUTED_VALUE"""),"")</f>
        <v/>
      </c>
      <c r="G159" s="134" t="str">
        <f ca="1">IFERROR(__xludf.DUMMYFUNCTION("""COMPUTED_VALUE"""),"")</f>
        <v/>
      </c>
      <c r="H159" s="134" t="str">
        <f ca="1">IFERROR(__xludf.DUMMYFUNCTION("""COMPUTED_VALUE"""),"")</f>
        <v/>
      </c>
      <c r="I159" s="134" t="str">
        <f ca="1">IFERROR(__xludf.DUMMYFUNCTION("""COMPUTED_VALUE"""),"")</f>
        <v/>
      </c>
      <c r="J159" s="134" t="str">
        <f ca="1">IFERROR(__xludf.DUMMYFUNCTION("""COMPUTED_VALUE"""),"")</f>
        <v/>
      </c>
      <c r="N159" s="31"/>
      <c r="Q159" s="31"/>
    </row>
    <row r="160" spans="1:17" customFormat="1">
      <c r="A160" s="134" t="str">
        <f ca="1">IFERROR(__xludf.DUMMYFUNCTION("""COMPUTED_VALUE"""),"")</f>
        <v/>
      </c>
      <c r="B160" s="134" t="str">
        <f ca="1">IFERROR(__xludf.DUMMYFUNCTION("""COMPUTED_VALUE"""),"")</f>
        <v/>
      </c>
      <c r="C160" s="134" t="str">
        <f ca="1">IFERROR(__xludf.DUMMYFUNCTION("""COMPUTED_VALUE"""),"")</f>
        <v/>
      </c>
      <c r="D160" s="134" t="str">
        <f ca="1">IFERROR(__xludf.DUMMYFUNCTION("""COMPUTED_VALUE"""),"")</f>
        <v/>
      </c>
      <c r="E160" s="134" t="str">
        <f ca="1">IFERROR(__xludf.DUMMYFUNCTION("""COMPUTED_VALUE"""),"")</f>
        <v/>
      </c>
      <c r="F160" s="134" t="str">
        <f ca="1">IFERROR(__xludf.DUMMYFUNCTION("""COMPUTED_VALUE"""),"")</f>
        <v/>
      </c>
      <c r="G160" s="134" t="str">
        <f ca="1">IFERROR(__xludf.DUMMYFUNCTION("""COMPUTED_VALUE"""),"")</f>
        <v/>
      </c>
      <c r="H160" s="134" t="str">
        <f ca="1">IFERROR(__xludf.DUMMYFUNCTION("""COMPUTED_VALUE"""),"")</f>
        <v/>
      </c>
      <c r="I160" s="134" t="str">
        <f ca="1">IFERROR(__xludf.DUMMYFUNCTION("""COMPUTED_VALUE"""),"")</f>
        <v/>
      </c>
      <c r="J160" s="134" t="str">
        <f ca="1">IFERROR(__xludf.DUMMYFUNCTION("""COMPUTED_VALUE"""),"")</f>
        <v/>
      </c>
      <c r="N160" s="31"/>
      <c r="Q160" s="31"/>
    </row>
    <row r="161" spans="1:17" customFormat="1">
      <c r="A161" s="134" t="str">
        <f ca="1">IFERROR(__xludf.DUMMYFUNCTION("""COMPUTED_VALUE"""),"")</f>
        <v/>
      </c>
      <c r="B161" s="134" t="str">
        <f ca="1">IFERROR(__xludf.DUMMYFUNCTION("""COMPUTED_VALUE"""),"")</f>
        <v/>
      </c>
      <c r="C161" s="134" t="str">
        <f ca="1">IFERROR(__xludf.DUMMYFUNCTION("""COMPUTED_VALUE"""),"")</f>
        <v/>
      </c>
      <c r="D161" s="134" t="str">
        <f ca="1">IFERROR(__xludf.DUMMYFUNCTION("""COMPUTED_VALUE"""),"")</f>
        <v/>
      </c>
      <c r="E161" s="134" t="str">
        <f ca="1">IFERROR(__xludf.DUMMYFUNCTION("""COMPUTED_VALUE"""),"")</f>
        <v/>
      </c>
      <c r="F161" s="134" t="str">
        <f ca="1">IFERROR(__xludf.DUMMYFUNCTION("""COMPUTED_VALUE"""),"")</f>
        <v/>
      </c>
      <c r="G161" s="134" t="str">
        <f ca="1">IFERROR(__xludf.DUMMYFUNCTION("""COMPUTED_VALUE"""),"")</f>
        <v/>
      </c>
      <c r="H161" s="134" t="str">
        <f ca="1">IFERROR(__xludf.DUMMYFUNCTION("""COMPUTED_VALUE"""),"")</f>
        <v/>
      </c>
      <c r="I161" s="134" t="str">
        <f ca="1">IFERROR(__xludf.DUMMYFUNCTION("""COMPUTED_VALUE"""),"")</f>
        <v/>
      </c>
      <c r="J161" s="134" t="str">
        <f ca="1">IFERROR(__xludf.DUMMYFUNCTION("""COMPUTED_VALUE"""),"")</f>
        <v/>
      </c>
      <c r="N161" s="31"/>
      <c r="Q161" s="31"/>
    </row>
    <row r="162" spans="1:17" customFormat="1">
      <c r="A162" s="134" t="str">
        <f ca="1">IFERROR(__xludf.DUMMYFUNCTION("""COMPUTED_VALUE"""),"")</f>
        <v/>
      </c>
      <c r="B162" s="134" t="str">
        <f ca="1">IFERROR(__xludf.DUMMYFUNCTION("""COMPUTED_VALUE"""),"")</f>
        <v/>
      </c>
      <c r="C162" s="134" t="str">
        <f ca="1">IFERROR(__xludf.DUMMYFUNCTION("""COMPUTED_VALUE"""),"")</f>
        <v/>
      </c>
      <c r="D162" s="134" t="str">
        <f ca="1">IFERROR(__xludf.DUMMYFUNCTION("""COMPUTED_VALUE"""),"")</f>
        <v/>
      </c>
      <c r="E162" s="134" t="str">
        <f ca="1">IFERROR(__xludf.DUMMYFUNCTION("""COMPUTED_VALUE"""),"")</f>
        <v/>
      </c>
      <c r="F162" s="134" t="str">
        <f ca="1">IFERROR(__xludf.DUMMYFUNCTION("""COMPUTED_VALUE"""),"")</f>
        <v/>
      </c>
      <c r="G162" s="134" t="str">
        <f ca="1">IFERROR(__xludf.DUMMYFUNCTION("""COMPUTED_VALUE"""),"")</f>
        <v/>
      </c>
      <c r="H162" s="134" t="str">
        <f ca="1">IFERROR(__xludf.DUMMYFUNCTION("""COMPUTED_VALUE"""),"")</f>
        <v/>
      </c>
      <c r="I162" s="134" t="str">
        <f ca="1">IFERROR(__xludf.DUMMYFUNCTION("""COMPUTED_VALUE"""),"")</f>
        <v/>
      </c>
      <c r="J162" s="134" t="str">
        <f ca="1">IFERROR(__xludf.DUMMYFUNCTION("""COMPUTED_VALUE"""),"")</f>
        <v/>
      </c>
      <c r="N162" s="31"/>
      <c r="Q162" s="31"/>
    </row>
    <row r="163" spans="1:17" customFormat="1">
      <c r="A163" s="134" t="str">
        <f ca="1">IFERROR(__xludf.DUMMYFUNCTION("""COMPUTED_VALUE"""),"")</f>
        <v/>
      </c>
      <c r="B163" s="134" t="str">
        <f ca="1">IFERROR(__xludf.DUMMYFUNCTION("""COMPUTED_VALUE"""),"")</f>
        <v/>
      </c>
      <c r="C163" s="134" t="str">
        <f ca="1">IFERROR(__xludf.DUMMYFUNCTION("""COMPUTED_VALUE"""),"")</f>
        <v/>
      </c>
      <c r="D163" s="134" t="str">
        <f ca="1">IFERROR(__xludf.DUMMYFUNCTION("""COMPUTED_VALUE"""),"")</f>
        <v/>
      </c>
      <c r="E163" s="134" t="str">
        <f ca="1">IFERROR(__xludf.DUMMYFUNCTION("""COMPUTED_VALUE"""),"")</f>
        <v/>
      </c>
      <c r="F163" s="134" t="str">
        <f ca="1">IFERROR(__xludf.DUMMYFUNCTION("""COMPUTED_VALUE"""),"")</f>
        <v/>
      </c>
      <c r="G163" s="134" t="str">
        <f ca="1">IFERROR(__xludf.DUMMYFUNCTION("""COMPUTED_VALUE"""),"")</f>
        <v/>
      </c>
      <c r="H163" s="134" t="str">
        <f ca="1">IFERROR(__xludf.DUMMYFUNCTION("""COMPUTED_VALUE"""),"")</f>
        <v/>
      </c>
      <c r="I163" s="134" t="str">
        <f ca="1">IFERROR(__xludf.DUMMYFUNCTION("""COMPUTED_VALUE"""),"")</f>
        <v/>
      </c>
      <c r="J163" s="134" t="str">
        <f ca="1">IFERROR(__xludf.DUMMYFUNCTION("""COMPUTED_VALUE"""),"")</f>
        <v/>
      </c>
      <c r="N163" s="31"/>
      <c r="Q163" s="31"/>
    </row>
    <row r="164" spans="1:17" customFormat="1">
      <c r="A164" s="134" t="str">
        <f ca="1">IFERROR(__xludf.DUMMYFUNCTION("""COMPUTED_VALUE"""),"")</f>
        <v/>
      </c>
      <c r="B164" s="134" t="str">
        <f ca="1">IFERROR(__xludf.DUMMYFUNCTION("""COMPUTED_VALUE"""),"")</f>
        <v/>
      </c>
      <c r="C164" s="134" t="str">
        <f ca="1">IFERROR(__xludf.DUMMYFUNCTION("""COMPUTED_VALUE"""),"")</f>
        <v/>
      </c>
      <c r="D164" s="134" t="str">
        <f ca="1">IFERROR(__xludf.DUMMYFUNCTION("""COMPUTED_VALUE"""),"")</f>
        <v/>
      </c>
      <c r="E164" s="134" t="str">
        <f ca="1">IFERROR(__xludf.DUMMYFUNCTION("""COMPUTED_VALUE"""),"")</f>
        <v/>
      </c>
      <c r="F164" s="134" t="str">
        <f ca="1">IFERROR(__xludf.DUMMYFUNCTION("""COMPUTED_VALUE"""),"")</f>
        <v/>
      </c>
      <c r="G164" s="134" t="str">
        <f ca="1">IFERROR(__xludf.DUMMYFUNCTION("""COMPUTED_VALUE"""),"")</f>
        <v/>
      </c>
      <c r="H164" s="134" t="str">
        <f ca="1">IFERROR(__xludf.DUMMYFUNCTION("""COMPUTED_VALUE"""),"")</f>
        <v/>
      </c>
      <c r="I164" s="134" t="str">
        <f ca="1">IFERROR(__xludf.DUMMYFUNCTION("""COMPUTED_VALUE"""),"")</f>
        <v/>
      </c>
      <c r="J164" s="134" t="str">
        <f ca="1">IFERROR(__xludf.DUMMYFUNCTION("""COMPUTED_VALUE"""),"")</f>
        <v/>
      </c>
      <c r="N164" s="31"/>
      <c r="Q164" s="31"/>
    </row>
    <row r="165" spans="1:17" customFormat="1">
      <c r="A165" s="134" t="str">
        <f ca="1">IFERROR(__xludf.DUMMYFUNCTION("""COMPUTED_VALUE"""),"")</f>
        <v/>
      </c>
      <c r="B165" s="134" t="str">
        <f ca="1">IFERROR(__xludf.DUMMYFUNCTION("""COMPUTED_VALUE"""),"")</f>
        <v/>
      </c>
      <c r="C165" s="134" t="str">
        <f ca="1">IFERROR(__xludf.DUMMYFUNCTION("""COMPUTED_VALUE"""),"")</f>
        <v/>
      </c>
      <c r="D165" s="134" t="str">
        <f ca="1">IFERROR(__xludf.DUMMYFUNCTION("""COMPUTED_VALUE"""),"")</f>
        <v/>
      </c>
      <c r="E165" s="134" t="str">
        <f ca="1">IFERROR(__xludf.DUMMYFUNCTION("""COMPUTED_VALUE"""),"")</f>
        <v/>
      </c>
      <c r="F165" s="134" t="str">
        <f ca="1">IFERROR(__xludf.DUMMYFUNCTION("""COMPUTED_VALUE"""),"")</f>
        <v/>
      </c>
      <c r="G165" s="134" t="str">
        <f ca="1">IFERROR(__xludf.DUMMYFUNCTION("""COMPUTED_VALUE"""),"")</f>
        <v/>
      </c>
      <c r="H165" s="134" t="str">
        <f ca="1">IFERROR(__xludf.DUMMYFUNCTION("""COMPUTED_VALUE"""),"")</f>
        <v/>
      </c>
      <c r="I165" s="134" t="str">
        <f ca="1">IFERROR(__xludf.DUMMYFUNCTION("""COMPUTED_VALUE"""),"")</f>
        <v/>
      </c>
      <c r="J165" s="134" t="str">
        <f ca="1">IFERROR(__xludf.DUMMYFUNCTION("""COMPUTED_VALUE"""),"")</f>
        <v/>
      </c>
      <c r="N165" s="31"/>
      <c r="Q165" s="31"/>
    </row>
    <row r="166" spans="1:17" customFormat="1">
      <c r="A166" s="134" t="str">
        <f ca="1">IFERROR(__xludf.DUMMYFUNCTION("""COMPUTED_VALUE"""),"")</f>
        <v/>
      </c>
      <c r="B166" s="134" t="str">
        <f ca="1">IFERROR(__xludf.DUMMYFUNCTION("""COMPUTED_VALUE"""),"")</f>
        <v/>
      </c>
      <c r="C166" s="134" t="str">
        <f ca="1">IFERROR(__xludf.DUMMYFUNCTION("""COMPUTED_VALUE"""),"")</f>
        <v/>
      </c>
      <c r="D166" s="134" t="str">
        <f ca="1">IFERROR(__xludf.DUMMYFUNCTION("""COMPUTED_VALUE"""),"")</f>
        <v/>
      </c>
      <c r="E166" s="134" t="str">
        <f ca="1">IFERROR(__xludf.DUMMYFUNCTION("""COMPUTED_VALUE"""),"")</f>
        <v/>
      </c>
      <c r="F166" s="134" t="str">
        <f ca="1">IFERROR(__xludf.DUMMYFUNCTION("""COMPUTED_VALUE"""),"")</f>
        <v/>
      </c>
      <c r="G166" s="134" t="str">
        <f ca="1">IFERROR(__xludf.DUMMYFUNCTION("""COMPUTED_VALUE"""),"")</f>
        <v/>
      </c>
      <c r="H166" s="134" t="str">
        <f ca="1">IFERROR(__xludf.DUMMYFUNCTION("""COMPUTED_VALUE"""),"")</f>
        <v/>
      </c>
      <c r="I166" s="134" t="str">
        <f ca="1">IFERROR(__xludf.DUMMYFUNCTION("""COMPUTED_VALUE"""),"")</f>
        <v/>
      </c>
      <c r="J166" s="134" t="str">
        <f ca="1">IFERROR(__xludf.DUMMYFUNCTION("""COMPUTED_VALUE"""),"")</f>
        <v/>
      </c>
      <c r="N166" s="31"/>
      <c r="Q166" s="31"/>
    </row>
    <row r="167" spans="1:17" customFormat="1">
      <c r="A167" s="134" t="str">
        <f ca="1">IFERROR(__xludf.DUMMYFUNCTION("""COMPUTED_VALUE"""),"")</f>
        <v/>
      </c>
      <c r="B167" s="134" t="str">
        <f ca="1">IFERROR(__xludf.DUMMYFUNCTION("""COMPUTED_VALUE"""),"")</f>
        <v/>
      </c>
      <c r="C167" s="134" t="str">
        <f ca="1">IFERROR(__xludf.DUMMYFUNCTION("""COMPUTED_VALUE"""),"")</f>
        <v/>
      </c>
      <c r="D167" s="134" t="str">
        <f ca="1">IFERROR(__xludf.DUMMYFUNCTION("""COMPUTED_VALUE"""),"")</f>
        <v/>
      </c>
      <c r="E167" s="134" t="str">
        <f ca="1">IFERROR(__xludf.DUMMYFUNCTION("""COMPUTED_VALUE"""),"")</f>
        <v/>
      </c>
      <c r="F167" s="134" t="str">
        <f ca="1">IFERROR(__xludf.DUMMYFUNCTION("""COMPUTED_VALUE"""),"")</f>
        <v/>
      </c>
      <c r="G167" s="134" t="str">
        <f ca="1">IFERROR(__xludf.DUMMYFUNCTION("""COMPUTED_VALUE"""),"")</f>
        <v/>
      </c>
      <c r="H167" s="134" t="str">
        <f ca="1">IFERROR(__xludf.DUMMYFUNCTION("""COMPUTED_VALUE"""),"")</f>
        <v/>
      </c>
      <c r="I167" s="134" t="str">
        <f ca="1">IFERROR(__xludf.DUMMYFUNCTION("""COMPUTED_VALUE"""),"")</f>
        <v/>
      </c>
      <c r="J167" s="134" t="str">
        <f ca="1">IFERROR(__xludf.DUMMYFUNCTION("""COMPUTED_VALUE"""),"")</f>
        <v/>
      </c>
      <c r="N167" s="31"/>
      <c r="Q167" s="31"/>
    </row>
    <row r="168" spans="1:17" customFormat="1">
      <c r="A168" s="134" t="str">
        <f ca="1">IFERROR(__xludf.DUMMYFUNCTION("""COMPUTED_VALUE"""),"")</f>
        <v/>
      </c>
      <c r="B168" s="134" t="str">
        <f ca="1">IFERROR(__xludf.DUMMYFUNCTION("""COMPUTED_VALUE"""),"")</f>
        <v/>
      </c>
      <c r="C168" s="134" t="str">
        <f ca="1">IFERROR(__xludf.DUMMYFUNCTION("""COMPUTED_VALUE"""),"")</f>
        <v/>
      </c>
      <c r="D168" s="134" t="str">
        <f ca="1">IFERROR(__xludf.DUMMYFUNCTION("""COMPUTED_VALUE"""),"")</f>
        <v/>
      </c>
      <c r="E168" s="134" t="str">
        <f ca="1">IFERROR(__xludf.DUMMYFUNCTION("""COMPUTED_VALUE"""),"")</f>
        <v/>
      </c>
      <c r="F168" s="134" t="str">
        <f ca="1">IFERROR(__xludf.DUMMYFUNCTION("""COMPUTED_VALUE"""),"")</f>
        <v/>
      </c>
      <c r="G168" s="134" t="str">
        <f ca="1">IFERROR(__xludf.DUMMYFUNCTION("""COMPUTED_VALUE"""),"")</f>
        <v/>
      </c>
      <c r="H168" s="134" t="str">
        <f ca="1">IFERROR(__xludf.DUMMYFUNCTION("""COMPUTED_VALUE"""),"")</f>
        <v/>
      </c>
      <c r="I168" s="134" t="str">
        <f ca="1">IFERROR(__xludf.DUMMYFUNCTION("""COMPUTED_VALUE"""),"")</f>
        <v/>
      </c>
      <c r="J168" s="134" t="str">
        <f ca="1">IFERROR(__xludf.DUMMYFUNCTION("""COMPUTED_VALUE"""),"")</f>
        <v/>
      </c>
      <c r="N168" s="31"/>
      <c r="Q168" s="31"/>
    </row>
    <row r="169" spans="1:17" customFormat="1">
      <c r="A169" s="134" t="str">
        <f ca="1">IFERROR(__xludf.DUMMYFUNCTION("""COMPUTED_VALUE"""),"")</f>
        <v/>
      </c>
      <c r="B169" s="134" t="str">
        <f ca="1">IFERROR(__xludf.DUMMYFUNCTION("""COMPUTED_VALUE"""),"")</f>
        <v/>
      </c>
      <c r="C169" s="134" t="str">
        <f ca="1">IFERROR(__xludf.DUMMYFUNCTION("""COMPUTED_VALUE"""),"")</f>
        <v/>
      </c>
      <c r="D169" s="134" t="str">
        <f ca="1">IFERROR(__xludf.DUMMYFUNCTION("""COMPUTED_VALUE"""),"")</f>
        <v/>
      </c>
      <c r="E169" s="134" t="str">
        <f ca="1">IFERROR(__xludf.DUMMYFUNCTION("""COMPUTED_VALUE"""),"")</f>
        <v/>
      </c>
      <c r="F169" s="134" t="str">
        <f ca="1">IFERROR(__xludf.DUMMYFUNCTION("""COMPUTED_VALUE"""),"")</f>
        <v/>
      </c>
      <c r="G169" s="134" t="str">
        <f ca="1">IFERROR(__xludf.DUMMYFUNCTION("""COMPUTED_VALUE"""),"")</f>
        <v/>
      </c>
      <c r="H169" s="134" t="str">
        <f ca="1">IFERROR(__xludf.DUMMYFUNCTION("""COMPUTED_VALUE"""),"")</f>
        <v/>
      </c>
      <c r="I169" s="134" t="str">
        <f ca="1">IFERROR(__xludf.DUMMYFUNCTION("""COMPUTED_VALUE"""),"")</f>
        <v/>
      </c>
      <c r="J169" s="134" t="str">
        <f ca="1">IFERROR(__xludf.DUMMYFUNCTION("""COMPUTED_VALUE"""),"")</f>
        <v/>
      </c>
      <c r="N169" s="31"/>
      <c r="Q169" s="31"/>
    </row>
    <row r="170" spans="1:17" customFormat="1">
      <c r="A170" s="134" t="str">
        <f ca="1">IFERROR(__xludf.DUMMYFUNCTION("""COMPUTED_VALUE"""),"")</f>
        <v/>
      </c>
      <c r="B170" s="134" t="str">
        <f ca="1">IFERROR(__xludf.DUMMYFUNCTION("""COMPUTED_VALUE"""),"")</f>
        <v/>
      </c>
      <c r="C170" s="134" t="str">
        <f ca="1">IFERROR(__xludf.DUMMYFUNCTION("""COMPUTED_VALUE"""),"")</f>
        <v/>
      </c>
      <c r="D170" s="134" t="str">
        <f ca="1">IFERROR(__xludf.DUMMYFUNCTION("""COMPUTED_VALUE"""),"")</f>
        <v/>
      </c>
      <c r="E170" s="134" t="str">
        <f ca="1">IFERROR(__xludf.DUMMYFUNCTION("""COMPUTED_VALUE"""),"")</f>
        <v/>
      </c>
      <c r="F170" s="134" t="str">
        <f ca="1">IFERROR(__xludf.DUMMYFUNCTION("""COMPUTED_VALUE"""),"")</f>
        <v/>
      </c>
      <c r="G170" s="134" t="str">
        <f ca="1">IFERROR(__xludf.DUMMYFUNCTION("""COMPUTED_VALUE"""),"")</f>
        <v/>
      </c>
      <c r="H170" s="134" t="str">
        <f ca="1">IFERROR(__xludf.DUMMYFUNCTION("""COMPUTED_VALUE"""),"")</f>
        <v/>
      </c>
      <c r="I170" s="134" t="str">
        <f ca="1">IFERROR(__xludf.DUMMYFUNCTION("""COMPUTED_VALUE"""),"")</f>
        <v/>
      </c>
      <c r="J170" s="134" t="str">
        <f ca="1">IFERROR(__xludf.DUMMYFUNCTION("""COMPUTED_VALUE"""),"")</f>
        <v/>
      </c>
      <c r="N170" s="31"/>
      <c r="Q170" s="31"/>
    </row>
    <row r="171" spans="1:17" customFormat="1">
      <c r="A171" s="134" t="str">
        <f ca="1">IFERROR(__xludf.DUMMYFUNCTION("""COMPUTED_VALUE"""),"")</f>
        <v/>
      </c>
      <c r="B171" s="134" t="str">
        <f ca="1">IFERROR(__xludf.DUMMYFUNCTION("""COMPUTED_VALUE"""),"")</f>
        <v/>
      </c>
      <c r="C171" s="134" t="str">
        <f ca="1">IFERROR(__xludf.DUMMYFUNCTION("""COMPUTED_VALUE"""),"")</f>
        <v/>
      </c>
      <c r="D171" s="134" t="str">
        <f ca="1">IFERROR(__xludf.DUMMYFUNCTION("""COMPUTED_VALUE"""),"")</f>
        <v/>
      </c>
      <c r="E171" s="134" t="str">
        <f ca="1">IFERROR(__xludf.DUMMYFUNCTION("""COMPUTED_VALUE"""),"")</f>
        <v/>
      </c>
      <c r="F171" s="134" t="str">
        <f ca="1">IFERROR(__xludf.DUMMYFUNCTION("""COMPUTED_VALUE"""),"")</f>
        <v/>
      </c>
      <c r="G171" s="134" t="str">
        <f ca="1">IFERROR(__xludf.DUMMYFUNCTION("""COMPUTED_VALUE"""),"")</f>
        <v/>
      </c>
      <c r="H171" s="134" t="str">
        <f ca="1">IFERROR(__xludf.DUMMYFUNCTION("""COMPUTED_VALUE"""),"")</f>
        <v/>
      </c>
      <c r="I171" s="134" t="str">
        <f ca="1">IFERROR(__xludf.DUMMYFUNCTION("""COMPUTED_VALUE"""),"")</f>
        <v/>
      </c>
      <c r="J171" s="134" t="str">
        <f ca="1">IFERROR(__xludf.DUMMYFUNCTION("""COMPUTED_VALUE"""),"")</f>
        <v/>
      </c>
      <c r="N171" s="31"/>
      <c r="Q171" s="31"/>
    </row>
    <row r="172" spans="1:17" customFormat="1">
      <c r="A172" s="134" t="str">
        <f ca="1">IFERROR(__xludf.DUMMYFUNCTION("""COMPUTED_VALUE"""),"")</f>
        <v/>
      </c>
      <c r="B172" s="134" t="str">
        <f ca="1">IFERROR(__xludf.DUMMYFUNCTION("""COMPUTED_VALUE"""),"")</f>
        <v/>
      </c>
      <c r="C172" s="134" t="str">
        <f ca="1">IFERROR(__xludf.DUMMYFUNCTION("""COMPUTED_VALUE"""),"")</f>
        <v/>
      </c>
      <c r="D172" s="134" t="str">
        <f ca="1">IFERROR(__xludf.DUMMYFUNCTION("""COMPUTED_VALUE"""),"")</f>
        <v/>
      </c>
      <c r="E172" s="134" t="str">
        <f ca="1">IFERROR(__xludf.DUMMYFUNCTION("""COMPUTED_VALUE"""),"")</f>
        <v/>
      </c>
      <c r="F172" s="134" t="str">
        <f ca="1">IFERROR(__xludf.DUMMYFUNCTION("""COMPUTED_VALUE"""),"")</f>
        <v/>
      </c>
      <c r="G172" s="134" t="str">
        <f ca="1">IFERROR(__xludf.DUMMYFUNCTION("""COMPUTED_VALUE"""),"")</f>
        <v/>
      </c>
      <c r="H172" s="134" t="str">
        <f ca="1">IFERROR(__xludf.DUMMYFUNCTION("""COMPUTED_VALUE"""),"")</f>
        <v/>
      </c>
      <c r="I172" s="134" t="str">
        <f ca="1">IFERROR(__xludf.DUMMYFUNCTION("""COMPUTED_VALUE"""),"")</f>
        <v/>
      </c>
      <c r="J172" s="134" t="str">
        <f ca="1">IFERROR(__xludf.DUMMYFUNCTION("""COMPUTED_VALUE"""),"")</f>
        <v/>
      </c>
      <c r="N172" s="31"/>
      <c r="Q172" s="31"/>
    </row>
    <row r="173" spans="1:17" customFormat="1">
      <c r="A173" s="134" t="str">
        <f ca="1">IFERROR(__xludf.DUMMYFUNCTION("""COMPUTED_VALUE"""),"")</f>
        <v/>
      </c>
      <c r="B173" s="134" t="str">
        <f ca="1">IFERROR(__xludf.DUMMYFUNCTION("""COMPUTED_VALUE"""),"")</f>
        <v/>
      </c>
      <c r="C173" s="134" t="str">
        <f ca="1">IFERROR(__xludf.DUMMYFUNCTION("""COMPUTED_VALUE"""),"")</f>
        <v/>
      </c>
      <c r="D173" s="134" t="str">
        <f ca="1">IFERROR(__xludf.DUMMYFUNCTION("""COMPUTED_VALUE"""),"")</f>
        <v/>
      </c>
      <c r="E173" s="134" t="str">
        <f ca="1">IFERROR(__xludf.DUMMYFUNCTION("""COMPUTED_VALUE"""),"")</f>
        <v/>
      </c>
      <c r="F173" s="134" t="str">
        <f ca="1">IFERROR(__xludf.DUMMYFUNCTION("""COMPUTED_VALUE"""),"")</f>
        <v/>
      </c>
      <c r="G173" s="134" t="str">
        <f ca="1">IFERROR(__xludf.DUMMYFUNCTION("""COMPUTED_VALUE"""),"")</f>
        <v/>
      </c>
      <c r="H173" s="134" t="str">
        <f ca="1">IFERROR(__xludf.DUMMYFUNCTION("""COMPUTED_VALUE"""),"")</f>
        <v/>
      </c>
      <c r="I173" s="134" t="str">
        <f ca="1">IFERROR(__xludf.DUMMYFUNCTION("""COMPUTED_VALUE"""),"")</f>
        <v/>
      </c>
      <c r="J173" s="134" t="str">
        <f ca="1">IFERROR(__xludf.DUMMYFUNCTION("""COMPUTED_VALUE"""),"")</f>
        <v/>
      </c>
      <c r="N173" s="31"/>
      <c r="Q173" s="31"/>
    </row>
    <row r="174" spans="1:17" customFormat="1">
      <c r="A174" s="134" t="str">
        <f ca="1">IFERROR(__xludf.DUMMYFUNCTION("""COMPUTED_VALUE"""),"")</f>
        <v/>
      </c>
      <c r="B174" s="134" t="str">
        <f ca="1">IFERROR(__xludf.DUMMYFUNCTION("""COMPUTED_VALUE"""),"")</f>
        <v/>
      </c>
      <c r="C174" s="134" t="str">
        <f ca="1">IFERROR(__xludf.DUMMYFUNCTION("""COMPUTED_VALUE"""),"")</f>
        <v/>
      </c>
      <c r="D174" s="134" t="str">
        <f ca="1">IFERROR(__xludf.DUMMYFUNCTION("""COMPUTED_VALUE"""),"")</f>
        <v/>
      </c>
      <c r="E174" s="134" t="str">
        <f ca="1">IFERROR(__xludf.DUMMYFUNCTION("""COMPUTED_VALUE"""),"")</f>
        <v/>
      </c>
      <c r="F174" s="134" t="str">
        <f ca="1">IFERROR(__xludf.DUMMYFUNCTION("""COMPUTED_VALUE"""),"")</f>
        <v/>
      </c>
      <c r="G174" s="134" t="str">
        <f ca="1">IFERROR(__xludf.DUMMYFUNCTION("""COMPUTED_VALUE"""),"")</f>
        <v/>
      </c>
      <c r="H174" s="134" t="str">
        <f ca="1">IFERROR(__xludf.DUMMYFUNCTION("""COMPUTED_VALUE"""),"")</f>
        <v/>
      </c>
      <c r="I174" s="134" t="str">
        <f ca="1">IFERROR(__xludf.DUMMYFUNCTION("""COMPUTED_VALUE"""),"")</f>
        <v/>
      </c>
      <c r="J174" s="134" t="str">
        <f ca="1">IFERROR(__xludf.DUMMYFUNCTION("""COMPUTED_VALUE"""),"")</f>
        <v/>
      </c>
      <c r="N174" s="31"/>
      <c r="Q174" s="31"/>
    </row>
    <row r="175" spans="1:17" customFormat="1">
      <c r="A175" s="134" t="str">
        <f ca="1">IFERROR(__xludf.DUMMYFUNCTION("""COMPUTED_VALUE"""),"")</f>
        <v/>
      </c>
      <c r="B175" s="134" t="str">
        <f ca="1">IFERROR(__xludf.DUMMYFUNCTION("""COMPUTED_VALUE"""),"")</f>
        <v/>
      </c>
      <c r="C175" s="134" t="str">
        <f ca="1">IFERROR(__xludf.DUMMYFUNCTION("""COMPUTED_VALUE"""),"")</f>
        <v/>
      </c>
      <c r="D175" s="134" t="str">
        <f ca="1">IFERROR(__xludf.DUMMYFUNCTION("""COMPUTED_VALUE"""),"")</f>
        <v/>
      </c>
      <c r="E175" s="134" t="str">
        <f ca="1">IFERROR(__xludf.DUMMYFUNCTION("""COMPUTED_VALUE"""),"")</f>
        <v/>
      </c>
      <c r="F175" s="134" t="str">
        <f ca="1">IFERROR(__xludf.DUMMYFUNCTION("""COMPUTED_VALUE"""),"")</f>
        <v/>
      </c>
      <c r="G175" s="134" t="str">
        <f ca="1">IFERROR(__xludf.DUMMYFUNCTION("""COMPUTED_VALUE"""),"")</f>
        <v/>
      </c>
      <c r="H175" s="134" t="str">
        <f ca="1">IFERROR(__xludf.DUMMYFUNCTION("""COMPUTED_VALUE"""),"")</f>
        <v/>
      </c>
      <c r="I175" s="134" t="str">
        <f ca="1">IFERROR(__xludf.DUMMYFUNCTION("""COMPUTED_VALUE"""),"")</f>
        <v/>
      </c>
      <c r="J175" s="134" t="str">
        <f ca="1">IFERROR(__xludf.DUMMYFUNCTION("""COMPUTED_VALUE"""),"")</f>
        <v/>
      </c>
      <c r="N175" s="31"/>
      <c r="Q175" s="31"/>
    </row>
    <row r="176" spans="1:17" customFormat="1">
      <c r="A176" s="134" t="str">
        <f ca="1">IFERROR(__xludf.DUMMYFUNCTION("""COMPUTED_VALUE"""),"")</f>
        <v/>
      </c>
      <c r="B176" s="134" t="str">
        <f ca="1">IFERROR(__xludf.DUMMYFUNCTION("""COMPUTED_VALUE"""),"")</f>
        <v/>
      </c>
      <c r="C176" s="134" t="str">
        <f ca="1">IFERROR(__xludf.DUMMYFUNCTION("""COMPUTED_VALUE"""),"")</f>
        <v/>
      </c>
      <c r="D176" s="134" t="str">
        <f ca="1">IFERROR(__xludf.DUMMYFUNCTION("""COMPUTED_VALUE"""),"")</f>
        <v/>
      </c>
      <c r="E176" s="134" t="str">
        <f ca="1">IFERROR(__xludf.DUMMYFUNCTION("""COMPUTED_VALUE"""),"")</f>
        <v/>
      </c>
      <c r="F176" s="134" t="str">
        <f ca="1">IFERROR(__xludf.DUMMYFUNCTION("""COMPUTED_VALUE"""),"")</f>
        <v/>
      </c>
      <c r="G176" s="134" t="str">
        <f ca="1">IFERROR(__xludf.DUMMYFUNCTION("""COMPUTED_VALUE"""),"")</f>
        <v/>
      </c>
      <c r="H176" s="134" t="str">
        <f ca="1">IFERROR(__xludf.DUMMYFUNCTION("""COMPUTED_VALUE"""),"")</f>
        <v/>
      </c>
      <c r="I176" s="134" t="str">
        <f ca="1">IFERROR(__xludf.DUMMYFUNCTION("""COMPUTED_VALUE"""),"")</f>
        <v/>
      </c>
      <c r="J176" s="134" t="str">
        <f ca="1">IFERROR(__xludf.DUMMYFUNCTION("""COMPUTED_VALUE"""),"")</f>
        <v/>
      </c>
      <c r="N176" s="31"/>
      <c r="Q176" s="31"/>
    </row>
    <row r="177" spans="1:17" customFormat="1">
      <c r="A177" s="134" t="str">
        <f ca="1">IFERROR(__xludf.DUMMYFUNCTION("""COMPUTED_VALUE"""),"")</f>
        <v/>
      </c>
      <c r="B177" s="134" t="str">
        <f ca="1">IFERROR(__xludf.DUMMYFUNCTION("""COMPUTED_VALUE"""),"")</f>
        <v/>
      </c>
      <c r="C177" s="134" t="str">
        <f ca="1">IFERROR(__xludf.DUMMYFUNCTION("""COMPUTED_VALUE"""),"")</f>
        <v/>
      </c>
      <c r="D177" s="134" t="str">
        <f ca="1">IFERROR(__xludf.DUMMYFUNCTION("""COMPUTED_VALUE"""),"")</f>
        <v/>
      </c>
      <c r="E177" s="134" t="str">
        <f ca="1">IFERROR(__xludf.DUMMYFUNCTION("""COMPUTED_VALUE"""),"")</f>
        <v/>
      </c>
      <c r="F177" s="134" t="str">
        <f ca="1">IFERROR(__xludf.DUMMYFUNCTION("""COMPUTED_VALUE"""),"")</f>
        <v/>
      </c>
      <c r="G177" s="134" t="str">
        <f ca="1">IFERROR(__xludf.DUMMYFUNCTION("""COMPUTED_VALUE"""),"")</f>
        <v/>
      </c>
      <c r="H177" s="134" t="str">
        <f ca="1">IFERROR(__xludf.DUMMYFUNCTION("""COMPUTED_VALUE"""),"")</f>
        <v/>
      </c>
      <c r="I177" s="134" t="str">
        <f ca="1">IFERROR(__xludf.DUMMYFUNCTION("""COMPUTED_VALUE"""),"")</f>
        <v/>
      </c>
      <c r="J177" s="134" t="str">
        <f ca="1">IFERROR(__xludf.DUMMYFUNCTION("""COMPUTED_VALUE"""),"")</f>
        <v/>
      </c>
      <c r="N177" s="31"/>
      <c r="Q177" s="31"/>
    </row>
    <row r="178" spans="1:17" customFormat="1">
      <c r="A178" s="134" t="str">
        <f ca="1">IFERROR(__xludf.DUMMYFUNCTION("""COMPUTED_VALUE"""),"")</f>
        <v/>
      </c>
      <c r="B178" s="134" t="str">
        <f ca="1">IFERROR(__xludf.DUMMYFUNCTION("""COMPUTED_VALUE"""),"")</f>
        <v/>
      </c>
      <c r="C178" s="134" t="str">
        <f ca="1">IFERROR(__xludf.DUMMYFUNCTION("""COMPUTED_VALUE"""),"")</f>
        <v/>
      </c>
      <c r="D178" s="134" t="str">
        <f ca="1">IFERROR(__xludf.DUMMYFUNCTION("""COMPUTED_VALUE"""),"")</f>
        <v/>
      </c>
      <c r="E178" s="134" t="str">
        <f ca="1">IFERROR(__xludf.DUMMYFUNCTION("""COMPUTED_VALUE"""),"")</f>
        <v/>
      </c>
      <c r="F178" s="134" t="str">
        <f ca="1">IFERROR(__xludf.DUMMYFUNCTION("""COMPUTED_VALUE"""),"")</f>
        <v/>
      </c>
      <c r="G178" s="134" t="str">
        <f ca="1">IFERROR(__xludf.DUMMYFUNCTION("""COMPUTED_VALUE"""),"")</f>
        <v/>
      </c>
      <c r="H178" s="134" t="str">
        <f ca="1">IFERROR(__xludf.DUMMYFUNCTION("""COMPUTED_VALUE"""),"")</f>
        <v/>
      </c>
      <c r="I178" s="134" t="str">
        <f ca="1">IFERROR(__xludf.DUMMYFUNCTION("""COMPUTED_VALUE"""),"")</f>
        <v/>
      </c>
      <c r="J178" s="134" t="str">
        <f ca="1">IFERROR(__xludf.DUMMYFUNCTION("""COMPUTED_VALUE"""),"")</f>
        <v/>
      </c>
      <c r="N178" s="31"/>
      <c r="Q178" s="31"/>
    </row>
    <row r="179" spans="1:17" customFormat="1">
      <c r="A179" s="134" t="str">
        <f ca="1">IFERROR(__xludf.DUMMYFUNCTION("""COMPUTED_VALUE"""),"")</f>
        <v/>
      </c>
      <c r="B179" s="134" t="str">
        <f ca="1">IFERROR(__xludf.DUMMYFUNCTION("""COMPUTED_VALUE"""),"")</f>
        <v/>
      </c>
      <c r="C179" s="134" t="str">
        <f ca="1">IFERROR(__xludf.DUMMYFUNCTION("""COMPUTED_VALUE"""),"")</f>
        <v/>
      </c>
      <c r="D179" s="134" t="str">
        <f ca="1">IFERROR(__xludf.DUMMYFUNCTION("""COMPUTED_VALUE"""),"")</f>
        <v/>
      </c>
      <c r="E179" s="134" t="str">
        <f ca="1">IFERROR(__xludf.DUMMYFUNCTION("""COMPUTED_VALUE"""),"")</f>
        <v/>
      </c>
      <c r="F179" s="134" t="str">
        <f ca="1">IFERROR(__xludf.DUMMYFUNCTION("""COMPUTED_VALUE"""),"")</f>
        <v/>
      </c>
      <c r="G179" s="134" t="str">
        <f ca="1">IFERROR(__xludf.DUMMYFUNCTION("""COMPUTED_VALUE"""),"")</f>
        <v/>
      </c>
      <c r="H179" s="134" t="str">
        <f ca="1">IFERROR(__xludf.DUMMYFUNCTION("""COMPUTED_VALUE"""),"")</f>
        <v/>
      </c>
      <c r="I179" s="134" t="str">
        <f ca="1">IFERROR(__xludf.DUMMYFUNCTION("""COMPUTED_VALUE"""),"")</f>
        <v/>
      </c>
      <c r="J179" s="134" t="str">
        <f ca="1">IFERROR(__xludf.DUMMYFUNCTION("""COMPUTED_VALUE"""),"")</f>
        <v/>
      </c>
      <c r="N179" s="31"/>
      <c r="Q179" s="31"/>
    </row>
    <row r="180" spans="1:17" customFormat="1">
      <c r="A180" s="134" t="str">
        <f ca="1">IFERROR(__xludf.DUMMYFUNCTION("""COMPUTED_VALUE"""),"")</f>
        <v/>
      </c>
      <c r="B180" s="134" t="str">
        <f ca="1">IFERROR(__xludf.DUMMYFUNCTION("""COMPUTED_VALUE"""),"")</f>
        <v/>
      </c>
      <c r="C180" s="134" t="str">
        <f ca="1">IFERROR(__xludf.DUMMYFUNCTION("""COMPUTED_VALUE"""),"")</f>
        <v/>
      </c>
      <c r="D180" s="134" t="str">
        <f ca="1">IFERROR(__xludf.DUMMYFUNCTION("""COMPUTED_VALUE"""),"")</f>
        <v/>
      </c>
      <c r="E180" s="134" t="str">
        <f ca="1">IFERROR(__xludf.DUMMYFUNCTION("""COMPUTED_VALUE"""),"")</f>
        <v/>
      </c>
      <c r="F180" s="134" t="str">
        <f ca="1">IFERROR(__xludf.DUMMYFUNCTION("""COMPUTED_VALUE"""),"")</f>
        <v/>
      </c>
      <c r="G180" s="134" t="str">
        <f ca="1">IFERROR(__xludf.DUMMYFUNCTION("""COMPUTED_VALUE"""),"")</f>
        <v/>
      </c>
      <c r="H180" s="134" t="str">
        <f ca="1">IFERROR(__xludf.DUMMYFUNCTION("""COMPUTED_VALUE"""),"")</f>
        <v/>
      </c>
      <c r="I180" s="134" t="str">
        <f ca="1">IFERROR(__xludf.DUMMYFUNCTION("""COMPUTED_VALUE"""),"")</f>
        <v/>
      </c>
      <c r="J180" s="134" t="str">
        <f ca="1">IFERROR(__xludf.DUMMYFUNCTION("""COMPUTED_VALUE"""),"")</f>
        <v/>
      </c>
      <c r="N180" s="31"/>
      <c r="Q180" s="31"/>
    </row>
    <row r="181" spans="1:17" customFormat="1">
      <c r="A181" s="134" t="str">
        <f ca="1">IFERROR(__xludf.DUMMYFUNCTION("""COMPUTED_VALUE"""),"")</f>
        <v/>
      </c>
      <c r="B181" s="134" t="str">
        <f ca="1">IFERROR(__xludf.DUMMYFUNCTION("""COMPUTED_VALUE"""),"")</f>
        <v/>
      </c>
      <c r="C181" s="134" t="str">
        <f ca="1">IFERROR(__xludf.DUMMYFUNCTION("""COMPUTED_VALUE"""),"")</f>
        <v/>
      </c>
      <c r="D181" s="134" t="str">
        <f ca="1">IFERROR(__xludf.DUMMYFUNCTION("""COMPUTED_VALUE"""),"")</f>
        <v/>
      </c>
      <c r="E181" s="134" t="str">
        <f ca="1">IFERROR(__xludf.DUMMYFUNCTION("""COMPUTED_VALUE"""),"")</f>
        <v/>
      </c>
      <c r="F181" s="134" t="str">
        <f ca="1">IFERROR(__xludf.DUMMYFUNCTION("""COMPUTED_VALUE"""),"")</f>
        <v/>
      </c>
      <c r="G181" s="134" t="str">
        <f ca="1">IFERROR(__xludf.DUMMYFUNCTION("""COMPUTED_VALUE"""),"")</f>
        <v/>
      </c>
      <c r="H181" s="134" t="str">
        <f ca="1">IFERROR(__xludf.DUMMYFUNCTION("""COMPUTED_VALUE"""),"")</f>
        <v/>
      </c>
      <c r="I181" s="134" t="str">
        <f ca="1">IFERROR(__xludf.DUMMYFUNCTION("""COMPUTED_VALUE"""),"")</f>
        <v/>
      </c>
      <c r="J181" s="134" t="str">
        <f ca="1">IFERROR(__xludf.DUMMYFUNCTION("""COMPUTED_VALUE"""),"")</f>
        <v/>
      </c>
      <c r="N181" s="31"/>
      <c r="Q181" s="31"/>
    </row>
    <row r="182" spans="1:17" customFormat="1">
      <c r="A182" s="134" t="str">
        <f ca="1">IFERROR(__xludf.DUMMYFUNCTION("""COMPUTED_VALUE"""),"")</f>
        <v/>
      </c>
      <c r="B182" s="134" t="str">
        <f ca="1">IFERROR(__xludf.DUMMYFUNCTION("""COMPUTED_VALUE"""),"")</f>
        <v/>
      </c>
      <c r="C182" s="134" t="str">
        <f ca="1">IFERROR(__xludf.DUMMYFUNCTION("""COMPUTED_VALUE"""),"")</f>
        <v/>
      </c>
      <c r="D182" s="134" t="str">
        <f ca="1">IFERROR(__xludf.DUMMYFUNCTION("""COMPUTED_VALUE"""),"")</f>
        <v/>
      </c>
      <c r="E182" s="134" t="str">
        <f ca="1">IFERROR(__xludf.DUMMYFUNCTION("""COMPUTED_VALUE"""),"")</f>
        <v/>
      </c>
      <c r="F182" s="134" t="str">
        <f ca="1">IFERROR(__xludf.DUMMYFUNCTION("""COMPUTED_VALUE"""),"")</f>
        <v/>
      </c>
      <c r="G182" s="134" t="str">
        <f ca="1">IFERROR(__xludf.DUMMYFUNCTION("""COMPUTED_VALUE"""),"")</f>
        <v/>
      </c>
      <c r="H182" s="134" t="str">
        <f ca="1">IFERROR(__xludf.DUMMYFUNCTION("""COMPUTED_VALUE"""),"")</f>
        <v/>
      </c>
      <c r="I182" s="134" t="str">
        <f ca="1">IFERROR(__xludf.DUMMYFUNCTION("""COMPUTED_VALUE"""),"")</f>
        <v/>
      </c>
      <c r="J182" s="134" t="str">
        <f ca="1">IFERROR(__xludf.DUMMYFUNCTION("""COMPUTED_VALUE"""),"")</f>
        <v/>
      </c>
      <c r="N182" s="31"/>
      <c r="Q182" s="31"/>
    </row>
    <row r="183" spans="1:17" customFormat="1">
      <c r="A183" s="134" t="str">
        <f ca="1">IFERROR(__xludf.DUMMYFUNCTION("""COMPUTED_VALUE"""),"")</f>
        <v/>
      </c>
      <c r="B183" s="134" t="str">
        <f ca="1">IFERROR(__xludf.DUMMYFUNCTION("""COMPUTED_VALUE"""),"")</f>
        <v/>
      </c>
      <c r="C183" s="134" t="str">
        <f ca="1">IFERROR(__xludf.DUMMYFUNCTION("""COMPUTED_VALUE"""),"")</f>
        <v/>
      </c>
      <c r="D183" s="134" t="str">
        <f ca="1">IFERROR(__xludf.DUMMYFUNCTION("""COMPUTED_VALUE"""),"")</f>
        <v/>
      </c>
      <c r="E183" s="134" t="str">
        <f ca="1">IFERROR(__xludf.DUMMYFUNCTION("""COMPUTED_VALUE"""),"")</f>
        <v/>
      </c>
      <c r="F183" s="134" t="str">
        <f ca="1">IFERROR(__xludf.DUMMYFUNCTION("""COMPUTED_VALUE"""),"")</f>
        <v/>
      </c>
      <c r="G183" s="134" t="str">
        <f ca="1">IFERROR(__xludf.DUMMYFUNCTION("""COMPUTED_VALUE"""),"")</f>
        <v/>
      </c>
      <c r="H183" s="134" t="str">
        <f ca="1">IFERROR(__xludf.DUMMYFUNCTION("""COMPUTED_VALUE"""),"")</f>
        <v/>
      </c>
      <c r="I183" s="134" t="str">
        <f ca="1">IFERROR(__xludf.DUMMYFUNCTION("""COMPUTED_VALUE"""),"")</f>
        <v/>
      </c>
      <c r="J183" s="134" t="str">
        <f ca="1">IFERROR(__xludf.DUMMYFUNCTION("""COMPUTED_VALUE"""),"")</f>
        <v/>
      </c>
      <c r="N183" s="31"/>
      <c r="Q183" s="31"/>
    </row>
    <row r="184" spans="1:17" customFormat="1">
      <c r="A184" s="134" t="str">
        <f ca="1">IFERROR(__xludf.DUMMYFUNCTION("""COMPUTED_VALUE"""),"")</f>
        <v/>
      </c>
      <c r="B184" s="134" t="str">
        <f ca="1">IFERROR(__xludf.DUMMYFUNCTION("""COMPUTED_VALUE"""),"")</f>
        <v/>
      </c>
      <c r="C184" s="134" t="str">
        <f ca="1">IFERROR(__xludf.DUMMYFUNCTION("""COMPUTED_VALUE"""),"")</f>
        <v/>
      </c>
      <c r="D184" s="134" t="str">
        <f ca="1">IFERROR(__xludf.DUMMYFUNCTION("""COMPUTED_VALUE"""),"")</f>
        <v/>
      </c>
      <c r="E184" s="134" t="str">
        <f ca="1">IFERROR(__xludf.DUMMYFUNCTION("""COMPUTED_VALUE"""),"")</f>
        <v/>
      </c>
      <c r="F184" s="134" t="str">
        <f ca="1">IFERROR(__xludf.DUMMYFUNCTION("""COMPUTED_VALUE"""),"")</f>
        <v/>
      </c>
      <c r="G184" s="134" t="str">
        <f ca="1">IFERROR(__xludf.DUMMYFUNCTION("""COMPUTED_VALUE"""),"")</f>
        <v/>
      </c>
      <c r="H184" s="134" t="str">
        <f ca="1">IFERROR(__xludf.DUMMYFUNCTION("""COMPUTED_VALUE"""),"")</f>
        <v/>
      </c>
      <c r="I184" s="134" t="str">
        <f ca="1">IFERROR(__xludf.DUMMYFUNCTION("""COMPUTED_VALUE"""),"")</f>
        <v/>
      </c>
      <c r="J184" s="134" t="str">
        <f ca="1">IFERROR(__xludf.DUMMYFUNCTION("""COMPUTED_VALUE"""),"")</f>
        <v/>
      </c>
      <c r="N184" s="31"/>
      <c r="Q184" s="31"/>
    </row>
    <row r="185" spans="1:17" customFormat="1">
      <c r="A185" s="134" t="str">
        <f ca="1">IFERROR(__xludf.DUMMYFUNCTION("""COMPUTED_VALUE"""),"")</f>
        <v/>
      </c>
      <c r="B185" s="134" t="str">
        <f ca="1">IFERROR(__xludf.DUMMYFUNCTION("""COMPUTED_VALUE"""),"")</f>
        <v/>
      </c>
      <c r="C185" s="134" t="str">
        <f ca="1">IFERROR(__xludf.DUMMYFUNCTION("""COMPUTED_VALUE"""),"")</f>
        <v/>
      </c>
      <c r="D185" s="134" t="str">
        <f ca="1">IFERROR(__xludf.DUMMYFUNCTION("""COMPUTED_VALUE"""),"")</f>
        <v/>
      </c>
      <c r="E185" s="134" t="str">
        <f ca="1">IFERROR(__xludf.DUMMYFUNCTION("""COMPUTED_VALUE"""),"")</f>
        <v/>
      </c>
      <c r="F185" s="134" t="str">
        <f ca="1">IFERROR(__xludf.DUMMYFUNCTION("""COMPUTED_VALUE"""),"")</f>
        <v/>
      </c>
      <c r="G185" s="134" t="str">
        <f ca="1">IFERROR(__xludf.DUMMYFUNCTION("""COMPUTED_VALUE"""),"")</f>
        <v/>
      </c>
      <c r="H185" s="134" t="str">
        <f ca="1">IFERROR(__xludf.DUMMYFUNCTION("""COMPUTED_VALUE"""),"")</f>
        <v/>
      </c>
      <c r="I185" s="134" t="str">
        <f ca="1">IFERROR(__xludf.DUMMYFUNCTION("""COMPUTED_VALUE"""),"")</f>
        <v/>
      </c>
      <c r="J185" s="134" t="str">
        <f ca="1">IFERROR(__xludf.DUMMYFUNCTION("""COMPUTED_VALUE"""),"")</f>
        <v/>
      </c>
      <c r="N185" s="31"/>
      <c r="Q185" s="31"/>
    </row>
    <row r="186" spans="1:17" customFormat="1">
      <c r="A186" s="134" t="str">
        <f ca="1">IFERROR(__xludf.DUMMYFUNCTION("""COMPUTED_VALUE"""),"")</f>
        <v/>
      </c>
      <c r="B186" s="134" t="str">
        <f ca="1">IFERROR(__xludf.DUMMYFUNCTION("""COMPUTED_VALUE"""),"")</f>
        <v/>
      </c>
      <c r="C186" s="134" t="str">
        <f ca="1">IFERROR(__xludf.DUMMYFUNCTION("""COMPUTED_VALUE"""),"")</f>
        <v/>
      </c>
      <c r="D186" s="134" t="str">
        <f ca="1">IFERROR(__xludf.DUMMYFUNCTION("""COMPUTED_VALUE"""),"")</f>
        <v/>
      </c>
      <c r="E186" s="134" t="str">
        <f ca="1">IFERROR(__xludf.DUMMYFUNCTION("""COMPUTED_VALUE"""),"")</f>
        <v/>
      </c>
      <c r="F186" s="134" t="str">
        <f ca="1">IFERROR(__xludf.DUMMYFUNCTION("""COMPUTED_VALUE"""),"")</f>
        <v/>
      </c>
      <c r="G186" s="134" t="str">
        <f ca="1">IFERROR(__xludf.DUMMYFUNCTION("""COMPUTED_VALUE"""),"")</f>
        <v/>
      </c>
      <c r="H186" s="134" t="str">
        <f ca="1">IFERROR(__xludf.DUMMYFUNCTION("""COMPUTED_VALUE"""),"")</f>
        <v/>
      </c>
      <c r="I186" s="134" t="str">
        <f ca="1">IFERROR(__xludf.DUMMYFUNCTION("""COMPUTED_VALUE"""),"")</f>
        <v/>
      </c>
      <c r="J186" s="134" t="str">
        <f ca="1">IFERROR(__xludf.DUMMYFUNCTION("""COMPUTED_VALUE"""),"")</f>
        <v/>
      </c>
      <c r="N186" s="31"/>
      <c r="Q186" s="31"/>
    </row>
    <row r="187" spans="1:17" customFormat="1">
      <c r="A187" s="134" t="str">
        <f ca="1">IFERROR(__xludf.DUMMYFUNCTION("""COMPUTED_VALUE"""),"")</f>
        <v/>
      </c>
      <c r="B187" s="134" t="str">
        <f ca="1">IFERROR(__xludf.DUMMYFUNCTION("""COMPUTED_VALUE"""),"")</f>
        <v/>
      </c>
      <c r="C187" s="134" t="str">
        <f ca="1">IFERROR(__xludf.DUMMYFUNCTION("""COMPUTED_VALUE"""),"")</f>
        <v/>
      </c>
      <c r="D187" s="134" t="str">
        <f ca="1">IFERROR(__xludf.DUMMYFUNCTION("""COMPUTED_VALUE"""),"")</f>
        <v/>
      </c>
      <c r="E187" s="134" t="str">
        <f ca="1">IFERROR(__xludf.DUMMYFUNCTION("""COMPUTED_VALUE"""),"")</f>
        <v/>
      </c>
      <c r="F187" s="134" t="str">
        <f ca="1">IFERROR(__xludf.DUMMYFUNCTION("""COMPUTED_VALUE"""),"")</f>
        <v/>
      </c>
      <c r="G187" s="134" t="str">
        <f ca="1">IFERROR(__xludf.DUMMYFUNCTION("""COMPUTED_VALUE"""),"")</f>
        <v/>
      </c>
      <c r="H187" s="134" t="str">
        <f ca="1">IFERROR(__xludf.DUMMYFUNCTION("""COMPUTED_VALUE"""),"")</f>
        <v/>
      </c>
      <c r="I187" s="134" t="str">
        <f ca="1">IFERROR(__xludf.DUMMYFUNCTION("""COMPUTED_VALUE"""),"")</f>
        <v/>
      </c>
      <c r="J187" s="134" t="str">
        <f ca="1">IFERROR(__xludf.DUMMYFUNCTION("""COMPUTED_VALUE"""),"")</f>
        <v/>
      </c>
      <c r="N187" s="31"/>
      <c r="Q187" s="31"/>
    </row>
    <row r="188" spans="1:17" customFormat="1">
      <c r="A188" s="134" t="str">
        <f ca="1">IFERROR(__xludf.DUMMYFUNCTION("""COMPUTED_VALUE"""),"")</f>
        <v/>
      </c>
      <c r="B188" s="134" t="str">
        <f ca="1">IFERROR(__xludf.DUMMYFUNCTION("""COMPUTED_VALUE"""),"")</f>
        <v/>
      </c>
      <c r="C188" s="134" t="str">
        <f ca="1">IFERROR(__xludf.DUMMYFUNCTION("""COMPUTED_VALUE"""),"")</f>
        <v/>
      </c>
      <c r="D188" s="134" t="str">
        <f ca="1">IFERROR(__xludf.DUMMYFUNCTION("""COMPUTED_VALUE"""),"")</f>
        <v/>
      </c>
      <c r="E188" s="134" t="str">
        <f ca="1">IFERROR(__xludf.DUMMYFUNCTION("""COMPUTED_VALUE"""),"")</f>
        <v/>
      </c>
      <c r="F188" s="134" t="str">
        <f ca="1">IFERROR(__xludf.DUMMYFUNCTION("""COMPUTED_VALUE"""),"")</f>
        <v/>
      </c>
      <c r="G188" s="134" t="str">
        <f ca="1">IFERROR(__xludf.DUMMYFUNCTION("""COMPUTED_VALUE"""),"")</f>
        <v/>
      </c>
      <c r="H188" s="134" t="str">
        <f ca="1">IFERROR(__xludf.DUMMYFUNCTION("""COMPUTED_VALUE"""),"")</f>
        <v/>
      </c>
      <c r="I188" s="134" t="str">
        <f ca="1">IFERROR(__xludf.DUMMYFUNCTION("""COMPUTED_VALUE"""),"")</f>
        <v/>
      </c>
      <c r="J188" s="134" t="str">
        <f ca="1">IFERROR(__xludf.DUMMYFUNCTION("""COMPUTED_VALUE"""),"")</f>
        <v/>
      </c>
      <c r="N188" s="31"/>
      <c r="Q188" s="31"/>
    </row>
    <row r="189" spans="1:17" customFormat="1">
      <c r="A189" s="134" t="str">
        <f ca="1">IFERROR(__xludf.DUMMYFUNCTION("""COMPUTED_VALUE"""),"")</f>
        <v/>
      </c>
      <c r="B189" s="134" t="str">
        <f ca="1">IFERROR(__xludf.DUMMYFUNCTION("""COMPUTED_VALUE"""),"")</f>
        <v/>
      </c>
      <c r="C189" s="134" t="str">
        <f ca="1">IFERROR(__xludf.DUMMYFUNCTION("""COMPUTED_VALUE"""),"")</f>
        <v/>
      </c>
      <c r="D189" s="134" t="str">
        <f ca="1">IFERROR(__xludf.DUMMYFUNCTION("""COMPUTED_VALUE"""),"")</f>
        <v/>
      </c>
      <c r="E189" s="134" t="str">
        <f ca="1">IFERROR(__xludf.DUMMYFUNCTION("""COMPUTED_VALUE"""),"")</f>
        <v/>
      </c>
      <c r="F189" s="134" t="str">
        <f ca="1">IFERROR(__xludf.DUMMYFUNCTION("""COMPUTED_VALUE"""),"")</f>
        <v/>
      </c>
      <c r="G189" s="134" t="str">
        <f ca="1">IFERROR(__xludf.DUMMYFUNCTION("""COMPUTED_VALUE"""),"")</f>
        <v/>
      </c>
      <c r="H189" s="134" t="str">
        <f ca="1">IFERROR(__xludf.DUMMYFUNCTION("""COMPUTED_VALUE"""),"")</f>
        <v/>
      </c>
      <c r="I189" s="134" t="str">
        <f ca="1">IFERROR(__xludf.DUMMYFUNCTION("""COMPUTED_VALUE"""),"")</f>
        <v/>
      </c>
      <c r="J189" s="134" t="str">
        <f ca="1">IFERROR(__xludf.DUMMYFUNCTION("""COMPUTED_VALUE"""),"")</f>
        <v/>
      </c>
      <c r="N189" s="31"/>
      <c r="Q189" s="31"/>
    </row>
    <row r="190" spans="1:17" customFormat="1">
      <c r="A190" s="134" t="str">
        <f ca="1">IFERROR(__xludf.DUMMYFUNCTION("""COMPUTED_VALUE"""),"")</f>
        <v/>
      </c>
      <c r="B190" s="134" t="str">
        <f ca="1">IFERROR(__xludf.DUMMYFUNCTION("""COMPUTED_VALUE"""),"")</f>
        <v/>
      </c>
      <c r="C190" s="134" t="str">
        <f ca="1">IFERROR(__xludf.DUMMYFUNCTION("""COMPUTED_VALUE"""),"")</f>
        <v/>
      </c>
      <c r="D190" s="134" t="str">
        <f ca="1">IFERROR(__xludf.DUMMYFUNCTION("""COMPUTED_VALUE"""),"")</f>
        <v/>
      </c>
      <c r="E190" s="134" t="str">
        <f ca="1">IFERROR(__xludf.DUMMYFUNCTION("""COMPUTED_VALUE"""),"")</f>
        <v/>
      </c>
      <c r="F190" s="134" t="str">
        <f ca="1">IFERROR(__xludf.DUMMYFUNCTION("""COMPUTED_VALUE"""),"")</f>
        <v/>
      </c>
      <c r="G190" s="134" t="str">
        <f ca="1">IFERROR(__xludf.DUMMYFUNCTION("""COMPUTED_VALUE"""),"")</f>
        <v/>
      </c>
      <c r="H190" s="134" t="str">
        <f ca="1">IFERROR(__xludf.DUMMYFUNCTION("""COMPUTED_VALUE"""),"")</f>
        <v/>
      </c>
      <c r="I190" s="134" t="str">
        <f ca="1">IFERROR(__xludf.DUMMYFUNCTION("""COMPUTED_VALUE"""),"")</f>
        <v/>
      </c>
      <c r="J190" s="134" t="str">
        <f ca="1">IFERROR(__xludf.DUMMYFUNCTION("""COMPUTED_VALUE"""),"")</f>
        <v/>
      </c>
      <c r="N190" s="31"/>
      <c r="Q190" s="31"/>
    </row>
    <row r="191" spans="1:17" customFormat="1">
      <c r="A191" s="134" t="str">
        <f ca="1">IFERROR(__xludf.DUMMYFUNCTION("""COMPUTED_VALUE"""),"")</f>
        <v/>
      </c>
      <c r="B191" s="134" t="str">
        <f ca="1">IFERROR(__xludf.DUMMYFUNCTION("""COMPUTED_VALUE"""),"")</f>
        <v/>
      </c>
      <c r="C191" s="134" t="str">
        <f ca="1">IFERROR(__xludf.DUMMYFUNCTION("""COMPUTED_VALUE"""),"")</f>
        <v/>
      </c>
      <c r="D191" s="134" t="str">
        <f ca="1">IFERROR(__xludf.DUMMYFUNCTION("""COMPUTED_VALUE"""),"")</f>
        <v/>
      </c>
      <c r="E191" s="134" t="str">
        <f ca="1">IFERROR(__xludf.DUMMYFUNCTION("""COMPUTED_VALUE"""),"")</f>
        <v/>
      </c>
      <c r="F191" s="134" t="str">
        <f ca="1">IFERROR(__xludf.DUMMYFUNCTION("""COMPUTED_VALUE"""),"")</f>
        <v/>
      </c>
      <c r="G191" s="134" t="str">
        <f ca="1">IFERROR(__xludf.DUMMYFUNCTION("""COMPUTED_VALUE"""),"")</f>
        <v/>
      </c>
      <c r="H191" s="134" t="str">
        <f ca="1">IFERROR(__xludf.DUMMYFUNCTION("""COMPUTED_VALUE"""),"")</f>
        <v/>
      </c>
      <c r="I191" s="134" t="str">
        <f ca="1">IFERROR(__xludf.DUMMYFUNCTION("""COMPUTED_VALUE"""),"")</f>
        <v/>
      </c>
      <c r="J191" s="134" t="str">
        <f ca="1">IFERROR(__xludf.DUMMYFUNCTION("""COMPUTED_VALUE"""),"")</f>
        <v/>
      </c>
      <c r="N191" s="31"/>
      <c r="Q191" s="31"/>
    </row>
    <row r="192" spans="1:17" customFormat="1">
      <c r="A192" s="134" t="str">
        <f ca="1">IFERROR(__xludf.DUMMYFUNCTION("""COMPUTED_VALUE"""),"")</f>
        <v/>
      </c>
      <c r="B192" s="134" t="str">
        <f ca="1">IFERROR(__xludf.DUMMYFUNCTION("""COMPUTED_VALUE"""),"")</f>
        <v/>
      </c>
      <c r="C192" s="134" t="str">
        <f ca="1">IFERROR(__xludf.DUMMYFUNCTION("""COMPUTED_VALUE"""),"")</f>
        <v/>
      </c>
      <c r="D192" s="134" t="str">
        <f ca="1">IFERROR(__xludf.DUMMYFUNCTION("""COMPUTED_VALUE"""),"")</f>
        <v/>
      </c>
      <c r="E192" s="134" t="str">
        <f ca="1">IFERROR(__xludf.DUMMYFUNCTION("""COMPUTED_VALUE"""),"")</f>
        <v/>
      </c>
      <c r="F192" s="134" t="str">
        <f ca="1">IFERROR(__xludf.DUMMYFUNCTION("""COMPUTED_VALUE"""),"")</f>
        <v/>
      </c>
      <c r="G192" s="134" t="str">
        <f ca="1">IFERROR(__xludf.DUMMYFUNCTION("""COMPUTED_VALUE"""),"")</f>
        <v/>
      </c>
      <c r="H192" s="134" t="str">
        <f ca="1">IFERROR(__xludf.DUMMYFUNCTION("""COMPUTED_VALUE"""),"")</f>
        <v/>
      </c>
      <c r="I192" s="134" t="str">
        <f ca="1">IFERROR(__xludf.DUMMYFUNCTION("""COMPUTED_VALUE"""),"")</f>
        <v/>
      </c>
      <c r="J192" s="134" t="str">
        <f ca="1">IFERROR(__xludf.DUMMYFUNCTION("""COMPUTED_VALUE"""),"")</f>
        <v/>
      </c>
      <c r="N192" s="31"/>
      <c r="Q192" s="31"/>
    </row>
    <row r="193" spans="1:17" customFormat="1">
      <c r="A193" s="134" t="str">
        <f ca="1">IFERROR(__xludf.DUMMYFUNCTION("""COMPUTED_VALUE"""),"")</f>
        <v/>
      </c>
      <c r="B193" s="134" t="str">
        <f ca="1">IFERROR(__xludf.DUMMYFUNCTION("""COMPUTED_VALUE"""),"")</f>
        <v/>
      </c>
      <c r="C193" s="134" t="str">
        <f ca="1">IFERROR(__xludf.DUMMYFUNCTION("""COMPUTED_VALUE"""),"")</f>
        <v/>
      </c>
      <c r="D193" s="134" t="str">
        <f ca="1">IFERROR(__xludf.DUMMYFUNCTION("""COMPUTED_VALUE"""),"")</f>
        <v/>
      </c>
      <c r="E193" s="134" t="str">
        <f ca="1">IFERROR(__xludf.DUMMYFUNCTION("""COMPUTED_VALUE"""),"")</f>
        <v/>
      </c>
      <c r="F193" s="134" t="str">
        <f ca="1">IFERROR(__xludf.DUMMYFUNCTION("""COMPUTED_VALUE"""),"")</f>
        <v/>
      </c>
      <c r="G193" s="134" t="str">
        <f ca="1">IFERROR(__xludf.DUMMYFUNCTION("""COMPUTED_VALUE"""),"")</f>
        <v/>
      </c>
      <c r="H193" s="134" t="str">
        <f ca="1">IFERROR(__xludf.DUMMYFUNCTION("""COMPUTED_VALUE"""),"")</f>
        <v/>
      </c>
      <c r="I193" s="134" t="str">
        <f ca="1">IFERROR(__xludf.DUMMYFUNCTION("""COMPUTED_VALUE"""),"")</f>
        <v/>
      </c>
      <c r="J193" s="134" t="str">
        <f ca="1">IFERROR(__xludf.DUMMYFUNCTION("""COMPUTED_VALUE"""),"")</f>
        <v/>
      </c>
      <c r="N193" s="31"/>
      <c r="Q193" s="31"/>
    </row>
    <row r="194" spans="1:17" customFormat="1">
      <c r="A194" s="134" t="str">
        <f ca="1">IFERROR(__xludf.DUMMYFUNCTION("""COMPUTED_VALUE"""),"")</f>
        <v/>
      </c>
      <c r="B194" s="134" t="str">
        <f ca="1">IFERROR(__xludf.DUMMYFUNCTION("""COMPUTED_VALUE"""),"")</f>
        <v/>
      </c>
      <c r="C194" s="134" t="str">
        <f ca="1">IFERROR(__xludf.DUMMYFUNCTION("""COMPUTED_VALUE"""),"")</f>
        <v/>
      </c>
      <c r="D194" s="134" t="str">
        <f ca="1">IFERROR(__xludf.DUMMYFUNCTION("""COMPUTED_VALUE"""),"")</f>
        <v/>
      </c>
      <c r="E194" s="134" t="str">
        <f ca="1">IFERROR(__xludf.DUMMYFUNCTION("""COMPUTED_VALUE"""),"")</f>
        <v/>
      </c>
      <c r="F194" s="134" t="str">
        <f ca="1">IFERROR(__xludf.DUMMYFUNCTION("""COMPUTED_VALUE"""),"")</f>
        <v/>
      </c>
      <c r="G194" s="134" t="str">
        <f ca="1">IFERROR(__xludf.DUMMYFUNCTION("""COMPUTED_VALUE"""),"")</f>
        <v/>
      </c>
      <c r="H194" s="134" t="str">
        <f ca="1">IFERROR(__xludf.DUMMYFUNCTION("""COMPUTED_VALUE"""),"")</f>
        <v/>
      </c>
      <c r="I194" s="134" t="str">
        <f ca="1">IFERROR(__xludf.DUMMYFUNCTION("""COMPUTED_VALUE"""),"")</f>
        <v/>
      </c>
      <c r="J194" s="134" t="str">
        <f ca="1">IFERROR(__xludf.DUMMYFUNCTION("""COMPUTED_VALUE"""),"")</f>
        <v/>
      </c>
      <c r="N194" s="31"/>
      <c r="Q194" s="31"/>
    </row>
    <row r="195" spans="1:17" customFormat="1">
      <c r="A195" s="134" t="str">
        <f ca="1">IFERROR(__xludf.DUMMYFUNCTION("""COMPUTED_VALUE"""),"")</f>
        <v/>
      </c>
      <c r="B195" s="134" t="str">
        <f ca="1">IFERROR(__xludf.DUMMYFUNCTION("""COMPUTED_VALUE"""),"")</f>
        <v/>
      </c>
      <c r="C195" s="134" t="str">
        <f ca="1">IFERROR(__xludf.DUMMYFUNCTION("""COMPUTED_VALUE"""),"")</f>
        <v/>
      </c>
      <c r="D195" s="134" t="str">
        <f ca="1">IFERROR(__xludf.DUMMYFUNCTION("""COMPUTED_VALUE"""),"")</f>
        <v/>
      </c>
      <c r="E195" s="134" t="str">
        <f ca="1">IFERROR(__xludf.DUMMYFUNCTION("""COMPUTED_VALUE"""),"")</f>
        <v/>
      </c>
      <c r="F195" s="134" t="str">
        <f ca="1">IFERROR(__xludf.DUMMYFUNCTION("""COMPUTED_VALUE"""),"")</f>
        <v/>
      </c>
      <c r="G195" s="134" t="str">
        <f ca="1">IFERROR(__xludf.DUMMYFUNCTION("""COMPUTED_VALUE"""),"")</f>
        <v/>
      </c>
      <c r="H195" s="134" t="str">
        <f ca="1">IFERROR(__xludf.DUMMYFUNCTION("""COMPUTED_VALUE"""),"")</f>
        <v/>
      </c>
      <c r="I195" s="134" t="str">
        <f ca="1">IFERROR(__xludf.DUMMYFUNCTION("""COMPUTED_VALUE"""),"")</f>
        <v/>
      </c>
      <c r="J195" s="134" t="str">
        <f ca="1">IFERROR(__xludf.DUMMYFUNCTION("""COMPUTED_VALUE"""),"")</f>
        <v/>
      </c>
      <c r="N195" s="31"/>
      <c r="Q195" s="31"/>
    </row>
    <row r="196" spans="1:17" customFormat="1">
      <c r="A196" s="134" t="str">
        <f ca="1">IFERROR(__xludf.DUMMYFUNCTION("""COMPUTED_VALUE"""),"")</f>
        <v/>
      </c>
      <c r="B196" s="134" t="str">
        <f ca="1">IFERROR(__xludf.DUMMYFUNCTION("""COMPUTED_VALUE"""),"")</f>
        <v/>
      </c>
      <c r="C196" s="134" t="str">
        <f ca="1">IFERROR(__xludf.DUMMYFUNCTION("""COMPUTED_VALUE"""),"")</f>
        <v/>
      </c>
      <c r="D196" s="134" t="str">
        <f ca="1">IFERROR(__xludf.DUMMYFUNCTION("""COMPUTED_VALUE"""),"")</f>
        <v/>
      </c>
      <c r="E196" s="134" t="str">
        <f ca="1">IFERROR(__xludf.DUMMYFUNCTION("""COMPUTED_VALUE"""),"")</f>
        <v/>
      </c>
      <c r="F196" s="134" t="str">
        <f ca="1">IFERROR(__xludf.DUMMYFUNCTION("""COMPUTED_VALUE"""),"")</f>
        <v/>
      </c>
      <c r="G196" s="134" t="str">
        <f ca="1">IFERROR(__xludf.DUMMYFUNCTION("""COMPUTED_VALUE"""),"")</f>
        <v/>
      </c>
      <c r="H196" s="134" t="str">
        <f ca="1">IFERROR(__xludf.DUMMYFUNCTION("""COMPUTED_VALUE"""),"")</f>
        <v/>
      </c>
      <c r="I196" s="134" t="str">
        <f ca="1">IFERROR(__xludf.DUMMYFUNCTION("""COMPUTED_VALUE"""),"")</f>
        <v/>
      </c>
      <c r="J196" s="134" t="str">
        <f ca="1">IFERROR(__xludf.DUMMYFUNCTION("""COMPUTED_VALUE"""),"")</f>
        <v/>
      </c>
      <c r="N196" s="31"/>
      <c r="Q196" s="31"/>
    </row>
    <row r="197" spans="1:17" customFormat="1">
      <c r="A197" s="134" t="str">
        <f ca="1">IFERROR(__xludf.DUMMYFUNCTION("""COMPUTED_VALUE"""),"")</f>
        <v/>
      </c>
      <c r="B197" s="134" t="str">
        <f ca="1">IFERROR(__xludf.DUMMYFUNCTION("""COMPUTED_VALUE"""),"")</f>
        <v/>
      </c>
      <c r="C197" s="134" t="str">
        <f ca="1">IFERROR(__xludf.DUMMYFUNCTION("""COMPUTED_VALUE"""),"")</f>
        <v/>
      </c>
      <c r="D197" s="134" t="str">
        <f ca="1">IFERROR(__xludf.DUMMYFUNCTION("""COMPUTED_VALUE"""),"")</f>
        <v/>
      </c>
      <c r="E197" s="134" t="str">
        <f ca="1">IFERROR(__xludf.DUMMYFUNCTION("""COMPUTED_VALUE"""),"")</f>
        <v/>
      </c>
      <c r="F197" s="134" t="str">
        <f ca="1">IFERROR(__xludf.DUMMYFUNCTION("""COMPUTED_VALUE"""),"")</f>
        <v/>
      </c>
      <c r="G197" s="134" t="str">
        <f ca="1">IFERROR(__xludf.DUMMYFUNCTION("""COMPUTED_VALUE"""),"")</f>
        <v/>
      </c>
      <c r="H197" s="134" t="str">
        <f ca="1">IFERROR(__xludf.DUMMYFUNCTION("""COMPUTED_VALUE"""),"")</f>
        <v/>
      </c>
      <c r="I197" s="134" t="str">
        <f ca="1">IFERROR(__xludf.DUMMYFUNCTION("""COMPUTED_VALUE"""),"")</f>
        <v/>
      </c>
      <c r="J197" s="134" t="str">
        <f ca="1">IFERROR(__xludf.DUMMYFUNCTION("""COMPUTED_VALUE"""),"")</f>
        <v/>
      </c>
      <c r="N197" s="31"/>
      <c r="Q197" s="31"/>
    </row>
    <row r="198" spans="1:17" customFormat="1">
      <c r="A198" s="134" t="str">
        <f ca="1">IFERROR(__xludf.DUMMYFUNCTION("""COMPUTED_VALUE"""),"")</f>
        <v/>
      </c>
      <c r="B198" s="134" t="str">
        <f ca="1">IFERROR(__xludf.DUMMYFUNCTION("""COMPUTED_VALUE"""),"")</f>
        <v/>
      </c>
      <c r="C198" s="134" t="str">
        <f ca="1">IFERROR(__xludf.DUMMYFUNCTION("""COMPUTED_VALUE"""),"")</f>
        <v/>
      </c>
      <c r="D198" s="134" t="str">
        <f ca="1">IFERROR(__xludf.DUMMYFUNCTION("""COMPUTED_VALUE"""),"")</f>
        <v/>
      </c>
      <c r="E198" s="134" t="str">
        <f ca="1">IFERROR(__xludf.DUMMYFUNCTION("""COMPUTED_VALUE"""),"")</f>
        <v/>
      </c>
      <c r="F198" s="134" t="str">
        <f ca="1">IFERROR(__xludf.DUMMYFUNCTION("""COMPUTED_VALUE"""),"")</f>
        <v/>
      </c>
      <c r="G198" s="134" t="str">
        <f ca="1">IFERROR(__xludf.DUMMYFUNCTION("""COMPUTED_VALUE"""),"")</f>
        <v/>
      </c>
      <c r="H198" s="134" t="str">
        <f ca="1">IFERROR(__xludf.DUMMYFUNCTION("""COMPUTED_VALUE"""),"")</f>
        <v/>
      </c>
      <c r="I198" s="134" t="str">
        <f ca="1">IFERROR(__xludf.DUMMYFUNCTION("""COMPUTED_VALUE"""),"")</f>
        <v/>
      </c>
      <c r="J198" s="134" t="str">
        <f ca="1">IFERROR(__xludf.DUMMYFUNCTION("""COMPUTED_VALUE"""),"")</f>
        <v/>
      </c>
      <c r="N198" s="31"/>
      <c r="Q198" s="31"/>
    </row>
    <row r="199" spans="1:17" customFormat="1">
      <c r="A199" s="134" t="str">
        <f ca="1">IFERROR(__xludf.DUMMYFUNCTION("""COMPUTED_VALUE"""),"")</f>
        <v/>
      </c>
      <c r="B199" s="134" t="str">
        <f ca="1">IFERROR(__xludf.DUMMYFUNCTION("""COMPUTED_VALUE"""),"")</f>
        <v/>
      </c>
      <c r="C199" s="134" t="str">
        <f ca="1">IFERROR(__xludf.DUMMYFUNCTION("""COMPUTED_VALUE"""),"")</f>
        <v/>
      </c>
      <c r="D199" s="134" t="str">
        <f ca="1">IFERROR(__xludf.DUMMYFUNCTION("""COMPUTED_VALUE"""),"")</f>
        <v/>
      </c>
      <c r="E199" s="134" t="str">
        <f ca="1">IFERROR(__xludf.DUMMYFUNCTION("""COMPUTED_VALUE"""),"")</f>
        <v/>
      </c>
      <c r="F199" s="134" t="str">
        <f ca="1">IFERROR(__xludf.DUMMYFUNCTION("""COMPUTED_VALUE"""),"")</f>
        <v/>
      </c>
      <c r="G199" s="134" t="str">
        <f ca="1">IFERROR(__xludf.DUMMYFUNCTION("""COMPUTED_VALUE"""),"")</f>
        <v/>
      </c>
      <c r="H199" s="134" t="str">
        <f ca="1">IFERROR(__xludf.DUMMYFUNCTION("""COMPUTED_VALUE"""),"")</f>
        <v/>
      </c>
      <c r="I199" s="134" t="str">
        <f ca="1">IFERROR(__xludf.DUMMYFUNCTION("""COMPUTED_VALUE"""),"")</f>
        <v/>
      </c>
      <c r="J199" s="134" t="str">
        <f ca="1">IFERROR(__xludf.DUMMYFUNCTION("""COMPUTED_VALUE"""),"")</f>
        <v/>
      </c>
      <c r="N199" s="31"/>
      <c r="Q199" s="31"/>
    </row>
    <row r="200" spans="1:17" customFormat="1">
      <c r="A200" s="134" t="str">
        <f ca="1">IFERROR(__xludf.DUMMYFUNCTION("""COMPUTED_VALUE"""),"")</f>
        <v/>
      </c>
      <c r="B200" s="134" t="str">
        <f ca="1">IFERROR(__xludf.DUMMYFUNCTION("""COMPUTED_VALUE"""),"")</f>
        <v/>
      </c>
      <c r="C200" s="134" t="str">
        <f ca="1">IFERROR(__xludf.DUMMYFUNCTION("""COMPUTED_VALUE"""),"")</f>
        <v/>
      </c>
      <c r="D200" s="134" t="str">
        <f ca="1">IFERROR(__xludf.DUMMYFUNCTION("""COMPUTED_VALUE"""),"")</f>
        <v/>
      </c>
      <c r="E200" s="134" t="str">
        <f ca="1">IFERROR(__xludf.DUMMYFUNCTION("""COMPUTED_VALUE"""),"")</f>
        <v/>
      </c>
      <c r="F200" s="134" t="str">
        <f ca="1">IFERROR(__xludf.DUMMYFUNCTION("""COMPUTED_VALUE"""),"")</f>
        <v/>
      </c>
      <c r="G200" s="134" t="str">
        <f ca="1">IFERROR(__xludf.DUMMYFUNCTION("""COMPUTED_VALUE"""),"")</f>
        <v/>
      </c>
      <c r="H200" s="134" t="str">
        <f ca="1">IFERROR(__xludf.DUMMYFUNCTION("""COMPUTED_VALUE"""),"")</f>
        <v/>
      </c>
      <c r="I200" s="134" t="str">
        <f ca="1">IFERROR(__xludf.DUMMYFUNCTION("""COMPUTED_VALUE"""),"")</f>
        <v/>
      </c>
      <c r="J200" s="134" t="str">
        <f ca="1">IFERROR(__xludf.DUMMYFUNCTION("""COMPUTED_VALUE"""),"")</f>
        <v/>
      </c>
      <c r="N200" s="31"/>
      <c r="Q200" s="31"/>
    </row>
    <row r="201" spans="1:17" customFormat="1">
      <c r="A201" s="134" t="str">
        <f ca="1">IFERROR(__xludf.DUMMYFUNCTION("""COMPUTED_VALUE"""),"")</f>
        <v/>
      </c>
      <c r="B201" s="134" t="str">
        <f ca="1">IFERROR(__xludf.DUMMYFUNCTION("""COMPUTED_VALUE"""),"")</f>
        <v/>
      </c>
      <c r="C201" s="134" t="str">
        <f ca="1">IFERROR(__xludf.DUMMYFUNCTION("""COMPUTED_VALUE"""),"")</f>
        <v/>
      </c>
      <c r="D201" s="134" t="str">
        <f ca="1">IFERROR(__xludf.DUMMYFUNCTION("""COMPUTED_VALUE"""),"")</f>
        <v/>
      </c>
      <c r="E201" s="134" t="str">
        <f ca="1">IFERROR(__xludf.DUMMYFUNCTION("""COMPUTED_VALUE"""),"")</f>
        <v/>
      </c>
      <c r="F201" s="134" t="str">
        <f ca="1">IFERROR(__xludf.DUMMYFUNCTION("""COMPUTED_VALUE"""),"")</f>
        <v/>
      </c>
      <c r="G201" s="134" t="str">
        <f ca="1">IFERROR(__xludf.DUMMYFUNCTION("""COMPUTED_VALUE"""),"")</f>
        <v/>
      </c>
      <c r="H201" s="134" t="str">
        <f ca="1">IFERROR(__xludf.DUMMYFUNCTION("""COMPUTED_VALUE"""),"")</f>
        <v/>
      </c>
      <c r="I201" s="134" t="str">
        <f ca="1">IFERROR(__xludf.DUMMYFUNCTION("""COMPUTED_VALUE"""),"")</f>
        <v/>
      </c>
      <c r="J201" s="134" t="str">
        <f ca="1">IFERROR(__xludf.DUMMYFUNCTION("""COMPUTED_VALUE"""),"")</f>
        <v/>
      </c>
      <c r="N201" s="31"/>
      <c r="Q201" s="31"/>
    </row>
    <row r="202" spans="1:17" customFormat="1">
      <c r="A202" s="134" t="str">
        <f ca="1">IFERROR(__xludf.DUMMYFUNCTION("""COMPUTED_VALUE"""),"")</f>
        <v/>
      </c>
      <c r="B202" s="134" t="str">
        <f ca="1">IFERROR(__xludf.DUMMYFUNCTION("""COMPUTED_VALUE"""),"")</f>
        <v/>
      </c>
      <c r="C202" s="134" t="str">
        <f ca="1">IFERROR(__xludf.DUMMYFUNCTION("""COMPUTED_VALUE"""),"")</f>
        <v/>
      </c>
      <c r="D202" s="134" t="str">
        <f ca="1">IFERROR(__xludf.DUMMYFUNCTION("""COMPUTED_VALUE"""),"")</f>
        <v/>
      </c>
      <c r="E202" s="134" t="str">
        <f ca="1">IFERROR(__xludf.DUMMYFUNCTION("""COMPUTED_VALUE"""),"")</f>
        <v/>
      </c>
      <c r="F202" s="134" t="str">
        <f ca="1">IFERROR(__xludf.DUMMYFUNCTION("""COMPUTED_VALUE"""),"")</f>
        <v/>
      </c>
      <c r="G202" s="134" t="str">
        <f ca="1">IFERROR(__xludf.DUMMYFUNCTION("""COMPUTED_VALUE"""),"")</f>
        <v/>
      </c>
      <c r="H202" s="134" t="str">
        <f ca="1">IFERROR(__xludf.DUMMYFUNCTION("""COMPUTED_VALUE"""),"")</f>
        <v/>
      </c>
      <c r="I202" s="134" t="str">
        <f ca="1">IFERROR(__xludf.DUMMYFUNCTION("""COMPUTED_VALUE"""),"")</f>
        <v/>
      </c>
      <c r="J202" s="134" t="str">
        <f ca="1">IFERROR(__xludf.DUMMYFUNCTION("""COMPUTED_VALUE"""),"")</f>
        <v/>
      </c>
      <c r="N202" s="31"/>
      <c r="Q202" s="31"/>
    </row>
    <row r="203" spans="1:17" customFormat="1">
      <c r="A203" s="134" t="str">
        <f ca="1">IFERROR(__xludf.DUMMYFUNCTION("""COMPUTED_VALUE"""),"")</f>
        <v/>
      </c>
      <c r="B203" s="134" t="str">
        <f ca="1">IFERROR(__xludf.DUMMYFUNCTION("""COMPUTED_VALUE"""),"")</f>
        <v/>
      </c>
      <c r="C203" s="134" t="str">
        <f ca="1">IFERROR(__xludf.DUMMYFUNCTION("""COMPUTED_VALUE"""),"")</f>
        <v/>
      </c>
      <c r="D203" s="134" t="str">
        <f ca="1">IFERROR(__xludf.DUMMYFUNCTION("""COMPUTED_VALUE"""),"")</f>
        <v/>
      </c>
      <c r="E203" s="134" t="str">
        <f ca="1">IFERROR(__xludf.DUMMYFUNCTION("""COMPUTED_VALUE"""),"")</f>
        <v/>
      </c>
      <c r="F203" s="134" t="str">
        <f ca="1">IFERROR(__xludf.DUMMYFUNCTION("""COMPUTED_VALUE"""),"")</f>
        <v/>
      </c>
      <c r="G203" s="134" t="str">
        <f ca="1">IFERROR(__xludf.DUMMYFUNCTION("""COMPUTED_VALUE"""),"")</f>
        <v/>
      </c>
      <c r="H203" s="134" t="str">
        <f ca="1">IFERROR(__xludf.DUMMYFUNCTION("""COMPUTED_VALUE"""),"")</f>
        <v/>
      </c>
      <c r="I203" s="134" t="str">
        <f ca="1">IFERROR(__xludf.DUMMYFUNCTION("""COMPUTED_VALUE"""),"")</f>
        <v/>
      </c>
      <c r="J203" s="134" t="str">
        <f ca="1">IFERROR(__xludf.DUMMYFUNCTION("""COMPUTED_VALUE"""),"")</f>
        <v/>
      </c>
      <c r="N203" s="31"/>
      <c r="Q203" s="31"/>
    </row>
    <row r="204" spans="1:17" customFormat="1">
      <c r="A204" s="134" t="str">
        <f ca="1">IFERROR(__xludf.DUMMYFUNCTION("""COMPUTED_VALUE"""),"")</f>
        <v/>
      </c>
      <c r="B204" s="134" t="str">
        <f ca="1">IFERROR(__xludf.DUMMYFUNCTION("""COMPUTED_VALUE"""),"")</f>
        <v/>
      </c>
      <c r="C204" s="134" t="str">
        <f ca="1">IFERROR(__xludf.DUMMYFUNCTION("""COMPUTED_VALUE"""),"")</f>
        <v/>
      </c>
      <c r="D204" s="134" t="str">
        <f ca="1">IFERROR(__xludf.DUMMYFUNCTION("""COMPUTED_VALUE"""),"")</f>
        <v/>
      </c>
      <c r="E204" s="134" t="str">
        <f ca="1">IFERROR(__xludf.DUMMYFUNCTION("""COMPUTED_VALUE"""),"")</f>
        <v/>
      </c>
      <c r="F204" s="134" t="str">
        <f ca="1">IFERROR(__xludf.DUMMYFUNCTION("""COMPUTED_VALUE"""),"")</f>
        <v/>
      </c>
      <c r="G204" s="134" t="str">
        <f ca="1">IFERROR(__xludf.DUMMYFUNCTION("""COMPUTED_VALUE"""),"")</f>
        <v/>
      </c>
      <c r="H204" s="134" t="str">
        <f ca="1">IFERROR(__xludf.DUMMYFUNCTION("""COMPUTED_VALUE"""),"")</f>
        <v/>
      </c>
      <c r="I204" s="134" t="str">
        <f ca="1">IFERROR(__xludf.DUMMYFUNCTION("""COMPUTED_VALUE"""),"")</f>
        <v/>
      </c>
      <c r="J204" s="134" t="str">
        <f ca="1">IFERROR(__xludf.DUMMYFUNCTION("""COMPUTED_VALUE"""),"")</f>
        <v/>
      </c>
      <c r="N204" s="31"/>
      <c r="Q204" s="31"/>
    </row>
    <row r="205" spans="1:17" customFormat="1">
      <c r="A205" s="134" t="str">
        <f ca="1">IFERROR(__xludf.DUMMYFUNCTION("""COMPUTED_VALUE"""),"")</f>
        <v/>
      </c>
      <c r="B205" s="134" t="str">
        <f ca="1">IFERROR(__xludf.DUMMYFUNCTION("""COMPUTED_VALUE"""),"")</f>
        <v/>
      </c>
      <c r="C205" s="134" t="str">
        <f ca="1">IFERROR(__xludf.DUMMYFUNCTION("""COMPUTED_VALUE"""),"")</f>
        <v/>
      </c>
      <c r="D205" s="134" t="str">
        <f ca="1">IFERROR(__xludf.DUMMYFUNCTION("""COMPUTED_VALUE"""),"")</f>
        <v/>
      </c>
      <c r="E205" s="134" t="str">
        <f ca="1">IFERROR(__xludf.DUMMYFUNCTION("""COMPUTED_VALUE"""),"")</f>
        <v/>
      </c>
      <c r="F205" s="134" t="str">
        <f ca="1">IFERROR(__xludf.DUMMYFUNCTION("""COMPUTED_VALUE"""),"")</f>
        <v/>
      </c>
      <c r="G205" s="134" t="str">
        <f ca="1">IFERROR(__xludf.DUMMYFUNCTION("""COMPUTED_VALUE"""),"")</f>
        <v/>
      </c>
      <c r="H205" s="134" t="str">
        <f ca="1">IFERROR(__xludf.DUMMYFUNCTION("""COMPUTED_VALUE"""),"")</f>
        <v/>
      </c>
      <c r="I205" s="134" t="str">
        <f ca="1">IFERROR(__xludf.DUMMYFUNCTION("""COMPUTED_VALUE"""),"")</f>
        <v/>
      </c>
      <c r="J205" s="134" t="str">
        <f ca="1">IFERROR(__xludf.DUMMYFUNCTION("""COMPUTED_VALUE"""),"")</f>
        <v/>
      </c>
      <c r="N205" s="31"/>
      <c r="Q205" s="31"/>
    </row>
    <row r="206" spans="1:17" customFormat="1">
      <c r="A206" s="134" t="str">
        <f ca="1">IFERROR(__xludf.DUMMYFUNCTION("""COMPUTED_VALUE"""),"")</f>
        <v/>
      </c>
      <c r="B206" s="134" t="str">
        <f ca="1">IFERROR(__xludf.DUMMYFUNCTION("""COMPUTED_VALUE"""),"")</f>
        <v/>
      </c>
      <c r="C206" s="134" t="str">
        <f ca="1">IFERROR(__xludf.DUMMYFUNCTION("""COMPUTED_VALUE"""),"")</f>
        <v/>
      </c>
      <c r="D206" s="134" t="str">
        <f ca="1">IFERROR(__xludf.DUMMYFUNCTION("""COMPUTED_VALUE"""),"")</f>
        <v/>
      </c>
      <c r="E206" s="134" t="str">
        <f ca="1">IFERROR(__xludf.DUMMYFUNCTION("""COMPUTED_VALUE"""),"")</f>
        <v/>
      </c>
      <c r="F206" s="134" t="str">
        <f ca="1">IFERROR(__xludf.DUMMYFUNCTION("""COMPUTED_VALUE"""),"")</f>
        <v/>
      </c>
      <c r="G206" s="134" t="str">
        <f ca="1">IFERROR(__xludf.DUMMYFUNCTION("""COMPUTED_VALUE"""),"")</f>
        <v/>
      </c>
      <c r="H206" s="134" t="str">
        <f ca="1">IFERROR(__xludf.DUMMYFUNCTION("""COMPUTED_VALUE"""),"")</f>
        <v/>
      </c>
      <c r="I206" s="134" t="str">
        <f ca="1">IFERROR(__xludf.DUMMYFUNCTION("""COMPUTED_VALUE"""),"")</f>
        <v/>
      </c>
      <c r="J206" s="134" t="str">
        <f ca="1">IFERROR(__xludf.DUMMYFUNCTION("""COMPUTED_VALUE"""),"")</f>
        <v/>
      </c>
      <c r="N206" s="31"/>
      <c r="Q206" s="31"/>
    </row>
    <row r="207" spans="1:17" customFormat="1">
      <c r="A207" s="134" t="str">
        <f ca="1">IFERROR(__xludf.DUMMYFUNCTION("""COMPUTED_VALUE"""),"")</f>
        <v/>
      </c>
      <c r="B207" s="134" t="str">
        <f ca="1">IFERROR(__xludf.DUMMYFUNCTION("""COMPUTED_VALUE"""),"")</f>
        <v/>
      </c>
      <c r="C207" s="134" t="str">
        <f ca="1">IFERROR(__xludf.DUMMYFUNCTION("""COMPUTED_VALUE"""),"")</f>
        <v/>
      </c>
      <c r="D207" s="134" t="str">
        <f ca="1">IFERROR(__xludf.DUMMYFUNCTION("""COMPUTED_VALUE"""),"")</f>
        <v/>
      </c>
      <c r="E207" s="134" t="str">
        <f ca="1">IFERROR(__xludf.DUMMYFUNCTION("""COMPUTED_VALUE"""),"")</f>
        <v/>
      </c>
      <c r="F207" s="134" t="str">
        <f ca="1">IFERROR(__xludf.DUMMYFUNCTION("""COMPUTED_VALUE"""),"")</f>
        <v/>
      </c>
      <c r="G207" s="134" t="str">
        <f ca="1">IFERROR(__xludf.DUMMYFUNCTION("""COMPUTED_VALUE"""),"")</f>
        <v/>
      </c>
      <c r="H207" s="134" t="str">
        <f ca="1">IFERROR(__xludf.DUMMYFUNCTION("""COMPUTED_VALUE"""),"")</f>
        <v/>
      </c>
      <c r="I207" s="134" t="str">
        <f ca="1">IFERROR(__xludf.DUMMYFUNCTION("""COMPUTED_VALUE"""),"")</f>
        <v/>
      </c>
      <c r="J207" s="134" t="str">
        <f ca="1">IFERROR(__xludf.DUMMYFUNCTION("""COMPUTED_VALUE"""),"")</f>
        <v/>
      </c>
      <c r="N207" s="31"/>
      <c r="Q207" s="31"/>
    </row>
    <row r="208" spans="1:17" customFormat="1">
      <c r="A208" s="134" t="str">
        <f ca="1">IFERROR(__xludf.DUMMYFUNCTION("""COMPUTED_VALUE"""),"")</f>
        <v/>
      </c>
      <c r="B208" s="134" t="str">
        <f ca="1">IFERROR(__xludf.DUMMYFUNCTION("""COMPUTED_VALUE"""),"")</f>
        <v/>
      </c>
      <c r="C208" s="134" t="str">
        <f ca="1">IFERROR(__xludf.DUMMYFUNCTION("""COMPUTED_VALUE"""),"")</f>
        <v/>
      </c>
      <c r="D208" s="134" t="str">
        <f ca="1">IFERROR(__xludf.DUMMYFUNCTION("""COMPUTED_VALUE"""),"")</f>
        <v/>
      </c>
      <c r="E208" s="134" t="str">
        <f ca="1">IFERROR(__xludf.DUMMYFUNCTION("""COMPUTED_VALUE"""),"")</f>
        <v/>
      </c>
      <c r="F208" s="134" t="str">
        <f ca="1">IFERROR(__xludf.DUMMYFUNCTION("""COMPUTED_VALUE"""),"")</f>
        <v/>
      </c>
      <c r="G208" s="134" t="str">
        <f ca="1">IFERROR(__xludf.DUMMYFUNCTION("""COMPUTED_VALUE"""),"")</f>
        <v/>
      </c>
      <c r="H208" s="134" t="str">
        <f ca="1">IFERROR(__xludf.DUMMYFUNCTION("""COMPUTED_VALUE"""),"")</f>
        <v/>
      </c>
      <c r="I208" s="134" t="str">
        <f ca="1">IFERROR(__xludf.DUMMYFUNCTION("""COMPUTED_VALUE"""),"")</f>
        <v/>
      </c>
      <c r="J208" s="134" t="str">
        <f ca="1">IFERROR(__xludf.DUMMYFUNCTION("""COMPUTED_VALUE"""),"")</f>
        <v/>
      </c>
      <c r="N208" s="31"/>
      <c r="Q208" s="31"/>
    </row>
    <row r="209" spans="1:17" customFormat="1">
      <c r="A209" s="134" t="str">
        <f ca="1">IFERROR(__xludf.DUMMYFUNCTION("""COMPUTED_VALUE"""),"")</f>
        <v/>
      </c>
      <c r="B209" s="134" t="str">
        <f ca="1">IFERROR(__xludf.DUMMYFUNCTION("""COMPUTED_VALUE"""),"")</f>
        <v/>
      </c>
      <c r="C209" s="134" t="str">
        <f ca="1">IFERROR(__xludf.DUMMYFUNCTION("""COMPUTED_VALUE"""),"")</f>
        <v/>
      </c>
      <c r="D209" s="134" t="str">
        <f ca="1">IFERROR(__xludf.DUMMYFUNCTION("""COMPUTED_VALUE"""),"")</f>
        <v/>
      </c>
      <c r="E209" s="134" t="str">
        <f ca="1">IFERROR(__xludf.DUMMYFUNCTION("""COMPUTED_VALUE"""),"")</f>
        <v/>
      </c>
      <c r="F209" s="134" t="str">
        <f ca="1">IFERROR(__xludf.DUMMYFUNCTION("""COMPUTED_VALUE"""),"")</f>
        <v/>
      </c>
      <c r="G209" s="134" t="str">
        <f ca="1">IFERROR(__xludf.DUMMYFUNCTION("""COMPUTED_VALUE"""),"")</f>
        <v/>
      </c>
      <c r="H209" s="134" t="str">
        <f ca="1">IFERROR(__xludf.DUMMYFUNCTION("""COMPUTED_VALUE"""),"")</f>
        <v/>
      </c>
      <c r="I209" s="134" t="str">
        <f ca="1">IFERROR(__xludf.DUMMYFUNCTION("""COMPUTED_VALUE"""),"")</f>
        <v/>
      </c>
      <c r="J209" s="134" t="str">
        <f ca="1">IFERROR(__xludf.DUMMYFUNCTION("""COMPUTED_VALUE"""),"")</f>
        <v/>
      </c>
      <c r="N209" s="31"/>
      <c r="Q209" s="31"/>
    </row>
    <row r="210" spans="1:17" customFormat="1">
      <c r="A210" s="134" t="str">
        <f ca="1">IFERROR(__xludf.DUMMYFUNCTION("""COMPUTED_VALUE"""),"")</f>
        <v/>
      </c>
      <c r="B210" s="134" t="str">
        <f ca="1">IFERROR(__xludf.DUMMYFUNCTION("""COMPUTED_VALUE"""),"")</f>
        <v/>
      </c>
      <c r="C210" s="134" t="str">
        <f ca="1">IFERROR(__xludf.DUMMYFUNCTION("""COMPUTED_VALUE"""),"")</f>
        <v/>
      </c>
      <c r="D210" s="134" t="str">
        <f ca="1">IFERROR(__xludf.DUMMYFUNCTION("""COMPUTED_VALUE"""),"")</f>
        <v/>
      </c>
      <c r="E210" s="134" t="str">
        <f ca="1">IFERROR(__xludf.DUMMYFUNCTION("""COMPUTED_VALUE"""),"")</f>
        <v/>
      </c>
      <c r="F210" s="134" t="str">
        <f ca="1">IFERROR(__xludf.DUMMYFUNCTION("""COMPUTED_VALUE"""),"")</f>
        <v/>
      </c>
      <c r="G210" s="134" t="str">
        <f ca="1">IFERROR(__xludf.DUMMYFUNCTION("""COMPUTED_VALUE"""),"")</f>
        <v/>
      </c>
      <c r="H210" s="134" t="str">
        <f ca="1">IFERROR(__xludf.DUMMYFUNCTION("""COMPUTED_VALUE"""),"")</f>
        <v/>
      </c>
      <c r="I210" s="134" t="str">
        <f ca="1">IFERROR(__xludf.DUMMYFUNCTION("""COMPUTED_VALUE"""),"")</f>
        <v/>
      </c>
      <c r="J210" s="134" t="str">
        <f ca="1">IFERROR(__xludf.DUMMYFUNCTION("""COMPUTED_VALUE"""),"")</f>
        <v/>
      </c>
      <c r="N210" s="31"/>
      <c r="Q210" s="31"/>
    </row>
    <row r="211" spans="1:17" customFormat="1">
      <c r="A211" s="134" t="str">
        <f ca="1">IFERROR(__xludf.DUMMYFUNCTION("""COMPUTED_VALUE"""),"")</f>
        <v/>
      </c>
      <c r="B211" s="134" t="str">
        <f ca="1">IFERROR(__xludf.DUMMYFUNCTION("""COMPUTED_VALUE"""),"")</f>
        <v/>
      </c>
      <c r="C211" s="134" t="str">
        <f ca="1">IFERROR(__xludf.DUMMYFUNCTION("""COMPUTED_VALUE"""),"")</f>
        <v/>
      </c>
      <c r="D211" s="134" t="str">
        <f ca="1">IFERROR(__xludf.DUMMYFUNCTION("""COMPUTED_VALUE"""),"")</f>
        <v/>
      </c>
      <c r="E211" s="134" t="str">
        <f ca="1">IFERROR(__xludf.DUMMYFUNCTION("""COMPUTED_VALUE"""),"")</f>
        <v/>
      </c>
      <c r="F211" s="134" t="str">
        <f ca="1">IFERROR(__xludf.DUMMYFUNCTION("""COMPUTED_VALUE"""),"")</f>
        <v/>
      </c>
      <c r="G211" s="134" t="str">
        <f ca="1">IFERROR(__xludf.DUMMYFUNCTION("""COMPUTED_VALUE"""),"")</f>
        <v/>
      </c>
      <c r="H211" s="134" t="str">
        <f ca="1">IFERROR(__xludf.DUMMYFUNCTION("""COMPUTED_VALUE"""),"")</f>
        <v/>
      </c>
      <c r="I211" s="134" t="str">
        <f ca="1">IFERROR(__xludf.DUMMYFUNCTION("""COMPUTED_VALUE"""),"")</f>
        <v/>
      </c>
      <c r="J211" s="134" t="str">
        <f ca="1">IFERROR(__xludf.DUMMYFUNCTION("""COMPUTED_VALUE"""),"")</f>
        <v/>
      </c>
      <c r="N211" s="31"/>
      <c r="Q211" s="31"/>
    </row>
    <row r="212" spans="1:17" customFormat="1">
      <c r="A212" s="134" t="str">
        <f ca="1">IFERROR(__xludf.DUMMYFUNCTION("""COMPUTED_VALUE"""),"")</f>
        <v/>
      </c>
      <c r="B212" s="134" t="str">
        <f ca="1">IFERROR(__xludf.DUMMYFUNCTION("""COMPUTED_VALUE"""),"")</f>
        <v/>
      </c>
      <c r="C212" s="134" t="str">
        <f ca="1">IFERROR(__xludf.DUMMYFUNCTION("""COMPUTED_VALUE"""),"")</f>
        <v/>
      </c>
      <c r="D212" s="134" t="str">
        <f ca="1">IFERROR(__xludf.DUMMYFUNCTION("""COMPUTED_VALUE"""),"")</f>
        <v/>
      </c>
      <c r="E212" s="134" t="str">
        <f ca="1">IFERROR(__xludf.DUMMYFUNCTION("""COMPUTED_VALUE"""),"")</f>
        <v/>
      </c>
      <c r="F212" s="134" t="str">
        <f ca="1">IFERROR(__xludf.DUMMYFUNCTION("""COMPUTED_VALUE"""),"")</f>
        <v/>
      </c>
      <c r="G212" s="134" t="str">
        <f ca="1">IFERROR(__xludf.DUMMYFUNCTION("""COMPUTED_VALUE"""),"")</f>
        <v/>
      </c>
      <c r="H212" s="134" t="str">
        <f ca="1">IFERROR(__xludf.DUMMYFUNCTION("""COMPUTED_VALUE"""),"")</f>
        <v/>
      </c>
      <c r="I212" s="134" t="str">
        <f ca="1">IFERROR(__xludf.DUMMYFUNCTION("""COMPUTED_VALUE"""),"")</f>
        <v/>
      </c>
      <c r="J212" s="134" t="str">
        <f ca="1">IFERROR(__xludf.DUMMYFUNCTION("""COMPUTED_VALUE"""),"")</f>
        <v/>
      </c>
      <c r="N212" s="31"/>
      <c r="Q212" s="31"/>
    </row>
    <row r="213" spans="1:17" customFormat="1">
      <c r="A213" s="134" t="str">
        <f ca="1">IFERROR(__xludf.DUMMYFUNCTION("""COMPUTED_VALUE"""),"")</f>
        <v/>
      </c>
      <c r="B213" s="134" t="str">
        <f ca="1">IFERROR(__xludf.DUMMYFUNCTION("""COMPUTED_VALUE"""),"")</f>
        <v/>
      </c>
      <c r="C213" s="134" t="str">
        <f ca="1">IFERROR(__xludf.DUMMYFUNCTION("""COMPUTED_VALUE"""),"")</f>
        <v/>
      </c>
      <c r="D213" s="134" t="str">
        <f ca="1">IFERROR(__xludf.DUMMYFUNCTION("""COMPUTED_VALUE"""),"")</f>
        <v/>
      </c>
      <c r="E213" s="134" t="str">
        <f ca="1">IFERROR(__xludf.DUMMYFUNCTION("""COMPUTED_VALUE"""),"")</f>
        <v/>
      </c>
      <c r="F213" s="134" t="str">
        <f ca="1">IFERROR(__xludf.DUMMYFUNCTION("""COMPUTED_VALUE"""),"")</f>
        <v/>
      </c>
      <c r="G213" s="134" t="str">
        <f ca="1">IFERROR(__xludf.DUMMYFUNCTION("""COMPUTED_VALUE"""),"")</f>
        <v/>
      </c>
      <c r="H213" s="134" t="str">
        <f ca="1">IFERROR(__xludf.DUMMYFUNCTION("""COMPUTED_VALUE"""),"")</f>
        <v/>
      </c>
      <c r="I213" s="134" t="str">
        <f ca="1">IFERROR(__xludf.DUMMYFUNCTION("""COMPUTED_VALUE"""),"")</f>
        <v/>
      </c>
      <c r="J213" s="134" t="str">
        <f ca="1">IFERROR(__xludf.DUMMYFUNCTION("""COMPUTED_VALUE"""),"")</f>
        <v/>
      </c>
      <c r="N213" s="31"/>
      <c r="Q213" s="31"/>
    </row>
    <row r="214" spans="1:17" customFormat="1">
      <c r="A214" s="134" t="str">
        <f ca="1">IFERROR(__xludf.DUMMYFUNCTION("""COMPUTED_VALUE"""),"")</f>
        <v/>
      </c>
      <c r="B214" s="134" t="str">
        <f ca="1">IFERROR(__xludf.DUMMYFUNCTION("""COMPUTED_VALUE"""),"")</f>
        <v/>
      </c>
      <c r="C214" s="134" t="str">
        <f ca="1">IFERROR(__xludf.DUMMYFUNCTION("""COMPUTED_VALUE"""),"")</f>
        <v/>
      </c>
      <c r="D214" s="134" t="str">
        <f ca="1">IFERROR(__xludf.DUMMYFUNCTION("""COMPUTED_VALUE"""),"")</f>
        <v/>
      </c>
      <c r="E214" s="134" t="str">
        <f ca="1">IFERROR(__xludf.DUMMYFUNCTION("""COMPUTED_VALUE"""),"")</f>
        <v/>
      </c>
      <c r="F214" s="134" t="str">
        <f ca="1">IFERROR(__xludf.DUMMYFUNCTION("""COMPUTED_VALUE"""),"")</f>
        <v/>
      </c>
      <c r="G214" s="134" t="str">
        <f ca="1">IFERROR(__xludf.DUMMYFUNCTION("""COMPUTED_VALUE"""),"")</f>
        <v/>
      </c>
      <c r="H214" s="134" t="str">
        <f ca="1">IFERROR(__xludf.DUMMYFUNCTION("""COMPUTED_VALUE"""),"")</f>
        <v/>
      </c>
      <c r="I214" s="134" t="str">
        <f ca="1">IFERROR(__xludf.DUMMYFUNCTION("""COMPUTED_VALUE"""),"")</f>
        <v/>
      </c>
      <c r="J214" s="134" t="str">
        <f ca="1">IFERROR(__xludf.DUMMYFUNCTION("""COMPUTED_VALUE"""),"")</f>
        <v/>
      </c>
      <c r="N214" s="31"/>
      <c r="Q214" s="31"/>
    </row>
    <row r="215" spans="1:17" customFormat="1">
      <c r="A215" s="134" t="str">
        <f ca="1">IFERROR(__xludf.DUMMYFUNCTION("""COMPUTED_VALUE"""),"")</f>
        <v/>
      </c>
      <c r="B215" s="134" t="str">
        <f ca="1">IFERROR(__xludf.DUMMYFUNCTION("""COMPUTED_VALUE"""),"")</f>
        <v/>
      </c>
      <c r="C215" s="134" t="str">
        <f ca="1">IFERROR(__xludf.DUMMYFUNCTION("""COMPUTED_VALUE"""),"")</f>
        <v/>
      </c>
      <c r="D215" s="134" t="str">
        <f ca="1">IFERROR(__xludf.DUMMYFUNCTION("""COMPUTED_VALUE"""),"")</f>
        <v/>
      </c>
      <c r="E215" s="134" t="str">
        <f ca="1">IFERROR(__xludf.DUMMYFUNCTION("""COMPUTED_VALUE"""),"")</f>
        <v/>
      </c>
      <c r="F215" s="134" t="str">
        <f ca="1">IFERROR(__xludf.DUMMYFUNCTION("""COMPUTED_VALUE"""),"")</f>
        <v/>
      </c>
      <c r="G215" s="134" t="str">
        <f ca="1">IFERROR(__xludf.DUMMYFUNCTION("""COMPUTED_VALUE"""),"")</f>
        <v/>
      </c>
      <c r="H215" s="134" t="str">
        <f ca="1">IFERROR(__xludf.DUMMYFUNCTION("""COMPUTED_VALUE"""),"")</f>
        <v/>
      </c>
      <c r="I215" s="134" t="str">
        <f ca="1">IFERROR(__xludf.DUMMYFUNCTION("""COMPUTED_VALUE"""),"")</f>
        <v/>
      </c>
      <c r="J215" s="134" t="str">
        <f ca="1">IFERROR(__xludf.DUMMYFUNCTION("""COMPUTED_VALUE"""),"")</f>
        <v/>
      </c>
      <c r="N215" s="31"/>
      <c r="Q215" s="31"/>
    </row>
    <row r="216" spans="1:17" customFormat="1">
      <c r="A216" s="134" t="str">
        <f ca="1">IFERROR(__xludf.DUMMYFUNCTION("""COMPUTED_VALUE"""),"")</f>
        <v/>
      </c>
      <c r="B216" s="134" t="str">
        <f ca="1">IFERROR(__xludf.DUMMYFUNCTION("""COMPUTED_VALUE"""),"")</f>
        <v/>
      </c>
      <c r="C216" s="134" t="str">
        <f ca="1">IFERROR(__xludf.DUMMYFUNCTION("""COMPUTED_VALUE"""),"")</f>
        <v/>
      </c>
      <c r="D216" s="134" t="str">
        <f ca="1">IFERROR(__xludf.DUMMYFUNCTION("""COMPUTED_VALUE"""),"")</f>
        <v/>
      </c>
      <c r="E216" s="134" t="str">
        <f ca="1">IFERROR(__xludf.DUMMYFUNCTION("""COMPUTED_VALUE"""),"")</f>
        <v/>
      </c>
      <c r="F216" s="134" t="str">
        <f ca="1">IFERROR(__xludf.DUMMYFUNCTION("""COMPUTED_VALUE"""),"")</f>
        <v/>
      </c>
      <c r="G216" s="134" t="str">
        <f ca="1">IFERROR(__xludf.DUMMYFUNCTION("""COMPUTED_VALUE"""),"")</f>
        <v/>
      </c>
      <c r="H216" s="134" t="str">
        <f ca="1">IFERROR(__xludf.DUMMYFUNCTION("""COMPUTED_VALUE"""),"")</f>
        <v/>
      </c>
      <c r="I216" s="134" t="str">
        <f ca="1">IFERROR(__xludf.DUMMYFUNCTION("""COMPUTED_VALUE"""),"")</f>
        <v/>
      </c>
      <c r="J216" s="134" t="str">
        <f ca="1">IFERROR(__xludf.DUMMYFUNCTION("""COMPUTED_VALUE"""),"")</f>
        <v/>
      </c>
      <c r="N216" s="31"/>
      <c r="Q216" s="31"/>
    </row>
    <row r="217" spans="1:17" customFormat="1">
      <c r="A217" s="134" t="str">
        <f ca="1">IFERROR(__xludf.DUMMYFUNCTION("""COMPUTED_VALUE"""),"")</f>
        <v/>
      </c>
      <c r="B217" s="134" t="str">
        <f ca="1">IFERROR(__xludf.DUMMYFUNCTION("""COMPUTED_VALUE"""),"")</f>
        <v/>
      </c>
      <c r="C217" s="134" t="str">
        <f ca="1">IFERROR(__xludf.DUMMYFUNCTION("""COMPUTED_VALUE"""),"")</f>
        <v/>
      </c>
      <c r="D217" s="134" t="str">
        <f ca="1">IFERROR(__xludf.DUMMYFUNCTION("""COMPUTED_VALUE"""),"")</f>
        <v/>
      </c>
      <c r="E217" s="134" t="str">
        <f ca="1">IFERROR(__xludf.DUMMYFUNCTION("""COMPUTED_VALUE"""),"")</f>
        <v/>
      </c>
      <c r="F217" s="134" t="str">
        <f ca="1">IFERROR(__xludf.DUMMYFUNCTION("""COMPUTED_VALUE"""),"")</f>
        <v/>
      </c>
      <c r="G217" s="134" t="str">
        <f ca="1">IFERROR(__xludf.DUMMYFUNCTION("""COMPUTED_VALUE"""),"")</f>
        <v/>
      </c>
      <c r="H217" s="134" t="str">
        <f ca="1">IFERROR(__xludf.DUMMYFUNCTION("""COMPUTED_VALUE"""),"")</f>
        <v/>
      </c>
      <c r="I217" s="134" t="str">
        <f ca="1">IFERROR(__xludf.DUMMYFUNCTION("""COMPUTED_VALUE"""),"")</f>
        <v/>
      </c>
      <c r="J217" s="134" t="str">
        <f ca="1">IFERROR(__xludf.DUMMYFUNCTION("""COMPUTED_VALUE"""),"")</f>
        <v/>
      </c>
      <c r="N217" s="31"/>
      <c r="Q217" s="31"/>
    </row>
    <row r="218" spans="1:17" customFormat="1">
      <c r="A218" s="134" t="str">
        <f ca="1">IFERROR(__xludf.DUMMYFUNCTION("""COMPUTED_VALUE"""),"")</f>
        <v/>
      </c>
      <c r="B218" s="134" t="str">
        <f ca="1">IFERROR(__xludf.DUMMYFUNCTION("""COMPUTED_VALUE"""),"")</f>
        <v/>
      </c>
      <c r="C218" s="134" t="str">
        <f ca="1">IFERROR(__xludf.DUMMYFUNCTION("""COMPUTED_VALUE"""),"")</f>
        <v/>
      </c>
      <c r="D218" s="134" t="str">
        <f ca="1">IFERROR(__xludf.DUMMYFUNCTION("""COMPUTED_VALUE"""),"")</f>
        <v/>
      </c>
      <c r="E218" s="134" t="str">
        <f ca="1">IFERROR(__xludf.DUMMYFUNCTION("""COMPUTED_VALUE"""),"")</f>
        <v/>
      </c>
      <c r="F218" s="134" t="str">
        <f ca="1">IFERROR(__xludf.DUMMYFUNCTION("""COMPUTED_VALUE"""),"")</f>
        <v/>
      </c>
      <c r="G218" s="134" t="str">
        <f ca="1">IFERROR(__xludf.DUMMYFUNCTION("""COMPUTED_VALUE"""),"")</f>
        <v/>
      </c>
      <c r="H218" s="134" t="str">
        <f ca="1">IFERROR(__xludf.DUMMYFUNCTION("""COMPUTED_VALUE"""),"")</f>
        <v/>
      </c>
      <c r="I218" s="134" t="str">
        <f ca="1">IFERROR(__xludf.DUMMYFUNCTION("""COMPUTED_VALUE"""),"")</f>
        <v/>
      </c>
      <c r="J218" s="134" t="str">
        <f ca="1">IFERROR(__xludf.DUMMYFUNCTION("""COMPUTED_VALUE"""),"")</f>
        <v/>
      </c>
      <c r="N218" s="31"/>
      <c r="Q218" s="31"/>
    </row>
    <row r="219" spans="1:17" customFormat="1">
      <c r="A219" s="134" t="str">
        <f ca="1">IFERROR(__xludf.DUMMYFUNCTION("""COMPUTED_VALUE"""),"")</f>
        <v/>
      </c>
      <c r="B219" s="134" t="str">
        <f ca="1">IFERROR(__xludf.DUMMYFUNCTION("""COMPUTED_VALUE"""),"")</f>
        <v/>
      </c>
      <c r="C219" s="134" t="str">
        <f ca="1">IFERROR(__xludf.DUMMYFUNCTION("""COMPUTED_VALUE"""),"")</f>
        <v/>
      </c>
      <c r="D219" s="134" t="str">
        <f ca="1">IFERROR(__xludf.DUMMYFUNCTION("""COMPUTED_VALUE"""),"")</f>
        <v/>
      </c>
      <c r="E219" s="134" t="str">
        <f ca="1">IFERROR(__xludf.DUMMYFUNCTION("""COMPUTED_VALUE"""),"")</f>
        <v/>
      </c>
      <c r="F219" s="134" t="str">
        <f ca="1">IFERROR(__xludf.DUMMYFUNCTION("""COMPUTED_VALUE"""),"")</f>
        <v/>
      </c>
      <c r="G219" s="134" t="str">
        <f ca="1">IFERROR(__xludf.DUMMYFUNCTION("""COMPUTED_VALUE"""),"")</f>
        <v/>
      </c>
      <c r="H219" s="134" t="str">
        <f ca="1">IFERROR(__xludf.DUMMYFUNCTION("""COMPUTED_VALUE"""),"")</f>
        <v/>
      </c>
      <c r="I219" s="134" t="str">
        <f ca="1">IFERROR(__xludf.DUMMYFUNCTION("""COMPUTED_VALUE"""),"")</f>
        <v/>
      </c>
      <c r="J219" s="134" t="str">
        <f ca="1">IFERROR(__xludf.DUMMYFUNCTION("""COMPUTED_VALUE"""),"")</f>
        <v/>
      </c>
      <c r="N219" s="31"/>
      <c r="Q219" s="31"/>
    </row>
    <row r="220" spans="1:17" customFormat="1">
      <c r="A220" s="134" t="str">
        <f ca="1">IFERROR(__xludf.DUMMYFUNCTION("""COMPUTED_VALUE"""),"")</f>
        <v/>
      </c>
      <c r="B220" s="134" t="str">
        <f ca="1">IFERROR(__xludf.DUMMYFUNCTION("""COMPUTED_VALUE"""),"")</f>
        <v/>
      </c>
      <c r="C220" s="134" t="str">
        <f ca="1">IFERROR(__xludf.DUMMYFUNCTION("""COMPUTED_VALUE"""),"")</f>
        <v/>
      </c>
      <c r="D220" s="134" t="str">
        <f ca="1">IFERROR(__xludf.DUMMYFUNCTION("""COMPUTED_VALUE"""),"")</f>
        <v/>
      </c>
      <c r="E220" s="134" t="str">
        <f ca="1">IFERROR(__xludf.DUMMYFUNCTION("""COMPUTED_VALUE"""),"")</f>
        <v/>
      </c>
      <c r="F220" s="134" t="str">
        <f ca="1">IFERROR(__xludf.DUMMYFUNCTION("""COMPUTED_VALUE"""),"")</f>
        <v/>
      </c>
      <c r="G220" s="134" t="str">
        <f ca="1">IFERROR(__xludf.DUMMYFUNCTION("""COMPUTED_VALUE"""),"")</f>
        <v/>
      </c>
      <c r="H220" s="134" t="str">
        <f ca="1">IFERROR(__xludf.DUMMYFUNCTION("""COMPUTED_VALUE"""),"")</f>
        <v/>
      </c>
      <c r="I220" s="134" t="str">
        <f ca="1">IFERROR(__xludf.DUMMYFUNCTION("""COMPUTED_VALUE"""),"")</f>
        <v/>
      </c>
      <c r="J220" s="134" t="str">
        <f ca="1">IFERROR(__xludf.DUMMYFUNCTION("""COMPUTED_VALUE"""),"")</f>
        <v/>
      </c>
      <c r="N220" s="31"/>
      <c r="Q220" s="31"/>
    </row>
    <row r="221" spans="1:17" customFormat="1">
      <c r="A221" s="134" t="str">
        <f ca="1">IFERROR(__xludf.DUMMYFUNCTION("""COMPUTED_VALUE"""),"")</f>
        <v/>
      </c>
      <c r="B221" s="134" t="str">
        <f ca="1">IFERROR(__xludf.DUMMYFUNCTION("""COMPUTED_VALUE"""),"")</f>
        <v/>
      </c>
      <c r="C221" s="134" t="str">
        <f ca="1">IFERROR(__xludf.DUMMYFUNCTION("""COMPUTED_VALUE"""),"")</f>
        <v/>
      </c>
      <c r="D221" s="134" t="str">
        <f ca="1">IFERROR(__xludf.DUMMYFUNCTION("""COMPUTED_VALUE"""),"")</f>
        <v/>
      </c>
      <c r="E221" s="134" t="str">
        <f ca="1">IFERROR(__xludf.DUMMYFUNCTION("""COMPUTED_VALUE"""),"")</f>
        <v/>
      </c>
      <c r="F221" s="134" t="str">
        <f ca="1">IFERROR(__xludf.DUMMYFUNCTION("""COMPUTED_VALUE"""),"")</f>
        <v/>
      </c>
      <c r="G221" s="134" t="str">
        <f ca="1">IFERROR(__xludf.DUMMYFUNCTION("""COMPUTED_VALUE"""),"")</f>
        <v/>
      </c>
      <c r="H221" s="134" t="str">
        <f ca="1">IFERROR(__xludf.DUMMYFUNCTION("""COMPUTED_VALUE"""),"")</f>
        <v/>
      </c>
      <c r="I221" s="134" t="str">
        <f ca="1">IFERROR(__xludf.DUMMYFUNCTION("""COMPUTED_VALUE"""),"")</f>
        <v/>
      </c>
      <c r="J221" s="134" t="str">
        <f ca="1">IFERROR(__xludf.DUMMYFUNCTION("""COMPUTED_VALUE"""),"")</f>
        <v/>
      </c>
      <c r="N221" s="31"/>
      <c r="Q221" s="31"/>
    </row>
    <row r="222" spans="1:17" customFormat="1">
      <c r="A222" s="134" t="str">
        <f ca="1">IFERROR(__xludf.DUMMYFUNCTION("""COMPUTED_VALUE"""),"")</f>
        <v/>
      </c>
      <c r="B222" s="134" t="str">
        <f ca="1">IFERROR(__xludf.DUMMYFUNCTION("""COMPUTED_VALUE"""),"")</f>
        <v/>
      </c>
      <c r="C222" s="134" t="str">
        <f ca="1">IFERROR(__xludf.DUMMYFUNCTION("""COMPUTED_VALUE"""),"")</f>
        <v/>
      </c>
      <c r="D222" s="134" t="str">
        <f ca="1">IFERROR(__xludf.DUMMYFUNCTION("""COMPUTED_VALUE"""),"")</f>
        <v/>
      </c>
      <c r="E222" s="134" t="str">
        <f ca="1">IFERROR(__xludf.DUMMYFUNCTION("""COMPUTED_VALUE"""),"")</f>
        <v/>
      </c>
      <c r="F222" s="134" t="str">
        <f ca="1">IFERROR(__xludf.DUMMYFUNCTION("""COMPUTED_VALUE"""),"")</f>
        <v/>
      </c>
      <c r="G222" s="134" t="str">
        <f ca="1">IFERROR(__xludf.DUMMYFUNCTION("""COMPUTED_VALUE"""),"")</f>
        <v/>
      </c>
      <c r="H222" s="134" t="str">
        <f ca="1">IFERROR(__xludf.DUMMYFUNCTION("""COMPUTED_VALUE"""),"")</f>
        <v/>
      </c>
      <c r="I222" s="134" t="str">
        <f ca="1">IFERROR(__xludf.DUMMYFUNCTION("""COMPUTED_VALUE"""),"")</f>
        <v/>
      </c>
      <c r="J222" s="134" t="str">
        <f ca="1">IFERROR(__xludf.DUMMYFUNCTION("""COMPUTED_VALUE"""),"")</f>
        <v/>
      </c>
      <c r="N222" s="31"/>
      <c r="Q222" s="31"/>
    </row>
    <row r="223" spans="1:17" customFormat="1">
      <c r="A223" s="134" t="str">
        <f ca="1">IFERROR(__xludf.DUMMYFUNCTION("""COMPUTED_VALUE"""),"")</f>
        <v/>
      </c>
      <c r="B223" s="134" t="str">
        <f ca="1">IFERROR(__xludf.DUMMYFUNCTION("""COMPUTED_VALUE"""),"")</f>
        <v/>
      </c>
      <c r="C223" s="134" t="str">
        <f ca="1">IFERROR(__xludf.DUMMYFUNCTION("""COMPUTED_VALUE"""),"")</f>
        <v/>
      </c>
      <c r="D223" s="134" t="str">
        <f ca="1">IFERROR(__xludf.DUMMYFUNCTION("""COMPUTED_VALUE"""),"")</f>
        <v/>
      </c>
      <c r="E223" s="134" t="str">
        <f ca="1">IFERROR(__xludf.DUMMYFUNCTION("""COMPUTED_VALUE"""),"")</f>
        <v/>
      </c>
      <c r="F223" s="134" t="str">
        <f ca="1">IFERROR(__xludf.DUMMYFUNCTION("""COMPUTED_VALUE"""),"")</f>
        <v/>
      </c>
      <c r="G223" s="134" t="str">
        <f ca="1">IFERROR(__xludf.DUMMYFUNCTION("""COMPUTED_VALUE"""),"")</f>
        <v/>
      </c>
      <c r="H223" s="134" t="str">
        <f ca="1">IFERROR(__xludf.DUMMYFUNCTION("""COMPUTED_VALUE"""),"")</f>
        <v/>
      </c>
      <c r="I223" s="134" t="str">
        <f ca="1">IFERROR(__xludf.DUMMYFUNCTION("""COMPUTED_VALUE"""),"")</f>
        <v/>
      </c>
      <c r="J223" s="134" t="str">
        <f ca="1">IFERROR(__xludf.DUMMYFUNCTION("""COMPUTED_VALUE"""),"")</f>
        <v/>
      </c>
      <c r="N223" s="31"/>
      <c r="Q223" s="31"/>
    </row>
    <row r="224" spans="1:17" customFormat="1">
      <c r="A224" s="134" t="str">
        <f ca="1">IFERROR(__xludf.DUMMYFUNCTION("""COMPUTED_VALUE"""),"")</f>
        <v/>
      </c>
      <c r="B224" s="134" t="str">
        <f ca="1">IFERROR(__xludf.DUMMYFUNCTION("""COMPUTED_VALUE"""),"")</f>
        <v/>
      </c>
      <c r="C224" s="134" t="str">
        <f ca="1">IFERROR(__xludf.DUMMYFUNCTION("""COMPUTED_VALUE"""),"")</f>
        <v/>
      </c>
      <c r="D224" s="134" t="str">
        <f ca="1">IFERROR(__xludf.DUMMYFUNCTION("""COMPUTED_VALUE"""),"")</f>
        <v/>
      </c>
      <c r="E224" s="134" t="str">
        <f ca="1">IFERROR(__xludf.DUMMYFUNCTION("""COMPUTED_VALUE"""),"")</f>
        <v/>
      </c>
      <c r="F224" s="134" t="str">
        <f ca="1">IFERROR(__xludf.DUMMYFUNCTION("""COMPUTED_VALUE"""),"")</f>
        <v/>
      </c>
      <c r="G224" s="134" t="str">
        <f ca="1">IFERROR(__xludf.DUMMYFUNCTION("""COMPUTED_VALUE"""),"")</f>
        <v/>
      </c>
      <c r="H224" s="134" t="str">
        <f ca="1">IFERROR(__xludf.DUMMYFUNCTION("""COMPUTED_VALUE"""),"")</f>
        <v/>
      </c>
      <c r="I224" s="134" t="str">
        <f ca="1">IFERROR(__xludf.DUMMYFUNCTION("""COMPUTED_VALUE"""),"")</f>
        <v/>
      </c>
      <c r="J224" s="134" t="str">
        <f ca="1">IFERROR(__xludf.DUMMYFUNCTION("""COMPUTED_VALUE"""),"")</f>
        <v/>
      </c>
      <c r="N224" s="31"/>
      <c r="Q224" s="31"/>
    </row>
    <row r="225" spans="1:17" customFormat="1">
      <c r="A225" s="134" t="str">
        <f ca="1">IFERROR(__xludf.DUMMYFUNCTION("""COMPUTED_VALUE"""),"")</f>
        <v/>
      </c>
      <c r="B225" s="134" t="str">
        <f ca="1">IFERROR(__xludf.DUMMYFUNCTION("""COMPUTED_VALUE"""),"")</f>
        <v/>
      </c>
      <c r="C225" s="134" t="str">
        <f ca="1">IFERROR(__xludf.DUMMYFUNCTION("""COMPUTED_VALUE"""),"")</f>
        <v/>
      </c>
      <c r="D225" s="134" t="str">
        <f ca="1">IFERROR(__xludf.DUMMYFUNCTION("""COMPUTED_VALUE"""),"")</f>
        <v/>
      </c>
      <c r="E225" s="134" t="str">
        <f ca="1">IFERROR(__xludf.DUMMYFUNCTION("""COMPUTED_VALUE"""),"")</f>
        <v/>
      </c>
      <c r="F225" s="134" t="str">
        <f ca="1">IFERROR(__xludf.DUMMYFUNCTION("""COMPUTED_VALUE"""),"")</f>
        <v/>
      </c>
      <c r="G225" s="134" t="str">
        <f ca="1">IFERROR(__xludf.DUMMYFUNCTION("""COMPUTED_VALUE"""),"")</f>
        <v/>
      </c>
      <c r="H225" s="134" t="str">
        <f ca="1">IFERROR(__xludf.DUMMYFUNCTION("""COMPUTED_VALUE"""),"")</f>
        <v/>
      </c>
      <c r="I225" s="134" t="str">
        <f ca="1">IFERROR(__xludf.DUMMYFUNCTION("""COMPUTED_VALUE"""),"")</f>
        <v/>
      </c>
      <c r="J225" s="134" t="str">
        <f ca="1">IFERROR(__xludf.DUMMYFUNCTION("""COMPUTED_VALUE"""),"")</f>
        <v/>
      </c>
      <c r="N225" s="31"/>
      <c r="Q225" s="31"/>
    </row>
    <row r="226" spans="1:17" customFormat="1">
      <c r="A226" s="134" t="str">
        <f ca="1">IFERROR(__xludf.DUMMYFUNCTION("""COMPUTED_VALUE"""),"")</f>
        <v/>
      </c>
      <c r="B226" s="134" t="str">
        <f ca="1">IFERROR(__xludf.DUMMYFUNCTION("""COMPUTED_VALUE"""),"")</f>
        <v/>
      </c>
      <c r="C226" s="134" t="str">
        <f ca="1">IFERROR(__xludf.DUMMYFUNCTION("""COMPUTED_VALUE"""),"")</f>
        <v/>
      </c>
      <c r="D226" s="134" t="str">
        <f ca="1">IFERROR(__xludf.DUMMYFUNCTION("""COMPUTED_VALUE"""),"")</f>
        <v/>
      </c>
      <c r="E226" s="134" t="str">
        <f ca="1">IFERROR(__xludf.DUMMYFUNCTION("""COMPUTED_VALUE"""),"")</f>
        <v/>
      </c>
      <c r="F226" s="134" t="str">
        <f ca="1">IFERROR(__xludf.DUMMYFUNCTION("""COMPUTED_VALUE"""),"")</f>
        <v/>
      </c>
      <c r="G226" s="134" t="str">
        <f ca="1">IFERROR(__xludf.DUMMYFUNCTION("""COMPUTED_VALUE"""),"")</f>
        <v/>
      </c>
      <c r="H226" s="134" t="str">
        <f ca="1">IFERROR(__xludf.DUMMYFUNCTION("""COMPUTED_VALUE"""),"")</f>
        <v/>
      </c>
      <c r="I226" s="134" t="str">
        <f ca="1">IFERROR(__xludf.DUMMYFUNCTION("""COMPUTED_VALUE"""),"")</f>
        <v/>
      </c>
      <c r="J226" s="134" t="str">
        <f ca="1">IFERROR(__xludf.DUMMYFUNCTION("""COMPUTED_VALUE"""),"")</f>
        <v/>
      </c>
      <c r="N226" s="31"/>
      <c r="Q226" s="31"/>
    </row>
    <row r="227" spans="1:17" customFormat="1">
      <c r="A227" s="134" t="str">
        <f ca="1">IFERROR(__xludf.DUMMYFUNCTION("""COMPUTED_VALUE"""),"")</f>
        <v/>
      </c>
      <c r="B227" s="134" t="str">
        <f ca="1">IFERROR(__xludf.DUMMYFUNCTION("""COMPUTED_VALUE"""),"")</f>
        <v/>
      </c>
      <c r="C227" s="134" t="str">
        <f ca="1">IFERROR(__xludf.DUMMYFUNCTION("""COMPUTED_VALUE"""),"")</f>
        <v/>
      </c>
      <c r="D227" s="134" t="str">
        <f ca="1">IFERROR(__xludf.DUMMYFUNCTION("""COMPUTED_VALUE"""),"")</f>
        <v/>
      </c>
      <c r="E227" s="134" t="str">
        <f ca="1">IFERROR(__xludf.DUMMYFUNCTION("""COMPUTED_VALUE"""),"")</f>
        <v/>
      </c>
      <c r="F227" s="134" t="str">
        <f ca="1">IFERROR(__xludf.DUMMYFUNCTION("""COMPUTED_VALUE"""),"")</f>
        <v/>
      </c>
      <c r="G227" s="134" t="str">
        <f ca="1">IFERROR(__xludf.DUMMYFUNCTION("""COMPUTED_VALUE"""),"")</f>
        <v/>
      </c>
      <c r="H227" s="134" t="str">
        <f ca="1">IFERROR(__xludf.DUMMYFUNCTION("""COMPUTED_VALUE"""),"")</f>
        <v/>
      </c>
      <c r="I227" s="134" t="str">
        <f ca="1">IFERROR(__xludf.DUMMYFUNCTION("""COMPUTED_VALUE"""),"")</f>
        <v/>
      </c>
      <c r="J227" s="134" t="str">
        <f ca="1">IFERROR(__xludf.DUMMYFUNCTION("""COMPUTED_VALUE"""),"")</f>
        <v/>
      </c>
      <c r="N227" s="31"/>
      <c r="Q227" s="31"/>
    </row>
    <row r="228" spans="1:17" customFormat="1">
      <c r="A228" s="134" t="str">
        <f ca="1">IFERROR(__xludf.DUMMYFUNCTION("""COMPUTED_VALUE"""),"")</f>
        <v/>
      </c>
      <c r="B228" s="134" t="str">
        <f ca="1">IFERROR(__xludf.DUMMYFUNCTION("""COMPUTED_VALUE"""),"")</f>
        <v/>
      </c>
      <c r="C228" s="134" t="str">
        <f ca="1">IFERROR(__xludf.DUMMYFUNCTION("""COMPUTED_VALUE"""),"")</f>
        <v/>
      </c>
      <c r="D228" s="134" t="str">
        <f ca="1">IFERROR(__xludf.DUMMYFUNCTION("""COMPUTED_VALUE"""),"")</f>
        <v/>
      </c>
      <c r="E228" s="134" t="str">
        <f ca="1">IFERROR(__xludf.DUMMYFUNCTION("""COMPUTED_VALUE"""),"")</f>
        <v/>
      </c>
      <c r="F228" s="134" t="str">
        <f ca="1">IFERROR(__xludf.DUMMYFUNCTION("""COMPUTED_VALUE"""),"")</f>
        <v/>
      </c>
      <c r="G228" s="134" t="str">
        <f ca="1">IFERROR(__xludf.DUMMYFUNCTION("""COMPUTED_VALUE"""),"")</f>
        <v/>
      </c>
      <c r="H228" s="134" t="str">
        <f ca="1">IFERROR(__xludf.DUMMYFUNCTION("""COMPUTED_VALUE"""),"")</f>
        <v/>
      </c>
      <c r="I228" s="134" t="str">
        <f ca="1">IFERROR(__xludf.DUMMYFUNCTION("""COMPUTED_VALUE"""),"")</f>
        <v/>
      </c>
      <c r="J228" s="134" t="str">
        <f ca="1">IFERROR(__xludf.DUMMYFUNCTION("""COMPUTED_VALUE"""),"")</f>
        <v/>
      </c>
      <c r="N228" s="31"/>
      <c r="Q228" s="31"/>
    </row>
    <row r="229" spans="1:17" customFormat="1">
      <c r="A229" s="134" t="str">
        <f ca="1">IFERROR(__xludf.DUMMYFUNCTION("""COMPUTED_VALUE"""),"")</f>
        <v/>
      </c>
      <c r="B229" s="134" t="str">
        <f ca="1">IFERROR(__xludf.DUMMYFUNCTION("""COMPUTED_VALUE"""),"")</f>
        <v/>
      </c>
      <c r="C229" s="134" t="str">
        <f ca="1">IFERROR(__xludf.DUMMYFUNCTION("""COMPUTED_VALUE"""),"")</f>
        <v/>
      </c>
      <c r="D229" s="134" t="str">
        <f ca="1">IFERROR(__xludf.DUMMYFUNCTION("""COMPUTED_VALUE"""),"")</f>
        <v/>
      </c>
      <c r="E229" s="134" t="str">
        <f ca="1">IFERROR(__xludf.DUMMYFUNCTION("""COMPUTED_VALUE"""),"")</f>
        <v/>
      </c>
      <c r="F229" s="134" t="str">
        <f ca="1">IFERROR(__xludf.DUMMYFUNCTION("""COMPUTED_VALUE"""),"")</f>
        <v/>
      </c>
      <c r="G229" s="134" t="str">
        <f ca="1">IFERROR(__xludf.DUMMYFUNCTION("""COMPUTED_VALUE"""),"")</f>
        <v/>
      </c>
      <c r="H229" s="134" t="str">
        <f ca="1">IFERROR(__xludf.DUMMYFUNCTION("""COMPUTED_VALUE"""),"")</f>
        <v/>
      </c>
      <c r="I229" s="134" t="str">
        <f ca="1">IFERROR(__xludf.DUMMYFUNCTION("""COMPUTED_VALUE"""),"")</f>
        <v/>
      </c>
      <c r="J229" s="134" t="str">
        <f ca="1">IFERROR(__xludf.DUMMYFUNCTION("""COMPUTED_VALUE"""),"")</f>
        <v/>
      </c>
      <c r="N229" s="31"/>
      <c r="Q229" s="31"/>
    </row>
    <row r="230" spans="1:17" customFormat="1">
      <c r="A230" s="134" t="str">
        <f ca="1">IFERROR(__xludf.DUMMYFUNCTION("""COMPUTED_VALUE"""),"")</f>
        <v/>
      </c>
      <c r="B230" s="134" t="str">
        <f ca="1">IFERROR(__xludf.DUMMYFUNCTION("""COMPUTED_VALUE"""),"")</f>
        <v/>
      </c>
      <c r="C230" s="134" t="str">
        <f ca="1">IFERROR(__xludf.DUMMYFUNCTION("""COMPUTED_VALUE"""),"")</f>
        <v/>
      </c>
      <c r="D230" s="134" t="str">
        <f ca="1">IFERROR(__xludf.DUMMYFUNCTION("""COMPUTED_VALUE"""),"")</f>
        <v/>
      </c>
      <c r="E230" s="134" t="str">
        <f ca="1">IFERROR(__xludf.DUMMYFUNCTION("""COMPUTED_VALUE"""),"")</f>
        <v/>
      </c>
      <c r="F230" s="134" t="str">
        <f ca="1">IFERROR(__xludf.DUMMYFUNCTION("""COMPUTED_VALUE"""),"")</f>
        <v/>
      </c>
      <c r="G230" s="134" t="str">
        <f ca="1">IFERROR(__xludf.DUMMYFUNCTION("""COMPUTED_VALUE"""),"")</f>
        <v/>
      </c>
      <c r="H230" s="134" t="str">
        <f ca="1">IFERROR(__xludf.DUMMYFUNCTION("""COMPUTED_VALUE"""),"")</f>
        <v/>
      </c>
      <c r="I230" s="134" t="str">
        <f ca="1">IFERROR(__xludf.DUMMYFUNCTION("""COMPUTED_VALUE"""),"")</f>
        <v/>
      </c>
      <c r="J230" s="134" t="str">
        <f ca="1">IFERROR(__xludf.DUMMYFUNCTION("""COMPUTED_VALUE"""),"")</f>
        <v/>
      </c>
      <c r="N230" s="31"/>
      <c r="Q230" s="31"/>
    </row>
    <row r="231" spans="1:17" customFormat="1">
      <c r="A231" s="134" t="str">
        <f ca="1">IFERROR(__xludf.DUMMYFUNCTION("""COMPUTED_VALUE"""),"")</f>
        <v/>
      </c>
      <c r="B231" s="134" t="str">
        <f ca="1">IFERROR(__xludf.DUMMYFUNCTION("""COMPUTED_VALUE"""),"")</f>
        <v/>
      </c>
      <c r="C231" s="134" t="str">
        <f ca="1">IFERROR(__xludf.DUMMYFUNCTION("""COMPUTED_VALUE"""),"")</f>
        <v/>
      </c>
      <c r="D231" s="134" t="str">
        <f ca="1">IFERROR(__xludf.DUMMYFUNCTION("""COMPUTED_VALUE"""),"")</f>
        <v/>
      </c>
      <c r="E231" s="134" t="str">
        <f ca="1">IFERROR(__xludf.DUMMYFUNCTION("""COMPUTED_VALUE"""),"")</f>
        <v/>
      </c>
      <c r="F231" s="134" t="str">
        <f ca="1">IFERROR(__xludf.DUMMYFUNCTION("""COMPUTED_VALUE"""),"")</f>
        <v/>
      </c>
      <c r="G231" s="134" t="str">
        <f ca="1">IFERROR(__xludf.DUMMYFUNCTION("""COMPUTED_VALUE"""),"")</f>
        <v/>
      </c>
      <c r="H231" s="134" t="str">
        <f ca="1">IFERROR(__xludf.DUMMYFUNCTION("""COMPUTED_VALUE"""),"")</f>
        <v/>
      </c>
      <c r="I231" s="134" t="str">
        <f ca="1">IFERROR(__xludf.DUMMYFUNCTION("""COMPUTED_VALUE"""),"")</f>
        <v/>
      </c>
      <c r="J231" s="134" t="str">
        <f ca="1">IFERROR(__xludf.DUMMYFUNCTION("""COMPUTED_VALUE"""),"")</f>
        <v/>
      </c>
      <c r="N231" s="31"/>
      <c r="Q231" s="31"/>
    </row>
    <row r="232" spans="1:17" customFormat="1">
      <c r="A232" s="134" t="str">
        <f ca="1">IFERROR(__xludf.DUMMYFUNCTION("""COMPUTED_VALUE"""),"")</f>
        <v/>
      </c>
      <c r="B232" s="134" t="str">
        <f ca="1">IFERROR(__xludf.DUMMYFUNCTION("""COMPUTED_VALUE"""),"")</f>
        <v/>
      </c>
      <c r="C232" s="134" t="str">
        <f ca="1">IFERROR(__xludf.DUMMYFUNCTION("""COMPUTED_VALUE"""),"")</f>
        <v/>
      </c>
      <c r="D232" s="134" t="str">
        <f ca="1">IFERROR(__xludf.DUMMYFUNCTION("""COMPUTED_VALUE"""),"")</f>
        <v/>
      </c>
      <c r="E232" s="134" t="str">
        <f ca="1">IFERROR(__xludf.DUMMYFUNCTION("""COMPUTED_VALUE"""),"")</f>
        <v/>
      </c>
      <c r="F232" s="134" t="str">
        <f ca="1">IFERROR(__xludf.DUMMYFUNCTION("""COMPUTED_VALUE"""),"")</f>
        <v/>
      </c>
      <c r="G232" s="134" t="str">
        <f ca="1">IFERROR(__xludf.DUMMYFUNCTION("""COMPUTED_VALUE"""),"")</f>
        <v/>
      </c>
      <c r="H232" s="134" t="str">
        <f ca="1">IFERROR(__xludf.DUMMYFUNCTION("""COMPUTED_VALUE"""),"")</f>
        <v/>
      </c>
      <c r="I232" s="134" t="str">
        <f ca="1">IFERROR(__xludf.DUMMYFUNCTION("""COMPUTED_VALUE"""),"")</f>
        <v/>
      </c>
      <c r="J232" s="134" t="str">
        <f ca="1">IFERROR(__xludf.DUMMYFUNCTION("""COMPUTED_VALUE"""),"")</f>
        <v/>
      </c>
      <c r="N232" s="31"/>
      <c r="Q232" s="31"/>
    </row>
    <row r="233" spans="1:17" customFormat="1">
      <c r="A233" s="134" t="str">
        <f ca="1">IFERROR(__xludf.DUMMYFUNCTION("""COMPUTED_VALUE"""),"")</f>
        <v/>
      </c>
      <c r="B233" s="134" t="str">
        <f ca="1">IFERROR(__xludf.DUMMYFUNCTION("""COMPUTED_VALUE"""),"")</f>
        <v/>
      </c>
      <c r="C233" s="134" t="str">
        <f ca="1">IFERROR(__xludf.DUMMYFUNCTION("""COMPUTED_VALUE"""),"")</f>
        <v/>
      </c>
      <c r="D233" s="134" t="str">
        <f ca="1">IFERROR(__xludf.DUMMYFUNCTION("""COMPUTED_VALUE"""),"")</f>
        <v/>
      </c>
      <c r="E233" s="134" t="str">
        <f ca="1">IFERROR(__xludf.DUMMYFUNCTION("""COMPUTED_VALUE"""),"")</f>
        <v/>
      </c>
      <c r="F233" s="134" t="str">
        <f ca="1">IFERROR(__xludf.DUMMYFUNCTION("""COMPUTED_VALUE"""),"")</f>
        <v/>
      </c>
      <c r="G233" s="134" t="str">
        <f ca="1">IFERROR(__xludf.DUMMYFUNCTION("""COMPUTED_VALUE"""),"")</f>
        <v/>
      </c>
      <c r="H233" s="134" t="str">
        <f ca="1">IFERROR(__xludf.DUMMYFUNCTION("""COMPUTED_VALUE"""),"")</f>
        <v/>
      </c>
      <c r="I233" s="134" t="str">
        <f ca="1">IFERROR(__xludf.DUMMYFUNCTION("""COMPUTED_VALUE"""),"")</f>
        <v/>
      </c>
      <c r="J233" s="134" t="str">
        <f ca="1">IFERROR(__xludf.DUMMYFUNCTION("""COMPUTED_VALUE"""),"")</f>
        <v/>
      </c>
      <c r="N233" s="31"/>
      <c r="Q233" s="31"/>
    </row>
    <row r="234" spans="1:17" customFormat="1">
      <c r="A234" s="134" t="str">
        <f ca="1">IFERROR(__xludf.DUMMYFUNCTION("""COMPUTED_VALUE"""),"")</f>
        <v/>
      </c>
      <c r="B234" s="134" t="str">
        <f ca="1">IFERROR(__xludf.DUMMYFUNCTION("""COMPUTED_VALUE"""),"")</f>
        <v/>
      </c>
      <c r="C234" s="134" t="str">
        <f ca="1">IFERROR(__xludf.DUMMYFUNCTION("""COMPUTED_VALUE"""),"")</f>
        <v/>
      </c>
      <c r="D234" s="134" t="str">
        <f ca="1">IFERROR(__xludf.DUMMYFUNCTION("""COMPUTED_VALUE"""),"")</f>
        <v/>
      </c>
      <c r="E234" s="134" t="str">
        <f ca="1">IFERROR(__xludf.DUMMYFUNCTION("""COMPUTED_VALUE"""),"")</f>
        <v/>
      </c>
      <c r="F234" s="134" t="str">
        <f ca="1">IFERROR(__xludf.DUMMYFUNCTION("""COMPUTED_VALUE"""),"")</f>
        <v/>
      </c>
      <c r="G234" s="134" t="str">
        <f ca="1">IFERROR(__xludf.DUMMYFUNCTION("""COMPUTED_VALUE"""),"")</f>
        <v/>
      </c>
      <c r="H234" s="134" t="str">
        <f ca="1">IFERROR(__xludf.DUMMYFUNCTION("""COMPUTED_VALUE"""),"")</f>
        <v/>
      </c>
      <c r="I234" s="134" t="str">
        <f ca="1">IFERROR(__xludf.DUMMYFUNCTION("""COMPUTED_VALUE"""),"")</f>
        <v/>
      </c>
      <c r="J234" s="134" t="str">
        <f ca="1">IFERROR(__xludf.DUMMYFUNCTION("""COMPUTED_VALUE"""),"")</f>
        <v/>
      </c>
      <c r="N234" s="31"/>
      <c r="Q234" s="31"/>
    </row>
    <row r="235" spans="1:17" customFormat="1">
      <c r="A235" s="134" t="str">
        <f ca="1">IFERROR(__xludf.DUMMYFUNCTION("""COMPUTED_VALUE"""),"")</f>
        <v/>
      </c>
      <c r="B235" s="134" t="str">
        <f ca="1">IFERROR(__xludf.DUMMYFUNCTION("""COMPUTED_VALUE"""),"")</f>
        <v/>
      </c>
      <c r="C235" s="134" t="str">
        <f ca="1">IFERROR(__xludf.DUMMYFUNCTION("""COMPUTED_VALUE"""),"")</f>
        <v/>
      </c>
      <c r="D235" s="134" t="str">
        <f ca="1">IFERROR(__xludf.DUMMYFUNCTION("""COMPUTED_VALUE"""),"")</f>
        <v/>
      </c>
      <c r="E235" s="134" t="str">
        <f ca="1">IFERROR(__xludf.DUMMYFUNCTION("""COMPUTED_VALUE"""),"")</f>
        <v/>
      </c>
      <c r="F235" s="134" t="str">
        <f ca="1">IFERROR(__xludf.DUMMYFUNCTION("""COMPUTED_VALUE"""),"")</f>
        <v/>
      </c>
      <c r="G235" s="134" t="str">
        <f ca="1">IFERROR(__xludf.DUMMYFUNCTION("""COMPUTED_VALUE"""),"")</f>
        <v/>
      </c>
      <c r="H235" s="134" t="str">
        <f ca="1">IFERROR(__xludf.DUMMYFUNCTION("""COMPUTED_VALUE"""),"")</f>
        <v/>
      </c>
      <c r="I235" s="134" t="str">
        <f ca="1">IFERROR(__xludf.DUMMYFUNCTION("""COMPUTED_VALUE"""),"")</f>
        <v/>
      </c>
      <c r="J235" s="134" t="str">
        <f ca="1">IFERROR(__xludf.DUMMYFUNCTION("""COMPUTED_VALUE"""),"")</f>
        <v/>
      </c>
      <c r="N235" s="31"/>
      <c r="Q235" s="31"/>
    </row>
    <row r="236" spans="1:17" customFormat="1">
      <c r="A236" s="134" t="str">
        <f ca="1">IFERROR(__xludf.DUMMYFUNCTION("""COMPUTED_VALUE"""),"")</f>
        <v/>
      </c>
      <c r="B236" s="134" t="str">
        <f ca="1">IFERROR(__xludf.DUMMYFUNCTION("""COMPUTED_VALUE"""),"")</f>
        <v/>
      </c>
      <c r="C236" s="134" t="str">
        <f ca="1">IFERROR(__xludf.DUMMYFUNCTION("""COMPUTED_VALUE"""),"")</f>
        <v/>
      </c>
      <c r="D236" s="134" t="str">
        <f ca="1">IFERROR(__xludf.DUMMYFUNCTION("""COMPUTED_VALUE"""),"")</f>
        <v/>
      </c>
      <c r="E236" s="134" t="str">
        <f ca="1">IFERROR(__xludf.DUMMYFUNCTION("""COMPUTED_VALUE"""),"")</f>
        <v/>
      </c>
      <c r="F236" s="134" t="str">
        <f ca="1">IFERROR(__xludf.DUMMYFUNCTION("""COMPUTED_VALUE"""),"")</f>
        <v/>
      </c>
      <c r="G236" s="134" t="str">
        <f ca="1">IFERROR(__xludf.DUMMYFUNCTION("""COMPUTED_VALUE"""),"")</f>
        <v/>
      </c>
      <c r="H236" s="134" t="str">
        <f ca="1">IFERROR(__xludf.DUMMYFUNCTION("""COMPUTED_VALUE"""),"")</f>
        <v/>
      </c>
      <c r="I236" s="134" t="str">
        <f ca="1">IFERROR(__xludf.DUMMYFUNCTION("""COMPUTED_VALUE"""),"")</f>
        <v/>
      </c>
      <c r="J236" s="134" t="str">
        <f ca="1">IFERROR(__xludf.DUMMYFUNCTION("""COMPUTED_VALUE"""),"")</f>
        <v/>
      </c>
      <c r="N236" s="31"/>
      <c r="Q236" s="31"/>
    </row>
    <row r="237" spans="1:17" customFormat="1">
      <c r="A237" s="134" t="str">
        <f ca="1">IFERROR(__xludf.DUMMYFUNCTION("""COMPUTED_VALUE"""),"")</f>
        <v/>
      </c>
      <c r="B237" s="134" t="str">
        <f ca="1">IFERROR(__xludf.DUMMYFUNCTION("""COMPUTED_VALUE"""),"")</f>
        <v/>
      </c>
      <c r="C237" s="134" t="str">
        <f ca="1">IFERROR(__xludf.DUMMYFUNCTION("""COMPUTED_VALUE"""),"")</f>
        <v/>
      </c>
      <c r="D237" s="134" t="str">
        <f ca="1">IFERROR(__xludf.DUMMYFUNCTION("""COMPUTED_VALUE"""),"")</f>
        <v/>
      </c>
      <c r="E237" s="134" t="str">
        <f ca="1">IFERROR(__xludf.DUMMYFUNCTION("""COMPUTED_VALUE"""),"")</f>
        <v/>
      </c>
      <c r="F237" s="134" t="str">
        <f ca="1">IFERROR(__xludf.DUMMYFUNCTION("""COMPUTED_VALUE"""),"")</f>
        <v/>
      </c>
      <c r="G237" s="134" t="str">
        <f ca="1">IFERROR(__xludf.DUMMYFUNCTION("""COMPUTED_VALUE"""),"")</f>
        <v/>
      </c>
      <c r="H237" s="134" t="str">
        <f ca="1">IFERROR(__xludf.DUMMYFUNCTION("""COMPUTED_VALUE"""),"")</f>
        <v/>
      </c>
      <c r="I237" s="134" t="str">
        <f ca="1">IFERROR(__xludf.DUMMYFUNCTION("""COMPUTED_VALUE"""),"")</f>
        <v/>
      </c>
      <c r="J237" s="134" t="str">
        <f ca="1">IFERROR(__xludf.DUMMYFUNCTION("""COMPUTED_VALUE"""),"")</f>
        <v/>
      </c>
      <c r="N237" s="31"/>
      <c r="Q237" s="31"/>
    </row>
    <row r="238" spans="1:17" customFormat="1">
      <c r="A238" s="134" t="str">
        <f ca="1">IFERROR(__xludf.DUMMYFUNCTION("""COMPUTED_VALUE"""),"")</f>
        <v/>
      </c>
      <c r="B238" s="134" t="str">
        <f ca="1">IFERROR(__xludf.DUMMYFUNCTION("""COMPUTED_VALUE"""),"")</f>
        <v/>
      </c>
      <c r="C238" s="134" t="str">
        <f ca="1">IFERROR(__xludf.DUMMYFUNCTION("""COMPUTED_VALUE"""),"")</f>
        <v/>
      </c>
      <c r="D238" s="134" t="str">
        <f ca="1">IFERROR(__xludf.DUMMYFUNCTION("""COMPUTED_VALUE"""),"")</f>
        <v/>
      </c>
      <c r="E238" s="134" t="str">
        <f ca="1">IFERROR(__xludf.DUMMYFUNCTION("""COMPUTED_VALUE"""),"")</f>
        <v/>
      </c>
      <c r="F238" s="134" t="str">
        <f ca="1">IFERROR(__xludf.DUMMYFUNCTION("""COMPUTED_VALUE"""),"")</f>
        <v/>
      </c>
      <c r="G238" s="134" t="str">
        <f ca="1">IFERROR(__xludf.DUMMYFUNCTION("""COMPUTED_VALUE"""),"")</f>
        <v/>
      </c>
      <c r="H238" s="134" t="str">
        <f ca="1">IFERROR(__xludf.DUMMYFUNCTION("""COMPUTED_VALUE"""),"")</f>
        <v/>
      </c>
      <c r="I238" s="134" t="str">
        <f ca="1">IFERROR(__xludf.DUMMYFUNCTION("""COMPUTED_VALUE"""),"")</f>
        <v/>
      </c>
      <c r="J238" s="134" t="str">
        <f ca="1">IFERROR(__xludf.DUMMYFUNCTION("""COMPUTED_VALUE"""),"")</f>
        <v/>
      </c>
      <c r="N238" s="31"/>
      <c r="Q238" s="31"/>
    </row>
    <row r="239" spans="1:17" customFormat="1">
      <c r="A239" s="134" t="str">
        <f ca="1">IFERROR(__xludf.DUMMYFUNCTION("""COMPUTED_VALUE"""),"")</f>
        <v/>
      </c>
      <c r="B239" s="134" t="str">
        <f ca="1">IFERROR(__xludf.DUMMYFUNCTION("""COMPUTED_VALUE"""),"")</f>
        <v/>
      </c>
      <c r="C239" s="134" t="str">
        <f ca="1">IFERROR(__xludf.DUMMYFUNCTION("""COMPUTED_VALUE"""),"")</f>
        <v/>
      </c>
      <c r="D239" s="134" t="str">
        <f ca="1">IFERROR(__xludf.DUMMYFUNCTION("""COMPUTED_VALUE"""),"")</f>
        <v/>
      </c>
      <c r="E239" s="134" t="str">
        <f ca="1">IFERROR(__xludf.DUMMYFUNCTION("""COMPUTED_VALUE"""),"")</f>
        <v/>
      </c>
      <c r="F239" s="134" t="str">
        <f ca="1">IFERROR(__xludf.DUMMYFUNCTION("""COMPUTED_VALUE"""),"")</f>
        <v/>
      </c>
      <c r="G239" s="134" t="str">
        <f ca="1">IFERROR(__xludf.DUMMYFUNCTION("""COMPUTED_VALUE"""),"")</f>
        <v/>
      </c>
      <c r="H239" s="134" t="str">
        <f ca="1">IFERROR(__xludf.DUMMYFUNCTION("""COMPUTED_VALUE"""),"")</f>
        <v/>
      </c>
      <c r="I239" s="134" t="str">
        <f ca="1">IFERROR(__xludf.DUMMYFUNCTION("""COMPUTED_VALUE"""),"")</f>
        <v/>
      </c>
      <c r="J239" s="134" t="str">
        <f ca="1">IFERROR(__xludf.DUMMYFUNCTION("""COMPUTED_VALUE"""),"")</f>
        <v/>
      </c>
      <c r="N239" s="31"/>
      <c r="Q239" s="31"/>
    </row>
    <row r="240" spans="1:17" customFormat="1">
      <c r="A240" s="134" t="str">
        <f ca="1">IFERROR(__xludf.DUMMYFUNCTION("""COMPUTED_VALUE"""),"")</f>
        <v/>
      </c>
      <c r="B240" s="134" t="str">
        <f ca="1">IFERROR(__xludf.DUMMYFUNCTION("""COMPUTED_VALUE"""),"")</f>
        <v/>
      </c>
      <c r="C240" s="134" t="str">
        <f ca="1">IFERROR(__xludf.DUMMYFUNCTION("""COMPUTED_VALUE"""),"")</f>
        <v/>
      </c>
      <c r="D240" s="134" t="str">
        <f ca="1">IFERROR(__xludf.DUMMYFUNCTION("""COMPUTED_VALUE"""),"")</f>
        <v/>
      </c>
      <c r="E240" s="134" t="str">
        <f ca="1">IFERROR(__xludf.DUMMYFUNCTION("""COMPUTED_VALUE"""),"")</f>
        <v/>
      </c>
      <c r="F240" s="134" t="str">
        <f ca="1">IFERROR(__xludf.DUMMYFUNCTION("""COMPUTED_VALUE"""),"")</f>
        <v/>
      </c>
      <c r="G240" s="134" t="str">
        <f ca="1">IFERROR(__xludf.DUMMYFUNCTION("""COMPUTED_VALUE"""),"")</f>
        <v/>
      </c>
      <c r="H240" s="134" t="str">
        <f ca="1">IFERROR(__xludf.DUMMYFUNCTION("""COMPUTED_VALUE"""),"")</f>
        <v/>
      </c>
      <c r="I240" s="134" t="str">
        <f ca="1">IFERROR(__xludf.DUMMYFUNCTION("""COMPUTED_VALUE"""),"")</f>
        <v/>
      </c>
      <c r="J240" s="134" t="str">
        <f ca="1">IFERROR(__xludf.DUMMYFUNCTION("""COMPUTED_VALUE"""),"")</f>
        <v/>
      </c>
      <c r="N240" s="31"/>
      <c r="Q240" s="31"/>
    </row>
    <row r="241" spans="1:17" customFormat="1">
      <c r="A241" s="134" t="str">
        <f ca="1">IFERROR(__xludf.DUMMYFUNCTION("""COMPUTED_VALUE"""),"")</f>
        <v/>
      </c>
      <c r="B241" s="134" t="str">
        <f ca="1">IFERROR(__xludf.DUMMYFUNCTION("""COMPUTED_VALUE"""),"")</f>
        <v/>
      </c>
      <c r="C241" s="134" t="str">
        <f ca="1">IFERROR(__xludf.DUMMYFUNCTION("""COMPUTED_VALUE"""),"")</f>
        <v/>
      </c>
      <c r="D241" s="134" t="str">
        <f ca="1">IFERROR(__xludf.DUMMYFUNCTION("""COMPUTED_VALUE"""),"")</f>
        <v/>
      </c>
      <c r="E241" s="134" t="str">
        <f ca="1">IFERROR(__xludf.DUMMYFUNCTION("""COMPUTED_VALUE"""),"")</f>
        <v/>
      </c>
      <c r="F241" s="134" t="str">
        <f ca="1">IFERROR(__xludf.DUMMYFUNCTION("""COMPUTED_VALUE"""),"")</f>
        <v/>
      </c>
      <c r="G241" s="134" t="str">
        <f ca="1">IFERROR(__xludf.DUMMYFUNCTION("""COMPUTED_VALUE"""),"")</f>
        <v/>
      </c>
      <c r="H241" s="134" t="str">
        <f ca="1">IFERROR(__xludf.DUMMYFUNCTION("""COMPUTED_VALUE"""),"")</f>
        <v/>
      </c>
      <c r="I241" s="134" t="str">
        <f ca="1">IFERROR(__xludf.DUMMYFUNCTION("""COMPUTED_VALUE"""),"")</f>
        <v/>
      </c>
      <c r="J241" s="134" t="str">
        <f ca="1">IFERROR(__xludf.DUMMYFUNCTION("""COMPUTED_VALUE"""),"")</f>
        <v/>
      </c>
      <c r="N241" s="31"/>
      <c r="Q241" s="31"/>
    </row>
    <row r="242" spans="1:17" customFormat="1">
      <c r="A242" s="134" t="str">
        <f ca="1">IFERROR(__xludf.DUMMYFUNCTION("""COMPUTED_VALUE"""),"")</f>
        <v/>
      </c>
      <c r="B242" s="134" t="str">
        <f ca="1">IFERROR(__xludf.DUMMYFUNCTION("""COMPUTED_VALUE"""),"")</f>
        <v/>
      </c>
      <c r="C242" s="134" t="str">
        <f ca="1">IFERROR(__xludf.DUMMYFUNCTION("""COMPUTED_VALUE"""),"")</f>
        <v/>
      </c>
      <c r="D242" s="134" t="str">
        <f ca="1">IFERROR(__xludf.DUMMYFUNCTION("""COMPUTED_VALUE"""),"")</f>
        <v/>
      </c>
      <c r="E242" s="134" t="str">
        <f ca="1">IFERROR(__xludf.DUMMYFUNCTION("""COMPUTED_VALUE"""),"")</f>
        <v/>
      </c>
      <c r="F242" s="134" t="str">
        <f ca="1">IFERROR(__xludf.DUMMYFUNCTION("""COMPUTED_VALUE"""),"")</f>
        <v/>
      </c>
      <c r="G242" s="134" t="str">
        <f ca="1">IFERROR(__xludf.DUMMYFUNCTION("""COMPUTED_VALUE"""),"")</f>
        <v/>
      </c>
      <c r="H242" s="134" t="str">
        <f ca="1">IFERROR(__xludf.DUMMYFUNCTION("""COMPUTED_VALUE"""),"")</f>
        <v/>
      </c>
      <c r="I242" s="134" t="str">
        <f ca="1">IFERROR(__xludf.DUMMYFUNCTION("""COMPUTED_VALUE"""),"")</f>
        <v/>
      </c>
      <c r="J242" s="134" t="str">
        <f ca="1">IFERROR(__xludf.DUMMYFUNCTION("""COMPUTED_VALUE"""),"")</f>
        <v/>
      </c>
      <c r="N242" s="31"/>
      <c r="Q242" s="31"/>
    </row>
    <row r="243" spans="1:17" customFormat="1">
      <c r="A243" s="134" t="str">
        <f ca="1">IFERROR(__xludf.DUMMYFUNCTION("""COMPUTED_VALUE"""),"")</f>
        <v/>
      </c>
      <c r="B243" s="134" t="str">
        <f ca="1">IFERROR(__xludf.DUMMYFUNCTION("""COMPUTED_VALUE"""),"")</f>
        <v/>
      </c>
      <c r="C243" s="134" t="str">
        <f ca="1">IFERROR(__xludf.DUMMYFUNCTION("""COMPUTED_VALUE"""),"")</f>
        <v/>
      </c>
      <c r="D243" s="134" t="str">
        <f ca="1">IFERROR(__xludf.DUMMYFUNCTION("""COMPUTED_VALUE"""),"")</f>
        <v/>
      </c>
      <c r="E243" s="134" t="str">
        <f ca="1">IFERROR(__xludf.DUMMYFUNCTION("""COMPUTED_VALUE"""),"")</f>
        <v/>
      </c>
      <c r="F243" s="134" t="str">
        <f ca="1">IFERROR(__xludf.DUMMYFUNCTION("""COMPUTED_VALUE"""),"")</f>
        <v/>
      </c>
      <c r="G243" s="134" t="str">
        <f ca="1">IFERROR(__xludf.DUMMYFUNCTION("""COMPUTED_VALUE"""),"")</f>
        <v/>
      </c>
      <c r="H243" s="134" t="str">
        <f ca="1">IFERROR(__xludf.DUMMYFUNCTION("""COMPUTED_VALUE"""),"")</f>
        <v/>
      </c>
      <c r="I243" s="134" t="str">
        <f ca="1">IFERROR(__xludf.DUMMYFUNCTION("""COMPUTED_VALUE"""),"")</f>
        <v/>
      </c>
      <c r="J243" s="134" t="str">
        <f ca="1">IFERROR(__xludf.DUMMYFUNCTION("""COMPUTED_VALUE"""),"")</f>
        <v/>
      </c>
      <c r="N243" s="31"/>
      <c r="Q243" s="31"/>
    </row>
    <row r="244" spans="1:17" customFormat="1">
      <c r="A244" s="134" t="str">
        <f ca="1">IFERROR(__xludf.DUMMYFUNCTION("""COMPUTED_VALUE"""),"")</f>
        <v/>
      </c>
      <c r="B244" s="134" t="str">
        <f ca="1">IFERROR(__xludf.DUMMYFUNCTION("""COMPUTED_VALUE"""),"")</f>
        <v/>
      </c>
      <c r="C244" s="134" t="str">
        <f ca="1">IFERROR(__xludf.DUMMYFUNCTION("""COMPUTED_VALUE"""),"")</f>
        <v/>
      </c>
      <c r="D244" s="134" t="str">
        <f ca="1">IFERROR(__xludf.DUMMYFUNCTION("""COMPUTED_VALUE"""),"")</f>
        <v/>
      </c>
      <c r="E244" s="134" t="str">
        <f ca="1">IFERROR(__xludf.DUMMYFUNCTION("""COMPUTED_VALUE"""),"")</f>
        <v/>
      </c>
      <c r="F244" s="134" t="str">
        <f ca="1">IFERROR(__xludf.DUMMYFUNCTION("""COMPUTED_VALUE"""),"")</f>
        <v/>
      </c>
      <c r="G244" s="134" t="str">
        <f ca="1">IFERROR(__xludf.DUMMYFUNCTION("""COMPUTED_VALUE"""),"")</f>
        <v/>
      </c>
      <c r="H244" s="134" t="str">
        <f ca="1">IFERROR(__xludf.DUMMYFUNCTION("""COMPUTED_VALUE"""),"")</f>
        <v/>
      </c>
      <c r="I244" s="134" t="str">
        <f ca="1">IFERROR(__xludf.DUMMYFUNCTION("""COMPUTED_VALUE"""),"")</f>
        <v/>
      </c>
      <c r="J244" s="134" t="str">
        <f ca="1">IFERROR(__xludf.DUMMYFUNCTION("""COMPUTED_VALUE"""),"")</f>
        <v/>
      </c>
      <c r="N244" s="31"/>
      <c r="Q244" s="31"/>
    </row>
    <row r="245" spans="1:17" customFormat="1">
      <c r="A245" s="134" t="str">
        <f ca="1">IFERROR(__xludf.DUMMYFUNCTION("""COMPUTED_VALUE"""),"")</f>
        <v/>
      </c>
      <c r="B245" s="134" t="str">
        <f ca="1">IFERROR(__xludf.DUMMYFUNCTION("""COMPUTED_VALUE"""),"")</f>
        <v/>
      </c>
      <c r="C245" s="134" t="str">
        <f ca="1">IFERROR(__xludf.DUMMYFUNCTION("""COMPUTED_VALUE"""),"")</f>
        <v/>
      </c>
      <c r="D245" s="134" t="str">
        <f ca="1">IFERROR(__xludf.DUMMYFUNCTION("""COMPUTED_VALUE"""),"")</f>
        <v/>
      </c>
      <c r="E245" s="134" t="str">
        <f ca="1">IFERROR(__xludf.DUMMYFUNCTION("""COMPUTED_VALUE"""),"")</f>
        <v/>
      </c>
      <c r="F245" s="134" t="str">
        <f ca="1">IFERROR(__xludf.DUMMYFUNCTION("""COMPUTED_VALUE"""),"")</f>
        <v/>
      </c>
      <c r="G245" s="134" t="str">
        <f ca="1">IFERROR(__xludf.DUMMYFUNCTION("""COMPUTED_VALUE"""),"")</f>
        <v/>
      </c>
      <c r="H245" s="134" t="str">
        <f ca="1">IFERROR(__xludf.DUMMYFUNCTION("""COMPUTED_VALUE"""),"")</f>
        <v/>
      </c>
      <c r="I245" s="134" t="str">
        <f ca="1">IFERROR(__xludf.DUMMYFUNCTION("""COMPUTED_VALUE"""),"")</f>
        <v/>
      </c>
      <c r="J245" s="134" t="str">
        <f ca="1">IFERROR(__xludf.DUMMYFUNCTION("""COMPUTED_VALUE"""),"")</f>
        <v/>
      </c>
      <c r="N245" s="31"/>
      <c r="Q245" s="31"/>
    </row>
    <row r="246" spans="1:17" customFormat="1">
      <c r="A246" s="134" t="str">
        <f ca="1">IFERROR(__xludf.DUMMYFUNCTION("""COMPUTED_VALUE"""),"")</f>
        <v/>
      </c>
      <c r="B246" s="134" t="str">
        <f ca="1">IFERROR(__xludf.DUMMYFUNCTION("""COMPUTED_VALUE"""),"")</f>
        <v/>
      </c>
      <c r="C246" s="134" t="str">
        <f ca="1">IFERROR(__xludf.DUMMYFUNCTION("""COMPUTED_VALUE"""),"")</f>
        <v/>
      </c>
      <c r="D246" s="134" t="str">
        <f ca="1">IFERROR(__xludf.DUMMYFUNCTION("""COMPUTED_VALUE"""),"")</f>
        <v/>
      </c>
      <c r="E246" s="134" t="str">
        <f ca="1">IFERROR(__xludf.DUMMYFUNCTION("""COMPUTED_VALUE"""),"")</f>
        <v/>
      </c>
      <c r="F246" s="134" t="str">
        <f ca="1">IFERROR(__xludf.DUMMYFUNCTION("""COMPUTED_VALUE"""),"")</f>
        <v/>
      </c>
      <c r="G246" s="134" t="str">
        <f ca="1">IFERROR(__xludf.DUMMYFUNCTION("""COMPUTED_VALUE"""),"")</f>
        <v/>
      </c>
      <c r="H246" s="134" t="str">
        <f ca="1">IFERROR(__xludf.DUMMYFUNCTION("""COMPUTED_VALUE"""),"")</f>
        <v/>
      </c>
      <c r="I246" s="134" t="str">
        <f ca="1">IFERROR(__xludf.DUMMYFUNCTION("""COMPUTED_VALUE"""),"")</f>
        <v/>
      </c>
      <c r="J246" s="134" t="str">
        <f ca="1">IFERROR(__xludf.DUMMYFUNCTION("""COMPUTED_VALUE"""),"")</f>
        <v/>
      </c>
      <c r="N246" s="31"/>
      <c r="Q246" s="31"/>
    </row>
    <row r="247" spans="1:17" customFormat="1">
      <c r="A247" s="134" t="str">
        <f ca="1">IFERROR(__xludf.DUMMYFUNCTION("""COMPUTED_VALUE"""),"")</f>
        <v/>
      </c>
      <c r="B247" s="134" t="str">
        <f ca="1">IFERROR(__xludf.DUMMYFUNCTION("""COMPUTED_VALUE"""),"")</f>
        <v/>
      </c>
      <c r="C247" s="134" t="str">
        <f ca="1">IFERROR(__xludf.DUMMYFUNCTION("""COMPUTED_VALUE"""),"")</f>
        <v/>
      </c>
      <c r="D247" s="134" t="str">
        <f ca="1">IFERROR(__xludf.DUMMYFUNCTION("""COMPUTED_VALUE"""),"")</f>
        <v/>
      </c>
      <c r="E247" s="134" t="str">
        <f ca="1">IFERROR(__xludf.DUMMYFUNCTION("""COMPUTED_VALUE"""),"")</f>
        <v/>
      </c>
      <c r="F247" s="134" t="str">
        <f ca="1">IFERROR(__xludf.DUMMYFUNCTION("""COMPUTED_VALUE"""),"")</f>
        <v/>
      </c>
      <c r="G247" s="134" t="str">
        <f ca="1">IFERROR(__xludf.DUMMYFUNCTION("""COMPUTED_VALUE"""),"")</f>
        <v/>
      </c>
      <c r="H247" s="134" t="str">
        <f ca="1">IFERROR(__xludf.DUMMYFUNCTION("""COMPUTED_VALUE"""),"")</f>
        <v/>
      </c>
      <c r="I247" s="134" t="str">
        <f ca="1">IFERROR(__xludf.DUMMYFUNCTION("""COMPUTED_VALUE"""),"")</f>
        <v/>
      </c>
      <c r="J247" s="134" t="str">
        <f ca="1">IFERROR(__xludf.DUMMYFUNCTION("""COMPUTED_VALUE"""),"")</f>
        <v/>
      </c>
      <c r="N247" s="31"/>
      <c r="Q247" s="31"/>
    </row>
    <row r="248" spans="1:17" customFormat="1">
      <c r="A248" s="134" t="str">
        <f ca="1">IFERROR(__xludf.DUMMYFUNCTION("""COMPUTED_VALUE"""),"")</f>
        <v/>
      </c>
      <c r="B248" s="134" t="str">
        <f ca="1">IFERROR(__xludf.DUMMYFUNCTION("""COMPUTED_VALUE"""),"")</f>
        <v/>
      </c>
      <c r="C248" s="134" t="str">
        <f ca="1">IFERROR(__xludf.DUMMYFUNCTION("""COMPUTED_VALUE"""),"")</f>
        <v/>
      </c>
      <c r="D248" s="134" t="str">
        <f ca="1">IFERROR(__xludf.DUMMYFUNCTION("""COMPUTED_VALUE"""),"")</f>
        <v/>
      </c>
      <c r="E248" s="134" t="str">
        <f ca="1">IFERROR(__xludf.DUMMYFUNCTION("""COMPUTED_VALUE"""),"")</f>
        <v/>
      </c>
      <c r="F248" s="134" t="str">
        <f ca="1">IFERROR(__xludf.DUMMYFUNCTION("""COMPUTED_VALUE"""),"")</f>
        <v/>
      </c>
      <c r="G248" s="134" t="str">
        <f ca="1">IFERROR(__xludf.DUMMYFUNCTION("""COMPUTED_VALUE"""),"")</f>
        <v/>
      </c>
      <c r="H248" s="134" t="str">
        <f ca="1">IFERROR(__xludf.DUMMYFUNCTION("""COMPUTED_VALUE"""),"")</f>
        <v/>
      </c>
      <c r="I248" s="134" t="str">
        <f ca="1">IFERROR(__xludf.DUMMYFUNCTION("""COMPUTED_VALUE"""),"")</f>
        <v/>
      </c>
      <c r="J248" s="134" t="str">
        <f ca="1">IFERROR(__xludf.DUMMYFUNCTION("""COMPUTED_VALUE"""),"")</f>
        <v/>
      </c>
      <c r="N248" s="31"/>
      <c r="Q248" s="31"/>
    </row>
    <row r="249" spans="1:17" customFormat="1">
      <c r="A249" s="134" t="str">
        <f ca="1">IFERROR(__xludf.DUMMYFUNCTION("""COMPUTED_VALUE"""),"")</f>
        <v/>
      </c>
      <c r="B249" s="134" t="str">
        <f ca="1">IFERROR(__xludf.DUMMYFUNCTION("""COMPUTED_VALUE"""),"")</f>
        <v/>
      </c>
      <c r="C249" s="134" t="str">
        <f ca="1">IFERROR(__xludf.DUMMYFUNCTION("""COMPUTED_VALUE"""),"")</f>
        <v/>
      </c>
      <c r="D249" s="134" t="str">
        <f ca="1">IFERROR(__xludf.DUMMYFUNCTION("""COMPUTED_VALUE"""),"")</f>
        <v/>
      </c>
      <c r="E249" s="134" t="str">
        <f ca="1">IFERROR(__xludf.DUMMYFUNCTION("""COMPUTED_VALUE"""),"")</f>
        <v/>
      </c>
      <c r="F249" s="134" t="str">
        <f ca="1">IFERROR(__xludf.DUMMYFUNCTION("""COMPUTED_VALUE"""),"")</f>
        <v/>
      </c>
      <c r="G249" s="134" t="str">
        <f ca="1">IFERROR(__xludf.DUMMYFUNCTION("""COMPUTED_VALUE"""),"")</f>
        <v/>
      </c>
      <c r="H249" s="134" t="str">
        <f ca="1">IFERROR(__xludf.DUMMYFUNCTION("""COMPUTED_VALUE"""),"")</f>
        <v/>
      </c>
      <c r="I249" s="134" t="str">
        <f ca="1">IFERROR(__xludf.DUMMYFUNCTION("""COMPUTED_VALUE"""),"")</f>
        <v/>
      </c>
      <c r="J249" s="134" t="str">
        <f ca="1">IFERROR(__xludf.DUMMYFUNCTION("""COMPUTED_VALUE"""),"")</f>
        <v/>
      </c>
      <c r="N249" s="31"/>
      <c r="Q249" s="31"/>
    </row>
    <row r="250" spans="1:17" customFormat="1">
      <c r="A250" s="134" t="str">
        <f ca="1">IFERROR(__xludf.DUMMYFUNCTION("""COMPUTED_VALUE"""),"")</f>
        <v/>
      </c>
      <c r="B250" s="134" t="str">
        <f ca="1">IFERROR(__xludf.DUMMYFUNCTION("""COMPUTED_VALUE"""),"")</f>
        <v/>
      </c>
      <c r="C250" s="134" t="str">
        <f ca="1">IFERROR(__xludf.DUMMYFUNCTION("""COMPUTED_VALUE"""),"")</f>
        <v/>
      </c>
      <c r="D250" s="134" t="str">
        <f ca="1">IFERROR(__xludf.DUMMYFUNCTION("""COMPUTED_VALUE"""),"")</f>
        <v/>
      </c>
      <c r="E250" s="134" t="str">
        <f ca="1">IFERROR(__xludf.DUMMYFUNCTION("""COMPUTED_VALUE"""),"")</f>
        <v/>
      </c>
      <c r="F250" s="134" t="str">
        <f ca="1">IFERROR(__xludf.DUMMYFUNCTION("""COMPUTED_VALUE"""),"")</f>
        <v/>
      </c>
      <c r="G250" s="134" t="str">
        <f ca="1">IFERROR(__xludf.DUMMYFUNCTION("""COMPUTED_VALUE"""),"")</f>
        <v/>
      </c>
      <c r="H250" s="134" t="str">
        <f ca="1">IFERROR(__xludf.DUMMYFUNCTION("""COMPUTED_VALUE"""),"")</f>
        <v/>
      </c>
      <c r="I250" s="134" t="str">
        <f ca="1">IFERROR(__xludf.DUMMYFUNCTION("""COMPUTED_VALUE"""),"")</f>
        <v/>
      </c>
      <c r="J250" s="134" t="str">
        <f ca="1">IFERROR(__xludf.DUMMYFUNCTION("""COMPUTED_VALUE"""),"")</f>
        <v/>
      </c>
      <c r="N250" s="31"/>
      <c r="Q250" s="31"/>
    </row>
    <row r="251" spans="1:17" customFormat="1">
      <c r="A251" s="134" t="str">
        <f ca="1">IFERROR(__xludf.DUMMYFUNCTION("""COMPUTED_VALUE"""),"")</f>
        <v/>
      </c>
      <c r="B251" s="134" t="str">
        <f ca="1">IFERROR(__xludf.DUMMYFUNCTION("""COMPUTED_VALUE"""),"")</f>
        <v/>
      </c>
      <c r="C251" s="134" t="str">
        <f ca="1">IFERROR(__xludf.DUMMYFUNCTION("""COMPUTED_VALUE"""),"")</f>
        <v/>
      </c>
      <c r="D251" s="134" t="str">
        <f ca="1">IFERROR(__xludf.DUMMYFUNCTION("""COMPUTED_VALUE"""),"")</f>
        <v/>
      </c>
      <c r="E251" s="134" t="str">
        <f ca="1">IFERROR(__xludf.DUMMYFUNCTION("""COMPUTED_VALUE"""),"")</f>
        <v/>
      </c>
      <c r="F251" s="134" t="str">
        <f ca="1">IFERROR(__xludf.DUMMYFUNCTION("""COMPUTED_VALUE"""),"")</f>
        <v/>
      </c>
      <c r="G251" s="134" t="str">
        <f ca="1">IFERROR(__xludf.DUMMYFUNCTION("""COMPUTED_VALUE"""),"")</f>
        <v/>
      </c>
      <c r="H251" s="134" t="str">
        <f ca="1">IFERROR(__xludf.DUMMYFUNCTION("""COMPUTED_VALUE"""),"")</f>
        <v/>
      </c>
      <c r="I251" s="134" t="str">
        <f ca="1">IFERROR(__xludf.DUMMYFUNCTION("""COMPUTED_VALUE"""),"")</f>
        <v/>
      </c>
      <c r="J251" s="134" t="str">
        <f ca="1">IFERROR(__xludf.DUMMYFUNCTION("""COMPUTED_VALUE"""),"")</f>
        <v/>
      </c>
      <c r="N251" s="31"/>
      <c r="Q251" s="31"/>
    </row>
    <row r="252" spans="1:17" customFormat="1">
      <c r="A252" s="134" t="str">
        <f ca="1">IFERROR(__xludf.DUMMYFUNCTION("""COMPUTED_VALUE"""),"")</f>
        <v/>
      </c>
      <c r="B252" s="134" t="str">
        <f ca="1">IFERROR(__xludf.DUMMYFUNCTION("""COMPUTED_VALUE"""),"")</f>
        <v/>
      </c>
      <c r="C252" s="134" t="str">
        <f ca="1">IFERROR(__xludf.DUMMYFUNCTION("""COMPUTED_VALUE"""),"")</f>
        <v/>
      </c>
      <c r="D252" s="134" t="str">
        <f ca="1">IFERROR(__xludf.DUMMYFUNCTION("""COMPUTED_VALUE"""),"")</f>
        <v/>
      </c>
      <c r="E252" s="134" t="str">
        <f ca="1">IFERROR(__xludf.DUMMYFUNCTION("""COMPUTED_VALUE"""),"")</f>
        <v/>
      </c>
      <c r="F252" s="134" t="str">
        <f ca="1">IFERROR(__xludf.DUMMYFUNCTION("""COMPUTED_VALUE"""),"")</f>
        <v/>
      </c>
      <c r="G252" s="134" t="str">
        <f ca="1">IFERROR(__xludf.DUMMYFUNCTION("""COMPUTED_VALUE"""),"")</f>
        <v/>
      </c>
      <c r="H252" s="134" t="str">
        <f ca="1">IFERROR(__xludf.DUMMYFUNCTION("""COMPUTED_VALUE"""),"")</f>
        <v/>
      </c>
      <c r="I252" s="134" t="str">
        <f ca="1">IFERROR(__xludf.DUMMYFUNCTION("""COMPUTED_VALUE"""),"")</f>
        <v/>
      </c>
      <c r="J252" s="134" t="str">
        <f ca="1">IFERROR(__xludf.DUMMYFUNCTION("""COMPUTED_VALUE"""),"")</f>
        <v/>
      </c>
      <c r="N252" s="31"/>
      <c r="Q252" s="31"/>
    </row>
    <row r="253" spans="1:17" customFormat="1">
      <c r="A253" s="134" t="str">
        <f ca="1">IFERROR(__xludf.DUMMYFUNCTION("""COMPUTED_VALUE"""),"")</f>
        <v/>
      </c>
      <c r="B253" s="134" t="str">
        <f ca="1">IFERROR(__xludf.DUMMYFUNCTION("""COMPUTED_VALUE"""),"")</f>
        <v/>
      </c>
      <c r="C253" s="134" t="str">
        <f ca="1">IFERROR(__xludf.DUMMYFUNCTION("""COMPUTED_VALUE"""),"")</f>
        <v/>
      </c>
      <c r="D253" s="134" t="str">
        <f ca="1">IFERROR(__xludf.DUMMYFUNCTION("""COMPUTED_VALUE"""),"")</f>
        <v/>
      </c>
      <c r="E253" s="134" t="str">
        <f ca="1">IFERROR(__xludf.DUMMYFUNCTION("""COMPUTED_VALUE"""),"")</f>
        <v/>
      </c>
      <c r="F253" s="134" t="str">
        <f ca="1">IFERROR(__xludf.DUMMYFUNCTION("""COMPUTED_VALUE"""),"")</f>
        <v/>
      </c>
      <c r="G253" s="134" t="str">
        <f ca="1">IFERROR(__xludf.DUMMYFUNCTION("""COMPUTED_VALUE"""),"")</f>
        <v/>
      </c>
      <c r="H253" s="134" t="str">
        <f ca="1">IFERROR(__xludf.DUMMYFUNCTION("""COMPUTED_VALUE"""),"")</f>
        <v/>
      </c>
      <c r="I253" s="134" t="str">
        <f ca="1">IFERROR(__xludf.DUMMYFUNCTION("""COMPUTED_VALUE"""),"")</f>
        <v/>
      </c>
      <c r="J253" s="134" t="str">
        <f ca="1">IFERROR(__xludf.DUMMYFUNCTION("""COMPUTED_VALUE"""),"")</f>
        <v/>
      </c>
      <c r="N253" s="31"/>
      <c r="Q253" s="31"/>
    </row>
    <row r="254" spans="1:17" customFormat="1">
      <c r="A254" s="134" t="str">
        <f ca="1">IFERROR(__xludf.DUMMYFUNCTION("""COMPUTED_VALUE"""),"")</f>
        <v/>
      </c>
      <c r="B254" s="134" t="str">
        <f ca="1">IFERROR(__xludf.DUMMYFUNCTION("""COMPUTED_VALUE"""),"")</f>
        <v/>
      </c>
      <c r="C254" s="134" t="str">
        <f ca="1">IFERROR(__xludf.DUMMYFUNCTION("""COMPUTED_VALUE"""),"")</f>
        <v/>
      </c>
      <c r="D254" s="134" t="str">
        <f ca="1">IFERROR(__xludf.DUMMYFUNCTION("""COMPUTED_VALUE"""),"")</f>
        <v/>
      </c>
      <c r="E254" s="134" t="str">
        <f ca="1">IFERROR(__xludf.DUMMYFUNCTION("""COMPUTED_VALUE"""),"")</f>
        <v/>
      </c>
      <c r="F254" s="134" t="str">
        <f ca="1">IFERROR(__xludf.DUMMYFUNCTION("""COMPUTED_VALUE"""),"")</f>
        <v/>
      </c>
      <c r="G254" s="134" t="str">
        <f ca="1">IFERROR(__xludf.DUMMYFUNCTION("""COMPUTED_VALUE"""),"")</f>
        <v/>
      </c>
      <c r="H254" s="134" t="str">
        <f ca="1">IFERROR(__xludf.DUMMYFUNCTION("""COMPUTED_VALUE"""),"")</f>
        <v/>
      </c>
      <c r="I254" s="134" t="str">
        <f ca="1">IFERROR(__xludf.DUMMYFUNCTION("""COMPUTED_VALUE"""),"")</f>
        <v/>
      </c>
      <c r="J254" s="134" t="str">
        <f ca="1">IFERROR(__xludf.DUMMYFUNCTION("""COMPUTED_VALUE"""),"")</f>
        <v/>
      </c>
      <c r="N254" s="31"/>
      <c r="Q254" s="31"/>
    </row>
    <row r="255" spans="1:17" customFormat="1">
      <c r="A255" s="134" t="str">
        <f ca="1">IFERROR(__xludf.DUMMYFUNCTION("""COMPUTED_VALUE"""),"")</f>
        <v/>
      </c>
      <c r="B255" s="134" t="str">
        <f ca="1">IFERROR(__xludf.DUMMYFUNCTION("""COMPUTED_VALUE"""),"")</f>
        <v/>
      </c>
      <c r="C255" s="134" t="str">
        <f ca="1">IFERROR(__xludf.DUMMYFUNCTION("""COMPUTED_VALUE"""),"")</f>
        <v/>
      </c>
      <c r="D255" s="134" t="str">
        <f ca="1">IFERROR(__xludf.DUMMYFUNCTION("""COMPUTED_VALUE"""),"")</f>
        <v/>
      </c>
      <c r="E255" s="134" t="str">
        <f ca="1">IFERROR(__xludf.DUMMYFUNCTION("""COMPUTED_VALUE"""),"")</f>
        <v/>
      </c>
      <c r="F255" s="134" t="str">
        <f ca="1">IFERROR(__xludf.DUMMYFUNCTION("""COMPUTED_VALUE"""),"")</f>
        <v/>
      </c>
      <c r="G255" s="134" t="str">
        <f ca="1">IFERROR(__xludf.DUMMYFUNCTION("""COMPUTED_VALUE"""),"")</f>
        <v/>
      </c>
      <c r="H255" s="134" t="str">
        <f ca="1">IFERROR(__xludf.DUMMYFUNCTION("""COMPUTED_VALUE"""),"")</f>
        <v/>
      </c>
      <c r="I255" s="134" t="str">
        <f ca="1">IFERROR(__xludf.DUMMYFUNCTION("""COMPUTED_VALUE"""),"")</f>
        <v/>
      </c>
      <c r="J255" s="134" t="str">
        <f ca="1">IFERROR(__xludf.DUMMYFUNCTION("""COMPUTED_VALUE"""),"")</f>
        <v/>
      </c>
      <c r="N255" s="31"/>
      <c r="Q255" s="31"/>
    </row>
    <row r="256" spans="1:17" customFormat="1">
      <c r="A256" s="134" t="str">
        <f ca="1">IFERROR(__xludf.DUMMYFUNCTION("""COMPUTED_VALUE"""),"")</f>
        <v/>
      </c>
      <c r="B256" s="134" t="str">
        <f ca="1">IFERROR(__xludf.DUMMYFUNCTION("""COMPUTED_VALUE"""),"")</f>
        <v/>
      </c>
      <c r="C256" s="134" t="str">
        <f ca="1">IFERROR(__xludf.DUMMYFUNCTION("""COMPUTED_VALUE"""),"")</f>
        <v/>
      </c>
      <c r="D256" s="134" t="str">
        <f ca="1">IFERROR(__xludf.DUMMYFUNCTION("""COMPUTED_VALUE"""),"")</f>
        <v/>
      </c>
      <c r="E256" s="134" t="str">
        <f ca="1">IFERROR(__xludf.DUMMYFUNCTION("""COMPUTED_VALUE"""),"")</f>
        <v/>
      </c>
      <c r="F256" s="134" t="str">
        <f ca="1">IFERROR(__xludf.DUMMYFUNCTION("""COMPUTED_VALUE"""),"")</f>
        <v/>
      </c>
      <c r="G256" s="134" t="str">
        <f ca="1">IFERROR(__xludf.DUMMYFUNCTION("""COMPUTED_VALUE"""),"")</f>
        <v/>
      </c>
      <c r="H256" s="134" t="str">
        <f ca="1">IFERROR(__xludf.DUMMYFUNCTION("""COMPUTED_VALUE"""),"")</f>
        <v/>
      </c>
      <c r="I256" s="134" t="str">
        <f ca="1">IFERROR(__xludf.DUMMYFUNCTION("""COMPUTED_VALUE"""),"")</f>
        <v/>
      </c>
      <c r="J256" s="134" t="str">
        <f ca="1">IFERROR(__xludf.DUMMYFUNCTION("""COMPUTED_VALUE"""),"")</f>
        <v/>
      </c>
      <c r="N256" s="31"/>
      <c r="Q256" s="31"/>
    </row>
    <row r="257" spans="1:17" customFormat="1">
      <c r="A257" s="134" t="str">
        <f ca="1">IFERROR(__xludf.DUMMYFUNCTION("""COMPUTED_VALUE"""),"")</f>
        <v/>
      </c>
      <c r="B257" s="134" t="str">
        <f ca="1">IFERROR(__xludf.DUMMYFUNCTION("""COMPUTED_VALUE"""),"")</f>
        <v/>
      </c>
      <c r="C257" s="134" t="str">
        <f ca="1">IFERROR(__xludf.DUMMYFUNCTION("""COMPUTED_VALUE"""),"")</f>
        <v/>
      </c>
      <c r="D257" s="134" t="str">
        <f ca="1">IFERROR(__xludf.DUMMYFUNCTION("""COMPUTED_VALUE"""),"")</f>
        <v/>
      </c>
      <c r="E257" s="134" t="str">
        <f ca="1">IFERROR(__xludf.DUMMYFUNCTION("""COMPUTED_VALUE"""),"")</f>
        <v/>
      </c>
      <c r="F257" s="134" t="str">
        <f ca="1">IFERROR(__xludf.DUMMYFUNCTION("""COMPUTED_VALUE"""),"")</f>
        <v/>
      </c>
      <c r="G257" s="134" t="str">
        <f ca="1">IFERROR(__xludf.DUMMYFUNCTION("""COMPUTED_VALUE"""),"")</f>
        <v/>
      </c>
      <c r="H257" s="134" t="str">
        <f ca="1">IFERROR(__xludf.DUMMYFUNCTION("""COMPUTED_VALUE"""),"")</f>
        <v/>
      </c>
      <c r="I257" s="134" t="str">
        <f ca="1">IFERROR(__xludf.DUMMYFUNCTION("""COMPUTED_VALUE"""),"")</f>
        <v/>
      </c>
      <c r="J257" s="134" t="str">
        <f ca="1">IFERROR(__xludf.DUMMYFUNCTION("""COMPUTED_VALUE"""),"")</f>
        <v/>
      </c>
      <c r="N257" s="31"/>
      <c r="Q257" s="31"/>
    </row>
    <row r="258" spans="1:17" customFormat="1">
      <c r="A258" s="134" t="str">
        <f ca="1">IFERROR(__xludf.DUMMYFUNCTION("""COMPUTED_VALUE"""),"")</f>
        <v/>
      </c>
      <c r="B258" s="134" t="str">
        <f ca="1">IFERROR(__xludf.DUMMYFUNCTION("""COMPUTED_VALUE"""),"")</f>
        <v/>
      </c>
      <c r="C258" s="134" t="str">
        <f ca="1">IFERROR(__xludf.DUMMYFUNCTION("""COMPUTED_VALUE"""),"")</f>
        <v/>
      </c>
      <c r="D258" s="134" t="str">
        <f ca="1">IFERROR(__xludf.DUMMYFUNCTION("""COMPUTED_VALUE"""),"")</f>
        <v/>
      </c>
      <c r="E258" s="134" t="str">
        <f ca="1">IFERROR(__xludf.DUMMYFUNCTION("""COMPUTED_VALUE"""),"")</f>
        <v/>
      </c>
      <c r="F258" s="134" t="str">
        <f ca="1">IFERROR(__xludf.DUMMYFUNCTION("""COMPUTED_VALUE"""),"")</f>
        <v/>
      </c>
      <c r="G258" s="134" t="str">
        <f ca="1">IFERROR(__xludf.DUMMYFUNCTION("""COMPUTED_VALUE"""),"")</f>
        <v/>
      </c>
      <c r="H258" s="134" t="str">
        <f ca="1">IFERROR(__xludf.DUMMYFUNCTION("""COMPUTED_VALUE"""),"")</f>
        <v/>
      </c>
      <c r="I258" s="134" t="str">
        <f ca="1">IFERROR(__xludf.DUMMYFUNCTION("""COMPUTED_VALUE"""),"")</f>
        <v/>
      </c>
      <c r="J258" s="134" t="str">
        <f ca="1">IFERROR(__xludf.DUMMYFUNCTION("""COMPUTED_VALUE"""),"")</f>
        <v/>
      </c>
      <c r="N258" s="31"/>
      <c r="Q258" s="31"/>
    </row>
    <row r="259" spans="1:17" customFormat="1">
      <c r="A259" s="134" t="str">
        <f ca="1">IFERROR(__xludf.DUMMYFUNCTION("""COMPUTED_VALUE"""),"")</f>
        <v/>
      </c>
      <c r="B259" s="134" t="str">
        <f ca="1">IFERROR(__xludf.DUMMYFUNCTION("""COMPUTED_VALUE"""),"")</f>
        <v/>
      </c>
      <c r="C259" s="134" t="str">
        <f ca="1">IFERROR(__xludf.DUMMYFUNCTION("""COMPUTED_VALUE"""),"")</f>
        <v/>
      </c>
      <c r="D259" s="134" t="str">
        <f ca="1">IFERROR(__xludf.DUMMYFUNCTION("""COMPUTED_VALUE"""),"")</f>
        <v/>
      </c>
      <c r="E259" s="134" t="str">
        <f ca="1">IFERROR(__xludf.DUMMYFUNCTION("""COMPUTED_VALUE"""),"")</f>
        <v/>
      </c>
      <c r="F259" s="134" t="str">
        <f ca="1">IFERROR(__xludf.DUMMYFUNCTION("""COMPUTED_VALUE"""),"")</f>
        <v/>
      </c>
      <c r="G259" s="134" t="str">
        <f ca="1">IFERROR(__xludf.DUMMYFUNCTION("""COMPUTED_VALUE"""),"")</f>
        <v/>
      </c>
      <c r="H259" s="134" t="str">
        <f ca="1">IFERROR(__xludf.DUMMYFUNCTION("""COMPUTED_VALUE"""),"")</f>
        <v/>
      </c>
      <c r="I259" s="134" t="str">
        <f ca="1">IFERROR(__xludf.DUMMYFUNCTION("""COMPUTED_VALUE"""),"")</f>
        <v/>
      </c>
      <c r="J259" s="134" t="str">
        <f ca="1">IFERROR(__xludf.DUMMYFUNCTION("""COMPUTED_VALUE"""),"")</f>
        <v/>
      </c>
      <c r="N259" s="31"/>
      <c r="Q259" s="31"/>
    </row>
    <row r="260" spans="1:17" customFormat="1">
      <c r="A260" s="134" t="str">
        <f ca="1">IFERROR(__xludf.DUMMYFUNCTION("""COMPUTED_VALUE"""),"")</f>
        <v/>
      </c>
      <c r="B260" s="134" t="str">
        <f ca="1">IFERROR(__xludf.DUMMYFUNCTION("""COMPUTED_VALUE"""),"")</f>
        <v/>
      </c>
      <c r="C260" s="134" t="str">
        <f ca="1">IFERROR(__xludf.DUMMYFUNCTION("""COMPUTED_VALUE"""),"")</f>
        <v/>
      </c>
      <c r="D260" s="134" t="str">
        <f ca="1">IFERROR(__xludf.DUMMYFUNCTION("""COMPUTED_VALUE"""),"")</f>
        <v/>
      </c>
      <c r="E260" s="134" t="str">
        <f ca="1">IFERROR(__xludf.DUMMYFUNCTION("""COMPUTED_VALUE"""),"")</f>
        <v/>
      </c>
      <c r="F260" s="134" t="str">
        <f ca="1">IFERROR(__xludf.DUMMYFUNCTION("""COMPUTED_VALUE"""),"")</f>
        <v/>
      </c>
      <c r="G260" s="134" t="str">
        <f ca="1">IFERROR(__xludf.DUMMYFUNCTION("""COMPUTED_VALUE"""),"")</f>
        <v/>
      </c>
      <c r="H260" s="134" t="str">
        <f ca="1">IFERROR(__xludf.DUMMYFUNCTION("""COMPUTED_VALUE"""),"")</f>
        <v/>
      </c>
      <c r="I260" s="134" t="str">
        <f ca="1">IFERROR(__xludf.DUMMYFUNCTION("""COMPUTED_VALUE"""),"")</f>
        <v/>
      </c>
      <c r="J260" s="134" t="str">
        <f ca="1">IFERROR(__xludf.DUMMYFUNCTION("""COMPUTED_VALUE"""),"")</f>
        <v/>
      </c>
      <c r="N260" s="31"/>
      <c r="Q260" s="31"/>
    </row>
    <row r="261" spans="1:17" customFormat="1">
      <c r="A261" s="134" t="str">
        <f ca="1">IFERROR(__xludf.DUMMYFUNCTION("""COMPUTED_VALUE"""),"")</f>
        <v/>
      </c>
      <c r="B261" s="134" t="str">
        <f ca="1">IFERROR(__xludf.DUMMYFUNCTION("""COMPUTED_VALUE"""),"")</f>
        <v/>
      </c>
      <c r="C261" s="134" t="str">
        <f ca="1">IFERROR(__xludf.DUMMYFUNCTION("""COMPUTED_VALUE"""),"")</f>
        <v/>
      </c>
      <c r="D261" s="134" t="str">
        <f ca="1">IFERROR(__xludf.DUMMYFUNCTION("""COMPUTED_VALUE"""),"")</f>
        <v/>
      </c>
      <c r="E261" s="134" t="str">
        <f ca="1">IFERROR(__xludf.DUMMYFUNCTION("""COMPUTED_VALUE"""),"")</f>
        <v/>
      </c>
      <c r="F261" s="134" t="str">
        <f ca="1">IFERROR(__xludf.DUMMYFUNCTION("""COMPUTED_VALUE"""),"")</f>
        <v/>
      </c>
      <c r="G261" s="134" t="str">
        <f ca="1">IFERROR(__xludf.DUMMYFUNCTION("""COMPUTED_VALUE"""),"")</f>
        <v/>
      </c>
      <c r="H261" s="134" t="str">
        <f ca="1">IFERROR(__xludf.DUMMYFUNCTION("""COMPUTED_VALUE"""),"")</f>
        <v/>
      </c>
      <c r="I261" s="134" t="str">
        <f ca="1">IFERROR(__xludf.DUMMYFUNCTION("""COMPUTED_VALUE"""),"")</f>
        <v/>
      </c>
      <c r="J261" s="134" t="str">
        <f ca="1">IFERROR(__xludf.DUMMYFUNCTION("""COMPUTED_VALUE"""),"")</f>
        <v/>
      </c>
      <c r="N261" s="31"/>
      <c r="Q261" s="31"/>
    </row>
    <row r="262" spans="1:17" customFormat="1">
      <c r="A262" s="134" t="str">
        <f ca="1">IFERROR(__xludf.DUMMYFUNCTION("""COMPUTED_VALUE"""),"")</f>
        <v/>
      </c>
      <c r="B262" s="134" t="str">
        <f ca="1">IFERROR(__xludf.DUMMYFUNCTION("""COMPUTED_VALUE"""),"")</f>
        <v/>
      </c>
      <c r="C262" s="134" t="str">
        <f ca="1">IFERROR(__xludf.DUMMYFUNCTION("""COMPUTED_VALUE"""),"")</f>
        <v/>
      </c>
      <c r="D262" s="134" t="str">
        <f ca="1">IFERROR(__xludf.DUMMYFUNCTION("""COMPUTED_VALUE"""),"")</f>
        <v/>
      </c>
      <c r="E262" s="134" t="str">
        <f ca="1">IFERROR(__xludf.DUMMYFUNCTION("""COMPUTED_VALUE"""),"")</f>
        <v/>
      </c>
      <c r="F262" s="134" t="str">
        <f ca="1">IFERROR(__xludf.DUMMYFUNCTION("""COMPUTED_VALUE"""),"")</f>
        <v/>
      </c>
      <c r="G262" s="134" t="str">
        <f ca="1">IFERROR(__xludf.DUMMYFUNCTION("""COMPUTED_VALUE"""),"")</f>
        <v/>
      </c>
      <c r="H262" s="134" t="str">
        <f ca="1">IFERROR(__xludf.DUMMYFUNCTION("""COMPUTED_VALUE"""),"")</f>
        <v/>
      </c>
      <c r="I262" s="134" t="str">
        <f ca="1">IFERROR(__xludf.DUMMYFUNCTION("""COMPUTED_VALUE"""),"")</f>
        <v/>
      </c>
      <c r="J262" s="134" t="str">
        <f ca="1">IFERROR(__xludf.DUMMYFUNCTION("""COMPUTED_VALUE"""),"")</f>
        <v/>
      </c>
      <c r="N262" s="31"/>
      <c r="Q262" s="31"/>
    </row>
    <row r="263" spans="1:17" customFormat="1">
      <c r="A263" s="134" t="str">
        <f ca="1">IFERROR(__xludf.DUMMYFUNCTION("""COMPUTED_VALUE"""),"")</f>
        <v/>
      </c>
      <c r="B263" s="134" t="str">
        <f ca="1">IFERROR(__xludf.DUMMYFUNCTION("""COMPUTED_VALUE"""),"")</f>
        <v/>
      </c>
      <c r="C263" s="134" t="str">
        <f ca="1">IFERROR(__xludf.DUMMYFUNCTION("""COMPUTED_VALUE"""),"")</f>
        <v/>
      </c>
      <c r="D263" s="134" t="str">
        <f ca="1">IFERROR(__xludf.DUMMYFUNCTION("""COMPUTED_VALUE"""),"")</f>
        <v/>
      </c>
      <c r="E263" s="134" t="str">
        <f ca="1">IFERROR(__xludf.DUMMYFUNCTION("""COMPUTED_VALUE"""),"")</f>
        <v/>
      </c>
      <c r="F263" s="134" t="str">
        <f ca="1">IFERROR(__xludf.DUMMYFUNCTION("""COMPUTED_VALUE"""),"")</f>
        <v/>
      </c>
      <c r="G263" s="134" t="str">
        <f ca="1">IFERROR(__xludf.DUMMYFUNCTION("""COMPUTED_VALUE"""),"")</f>
        <v/>
      </c>
      <c r="H263" s="134" t="str">
        <f ca="1">IFERROR(__xludf.DUMMYFUNCTION("""COMPUTED_VALUE"""),"")</f>
        <v/>
      </c>
      <c r="I263" s="134" t="str">
        <f ca="1">IFERROR(__xludf.DUMMYFUNCTION("""COMPUTED_VALUE"""),"")</f>
        <v/>
      </c>
      <c r="J263" s="134" t="str">
        <f ca="1">IFERROR(__xludf.DUMMYFUNCTION("""COMPUTED_VALUE"""),"")</f>
        <v/>
      </c>
      <c r="N263" s="31"/>
      <c r="Q263" s="31"/>
    </row>
    <row r="264" spans="1:17" customFormat="1">
      <c r="A264" s="134" t="str">
        <f ca="1">IFERROR(__xludf.DUMMYFUNCTION("""COMPUTED_VALUE"""),"")</f>
        <v/>
      </c>
      <c r="B264" s="134" t="str">
        <f ca="1">IFERROR(__xludf.DUMMYFUNCTION("""COMPUTED_VALUE"""),"")</f>
        <v/>
      </c>
      <c r="C264" s="134" t="str">
        <f ca="1">IFERROR(__xludf.DUMMYFUNCTION("""COMPUTED_VALUE"""),"")</f>
        <v/>
      </c>
      <c r="D264" s="134" t="str">
        <f ca="1">IFERROR(__xludf.DUMMYFUNCTION("""COMPUTED_VALUE"""),"")</f>
        <v/>
      </c>
      <c r="E264" s="134" t="str">
        <f ca="1">IFERROR(__xludf.DUMMYFUNCTION("""COMPUTED_VALUE"""),"")</f>
        <v/>
      </c>
      <c r="F264" s="134" t="str">
        <f ca="1">IFERROR(__xludf.DUMMYFUNCTION("""COMPUTED_VALUE"""),"")</f>
        <v/>
      </c>
      <c r="G264" s="134" t="str">
        <f ca="1">IFERROR(__xludf.DUMMYFUNCTION("""COMPUTED_VALUE"""),"")</f>
        <v/>
      </c>
      <c r="H264" s="134" t="str">
        <f ca="1">IFERROR(__xludf.DUMMYFUNCTION("""COMPUTED_VALUE"""),"")</f>
        <v/>
      </c>
      <c r="I264" s="134" t="str">
        <f ca="1">IFERROR(__xludf.DUMMYFUNCTION("""COMPUTED_VALUE"""),"")</f>
        <v/>
      </c>
      <c r="J264" s="134" t="str">
        <f ca="1">IFERROR(__xludf.DUMMYFUNCTION("""COMPUTED_VALUE"""),"")</f>
        <v/>
      </c>
      <c r="N264" s="31"/>
      <c r="Q264" s="31"/>
    </row>
    <row r="265" spans="1:17" customFormat="1">
      <c r="A265" s="134" t="str">
        <f ca="1">IFERROR(__xludf.DUMMYFUNCTION("""COMPUTED_VALUE"""),"")</f>
        <v/>
      </c>
      <c r="B265" s="134" t="str">
        <f ca="1">IFERROR(__xludf.DUMMYFUNCTION("""COMPUTED_VALUE"""),"")</f>
        <v/>
      </c>
      <c r="C265" s="134" t="str">
        <f ca="1">IFERROR(__xludf.DUMMYFUNCTION("""COMPUTED_VALUE"""),"")</f>
        <v/>
      </c>
      <c r="D265" s="134" t="str">
        <f ca="1">IFERROR(__xludf.DUMMYFUNCTION("""COMPUTED_VALUE"""),"")</f>
        <v/>
      </c>
      <c r="E265" s="134" t="str">
        <f ca="1">IFERROR(__xludf.DUMMYFUNCTION("""COMPUTED_VALUE"""),"")</f>
        <v/>
      </c>
      <c r="F265" s="134" t="str">
        <f ca="1">IFERROR(__xludf.DUMMYFUNCTION("""COMPUTED_VALUE"""),"")</f>
        <v/>
      </c>
      <c r="G265" s="134" t="str">
        <f ca="1">IFERROR(__xludf.DUMMYFUNCTION("""COMPUTED_VALUE"""),"")</f>
        <v/>
      </c>
      <c r="H265" s="134" t="str">
        <f ca="1">IFERROR(__xludf.DUMMYFUNCTION("""COMPUTED_VALUE"""),"")</f>
        <v/>
      </c>
      <c r="I265" s="134" t="str">
        <f ca="1">IFERROR(__xludf.DUMMYFUNCTION("""COMPUTED_VALUE"""),"")</f>
        <v/>
      </c>
      <c r="J265" s="134" t="str">
        <f ca="1">IFERROR(__xludf.DUMMYFUNCTION("""COMPUTED_VALUE"""),"")</f>
        <v/>
      </c>
      <c r="N265" s="31"/>
      <c r="Q265" s="31"/>
    </row>
    <row r="266" spans="1:17" customFormat="1">
      <c r="A266" s="134" t="str">
        <f ca="1">IFERROR(__xludf.DUMMYFUNCTION("""COMPUTED_VALUE"""),"")</f>
        <v/>
      </c>
      <c r="B266" s="134" t="str">
        <f ca="1">IFERROR(__xludf.DUMMYFUNCTION("""COMPUTED_VALUE"""),"")</f>
        <v/>
      </c>
      <c r="C266" s="134" t="str">
        <f ca="1">IFERROR(__xludf.DUMMYFUNCTION("""COMPUTED_VALUE"""),"")</f>
        <v/>
      </c>
      <c r="D266" s="134" t="str">
        <f ca="1">IFERROR(__xludf.DUMMYFUNCTION("""COMPUTED_VALUE"""),"")</f>
        <v/>
      </c>
      <c r="E266" s="134" t="str">
        <f ca="1">IFERROR(__xludf.DUMMYFUNCTION("""COMPUTED_VALUE"""),"")</f>
        <v/>
      </c>
      <c r="F266" s="134" t="str">
        <f ca="1">IFERROR(__xludf.DUMMYFUNCTION("""COMPUTED_VALUE"""),"")</f>
        <v/>
      </c>
      <c r="G266" s="134" t="str">
        <f ca="1">IFERROR(__xludf.DUMMYFUNCTION("""COMPUTED_VALUE"""),"")</f>
        <v/>
      </c>
      <c r="H266" s="134" t="str">
        <f ca="1">IFERROR(__xludf.DUMMYFUNCTION("""COMPUTED_VALUE"""),"")</f>
        <v/>
      </c>
      <c r="I266" s="134" t="str">
        <f ca="1">IFERROR(__xludf.DUMMYFUNCTION("""COMPUTED_VALUE"""),"")</f>
        <v/>
      </c>
      <c r="J266" s="134" t="str">
        <f ca="1">IFERROR(__xludf.DUMMYFUNCTION("""COMPUTED_VALUE"""),"")</f>
        <v/>
      </c>
      <c r="N266" s="31"/>
      <c r="Q266" s="31"/>
    </row>
    <row r="267" spans="1:17" customFormat="1">
      <c r="A267" s="134" t="str">
        <f ca="1">IFERROR(__xludf.DUMMYFUNCTION("""COMPUTED_VALUE"""),"")</f>
        <v/>
      </c>
      <c r="B267" s="134" t="str">
        <f ca="1">IFERROR(__xludf.DUMMYFUNCTION("""COMPUTED_VALUE"""),"")</f>
        <v/>
      </c>
      <c r="C267" s="134" t="str">
        <f ca="1">IFERROR(__xludf.DUMMYFUNCTION("""COMPUTED_VALUE"""),"")</f>
        <v/>
      </c>
      <c r="D267" s="134" t="str">
        <f ca="1">IFERROR(__xludf.DUMMYFUNCTION("""COMPUTED_VALUE"""),"")</f>
        <v/>
      </c>
      <c r="E267" s="134" t="str">
        <f ca="1">IFERROR(__xludf.DUMMYFUNCTION("""COMPUTED_VALUE"""),"")</f>
        <v/>
      </c>
      <c r="F267" s="134" t="str">
        <f ca="1">IFERROR(__xludf.DUMMYFUNCTION("""COMPUTED_VALUE"""),"")</f>
        <v/>
      </c>
      <c r="G267" s="134" t="str">
        <f ca="1">IFERROR(__xludf.DUMMYFUNCTION("""COMPUTED_VALUE"""),"")</f>
        <v/>
      </c>
      <c r="H267" s="134" t="str">
        <f ca="1">IFERROR(__xludf.DUMMYFUNCTION("""COMPUTED_VALUE"""),"")</f>
        <v/>
      </c>
      <c r="I267" s="134" t="str">
        <f ca="1">IFERROR(__xludf.DUMMYFUNCTION("""COMPUTED_VALUE"""),"")</f>
        <v/>
      </c>
      <c r="J267" s="134" t="str">
        <f ca="1">IFERROR(__xludf.DUMMYFUNCTION("""COMPUTED_VALUE"""),"")</f>
        <v/>
      </c>
      <c r="N267" s="31"/>
      <c r="Q267" s="31"/>
    </row>
    <row r="268" spans="1:17" customFormat="1">
      <c r="A268" s="134" t="str">
        <f ca="1">IFERROR(__xludf.DUMMYFUNCTION("""COMPUTED_VALUE"""),"")</f>
        <v/>
      </c>
      <c r="B268" s="134" t="str">
        <f ca="1">IFERROR(__xludf.DUMMYFUNCTION("""COMPUTED_VALUE"""),"")</f>
        <v/>
      </c>
      <c r="C268" s="134" t="str">
        <f ca="1">IFERROR(__xludf.DUMMYFUNCTION("""COMPUTED_VALUE"""),"")</f>
        <v/>
      </c>
      <c r="D268" s="134" t="str">
        <f ca="1">IFERROR(__xludf.DUMMYFUNCTION("""COMPUTED_VALUE"""),"")</f>
        <v/>
      </c>
      <c r="E268" s="134" t="str">
        <f ca="1">IFERROR(__xludf.DUMMYFUNCTION("""COMPUTED_VALUE"""),"")</f>
        <v/>
      </c>
      <c r="F268" s="134" t="str">
        <f ca="1">IFERROR(__xludf.DUMMYFUNCTION("""COMPUTED_VALUE"""),"")</f>
        <v/>
      </c>
      <c r="G268" s="134" t="str">
        <f ca="1">IFERROR(__xludf.DUMMYFUNCTION("""COMPUTED_VALUE"""),"")</f>
        <v/>
      </c>
      <c r="H268" s="134" t="str">
        <f ca="1">IFERROR(__xludf.DUMMYFUNCTION("""COMPUTED_VALUE"""),"")</f>
        <v/>
      </c>
      <c r="I268" s="134" t="str">
        <f ca="1">IFERROR(__xludf.DUMMYFUNCTION("""COMPUTED_VALUE"""),"")</f>
        <v/>
      </c>
      <c r="J268" s="134" t="str">
        <f ca="1">IFERROR(__xludf.DUMMYFUNCTION("""COMPUTED_VALUE"""),"")</f>
        <v/>
      </c>
      <c r="N268" s="31"/>
      <c r="Q268" s="31"/>
    </row>
    <row r="269" spans="1:17" customFormat="1">
      <c r="A269" s="134" t="str">
        <f ca="1">IFERROR(__xludf.DUMMYFUNCTION("""COMPUTED_VALUE"""),"")</f>
        <v/>
      </c>
      <c r="B269" s="134" t="str">
        <f ca="1">IFERROR(__xludf.DUMMYFUNCTION("""COMPUTED_VALUE"""),"")</f>
        <v/>
      </c>
      <c r="C269" s="134" t="str">
        <f ca="1">IFERROR(__xludf.DUMMYFUNCTION("""COMPUTED_VALUE"""),"")</f>
        <v/>
      </c>
      <c r="D269" s="134" t="str">
        <f ca="1">IFERROR(__xludf.DUMMYFUNCTION("""COMPUTED_VALUE"""),"")</f>
        <v/>
      </c>
      <c r="E269" s="134" t="str">
        <f ca="1">IFERROR(__xludf.DUMMYFUNCTION("""COMPUTED_VALUE"""),"")</f>
        <v/>
      </c>
      <c r="F269" s="134" t="str">
        <f ca="1">IFERROR(__xludf.DUMMYFUNCTION("""COMPUTED_VALUE"""),"")</f>
        <v/>
      </c>
      <c r="G269" s="134" t="str">
        <f ca="1">IFERROR(__xludf.DUMMYFUNCTION("""COMPUTED_VALUE"""),"")</f>
        <v/>
      </c>
      <c r="H269" s="134" t="str">
        <f ca="1">IFERROR(__xludf.DUMMYFUNCTION("""COMPUTED_VALUE"""),"")</f>
        <v/>
      </c>
      <c r="I269" s="134" t="str">
        <f ca="1">IFERROR(__xludf.DUMMYFUNCTION("""COMPUTED_VALUE"""),"")</f>
        <v/>
      </c>
      <c r="J269" s="134" t="str">
        <f ca="1">IFERROR(__xludf.DUMMYFUNCTION("""COMPUTED_VALUE"""),"")</f>
        <v/>
      </c>
      <c r="N269" s="31"/>
      <c r="Q269" s="31"/>
    </row>
    <row r="270" spans="1:17" customFormat="1">
      <c r="A270" s="134" t="str">
        <f ca="1">IFERROR(__xludf.DUMMYFUNCTION("""COMPUTED_VALUE"""),"")</f>
        <v/>
      </c>
      <c r="B270" s="134" t="str">
        <f ca="1">IFERROR(__xludf.DUMMYFUNCTION("""COMPUTED_VALUE"""),"")</f>
        <v/>
      </c>
      <c r="C270" s="134" t="str">
        <f ca="1">IFERROR(__xludf.DUMMYFUNCTION("""COMPUTED_VALUE"""),"")</f>
        <v/>
      </c>
      <c r="D270" s="134" t="str">
        <f ca="1">IFERROR(__xludf.DUMMYFUNCTION("""COMPUTED_VALUE"""),"")</f>
        <v/>
      </c>
      <c r="E270" s="134" t="str">
        <f ca="1">IFERROR(__xludf.DUMMYFUNCTION("""COMPUTED_VALUE"""),"")</f>
        <v/>
      </c>
      <c r="F270" s="134" t="str">
        <f ca="1">IFERROR(__xludf.DUMMYFUNCTION("""COMPUTED_VALUE"""),"")</f>
        <v/>
      </c>
      <c r="G270" s="134" t="str">
        <f ca="1">IFERROR(__xludf.DUMMYFUNCTION("""COMPUTED_VALUE"""),"")</f>
        <v/>
      </c>
      <c r="H270" s="134" t="str">
        <f ca="1">IFERROR(__xludf.DUMMYFUNCTION("""COMPUTED_VALUE"""),"")</f>
        <v/>
      </c>
      <c r="I270" s="134" t="str">
        <f ca="1">IFERROR(__xludf.DUMMYFUNCTION("""COMPUTED_VALUE"""),"")</f>
        <v/>
      </c>
      <c r="J270" s="134" t="str">
        <f ca="1">IFERROR(__xludf.DUMMYFUNCTION("""COMPUTED_VALUE"""),"")</f>
        <v/>
      </c>
      <c r="N270" s="31"/>
      <c r="Q270" s="31"/>
    </row>
    <row r="271" spans="1:17" customFormat="1">
      <c r="A271" s="134" t="str">
        <f ca="1">IFERROR(__xludf.DUMMYFUNCTION("""COMPUTED_VALUE"""),"")</f>
        <v/>
      </c>
      <c r="B271" s="134" t="str">
        <f ca="1">IFERROR(__xludf.DUMMYFUNCTION("""COMPUTED_VALUE"""),"")</f>
        <v/>
      </c>
      <c r="C271" s="134" t="str">
        <f ca="1">IFERROR(__xludf.DUMMYFUNCTION("""COMPUTED_VALUE"""),"")</f>
        <v/>
      </c>
      <c r="D271" s="134" t="str">
        <f ca="1">IFERROR(__xludf.DUMMYFUNCTION("""COMPUTED_VALUE"""),"")</f>
        <v/>
      </c>
      <c r="E271" s="134" t="str">
        <f ca="1">IFERROR(__xludf.DUMMYFUNCTION("""COMPUTED_VALUE"""),"")</f>
        <v/>
      </c>
      <c r="F271" s="134" t="str">
        <f ca="1">IFERROR(__xludf.DUMMYFUNCTION("""COMPUTED_VALUE"""),"")</f>
        <v/>
      </c>
      <c r="G271" s="134" t="str">
        <f ca="1">IFERROR(__xludf.DUMMYFUNCTION("""COMPUTED_VALUE"""),"")</f>
        <v/>
      </c>
      <c r="H271" s="134" t="str">
        <f ca="1">IFERROR(__xludf.DUMMYFUNCTION("""COMPUTED_VALUE"""),"")</f>
        <v/>
      </c>
      <c r="I271" s="134" t="str">
        <f ca="1">IFERROR(__xludf.DUMMYFUNCTION("""COMPUTED_VALUE"""),"")</f>
        <v/>
      </c>
      <c r="J271" s="134" t="str">
        <f ca="1">IFERROR(__xludf.DUMMYFUNCTION("""COMPUTED_VALUE"""),"")</f>
        <v/>
      </c>
      <c r="N271" s="31"/>
      <c r="Q271" s="31"/>
    </row>
    <row r="272" spans="1:17" customFormat="1">
      <c r="A272" s="134" t="str">
        <f ca="1">IFERROR(__xludf.DUMMYFUNCTION("""COMPUTED_VALUE"""),"")</f>
        <v/>
      </c>
      <c r="B272" s="134" t="str">
        <f ca="1">IFERROR(__xludf.DUMMYFUNCTION("""COMPUTED_VALUE"""),"")</f>
        <v/>
      </c>
      <c r="C272" s="134" t="str">
        <f ca="1">IFERROR(__xludf.DUMMYFUNCTION("""COMPUTED_VALUE"""),"")</f>
        <v/>
      </c>
      <c r="D272" s="134" t="str">
        <f ca="1">IFERROR(__xludf.DUMMYFUNCTION("""COMPUTED_VALUE"""),"")</f>
        <v/>
      </c>
      <c r="E272" s="134" t="str">
        <f ca="1">IFERROR(__xludf.DUMMYFUNCTION("""COMPUTED_VALUE"""),"")</f>
        <v/>
      </c>
      <c r="F272" s="134" t="str">
        <f ca="1">IFERROR(__xludf.DUMMYFUNCTION("""COMPUTED_VALUE"""),"")</f>
        <v/>
      </c>
      <c r="G272" s="134" t="str">
        <f ca="1">IFERROR(__xludf.DUMMYFUNCTION("""COMPUTED_VALUE"""),"")</f>
        <v/>
      </c>
      <c r="H272" s="134" t="str">
        <f ca="1">IFERROR(__xludf.DUMMYFUNCTION("""COMPUTED_VALUE"""),"")</f>
        <v/>
      </c>
      <c r="I272" s="134" t="str">
        <f ca="1">IFERROR(__xludf.DUMMYFUNCTION("""COMPUTED_VALUE"""),"")</f>
        <v/>
      </c>
      <c r="J272" s="134" t="str">
        <f ca="1">IFERROR(__xludf.DUMMYFUNCTION("""COMPUTED_VALUE"""),"")</f>
        <v/>
      </c>
      <c r="N272" s="31"/>
      <c r="Q272" s="31"/>
    </row>
    <row r="273" spans="1:17" customFormat="1">
      <c r="A273" s="134" t="str">
        <f ca="1">IFERROR(__xludf.DUMMYFUNCTION("""COMPUTED_VALUE"""),"")</f>
        <v/>
      </c>
      <c r="B273" s="134" t="str">
        <f ca="1">IFERROR(__xludf.DUMMYFUNCTION("""COMPUTED_VALUE"""),"")</f>
        <v/>
      </c>
      <c r="C273" s="134" t="str">
        <f ca="1">IFERROR(__xludf.DUMMYFUNCTION("""COMPUTED_VALUE"""),"")</f>
        <v/>
      </c>
      <c r="D273" s="134" t="str">
        <f ca="1">IFERROR(__xludf.DUMMYFUNCTION("""COMPUTED_VALUE"""),"")</f>
        <v/>
      </c>
      <c r="E273" s="134" t="str">
        <f ca="1">IFERROR(__xludf.DUMMYFUNCTION("""COMPUTED_VALUE"""),"")</f>
        <v/>
      </c>
      <c r="F273" s="134" t="str">
        <f ca="1">IFERROR(__xludf.DUMMYFUNCTION("""COMPUTED_VALUE"""),"")</f>
        <v/>
      </c>
      <c r="G273" s="134" t="str">
        <f ca="1">IFERROR(__xludf.DUMMYFUNCTION("""COMPUTED_VALUE"""),"")</f>
        <v/>
      </c>
      <c r="H273" s="134" t="str">
        <f ca="1">IFERROR(__xludf.DUMMYFUNCTION("""COMPUTED_VALUE"""),"")</f>
        <v/>
      </c>
      <c r="I273" s="134" t="str">
        <f ca="1">IFERROR(__xludf.DUMMYFUNCTION("""COMPUTED_VALUE"""),"")</f>
        <v/>
      </c>
      <c r="J273" s="134" t="str">
        <f ca="1">IFERROR(__xludf.DUMMYFUNCTION("""COMPUTED_VALUE"""),"")</f>
        <v/>
      </c>
      <c r="N273" s="31"/>
      <c r="Q273" s="31"/>
    </row>
    <row r="274" spans="1:17" customFormat="1">
      <c r="A274" s="134" t="str">
        <f ca="1">IFERROR(__xludf.DUMMYFUNCTION("""COMPUTED_VALUE"""),"")</f>
        <v/>
      </c>
      <c r="B274" s="134" t="str">
        <f ca="1">IFERROR(__xludf.DUMMYFUNCTION("""COMPUTED_VALUE"""),"")</f>
        <v/>
      </c>
      <c r="C274" s="134" t="str">
        <f ca="1">IFERROR(__xludf.DUMMYFUNCTION("""COMPUTED_VALUE"""),"")</f>
        <v/>
      </c>
      <c r="D274" s="134" t="str">
        <f ca="1">IFERROR(__xludf.DUMMYFUNCTION("""COMPUTED_VALUE"""),"")</f>
        <v/>
      </c>
      <c r="E274" s="134" t="str">
        <f ca="1">IFERROR(__xludf.DUMMYFUNCTION("""COMPUTED_VALUE"""),"")</f>
        <v/>
      </c>
      <c r="F274" s="134" t="str">
        <f ca="1">IFERROR(__xludf.DUMMYFUNCTION("""COMPUTED_VALUE"""),"")</f>
        <v/>
      </c>
      <c r="G274" s="134" t="str">
        <f ca="1">IFERROR(__xludf.DUMMYFUNCTION("""COMPUTED_VALUE"""),"")</f>
        <v/>
      </c>
      <c r="H274" s="134" t="str">
        <f ca="1">IFERROR(__xludf.DUMMYFUNCTION("""COMPUTED_VALUE"""),"")</f>
        <v/>
      </c>
      <c r="I274" s="134" t="str">
        <f ca="1">IFERROR(__xludf.DUMMYFUNCTION("""COMPUTED_VALUE"""),"")</f>
        <v/>
      </c>
      <c r="J274" s="134" t="str">
        <f ca="1">IFERROR(__xludf.DUMMYFUNCTION("""COMPUTED_VALUE"""),"")</f>
        <v/>
      </c>
      <c r="N274" s="31"/>
      <c r="Q274" s="31"/>
    </row>
    <row r="275" spans="1:17" customFormat="1">
      <c r="A275" s="134" t="str">
        <f ca="1">IFERROR(__xludf.DUMMYFUNCTION("""COMPUTED_VALUE"""),"")</f>
        <v/>
      </c>
      <c r="B275" s="134" t="str">
        <f ca="1">IFERROR(__xludf.DUMMYFUNCTION("""COMPUTED_VALUE"""),"")</f>
        <v/>
      </c>
      <c r="C275" s="134" t="str">
        <f ca="1">IFERROR(__xludf.DUMMYFUNCTION("""COMPUTED_VALUE"""),"")</f>
        <v/>
      </c>
      <c r="D275" s="134" t="str">
        <f ca="1">IFERROR(__xludf.DUMMYFUNCTION("""COMPUTED_VALUE"""),"")</f>
        <v/>
      </c>
      <c r="E275" s="134" t="str">
        <f ca="1">IFERROR(__xludf.DUMMYFUNCTION("""COMPUTED_VALUE"""),"")</f>
        <v/>
      </c>
      <c r="F275" s="134" t="str">
        <f ca="1">IFERROR(__xludf.DUMMYFUNCTION("""COMPUTED_VALUE"""),"")</f>
        <v/>
      </c>
      <c r="G275" s="134" t="str">
        <f ca="1">IFERROR(__xludf.DUMMYFUNCTION("""COMPUTED_VALUE"""),"")</f>
        <v/>
      </c>
      <c r="H275" s="134" t="str">
        <f ca="1">IFERROR(__xludf.DUMMYFUNCTION("""COMPUTED_VALUE"""),"")</f>
        <v/>
      </c>
      <c r="I275" s="134" t="str">
        <f ca="1">IFERROR(__xludf.DUMMYFUNCTION("""COMPUTED_VALUE"""),"")</f>
        <v/>
      </c>
      <c r="J275" s="134" t="str">
        <f ca="1">IFERROR(__xludf.DUMMYFUNCTION("""COMPUTED_VALUE"""),"")</f>
        <v/>
      </c>
      <c r="N275" s="31"/>
      <c r="Q275" s="31"/>
    </row>
    <row r="276" spans="1:17" customFormat="1">
      <c r="A276" s="134" t="str">
        <f ca="1">IFERROR(__xludf.DUMMYFUNCTION("""COMPUTED_VALUE"""),"")</f>
        <v/>
      </c>
      <c r="B276" s="134" t="str">
        <f ca="1">IFERROR(__xludf.DUMMYFUNCTION("""COMPUTED_VALUE"""),"")</f>
        <v/>
      </c>
      <c r="C276" s="134" t="str">
        <f ca="1">IFERROR(__xludf.DUMMYFUNCTION("""COMPUTED_VALUE"""),"")</f>
        <v/>
      </c>
      <c r="D276" s="134" t="str">
        <f ca="1">IFERROR(__xludf.DUMMYFUNCTION("""COMPUTED_VALUE"""),"")</f>
        <v/>
      </c>
      <c r="E276" s="134" t="str">
        <f ca="1">IFERROR(__xludf.DUMMYFUNCTION("""COMPUTED_VALUE"""),"")</f>
        <v/>
      </c>
      <c r="F276" s="134" t="str">
        <f ca="1">IFERROR(__xludf.DUMMYFUNCTION("""COMPUTED_VALUE"""),"")</f>
        <v/>
      </c>
      <c r="G276" s="134" t="str">
        <f ca="1">IFERROR(__xludf.DUMMYFUNCTION("""COMPUTED_VALUE"""),"")</f>
        <v/>
      </c>
      <c r="H276" s="134" t="str">
        <f ca="1">IFERROR(__xludf.DUMMYFUNCTION("""COMPUTED_VALUE"""),"")</f>
        <v/>
      </c>
      <c r="I276" s="134" t="str">
        <f ca="1">IFERROR(__xludf.DUMMYFUNCTION("""COMPUTED_VALUE"""),"")</f>
        <v/>
      </c>
      <c r="J276" s="134" t="str">
        <f ca="1">IFERROR(__xludf.DUMMYFUNCTION("""COMPUTED_VALUE"""),"")</f>
        <v/>
      </c>
      <c r="N276" s="31"/>
      <c r="Q276" s="31"/>
    </row>
    <row r="277" spans="1:17" customFormat="1">
      <c r="A277" s="134" t="str">
        <f ca="1">IFERROR(__xludf.DUMMYFUNCTION("""COMPUTED_VALUE"""),"")</f>
        <v/>
      </c>
      <c r="B277" s="134" t="str">
        <f ca="1">IFERROR(__xludf.DUMMYFUNCTION("""COMPUTED_VALUE"""),"")</f>
        <v/>
      </c>
      <c r="C277" s="134" t="str">
        <f ca="1">IFERROR(__xludf.DUMMYFUNCTION("""COMPUTED_VALUE"""),"")</f>
        <v/>
      </c>
      <c r="D277" s="134" t="str">
        <f ca="1">IFERROR(__xludf.DUMMYFUNCTION("""COMPUTED_VALUE"""),"")</f>
        <v/>
      </c>
      <c r="E277" s="134" t="str">
        <f ca="1">IFERROR(__xludf.DUMMYFUNCTION("""COMPUTED_VALUE"""),"")</f>
        <v/>
      </c>
      <c r="F277" s="134" t="str">
        <f ca="1">IFERROR(__xludf.DUMMYFUNCTION("""COMPUTED_VALUE"""),"")</f>
        <v/>
      </c>
      <c r="G277" s="134" t="str">
        <f ca="1">IFERROR(__xludf.DUMMYFUNCTION("""COMPUTED_VALUE"""),"")</f>
        <v/>
      </c>
      <c r="H277" s="134" t="str">
        <f ca="1">IFERROR(__xludf.DUMMYFUNCTION("""COMPUTED_VALUE"""),"")</f>
        <v/>
      </c>
      <c r="I277" s="134" t="str">
        <f ca="1">IFERROR(__xludf.DUMMYFUNCTION("""COMPUTED_VALUE"""),"")</f>
        <v/>
      </c>
      <c r="J277" s="134" t="str">
        <f ca="1">IFERROR(__xludf.DUMMYFUNCTION("""COMPUTED_VALUE"""),"")</f>
        <v/>
      </c>
      <c r="N277" s="31"/>
      <c r="Q277" s="31"/>
    </row>
    <row r="278" spans="1:17" customFormat="1">
      <c r="A278" s="134" t="str">
        <f ca="1">IFERROR(__xludf.DUMMYFUNCTION("""COMPUTED_VALUE"""),"")</f>
        <v/>
      </c>
      <c r="B278" s="134" t="str">
        <f ca="1">IFERROR(__xludf.DUMMYFUNCTION("""COMPUTED_VALUE"""),"")</f>
        <v/>
      </c>
      <c r="C278" s="134" t="str">
        <f ca="1">IFERROR(__xludf.DUMMYFUNCTION("""COMPUTED_VALUE"""),"")</f>
        <v/>
      </c>
      <c r="D278" s="134" t="str">
        <f ca="1">IFERROR(__xludf.DUMMYFUNCTION("""COMPUTED_VALUE"""),"")</f>
        <v/>
      </c>
      <c r="E278" s="134" t="str">
        <f ca="1">IFERROR(__xludf.DUMMYFUNCTION("""COMPUTED_VALUE"""),"")</f>
        <v/>
      </c>
      <c r="F278" s="134" t="str">
        <f ca="1">IFERROR(__xludf.DUMMYFUNCTION("""COMPUTED_VALUE"""),"")</f>
        <v/>
      </c>
      <c r="G278" s="134" t="str">
        <f ca="1">IFERROR(__xludf.DUMMYFUNCTION("""COMPUTED_VALUE"""),"")</f>
        <v/>
      </c>
      <c r="H278" s="134" t="str">
        <f ca="1">IFERROR(__xludf.DUMMYFUNCTION("""COMPUTED_VALUE"""),"")</f>
        <v/>
      </c>
      <c r="I278" s="134" t="str">
        <f ca="1">IFERROR(__xludf.DUMMYFUNCTION("""COMPUTED_VALUE"""),"")</f>
        <v/>
      </c>
      <c r="J278" s="134" t="str">
        <f ca="1">IFERROR(__xludf.DUMMYFUNCTION("""COMPUTED_VALUE"""),"")</f>
        <v/>
      </c>
      <c r="N278" s="31"/>
      <c r="Q278" s="31"/>
    </row>
    <row r="279" spans="1:17" customFormat="1">
      <c r="A279" s="134" t="str">
        <f ca="1">IFERROR(__xludf.DUMMYFUNCTION("""COMPUTED_VALUE"""),"")</f>
        <v/>
      </c>
      <c r="B279" s="134" t="str">
        <f ca="1">IFERROR(__xludf.DUMMYFUNCTION("""COMPUTED_VALUE"""),"")</f>
        <v/>
      </c>
      <c r="C279" s="134" t="str">
        <f ca="1">IFERROR(__xludf.DUMMYFUNCTION("""COMPUTED_VALUE"""),"")</f>
        <v/>
      </c>
      <c r="D279" s="134" t="str">
        <f ca="1">IFERROR(__xludf.DUMMYFUNCTION("""COMPUTED_VALUE"""),"")</f>
        <v/>
      </c>
      <c r="E279" s="134" t="str">
        <f ca="1">IFERROR(__xludf.DUMMYFUNCTION("""COMPUTED_VALUE"""),"")</f>
        <v/>
      </c>
      <c r="F279" s="134" t="str">
        <f ca="1">IFERROR(__xludf.DUMMYFUNCTION("""COMPUTED_VALUE"""),"")</f>
        <v/>
      </c>
      <c r="G279" s="134" t="str">
        <f ca="1">IFERROR(__xludf.DUMMYFUNCTION("""COMPUTED_VALUE"""),"")</f>
        <v/>
      </c>
      <c r="H279" s="134" t="str">
        <f ca="1">IFERROR(__xludf.DUMMYFUNCTION("""COMPUTED_VALUE"""),"")</f>
        <v/>
      </c>
      <c r="I279" s="134" t="str">
        <f ca="1">IFERROR(__xludf.DUMMYFUNCTION("""COMPUTED_VALUE"""),"")</f>
        <v/>
      </c>
      <c r="J279" s="134" t="str">
        <f ca="1">IFERROR(__xludf.DUMMYFUNCTION("""COMPUTED_VALUE"""),"")</f>
        <v/>
      </c>
      <c r="N279" s="31"/>
      <c r="Q279" s="31"/>
    </row>
    <row r="280" spans="1:17" customFormat="1">
      <c r="A280" s="134" t="str">
        <f ca="1">IFERROR(__xludf.DUMMYFUNCTION("""COMPUTED_VALUE"""),"")</f>
        <v/>
      </c>
      <c r="B280" s="134" t="str">
        <f ca="1">IFERROR(__xludf.DUMMYFUNCTION("""COMPUTED_VALUE"""),"")</f>
        <v/>
      </c>
      <c r="C280" s="134" t="str">
        <f ca="1">IFERROR(__xludf.DUMMYFUNCTION("""COMPUTED_VALUE"""),"")</f>
        <v/>
      </c>
      <c r="D280" s="134" t="str">
        <f ca="1">IFERROR(__xludf.DUMMYFUNCTION("""COMPUTED_VALUE"""),"")</f>
        <v/>
      </c>
      <c r="E280" s="134" t="str">
        <f ca="1">IFERROR(__xludf.DUMMYFUNCTION("""COMPUTED_VALUE"""),"")</f>
        <v/>
      </c>
      <c r="F280" s="134" t="str">
        <f ca="1">IFERROR(__xludf.DUMMYFUNCTION("""COMPUTED_VALUE"""),"")</f>
        <v/>
      </c>
      <c r="G280" s="134" t="str">
        <f ca="1">IFERROR(__xludf.DUMMYFUNCTION("""COMPUTED_VALUE"""),"")</f>
        <v/>
      </c>
      <c r="H280" s="134" t="str">
        <f ca="1">IFERROR(__xludf.DUMMYFUNCTION("""COMPUTED_VALUE"""),"")</f>
        <v/>
      </c>
      <c r="I280" s="134" t="str">
        <f ca="1">IFERROR(__xludf.DUMMYFUNCTION("""COMPUTED_VALUE"""),"")</f>
        <v/>
      </c>
      <c r="J280" s="134" t="str">
        <f ca="1">IFERROR(__xludf.DUMMYFUNCTION("""COMPUTED_VALUE"""),"")</f>
        <v/>
      </c>
      <c r="N280" s="31"/>
      <c r="Q280" s="31"/>
    </row>
    <row r="281" spans="1:17" customFormat="1">
      <c r="A281" s="134" t="str">
        <f ca="1">IFERROR(__xludf.DUMMYFUNCTION("""COMPUTED_VALUE"""),"")</f>
        <v/>
      </c>
      <c r="B281" s="134" t="str">
        <f ca="1">IFERROR(__xludf.DUMMYFUNCTION("""COMPUTED_VALUE"""),"")</f>
        <v/>
      </c>
      <c r="C281" s="134" t="str">
        <f ca="1">IFERROR(__xludf.DUMMYFUNCTION("""COMPUTED_VALUE"""),"")</f>
        <v/>
      </c>
      <c r="D281" s="134" t="str">
        <f ca="1">IFERROR(__xludf.DUMMYFUNCTION("""COMPUTED_VALUE"""),"")</f>
        <v/>
      </c>
      <c r="E281" s="134" t="str">
        <f ca="1">IFERROR(__xludf.DUMMYFUNCTION("""COMPUTED_VALUE"""),"")</f>
        <v/>
      </c>
      <c r="F281" s="134" t="str">
        <f ca="1">IFERROR(__xludf.DUMMYFUNCTION("""COMPUTED_VALUE"""),"")</f>
        <v/>
      </c>
      <c r="G281" s="134" t="str">
        <f ca="1">IFERROR(__xludf.DUMMYFUNCTION("""COMPUTED_VALUE"""),"")</f>
        <v/>
      </c>
      <c r="H281" s="134" t="str">
        <f ca="1">IFERROR(__xludf.DUMMYFUNCTION("""COMPUTED_VALUE"""),"")</f>
        <v/>
      </c>
      <c r="I281" s="134" t="str">
        <f ca="1">IFERROR(__xludf.DUMMYFUNCTION("""COMPUTED_VALUE"""),"")</f>
        <v/>
      </c>
      <c r="J281" s="134" t="str">
        <f ca="1">IFERROR(__xludf.DUMMYFUNCTION("""COMPUTED_VALUE"""),"")</f>
        <v/>
      </c>
      <c r="N281" s="31"/>
      <c r="Q281" s="31"/>
    </row>
    <row r="282" spans="1:17" customFormat="1">
      <c r="A282" s="134" t="str">
        <f ca="1">IFERROR(__xludf.DUMMYFUNCTION("""COMPUTED_VALUE"""),"")</f>
        <v/>
      </c>
      <c r="B282" s="134" t="str">
        <f ca="1">IFERROR(__xludf.DUMMYFUNCTION("""COMPUTED_VALUE"""),"")</f>
        <v/>
      </c>
      <c r="C282" s="134" t="str">
        <f ca="1">IFERROR(__xludf.DUMMYFUNCTION("""COMPUTED_VALUE"""),"")</f>
        <v/>
      </c>
      <c r="D282" s="134" t="str">
        <f ca="1">IFERROR(__xludf.DUMMYFUNCTION("""COMPUTED_VALUE"""),"")</f>
        <v/>
      </c>
      <c r="E282" s="134" t="str">
        <f ca="1">IFERROR(__xludf.DUMMYFUNCTION("""COMPUTED_VALUE"""),"")</f>
        <v/>
      </c>
      <c r="F282" s="134" t="str">
        <f ca="1">IFERROR(__xludf.DUMMYFUNCTION("""COMPUTED_VALUE"""),"")</f>
        <v/>
      </c>
      <c r="G282" s="134" t="str">
        <f ca="1">IFERROR(__xludf.DUMMYFUNCTION("""COMPUTED_VALUE"""),"")</f>
        <v/>
      </c>
      <c r="H282" s="134" t="str">
        <f ca="1">IFERROR(__xludf.DUMMYFUNCTION("""COMPUTED_VALUE"""),"")</f>
        <v/>
      </c>
      <c r="I282" s="134" t="str">
        <f ca="1">IFERROR(__xludf.DUMMYFUNCTION("""COMPUTED_VALUE"""),"")</f>
        <v/>
      </c>
      <c r="J282" s="134" t="str">
        <f ca="1">IFERROR(__xludf.DUMMYFUNCTION("""COMPUTED_VALUE"""),"")</f>
        <v/>
      </c>
      <c r="N282" s="31"/>
      <c r="Q282" s="31"/>
    </row>
    <row r="283" spans="1:17" customFormat="1">
      <c r="A283" s="134" t="str">
        <f ca="1">IFERROR(__xludf.DUMMYFUNCTION("""COMPUTED_VALUE"""),"")</f>
        <v/>
      </c>
      <c r="B283" s="134" t="str">
        <f ca="1">IFERROR(__xludf.DUMMYFUNCTION("""COMPUTED_VALUE"""),"")</f>
        <v/>
      </c>
      <c r="C283" s="134" t="str">
        <f ca="1">IFERROR(__xludf.DUMMYFUNCTION("""COMPUTED_VALUE"""),"")</f>
        <v/>
      </c>
      <c r="D283" s="134" t="str">
        <f ca="1">IFERROR(__xludf.DUMMYFUNCTION("""COMPUTED_VALUE"""),"")</f>
        <v/>
      </c>
      <c r="E283" s="134" t="str">
        <f ca="1">IFERROR(__xludf.DUMMYFUNCTION("""COMPUTED_VALUE"""),"")</f>
        <v/>
      </c>
      <c r="F283" s="134" t="str">
        <f ca="1">IFERROR(__xludf.DUMMYFUNCTION("""COMPUTED_VALUE"""),"")</f>
        <v/>
      </c>
      <c r="G283" s="134" t="str">
        <f ca="1">IFERROR(__xludf.DUMMYFUNCTION("""COMPUTED_VALUE"""),"")</f>
        <v/>
      </c>
      <c r="H283" s="134" t="str">
        <f ca="1">IFERROR(__xludf.DUMMYFUNCTION("""COMPUTED_VALUE"""),"")</f>
        <v/>
      </c>
      <c r="I283" s="134" t="str">
        <f ca="1">IFERROR(__xludf.DUMMYFUNCTION("""COMPUTED_VALUE"""),"")</f>
        <v/>
      </c>
      <c r="J283" s="134" t="str">
        <f ca="1">IFERROR(__xludf.DUMMYFUNCTION("""COMPUTED_VALUE"""),"")</f>
        <v/>
      </c>
      <c r="N283" s="31"/>
      <c r="Q283" s="31"/>
    </row>
    <row r="284" spans="1:17" customFormat="1">
      <c r="A284" s="134" t="str">
        <f ca="1">IFERROR(__xludf.DUMMYFUNCTION("""COMPUTED_VALUE"""),"")</f>
        <v/>
      </c>
      <c r="B284" s="134" t="str">
        <f ca="1">IFERROR(__xludf.DUMMYFUNCTION("""COMPUTED_VALUE"""),"")</f>
        <v/>
      </c>
      <c r="C284" s="134" t="str">
        <f ca="1">IFERROR(__xludf.DUMMYFUNCTION("""COMPUTED_VALUE"""),"")</f>
        <v/>
      </c>
      <c r="D284" s="134" t="str">
        <f ca="1">IFERROR(__xludf.DUMMYFUNCTION("""COMPUTED_VALUE"""),"")</f>
        <v/>
      </c>
      <c r="E284" s="134" t="str">
        <f ca="1">IFERROR(__xludf.DUMMYFUNCTION("""COMPUTED_VALUE"""),"")</f>
        <v/>
      </c>
      <c r="F284" s="134" t="str">
        <f ca="1">IFERROR(__xludf.DUMMYFUNCTION("""COMPUTED_VALUE"""),"")</f>
        <v/>
      </c>
      <c r="G284" s="134" t="str">
        <f ca="1">IFERROR(__xludf.DUMMYFUNCTION("""COMPUTED_VALUE"""),"")</f>
        <v/>
      </c>
      <c r="H284" s="134" t="str">
        <f ca="1">IFERROR(__xludf.DUMMYFUNCTION("""COMPUTED_VALUE"""),"")</f>
        <v/>
      </c>
      <c r="I284" s="134" t="str">
        <f ca="1">IFERROR(__xludf.DUMMYFUNCTION("""COMPUTED_VALUE"""),"")</f>
        <v/>
      </c>
      <c r="J284" s="134" t="str">
        <f ca="1">IFERROR(__xludf.DUMMYFUNCTION("""COMPUTED_VALUE"""),"")</f>
        <v/>
      </c>
      <c r="N284" s="31"/>
      <c r="Q284" s="31"/>
    </row>
    <row r="285" spans="1:17" customFormat="1">
      <c r="A285" s="134" t="str">
        <f ca="1">IFERROR(__xludf.DUMMYFUNCTION("""COMPUTED_VALUE"""),"")</f>
        <v/>
      </c>
      <c r="B285" s="134" t="str">
        <f ca="1">IFERROR(__xludf.DUMMYFUNCTION("""COMPUTED_VALUE"""),"")</f>
        <v/>
      </c>
      <c r="C285" s="134" t="str">
        <f ca="1">IFERROR(__xludf.DUMMYFUNCTION("""COMPUTED_VALUE"""),"")</f>
        <v/>
      </c>
      <c r="D285" s="134" t="str">
        <f ca="1">IFERROR(__xludf.DUMMYFUNCTION("""COMPUTED_VALUE"""),"")</f>
        <v/>
      </c>
      <c r="E285" s="134" t="str">
        <f ca="1">IFERROR(__xludf.DUMMYFUNCTION("""COMPUTED_VALUE"""),"")</f>
        <v/>
      </c>
      <c r="F285" s="134" t="str">
        <f ca="1">IFERROR(__xludf.DUMMYFUNCTION("""COMPUTED_VALUE"""),"")</f>
        <v/>
      </c>
      <c r="G285" s="134" t="str">
        <f ca="1">IFERROR(__xludf.DUMMYFUNCTION("""COMPUTED_VALUE"""),"")</f>
        <v/>
      </c>
      <c r="H285" s="134" t="str">
        <f ca="1">IFERROR(__xludf.DUMMYFUNCTION("""COMPUTED_VALUE"""),"")</f>
        <v/>
      </c>
      <c r="I285" s="134" t="str">
        <f ca="1">IFERROR(__xludf.DUMMYFUNCTION("""COMPUTED_VALUE"""),"")</f>
        <v/>
      </c>
      <c r="J285" s="134" t="str">
        <f ca="1">IFERROR(__xludf.DUMMYFUNCTION("""COMPUTED_VALUE"""),"")</f>
        <v/>
      </c>
      <c r="N285" s="31"/>
      <c r="Q285" s="31"/>
    </row>
    <row r="286" spans="1:17" customFormat="1">
      <c r="A286" s="134" t="str">
        <f ca="1">IFERROR(__xludf.DUMMYFUNCTION("""COMPUTED_VALUE"""),"")</f>
        <v/>
      </c>
      <c r="B286" s="134" t="str">
        <f ca="1">IFERROR(__xludf.DUMMYFUNCTION("""COMPUTED_VALUE"""),"")</f>
        <v/>
      </c>
      <c r="C286" s="134" t="str">
        <f ca="1">IFERROR(__xludf.DUMMYFUNCTION("""COMPUTED_VALUE"""),"")</f>
        <v/>
      </c>
      <c r="D286" s="134" t="str">
        <f ca="1">IFERROR(__xludf.DUMMYFUNCTION("""COMPUTED_VALUE"""),"")</f>
        <v/>
      </c>
      <c r="E286" s="134" t="str">
        <f ca="1">IFERROR(__xludf.DUMMYFUNCTION("""COMPUTED_VALUE"""),"")</f>
        <v/>
      </c>
      <c r="F286" s="134" t="str">
        <f ca="1">IFERROR(__xludf.DUMMYFUNCTION("""COMPUTED_VALUE"""),"")</f>
        <v/>
      </c>
      <c r="G286" s="134" t="str">
        <f ca="1">IFERROR(__xludf.DUMMYFUNCTION("""COMPUTED_VALUE"""),"")</f>
        <v/>
      </c>
      <c r="H286" s="134" t="str">
        <f ca="1">IFERROR(__xludf.DUMMYFUNCTION("""COMPUTED_VALUE"""),"")</f>
        <v/>
      </c>
      <c r="I286" s="134" t="str">
        <f ca="1">IFERROR(__xludf.DUMMYFUNCTION("""COMPUTED_VALUE"""),"")</f>
        <v/>
      </c>
      <c r="J286" s="134" t="str">
        <f ca="1">IFERROR(__xludf.DUMMYFUNCTION("""COMPUTED_VALUE"""),"")</f>
        <v/>
      </c>
      <c r="N286" s="31"/>
      <c r="Q286" s="31"/>
    </row>
    <row r="287" spans="1:17" customFormat="1">
      <c r="A287" s="134" t="str">
        <f ca="1">IFERROR(__xludf.DUMMYFUNCTION("""COMPUTED_VALUE"""),"")</f>
        <v/>
      </c>
      <c r="B287" s="134" t="str">
        <f ca="1">IFERROR(__xludf.DUMMYFUNCTION("""COMPUTED_VALUE"""),"")</f>
        <v/>
      </c>
      <c r="C287" s="134" t="str">
        <f ca="1">IFERROR(__xludf.DUMMYFUNCTION("""COMPUTED_VALUE"""),"")</f>
        <v/>
      </c>
      <c r="D287" s="134" t="str">
        <f ca="1">IFERROR(__xludf.DUMMYFUNCTION("""COMPUTED_VALUE"""),"")</f>
        <v/>
      </c>
      <c r="E287" s="134" t="str">
        <f ca="1">IFERROR(__xludf.DUMMYFUNCTION("""COMPUTED_VALUE"""),"")</f>
        <v/>
      </c>
      <c r="F287" s="134" t="str">
        <f ca="1">IFERROR(__xludf.DUMMYFUNCTION("""COMPUTED_VALUE"""),"")</f>
        <v/>
      </c>
      <c r="G287" s="134" t="str">
        <f ca="1">IFERROR(__xludf.DUMMYFUNCTION("""COMPUTED_VALUE"""),"")</f>
        <v/>
      </c>
      <c r="H287" s="134" t="str">
        <f ca="1">IFERROR(__xludf.DUMMYFUNCTION("""COMPUTED_VALUE"""),"")</f>
        <v/>
      </c>
      <c r="I287" s="134" t="str">
        <f ca="1">IFERROR(__xludf.DUMMYFUNCTION("""COMPUTED_VALUE"""),"")</f>
        <v/>
      </c>
      <c r="J287" s="134" t="str">
        <f ca="1">IFERROR(__xludf.DUMMYFUNCTION("""COMPUTED_VALUE"""),"")</f>
        <v/>
      </c>
      <c r="N287" s="31"/>
      <c r="Q287" s="31"/>
    </row>
    <row r="288" spans="1:17" customFormat="1">
      <c r="A288" s="134" t="str">
        <f ca="1">IFERROR(__xludf.DUMMYFUNCTION("""COMPUTED_VALUE"""),"")</f>
        <v/>
      </c>
      <c r="B288" s="134" t="str">
        <f ca="1">IFERROR(__xludf.DUMMYFUNCTION("""COMPUTED_VALUE"""),"")</f>
        <v/>
      </c>
      <c r="C288" s="134" t="str">
        <f ca="1">IFERROR(__xludf.DUMMYFUNCTION("""COMPUTED_VALUE"""),"")</f>
        <v/>
      </c>
      <c r="D288" s="134" t="str">
        <f ca="1">IFERROR(__xludf.DUMMYFUNCTION("""COMPUTED_VALUE"""),"")</f>
        <v/>
      </c>
      <c r="E288" s="134" t="str">
        <f ca="1">IFERROR(__xludf.DUMMYFUNCTION("""COMPUTED_VALUE"""),"")</f>
        <v/>
      </c>
      <c r="F288" s="134" t="str">
        <f ca="1">IFERROR(__xludf.DUMMYFUNCTION("""COMPUTED_VALUE"""),"")</f>
        <v/>
      </c>
      <c r="G288" s="134" t="str">
        <f ca="1">IFERROR(__xludf.DUMMYFUNCTION("""COMPUTED_VALUE"""),"")</f>
        <v/>
      </c>
      <c r="H288" s="134" t="str">
        <f ca="1">IFERROR(__xludf.DUMMYFUNCTION("""COMPUTED_VALUE"""),"")</f>
        <v/>
      </c>
      <c r="I288" s="134" t="str">
        <f ca="1">IFERROR(__xludf.DUMMYFUNCTION("""COMPUTED_VALUE"""),"")</f>
        <v/>
      </c>
      <c r="J288" s="134" t="str">
        <f ca="1">IFERROR(__xludf.DUMMYFUNCTION("""COMPUTED_VALUE"""),"")</f>
        <v/>
      </c>
      <c r="N288" s="31"/>
      <c r="Q288" s="31"/>
    </row>
    <row r="289" spans="1:17" customFormat="1">
      <c r="A289" s="134" t="str">
        <f ca="1">IFERROR(__xludf.DUMMYFUNCTION("""COMPUTED_VALUE"""),"")</f>
        <v/>
      </c>
      <c r="B289" s="134" t="str">
        <f ca="1">IFERROR(__xludf.DUMMYFUNCTION("""COMPUTED_VALUE"""),"")</f>
        <v/>
      </c>
      <c r="C289" s="134" t="str">
        <f ca="1">IFERROR(__xludf.DUMMYFUNCTION("""COMPUTED_VALUE"""),"")</f>
        <v/>
      </c>
      <c r="D289" s="134" t="str">
        <f ca="1">IFERROR(__xludf.DUMMYFUNCTION("""COMPUTED_VALUE"""),"")</f>
        <v/>
      </c>
      <c r="E289" s="134" t="str">
        <f ca="1">IFERROR(__xludf.DUMMYFUNCTION("""COMPUTED_VALUE"""),"")</f>
        <v/>
      </c>
      <c r="F289" s="134" t="str">
        <f ca="1">IFERROR(__xludf.DUMMYFUNCTION("""COMPUTED_VALUE"""),"")</f>
        <v/>
      </c>
      <c r="G289" s="134" t="str">
        <f ca="1">IFERROR(__xludf.DUMMYFUNCTION("""COMPUTED_VALUE"""),"")</f>
        <v/>
      </c>
      <c r="H289" s="134" t="str">
        <f ca="1">IFERROR(__xludf.DUMMYFUNCTION("""COMPUTED_VALUE"""),"")</f>
        <v/>
      </c>
      <c r="I289" s="134" t="str">
        <f ca="1">IFERROR(__xludf.DUMMYFUNCTION("""COMPUTED_VALUE"""),"")</f>
        <v/>
      </c>
      <c r="J289" s="134" t="str">
        <f ca="1">IFERROR(__xludf.DUMMYFUNCTION("""COMPUTED_VALUE"""),"")</f>
        <v/>
      </c>
      <c r="N289" s="31"/>
      <c r="Q289" s="31"/>
    </row>
    <row r="290" spans="1:17" customFormat="1">
      <c r="A290" s="134" t="str">
        <f ca="1">IFERROR(__xludf.DUMMYFUNCTION("""COMPUTED_VALUE"""),"")</f>
        <v/>
      </c>
      <c r="B290" s="134" t="str">
        <f ca="1">IFERROR(__xludf.DUMMYFUNCTION("""COMPUTED_VALUE"""),"")</f>
        <v/>
      </c>
      <c r="C290" s="134" t="str">
        <f ca="1">IFERROR(__xludf.DUMMYFUNCTION("""COMPUTED_VALUE"""),"")</f>
        <v/>
      </c>
      <c r="D290" s="134" t="str">
        <f ca="1">IFERROR(__xludf.DUMMYFUNCTION("""COMPUTED_VALUE"""),"")</f>
        <v/>
      </c>
      <c r="E290" s="134" t="str">
        <f ca="1">IFERROR(__xludf.DUMMYFUNCTION("""COMPUTED_VALUE"""),"")</f>
        <v/>
      </c>
      <c r="F290" s="134" t="str">
        <f ca="1">IFERROR(__xludf.DUMMYFUNCTION("""COMPUTED_VALUE"""),"")</f>
        <v/>
      </c>
      <c r="G290" s="134" t="str">
        <f ca="1">IFERROR(__xludf.DUMMYFUNCTION("""COMPUTED_VALUE"""),"")</f>
        <v/>
      </c>
      <c r="H290" s="134" t="str">
        <f ca="1">IFERROR(__xludf.DUMMYFUNCTION("""COMPUTED_VALUE"""),"")</f>
        <v/>
      </c>
      <c r="I290" s="134" t="str">
        <f ca="1">IFERROR(__xludf.DUMMYFUNCTION("""COMPUTED_VALUE"""),"")</f>
        <v/>
      </c>
      <c r="J290" s="134" t="str">
        <f ca="1">IFERROR(__xludf.DUMMYFUNCTION("""COMPUTED_VALUE"""),"")</f>
        <v/>
      </c>
      <c r="N290" s="31"/>
      <c r="Q290" s="31"/>
    </row>
    <row r="291" spans="1:17" customFormat="1">
      <c r="A291" s="134" t="str">
        <f ca="1">IFERROR(__xludf.DUMMYFUNCTION("""COMPUTED_VALUE"""),"")</f>
        <v/>
      </c>
      <c r="B291" s="134" t="str">
        <f ca="1">IFERROR(__xludf.DUMMYFUNCTION("""COMPUTED_VALUE"""),"")</f>
        <v/>
      </c>
      <c r="C291" s="134" t="str">
        <f ca="1">IFERROR(__xludf.DUMMYFUNCTION("""COMPUTED_VALUE"""),"")</f>
        <v/>
      </c>
      <c r="D291" s="134" t="str">
        <f ca="1">IFERROR(__xludf.DUMMYFUNCTION("""COMPUTED_VALUE"""),"")</f>
        <v/>
      </c>
      <c r="E291" s="134" t="str">
        <f ca="1">IFERROR(__xludf.DUMMYFUNCTION("""COMPUTED_VALUE"""),"")</f>
        <v/>
      </c>
      <c r="F291" s="134" t="str">
        <f ca="1">IFERROR(__xludf.DUMMYFUNCTION("""COMPUTED_VALUE"""),"")</f>
        <v/>
      </c>
      <c r="G291" s="134" t="str">
        <f ca="1">IFERROR(__xludf.DUMMYFUNCTION("""COMPUTED_VALUE"""),"")</f>
        <v/>
      </c>
      <c r="H291" s="134" t="str">
        <f ca="1">IFERROR(__xludf.DUMMYFUNCTION("""COMPUTED_VALUE"""),"")</f>
        <v/>
      </c>
      <c r="I291" s="134" t="str">
        <f ca="1">IFERROR(__xludf.DUMMYFUNCTION("""COMPUTED_VALUE"""),"")</f>
        <v/>
      </c>
      <c r="J291" s="134" t="str">
        <f ca="1">IFERROR(__xludf.DUMMYFUNCTION("""COMPUTED_VALUE"""),"")</f>
        <v/>
      </c>
      <c r="N291" s="31"/>
      <c r="Q291" s="31"/>
    </row>
    <row r="292" spans="1:17" customFormat="1">
      <c r="A292" s="134" t="str">
        <f ca="1">IFERROR(__xludf.DUMMYFUNCTION("""COMPUTED_VALUE"""),"")</f>
        <v/>
      </c>
      <c r="B292" s="134" t="str">
        <f ca="1">IFERROR(__xludf.DUMMYFUNCTION("""COMPUTED_VALUE"""),"")</f>
        <v/>
      </c>
      <c r="C292" s="134" t="str">
        <f ca="1">IFERROR(__xludf.DUMMYFUNCTION("""COMPUTED_VALUE"""),"")</f>
        <v/>
      </c>
      <c r="D292" s="134" t="str">
        <f ca="1">IFERROR(__xludf.DUMMYFUNCTION("""COMPUTED_VALUE"""),"")</f>
        <v/>
      </c>
      <c r="E292" s="134" t="str">
        <f ca="1">IFERROR(__xludf.DUMMYFUNCTION("""COMPUTED_VALUE"""),"")</f>
        <v/>
      </c>
      <c r="F292" s="134" t="str">
        <f ca="1">IFERROR(__xludf.DUMMYFUNCTION("""COMPUTED_VALUE"""),"")</f>
        <v/>
      </c>
      <c r="G292" s="134" t="str">
        <f ca="1">IFERROR(__xludf.DUMMYFUNCTION("""COMPUTED_VALUE"""),"")</f>
        <v/>
      </c>
      <c r="H292" s="134" t="str">
        <f ca="1">IFERROR(__xludf.DUMMYFUNCTION("""COMPUTED_VALUE"""),"")</f>
        <v/>
      </c>
      <c r="I292" s="134" t="str">
        <f ca="1">IFERROR(__xludf.DUMMYFUNCTION("""COMPUTED_VALUE"""),"")</f>
        <v/>
      </c>
      <c r="J292" s="134" t="str">
        <f ca="1">IFERROR(__xludf.DUMMYFUNCTION("""COMPUTED_VALUE"""),"")</f>
        <v/>
      </c>
      <c r="N292" s="31"/>
      <c r="Q292" s="31"/>
    </row>
    <row r="293" spans="1:17" customFormat="1">
      <c r="A293" s="134" t="str">
        <f ca="1">IFERROR(__xludf.DUMMYFUNCTION("""COMPUTED_VALUE"""),"")</f>
        <v/>
      </c>
      <c r="B293" s="134" t="str">
        <f ca="1">IFERROR(__xludf.DUMMYFUNCTION("""COMPUTED_VALUE"""),"")</f>
        <v/>
      </c>
      <c r="C293" s="134" t="str">
        <f ca="1">IFERROR(__xludf.DUMMYFUNCTION("""COMPUTED_VALUE"""),"")</f>
        <v/>
      </c>
      <c r="D293" s="134" t="str">
        <f ca="1">IFERROR(__xludf.DUMMYFUNCTION("""COMPUTED_VALUE"""),"")</f>
        <v/>
      </c>
      <c r="E293" s="134" t="str">
        <f ca="1">IFERROR(__xludf.DUMMYFUNCTION("""COMPUTED_VALUE"""),"")</f>
        <v/>
      </c>
      <c r="F293" s="134" t="str">
        <f ca="1">IFERROR(__xludf.DUMMYFUNCTION("""COMPUTED_VALUE"""),"")</f>
        <v/>
      </c>
      <c r="G293" s="134" t="str">
        <f ca="1">IFERROR(__xludf.DUMMYFUNCTION("""COMPUTED_VALUE"""),"")</f>
        <v/>
      </c>
      <c r="H293" s="134" t="str">
        <f ca="1">IFERROR(__xludf.DUMMYFUNCTION("""COMPUTED_VALUE"""),"")</f>
        <v/>
      </c>
      <c r="I293" s="134" t="str">
        <f ca="1">IFERROR(__xludf.DUMMYFUNCTION("""COMPUTED_VALUE"""),"")</f>
        <v/>
      </c>
      <c r="J293" s="134" t="str">
        <f ca="1">IFERROR(__xludf.DUMMYFUNCTION("""COMPUTED_VALUE"""),"")</f>
        <v/>
      </c>
      <c r="N293" s="31"/>
      <c r="Q293" s="31"/>
    </row>
    <row r="294" spans="1:17" customFormat="1">
      <c r="A294" s="134" t="str">
        <f ca="1">IFERROR(__xludf.DUMMYFUNCTION("""COMPUTED_VALUE"""),"")</f>
        <v/>
      </c>
      <c r="B294" s="134" t="str">
        <f ca="1">IFERROR(__xludf.DUMMYFUNCTION("""COMPUTED_VALUE"""),"")</f>
        <v/>
      </c>
      <c r="C294" s="134" t="str">
        <f ca="1">IFERROR(__xludf.DUMMYFUNCTION("""COMPUTED_VALUE"""),"")</f>
        <v/>
      </c>
      <c r="D294" s="134" t="str">
        <f ca="1">IFERROR(__xludf.DUMMYFUNCTION("""COMPUTED_VALUE"""),"")</f>
        <v/>
      </c>
      <c r="E294" s="134" t="str">
        <f ca="1">IFERROR(__xludf.DUMMYFUNCTION("""COMPUTED_VALUE"""),"")</f>
        <v/>
      </c>
      <c r="F294" s="134" t="str">
        <f ca="1">IFERROR(__xludf.DUMMYFUNCTION("""COMPUTED_VALUE"""),"")</f>
        <v/>
      </c>
      <c r="G294" s="134" t="str">
        <f ca="1">IFERROR(__xludf.DUMMYFUNCTION("""COMPUTED_VALUE"""),"")</f>
        <v/>
      </c>
      <c r="H294" s="134" t="str">
        <f ca="1">IFERROR(__xludf.DUMMYFUNCTION("""COMPUTED_VALUE"""),"")</f>
        <v/>
      </c>
      <c r="I294" s="134" t="str">
        <f ca="1">IFERROR(__xludf.DUMMYFUNCTION("""COMPUTED_VALUE"""),"")</f>
        <v/>
      </c>
      <c r="J294" s="134" t="str">
        <f ca="1">IFERROR(__xludf.DUMMYFUNCTION("""COMPUTED_VALUE"""),"")</f>
        <v/>
      </c>
      <c r="N294" s="31"/>
      <c r="Q294" s="31"/>
    </row>
    <row r="295" spans="1:17" customFormat="1">
      <c r="A295" s="134" t="str">
        <f ca="1">IFERROR(__xludf.DUMMYFUNCTION("""COMPUTED_VALUE"""),"")</f>
        <v/>
      </c>
      <c r="B295" s="134" t="str">
        <f ca="1">IFERROR(__xludf.DUMMYFUNCTION("""COMPUTED_VALUE"""),"")</f>
        <v/>
      </c>
      <c r="C295" s="134" t="str">
        <f ca="1">IFERROR(__xludf.DUMMYFUNCTION("""COMPUTED_VALUE"""),"")</f>
        <v/>
      </c>
      <c r="D295" s="134" t="str">
        <f ca="1">IFERROR(__xludf.DUMMYFUNCTION("""COMPUTED_VALUE"""),"")</f>
        <v/>
      </c>
      <c r="E295" s="134" t="str">
        <f ca="1">IFERROR(__xludf.DUMMYFUNCTION("""COMPUTED_VALUE"""),"")</f>
        <v/>
      </c>
      <c r="F295" s="134" t="str">
        <f ca="1">IFERROR(__xludf.DUMMYFUNCTION("""COMPUTED_VALUE"""),"")</f>
        <v/>
      </c>
      <c r="G295" s="134" t="str">
        <f ca="1">IFERROR(__xludf.DUMMYFUNCTION("""COMPUTED_VALUE"""),"")</f>
        <v/>
      </c>
      <c r="H295" s="134" t="str">
        <f ca="1">IFERROR(__xludf.DUMMYFUNCTION("""COMPUTED_VALUE"""),"")</f>
        <v/>
      </c>
      <c r="I295" s="134" t="str">
        <f ca="1">IFERROR(__xludf.DUMMYFUNCTION("""COMPUTED_VALUE"""),"")</f>
        <v/>
      </c>
      <c r="J295" s="134" t="str">
        <f ca="1">IFERROR(__xludf.DUMMYFUNCTION("""COMPUTED_VALUE"""),"")</f>
        <v/>
      </c>
      <c r="N295" s="31"/>
      <c r="Q295" s="31"/>
    </row>
    <row r="296" spans="1:17" customFormat="1">
      <c r="A296" s="134" t="str">
        <f ca="1">IFERROR(__xludf.DUMMYFUNCTION("""COMPUTED_VALUE"""),"")</f>
        <v/>
      </c>
      <c r="B296" s="134" t="str">
        <f ca="1">IFERROR(__xludf.DUMMYFUNCTION("""COMPUTED_VALUE"""),"")</f>
        <v/>
      </c>
      <c r="C296" s="134" t="str">
        <f ca="1">IFERROR(__xludf.DUMMYFUNCTION("""COMPUTED_VALUE"""),"")</f>
        <v/>
      </c>
      <c r="D296" s="134" t="str">
        <f ca="1">IFERROR(__xludf.DUMMYFUNCTION("""COMPUTED_VALUE"""),"")</f>
        <v/>
      </c>
      <c r="E296" s="134" t="str">
        <f ca="1">IFERROR(__xludf.DUMMYFUNCTION("""COMPUTED_VALUE"""),"")</f>
        <v/>
      </c>
      <c r="F296" s="134" t="str">
        <f ca="1">IFERROR(__xludf.DUMMYFUNCTION("""COMPUTED_VALUE"""),"")</f>
        <v/>
      </c>
      <c r="G296" s="134" t="str">
        <f ca="1">IFERROR(__xludf.DUMMYFUNCTION("""COMPUTED_VALUE"""),"")</f>
        <v/>
      </c>
      <c r="H296" s="134" t="str">
        <f ca="1">IFERROR(__xludf.DUMMYFUNCTION("""COMPUTED_VALUE"""),"")</f>
        <v/>
      </c>
      <c r="I296" s="134" t="str">
        <f ca="1">IFERROR(__xludf.DUMMYFUNCTION("""COMPUTED_VALUE"""),"")</f>
        <v/>
      </c>
      <c r="J296" s="134" t="str">
        <f ca="1">IFERROR(__xludf.DUMMYFUNCTION("""COMPUTED_VALUE"""),"")</f>
        <v/>
      </c>
      <c r="N296" s="31"/>
      <c r="Q296" s="31"/>
    </row>
    <row r="297" spans="1:17" customFormat="1">
      <c r="A297" s="134" t="str">
        <f ca="1">IFERROR(__xludf.DUMMYFUNCTION("""COMPUTED_VALUE"""),"")</f>
        <v/>
      </c>
      <c r="B297" s="134" t="str">
        <f ca="1">IFERROR(__xludf.DUMMYFUNCTION("""COMPUTED_VALUE"""),"")</f>
        <v/>
      </c>
      <c r="C297" s="134" t="str">
        <f ca="1">IFERROR(__xludf.DUMMYFUNCTION("""COMPUTED_VALUE"""),"")</f>
        <v/>
      </c>
      <c r="D297" s="134" t="str">
        <f ca="1">IFERROR(__xludf.DUMMYFUNCTION("""COMPUTED_VALUE"""),"")</f>
        <v/>
      </c>
      <c r="E297" s="134" t="str">
        <f ca="1">IFERROR(__xludf.DUMMYFUNCTION("""COMPUTED_VALUE"""),"")</f>
        <v/>
      </c>
      <c r="F297" s="134" t="str">
        <f ca="1">IFERROR(__xludf.DUMMYFUNCTION("""COMPUTED_VALUE"""),"")</f>
        <v/>
      </c>
      <c r="G297" s="134" t="str">
        <f ca="1">IFERROR(__xludf.DUMMYFUNCTION("""COMPUTED_VALUE"""),"")</f>
        <v/>
      </c>
      <c r="H297" s="134" t="str">
        <f ca="1">IFERROR(__xludf.DUMMYFUNCTION("""COMPUTED_VALUE"""),"")</f>
        <v/>
      </c>
      <c r="I297" s="134" t="str">
        <f ca="1">IFERROR(__xludf.DUMMYFUNCTION("""COMPUTED_VALUE"""),"")</f>
        <v/>
      </c>
      <c r="J297" s="134" t="str">
        <f ca="1">IFERROR(__xludf.DUMMYFUNCTION("""COMPUTED_VALUE"""),"")</f>
        <v/>
      </c>
      <c r="N297" s="31"/>
      <c r="Q297" s="31"/>
    </row>
    <row r="298" spans="1:17" customFormat="1">
      <c r="A298" s="134" t="str">
        <f ca="1">IFERROR(__xludf.DUMMYFUNCTION("""COMPUTED_VALUE"""),"")</f>
        <v/>
      </c>
      <c r="B298" s="134" t="str">
        <f ca="1">IFERROR(__xludf.DUMMYFUNCTION("""COMPUTED_VALUE"""),"")</f>
        <v/>
      </c>
      <c r="C298" s="134" t="str">
        <f ca="1">IFERROR(__xludf.DUMMYFUNCTION("""COMPUTED_VALUE"""),"")</f>
        <v/>
      </c>
      <c r="D298" s="134" t="str">
        <f ca="1">IFERROR(__xludf.DUMMYFUNCTION("""COMPUTED_VALUE"""),"")</f>
        <v/>
      </c>
      <c r="E298" s="134" t="str">
        <f ca="1">IFERROR(__xludf.DUMMYFUNCTION("""COMPUTED_VALUE"""),"")</f>
        <v/>
      </c>
      <c r="F298" s="134" t="str">
        <f ca="1">IFERROR(__xludf.DUMMYFUNCTION("""COMPUTED_VALUE"""),"")</f>
        <v/>
      </c>
      <c r="G298" s="134" t="str">
        <f ca="1">IFERROR(__xludf.DUMMYFUNCTION("""COMPUTED_VALUE"""),"")</f>
        <v/>
      </c>
      <c r="H298" s="134" t="str">
        <f ca="1">IFERROR(__xludf.DUMMYFUNCTION("""COMPUTED_VALUE"""),"")</f>
        <v/>
      </c>
      <c r="I298" s="134" t="str">
        <f ca="1">IFERROR(__xludf.DUMMYFUNCTION("""COMPUTED_VALUE"""),"")</f>
        <v/>
      </c>
      <c r="J298" s="134" t="str">
        <f ca="1">IFERROR(__xludf.DUMMYFUNCTION("""COMPUTED_VALUE"""),"")</f>
        <v/>
      </c>
      <c r="N298" s="31"/>
      <c r="Q298" s="31"/>
    </row>
    <row r="299" spans="1:17" customFormat="1">
      <c r="A299" s="134" t="str">
        <f ca="1">IFERROR(__xludf.DUMMYFUNCTION("""COMPUTED_VALUE"""),"")</f>
        <v/>
      </c>
      <c r="B299" s="134" t="str">
        <f ca="1">IFERROR(__xludf.DUMMYFUNCTION("""COMPUTED_VALUE"""),"")</f>
        <v/>
      </c>
      <c r="C299" s="134" t="str">
        <f ca="1">IFERROR(__xludf.DUMMYFUNCTION("""COMPUTED_VALUE"""),"")</f>
        <v/>
      </c>
      <c r="D299" s="134" t="str">
        <f ca="1">IFERROR(__xludf.DUMMYFUNCTION("""COMPUTED_VALUE"""),"")</f>
        <v/>
      </c>
      <c r="E299" s="134" t="str">
        <f ca="1">IFERROR(__xludf.DUMMYFUNCTION("""COMPUTED_VALUE"""),"")</f>
        <v/>
      </c>
      <c r="F299" s="134" t="str">
        <f ca="1">IFERROR(__xludf.DUMMYFUNCTION("""COMPUTED_VALUE"""),"")</f>
        <v/>
      </c>
      <c r="G299" s="134" t="str">
        <f ca="1">IFERROR(__xludf.DUMMYFUNCTION("""COMPUTED_VALUE"""),"")</f>
        <v/>
      </c>
      <c r="H299" s="134" t="str">
        <f ca="1">IFERROR(__xludf.DUMMYFUNCTION("""COMPUTED_VALUE"""),"")</f>
        <v/>
      </c>
      <c r="I299" s="134" t="str">
        <f ca="1">IFERROR(__xludf.DUMMYFUNCTION("""COMPUTED_VALUE"""),"")</f>
        <v/>
      </c>
      <c r="J299" s="134" t="str">
        <f ca="1">IFERROR(__xludf.DUMMYFUNCTION("""COMPUTED_VALUE"""),"")</f>
        <v/>
      </c>
      <c r="N299" s="31"/>
      <c r="Q299" s="31"/>
    </row>
    <row r="300" spans="1:17" customFormat="1">
      <c r="A300" s="134" t="str">
        <f ca="1">IFERROR(__xludf.DUMMYFUNCTION("""COMPUTED_VALUE"""),"")</f>
        <v/>
      </c>
      <c r="B300" s="134" t="str">
        <f ca="1">IFERROR(__xludf.DUMMYFUNCTION("""COMPUTED_VALUE"""),"")</f>
        <v/>
      </c>
      <c r="C300" s="134" t="str">
        <f ca="1">IFERROR(__xludf.DUMMYFUNCTION("""COMPUTED_VALUE"""),"")</f>
        <v/>
      </c>
      <c r="D300" s="134" t="str">
        <f ca="1">IFERROR(__xludf.DUMMYFUNCTION("""COMPUTED_VALUE"""),"")</f>
        <v/>
      </c>
      <c r="E300" s="134" t="str">
        <f ca="1">IFERROR(__xludf.DUMMYFUNCTION("""COMPUTED_VALUE"""),"")</f>
        <v/>
      </c>
      <c r="F300" s="134" t="str">
        <f ca="1">IFERROR(__xludf.DUMMYFUNCTION("""COMPUTED_VALUE"""),"")</f>
        <v/>
      </c>
      <c r="G300" s="134" t="str">
        <f ca="1">IFERROR(__xludf.DUMMYFUNCTION("""COMPUTED_VALUE"""),"")</f>
        <v/>
      </c>
      <c r="H300" s="134" t="str">
        <f ca="1">IFERROR(__xludf.DUMMYFUNCTION("""COMPUTED_VALUE"""),"")</f>
        <v/>
      </c>
      <c r="I300" s="134" t="str">
        <f ca="1">IFERROR(__xludf.DUMMYFUNCTION("""COMPUTED_VALUE"""),"")</f>
        <v/>
      </c>
      <c r="J300" s="134" t="str">
        <f ca="1">IFERROR(__xludf.DUMMYFUNCTION("""COMPUTED_VALUE"""),"")</f>
        <v/>
      </c>
      <c r="N300" s="31"/>
      <c r="Q300" s="31"/>
    </row>
    <row r="301" spans="1:17" customFormat="1">
      <c r="A301" s="134" t="str">
        <f ca="1">IFERROR(__xludf.DUMMYFUNCTION("""COMPUTED_VALUE"""),"")</f>
        <v/>
      </c>
      <c r="B301" s="134" t="str">
        <f ca="1">IFERROR(__xludf.DUMMYFUNCTION("""COMPUTED_VALUE"""),"")</f>
        <v/>
      </c>
      <c r="C301" s="134" t="str">
        <f ca="1">IFERROR(__xludf.DUMMYFUNCTION("""COMPUTED_VALUE"""),"")</f>
        <v/>
      </c>
      <c r="D301" s="134" t="str">
        <f ca="1">IFERROR(__xludf.DUMMYFUNCTION("""COMPUTED_VALUE"""),"")</f>
        <v/>
      </c>
      <c r="E301" s="134" t="str">
        <f ca="1">IFERROR(__xludf.DUMMYFUNCTION("""COMPUTED_VALUE"""),"")</f>
        <v/>
      </c>
      <c r="F301" s="134" t="str">
        <f ca="1">IFERROR(__xludf.DUMMYFUNCTION("""COMPUTED_VALUE"""),"")</f>
        <v/>
      </c>
      <c r="G301" s="134" t="str">
        <f ca="1">IFERROR(__xludf.DUMMYFUNCTION("""COMPUTED_VALUE"""),"")</f>
        <v/>
      </c>
      <c r="H301" s="134" t="str">
        <f ca="1">IFERROR(__xludf.DUMMYFUNCTION("""COMPUTED_VALUE"""),"")</f>
        <v/>
      </c>
      <c r="I301" s="134" t="str">
        <f ca="1">IFERROR(__xludf.DUMMYFUNCTION("""COMPUTED_VALUE"""),"")</f>
        <v/>
      </c>
      <c r="J301" s="134" t="str">
        <f ca="1">IFERROR(__xludf.DUMMYFUNCTION("""COMPUTED_VALUE"""),"")</f>
        <v/>
      </c>
      <c r="N301" s="31"/>
      <c r="Q301" s="31"/>
    </row>
    <row r="302" spans="1:17" customFormat="1">
      <c r="A302" s="134" t="str">
        <f ca="1">IFERROR(__xludf.DUMMYFUNCTION("""COMPUTED_VALUE"""),"")</f>
        <v/>
      </c>
      <c r="B302" s="134" t="str">
        <f ca="1">IFERROR(__xludf.DUMMYFUNCTION("""COMPUTED_VALUE"""),"")</f>
        <v/>
      </c>
      <c r="C302" s="134" t="str">
        <f ca="1">IFERROR(__xludf.DUMMYFUNCTION("""COMPUTED_VALUE"""),"")</f>
        <v/>
      </c>
      <c r="D302" s="134" t="str">
        <f ca="1">IFERROR(__xludf.DUMMYFUNCTION("""COMPUTED_VALUE"""),"")</f>
        <v/>
      </c>
      <c r="E302" s="134" t="str">
        <f ca="1">IFERROR(__xludf.DUMMYFUNCTION("""COMPUTED_VALUE"""),"")</f>
        <v/>
      </c>
      <c r="F302" s="134" t="str">
        <f ca="1">IFERROR(__xludf.DUMMYFUNCTION("""COMPUTED_VALUE"""),"")</f>
        <v/>
      </c>
      <c r="G302" s="134" t="str">
        <f ca="1">IFERROR(__xludf.DUMMYFUNCTION("""COMPUTED_VALUE"""),"")</f>
        <v/>
      </c>
      <c r="H302" s="134" t="str">
        <f ca="1">IFERROR(__xludf.DUMMYFUNCTION("""COMPUTED_VALUE"""),"")</f>
        <v/>
      </c>
      <c r="I302" s="134" t="str">
        <f ca="1">IFERROR(__xludf.DUMMYFUNCTION("""COMPUTED_VALUE"""),"")</f>
        <v/>
      </c>
      <c r="J302" s="134" t="str">
        <f ca="1">IFERROR(__xludf.DUMMYFUNCTION("""COMPUTED_VALUE"""),"")</f>
        <v/>
      </c>
      <c r="N302" s="31"/>
      <c r="Q302" s="31"/>
    </row>
    <row r="303" spans="1:17" customFormat="1">
      <c r="A303" s="134" t="str">
        <f ca="1">IFERROR(__xludf.DUMMYFUNCTION("""COMPUTED_VALUE"""),"")</f>
        <v/>
      </c>
      <c r="B303" s="134" t="str">
        <f ca="1">IFERROR(__xludf.DUMMYFUNCTION("""COMPUTED_VALUE"""),"")</f>
        <v/>
      </c>
      <c r="C303" s="134" t="str">
        <f ca="1">IFERROR(__xludf.DUMMYFUNCTION("""COMPUTED_VALUE"""),"")</f>
        <v/>
      </c>
      <c r="D303" s="134" t="str">
        <f ca="1">IFERROR(__xludf.DUMMYFUNCTION("""COMPUTED_VALUE"""),"")</f>
        <v/>
      </c>
      <c r="E303" s="134" t="str">
        <f ca="1">IFERROR(__xludf.DUMMYFUNCTION("""COMPUTED_VALUE"""),"")</f>
        <v/>
      </c>
      <c r="F303" s="134" t="str">
        <f ca="1">IFERROR(__xludf.DUMMYFUNCTION("""COMPUTED_VALUE"""),"")</f>
        <v/>
      </c>
      <c r="G303" s="134" t="str">
        <f ca="1">IFERROR(__xludf.DUMMYFUNCTION("""COMPUTED_VALUE"""),"")</f>
        <v/>
      </c>
      <c r="H303" s="134" t="str">
        <f ca="1">IFERROR(__xludf.DUMMYFUNCTION("""COMPUTED_VALUE"""),"")</f>
        <v/>
      </c>
      <c r="I303" s="134" t="str">
        <f ca="1">IFERROR(__xludf.DUMMYFUNCTION("""COMPUTED_VALUE"""),"")</f>
        <v/>
      </c>
      <c r="J303" s="134" t="str">
        <f ca="1">IFERROR(__xludf.DUMMYFUNCTION("""COMPUTED_VALUE"""),"")</f>
        <v/>
      </c>
      <c r="N303" s="31"/>
      <c r="Q303" s="31"/>
    </row>
    <row r="304" spans="1:17" customFormat="1">
      <c r="A304" s="134" t="str">
        <f ca="1">IFERROR(__xludf.DUMMYFUNCTION("""COMPUTED_VALUE"""),"")</f>
        <v/>
      </c>
      <c r="B304" s="134" t="str">
        <f ca="1">IFERROR(__xludf.DUMMYFUNCTION("""COMPUTED_VALUE"""),"")</f>
        <v/>
      </c>
      <c r="C304" s="134" t="str">
        <f ca="1">IFERROR(__xludf.DUMMYFUNCTION("""COMPUTED_VALUE"""),"")</f>
        <v/>
      </c>
      <c r="D304" s="134" t="str">
        <f ca="1">IFERROR(__xludf.DUMMYFUNCTION("""COMPUTED_VALUE"""),"")</f>
        <v/>
      </c>
      <c r="E304" s="134" t="str">
        <f ca="1">IFERROR(__xludf.DUMMYFUNCTION("""COMPUTED_VALUE"""),"")</f>
        <v/>
      </c>
      <c r="F304" s="134" t="str">
        <f ca="1">IFERROR(__xludf.DUMMYFUNCTION("""COMPUTED_VALUE"""),"")</f>
        <v/>
      </c>
      <c r="G304" s="134" t="str">
        <f ca="1">IFERROR(__xludf.DUMMYFUNCTION("""COMPUTED_VALUE"""),"")</f>
        <v/>
      </c>
      <c r="H304" s="134" t="str">
        <f ca="1">IFERROR(__xludf.DUMMYFUNCTION("""COMPUTED_VALUE"""),"")</f>
        <v/>
      </c>
      <c r="I304" s="134" t="str">
        <f ca="1">IFERROR(__xludf.DUMMYFUNCTION("""COMPUTED_VALUE"""),"")</f>
        <v/>
      </c>
      <c r="J304" s="134" t="str">
        <f ca="1">IFERROR(__xludf.DUMMYFUNCTION("""COMPUTED_VALUE"""),"")</f>
        <v/>
      </c>
      <c r="N304" s="31"/>
      <c r="Q304" s="31"/>
    </row>
    <row r="305" spans="1:17" customFormat="1">
      <c r="A305" s="134" t="str">
        <f ca="1">IFERROR(__xludf.DUMMYFUNCTION("""COMPUTED_VALUE"""),"")</f>
        <v/>
      </c>
      <c r="B305" s="134" t="str">
        <f ca="1">IFERROR(__xludf.DUMMYFUNCTION("""COMPUTED_VALUE"""),"")</f>
        <v/>
      </c>
      <c r="C305" s="134" t="str">
        <f ca="1">IFERROR(__xludf.DUMMYFUNCTION("""COMPUTED_VALUE"""),"")</f>
        <v/>
      </c>
      <c r="D305" s="134" t="str">
        <f ca="1">IFERROR(__xludf.DUMMYFUNCTION("""COMPUTED_VALUE"""),"")</f>
        <v/>
      </c>
      <c r="E305" s="134" t="str">
        <f ca="1">IFERROR(__xludf.DUMMYFUNCTION("""COMPUTED_VALUE"""),"")</f>
        <v/>
      </c>
      <c r="F305" s="134" t="str">
        <f ca="1">IFERROR(__xludf.DUMMYFUNCTION("""COMPUTED_VALUE"""),"")</f>
        <v/>
      </c>
      <c r="G305" s="134" t="str">
        <f ca="1">IFERROR(__xludf.DUMMYFUNCTION("""COMPUTED_VALUE"""),"")</f>
        <v/>
      </c>
      <c r="H305" s="134" t="str">
        <f ca="1">IFERROR(__xludf.DUMMYFUNCTION("""COMPUTED_VALUE"""),"")</f>
        <v/>
      </c>
      <c r="I305" s="134" t="str">
        <f ca="1">IFERROR(__xludf.DUMMYFUNCTION("""COMPUTED_VALUE"""),"")</f>
        <v/>
      </c>
      <c r="J305" s="134" t="str">
        <f ca="1">IFERROR(__xludf.DUMMYFUNCTION("""COMPUTED_VALUE"""),"")</f>
        <v/>
      </c>
      <c r="N305" s="31"/>
      <c r="Q305" s="31"/>
    </row>
    <row r="306" spans="1:17" customFormat="1">
      <c r="A306" s="134" t="str">
        <f ca="1">IFERROR(__xludf.DUMMYFUNCTION("""COMPUTED_VALUE"""),"")</f>
        <v/>
      </c>
      <c r="B306" s="134" t="str">
        <f ca="1">IFERROR(__xludf.DUMMYFUNCTION("""COMPUTED_VALUE"""),"")</f>
        <v/>
      </c>
      <c r="C306" s="134" t="str">
        <f ca="1">IFERROR(__xludf.DUMMYFUNCTION("""COMPUTED_VALUE"""),"")</f>
        <v/>
      </c>
      <c r="D306" s="134" t="str">
        <f ca="1">IFERROR(__xludf.DUMMYFUNCTION("""COMPUTED_VALUE"""),"")</f>
        <v/>
      </c>
      <c r="E306" s="134" t="str">
        <f ca="1">IFERROR(__xludf.DUMMYFUNCTION("""COMPUTED_VALUE"""),"")</f>
        <v/>
      </c>
      <c r="F306" s="134" t="str">
        <f ca="1">IFERROR(__xludf.DUMMYFUNCTION("""COMPUTED_VALUE"""),"")</f>
        <v/>
      </c>
      <c r="G306" s="134" t="str">
        <f ca="1">IFERROR(__xludf.DUMMYFUNCTION("""COMPUTED_VALUE"""),"")</f>
        <v/>
      </c>
      <c r="H306" s="134" t="str">
        <f ca="1">IFERROR(__xludf.DUMMYFUNCTION("""COMPUTED_VALUE"""),"")</f>
        <v/>
      </c>
      <c r="I306" s="134" t="str">
        <f ca="1">IFERROR(__xludf.DUMMYFUNCTION("""COMPUTED_VALUE"""),"")</f>
        <v/>
      </c>
      <c r="J306" s="134" t="str">
        <f ca="1">IFERROR(__xludf.DUMMYFUNCTION("""COMPUTED_VALUE"""),"")</f>
        <v/>
      </c>
      <c r="N306" s="31"/>
      <c r="Q306" s="31"/>
    </row>
    <row r="307" spans="1:17" customFormat="1">
      <c r="A307" s="134" t="str">
        <f ca="1">IFERROR(__xludf.DUMMYFUNCTION("""COMPUTED_VALUE"""),"")</f>
        <v/>
      </c>
      <c r="B307" s="134" t="str">
        <f ca="1">IFERROR(__xludf.DUMMYFUNCTION("""COMPUTED_VALUE"""),"")</f>
        <v/>
      </c>
      <c r="C307" s="134" t="str">
        <f ca="1">IFERROR(__xludf.DUMMYFUNCTION("""COMPUTED_VALUE"""),"")</f>
        <v/>
      </c>
      <c r="D307" s="134" t="str">
        <f ca="1">IFERROR(__xludf.DUMMYFUNCTION("""COMPUTED_VALUE"""),"")</f>
        <v/>
      </c>
      <c r="E307" s="134" t="str">
        <f ca="1">IFERROR(__xludf.DUMMYFUNCTION("""COMPUTED_VALUE"""),"")</f>
        <v/>
      </c>
      <c r="F307" s="134" t="str">
        <f ca="1">IFERROR(__xludf.DUMMYFUNCTION("""COMPUTED_VALUE"""),"")</f>
        <v/>
      </c>
      <c r="G307" s="134" t="str">
        <f ca="1">IFERROR(__xludf.DUMMYFUNCTION("""COMPUTED_VALUE"""),"")</f>
        <v/>
      </c>
      <c r="H307" s="134" t="str">
        <f ca="1">IFERROR(__xludf.DUMMYFUNCTION("""COMPUTED_VALUE"""),"")</f>
        <v/>
      </c>
      <c r="I307" s="134" t="str">
        <f ca="1">IFERROR(__xludf.DUMMYFUNCTION("""COMPUTED_VALUE"""),"")</f>
        <v/>
      </c>
      <c r="J307" s="134" t="str">
        <f ca="1">IFERROR(__xludf.DUMMYFUNCTION("""COMPUTED_VALUE"""),"")</f>
        <v/>
      </c>
      <c r="N307" s="31"/>
      <c r="Q307" s="31"/>
    </row>
    <row r="308" spans="1:17" customFormat="1">
      <c r="A308" s="134" t="str">
        <f ca="1">IFERROR(__xludf.DUMMYFUNCTION("""COMPUTED_VALUE"""),"")</f>
        <v/>
      </c>
      <c r="B308" s="134" t="str">
        <f ca="1">IFERROR(__xludf.DUMMYFUNCTION("""COMPUTED_VALUE"""),"")</f>
        <v/>
      </c>
      <c r="C308" s="134" t="str">
        <f ca="1">IFERROR(__xludf.DUMMYFUNCTION("""COMPUTED_VALUE"""),"")</f>
        <v/>
      </c>
      <c r="D308" s="134" t="str">
        <f ca="1">IFERROR(__xludf.DUMMYFUNCTION("""COMPUTED_VALUE"""),"")</f>
        <v/>
      </c>
      <c r="E308" s="134" t="str">
        <f ca="1">IFERROR(__xludf.DUMMYFUNCTION("""COMPUTED_VALUE"""),"")</f>
        <v/>
      </c>
      <c r="F308" s="134" t="str">
        <f ca="1">IFERROR(__xludf.DUMMYFUNCTION("""COMPUTED_VALUE"""),"")</f>
        <v/>
      </c>
      <c r="G308" s="134" t="str">
        <f ca="1">IFERROR(__xludf.DUMMYFUNCTION("""COMPUTED_VALUE"""),"")</f>
        <v/>
      </c>
      <c r="H308" s="134" t="str">
        <f ca="1">IFERROR(__xludf.DUMMYFUNCTION("""COMPUTED_VALUE"""),"")</f>
        <v/>
      </c>
      <c r="I308" s="134" t="str">
        <f ca="1">IFERROR(__xludf.DUMMYFUNCTION("""COMPUTED_VALUE"""),"")</f>
        <v/>
      </c>
      <c r="J308" s="134" t="str">
        <f ca="1">IFERROR(__xludf.DUMMYFUNCTION("""COMPUTED_VALUE"""),"")</f>
        <v/>
      </c>
      <c r="N308" s="31"/>
      <c r="Q308" s="31"/>
    </row>
    <row r="309" spans="1:17" customFormat="1">
      <c r="A309" s="134" t="str">
        <f ca="1">IFERROR(__xludf.DUMMYFUNCTION("""COMPUTED_VALUE"""),"")</f>
        <v/>
      </c>
      <c r="B309" s="134" t="str">
        <f ca="1">IFERROR(__xludf.DUMMYFUNCTION("""COMPUTED_VALUE"""),"")</f>
        <v/>
      </c>
      <c r="C309" s="134" t="str">
        <f ca="1">IFERROR(__xludf.DUMMYFUNCTION("""COMPUTED_VALUE"""),"")</f>
        <v/>
      </c>
      <c r="D309" s="134" t="str">
        <f ca="1">IFERROR(__xludf.DUMMYFUNCTION("""COMPUTED_VALUE"""),"")</f>
        <v/>
      </c>
      <c r="E309" s="134" t="str">
        <f ca="1">IFERROR(__xludf.DUMMYFUNCTION("""COMPUTED_VALUE"""),"")</f>
        <v/>
      </c>
      <c r="F309" s="134" t="str">
        <f ca="1">IFERROR(__xludf.DUMMYFUNCTION("""COMPUTED_VALUE"""),"")</f>
        <v/>
      </c>
      <c r="G309" s="134" t="str">
        <f ca="1">IFERROR(__xludf.DUMMYFUNCTION("""COMPUTED_VALUE"""),"")</f>
        <v/>
      </c>
      <c r="H309" s="134" t="str">
        <f ca="1">IFERROR(__xludf.DUMMYFUNCTION("""COMPUTED_VALUE"""),"")</f>
        <v/>
      </c>
      <c r="I309" s="134" t="str">
        <f ca="1">IFERROR(__xludf.DUMMYFUNCTION("""COMPUTED_VALUE"""),"")</f>
        <v/>
      </c>
      <c r="J309" s="134" t="str">
        <f ca="1">IFERROR(__xludf.DUMMYFUNCTION("""COMPUTED_VALUE"""),"")</f>
        <v/>
      </c>
      <c r="N309" s="31"/>
      <c r="Q309" s="31"/>
    </row>
    <row r="310" spans="1:17" customFormat="1">
      <c r="A310" s="134" t="str">
        <f ca="1">IFERROR(__xludf.DUMMYFUNCTION("""COMPUTED_VALUE"""),"")</f>
        <v/>
      </c>
      <c r="B310" s="134" t="str">
        <f ca="1">IFERROR(__xludf.DUMMYFUNCTION("""COMPUTED_VALUE"""),"")</f>
        <v/>
      </c>
      <c r="C310" s="134" t="str">
        <f ca="1">IFERROR(__xludf.DUMMYFUNCTION("""COMPUTED_VALUE"""),"")</f>
        <v/>
      </c>
      <c r="D310" s="134" t="str">
        <f ca="1">IFERROR(__xludf.DUMMYFUNCTION("""COMPUTED_VALUE"""),"")</f>
        <v/>
      </c>
      <c r="E310" s="134" t="str">
        <f ca="1">IFERROR(__xludf.DUMMYFUNCTION("""COMPUTED_VALUE"""),"")</f>
        <v/>
      </c>
      <c r="F310" s="134" t="str">
        <f ca="1">IFERROR(__xludf.DUMMYFUNCTION("""COMPUTED_VALUE"""),"")</f>
        <v/>
      </c>
      <c r="G310" s="134" t="str">
        <f ca="1">IFERROR(__xludf.DUMMYFUNCTION("""COMPUTED_VALUE"""),"")</f>
        <v/>
      </c>
      <c r="H310" s="134" t="str">
        <f ca="1">IFERROR(__xludf.DUMMYFUNCTION("""COMPUTED_VALUE"""),"")</f>
        <v/>
      </c>
      <c r="I310" s="134" t="str">
        <f ca="1">IFERROR(__xludf.DUMMYFUNCTION("""COMPUTED_VALUE"""),"")</f>
        <v/>
      </c>
      <c r="J310" s="134" t="str">
        <f ca="1">IFERROR(__xludf.DUMMYFUNCTION("""COMPUTED_VALUE"""),"")</f>
        <v/>
      </c>
      <c r="N310" s="31"/>
      <c r="Q310" s="31"/>
    </row>
    <row r="311" spans="1:17" customFormat="1">
      <c r="A311" s="134" t="str">
        <f ca="1">IFERROR(__xludf.DUMMYFUNCTION("""COMPUTED_VALUE"""),"")</f>
        <v/>
      </c>
      <c r="B311" s="134" t="str">
        <f ca="1">IFERROR(__xludf.DUMMYFUNCTION("""COMPUTED_VALUE"""),"")</f>
        <v/>
      </c>
      <c r="C311" s="134" t="str">
        <f ca="1">IFERROR(__xludf.DUMMYFUNCTION("""COMPUTED_VALUE"""),"")</f>
        <v/>
      </c>
      <c r="D311" s="134" t="str">
        <f ca="1">IFERROR(__xludf.DUMMYFUNCTION("""COMPUTED_VALUE"""),"")</f>
        <v/>
      </c>
      <c r="E311" s="134" t="str">
        <f ca="1">IFERROR(__xludf.DUMMYFUNCTION("""COMPUTED_VALUE"""),"")</f>
        <v/>
      </c>
      <c r="F311" s="134" t="str">
        <f ca="1">IFERROR(__xludf.DUMMYFUNCTION("""COMPUTED_VALUE"""),"")</f>
        <v/>
      </c>
      <c r="G311" s="134" t="str">
        <f ca="1">IFERROR(__xludf.DUMMYFUNCTION("""COMPUTED_VALUE"""),"")</f>
        <v/>
      </c>
      <c r="H311" s="134" t="str">
        <f ca="1">IFERROR(__xludf.DUMMYFUNCTION("""COMPUTED_VALUE"""),"")</f>
        <v/>
      </c>
      <c r="I311" s="134" t="str">
        <f ca="1">IFERROR(__xludf.DUMMYFUNCTION("""COMPUTED_VALUE"""),"")</f>
        <v/>
      </c>
      <c r="J311" s="134" t="str">
        <f ca="1">IFERROR(__xludf.DUMMYFUNCTION("""COMPUTED_VALUE"""),"")</f>
        <v/>
      </c>
      <c r="N311" s="31"/>
      <c r="Q311" s="31"/>
    </row>
    <row r="312" spans="1:17" customFormat="1">
      <c r="A312" s="134" t="str">
        <f ca="1">IFERROR(__xludf.DUMMYFUNCTION("""COMPUTED_VALUE"""),"")</f>
        <v/>
      </c>
      <c r="B312" s="134" t="str">
        <f ca="1">IFERROR(__xludf.DUMMYFUNCTION("""COMPUTED_VALUE"""),"")</f>
        <v/>
      </c>
      <c r="C312" s="134" t="str">
        <f ca="1">IFERROR(__xludf.DUMMYFUNCTION("""COMPUTED_VALUE"""),"")</f>
        <v/>
      </c>
      <c r="D312" s="134" t="str">
        <f ca="1">IFERROR(__xludf.DUMMYFUNCTION("""COMPUTED_VALUE"""),"")</f>
        <v/>
      </c>
      <c r="E312" s="134" t="str">
        <f ca="1">IFERROR(__xludf.DUMMYFUNCTION("""COMPUTED_VALUE"""),"")</f>
        <v/>
      </c>
      <c r="F312" s="134" t="str">
        <f ca="1">IFERROR(__xludf.DUMMYFUNCTION("""COMPUTED_VALUE"""),"")</f>
        <v/>
      </c>
      <c r="G312" s="134" t="str">
        <f ca="1">IFERROR(__xludf.DUMMYFUNCTION("""COMPUTED_VALUE"""),"")</f>
        <v/>
      </c>
      <c r="H312" s="134" t="str">
        <f ca="1">IFERROR(__xludf.DUMMYFUNCTION("""COMPUTED_VALUE"""),"")</f>
        <v/>
      </c>
      <c r="I312" s="134" t="str">
        <f ca="1">IFERROR(__xludf.DUMMYFUNCTION("""COMPUTED_VALUE"""),"")</f>
        <v/>
      </c>
      <c r="J312" s="134" t="str">
        <f ca="1">IFERROR(__xludf.DUMMYFUNCTION("""COMPUTED_VALUE"""),"")</f>
        <v/>
      </c>
      <c r="N312" s="31"/>
      <c r="Q312" s="31"/>
    </row>
    <row r="313" spans="1:17" customFormat="1">
      <c r="A313" s="134" t="str">
        <f ca="1">IFERROR(__xludf.DUMMYFUNCTION("""COMPUTED_VALUE"""),"")</f>
        <v/>
      </c>
      <c r="B313" s="134" t="str">
        <f ca="1">IFERROR(__xludf.DUMMYFUNCTION("""COMPUTED_VALUE"""),"")</f>
        <v/>
      </c>
      <c r="C313" s="134" t="str">
        <f ca="1">IFERROR(__xludf.DUMMYFUNCTION("""COMPUTED_VALUE"""),"")</f>
        <v/>
      </c>
      <c r="D313" s="134" t="str">
        <f ca="1">IFERROR(__xludf.DUMMYFUNCTION("""COMPUTED_VALUE"""),"")</f>
        <v/>
      </c>
      <c r="E313" s="134" t="str">
        <f ca="1">IFERROR(__xludf.DUMMYFUNCTION("""COMPUTED_VALUE"""),"")</f>
        <v/>
      </c>
      <c r="F313" s="134" t="str">
        <f ca="1">IFERROR(__xludf.DUMMYFUNCTION("""COMPUTED_VALUE"""),"")</f>
        <v/>
      </c>
      <c r="G313" s="134" t="str">
        <f ca="1">IFERROR(__xludf.DUMMYFUNCTION("""COMPUTED_VALUE"""),"")</f>
        <v/>
      </c>
      <c r="H313" s="134" t="str">
        <f ca="1">IFERROR(__xludf.DUMMYFUNCTION("""COMPUTED_VALUE"""),"")</f>
        <v/>
      </c>
      <c r="I313" s="134" t="str">
        <f ca="1">IFERROR(__xludf.DUMMYFUNCTION("""COMPUTED_VALUE"""),"")</f>
        <v/>
      </c>
      <c r="J313" s="134" t="str">
        <f ca="1">IFERROR(__xludf.DUMMYFUNCTION("""COMPUTED_VALUE"""),"")</f>
        <v/>
      </c>
      <c r="N313" s="31"/>
      <c r="Q313" s="31"/>
    </row>
    <row r="314" spans="1:17" customFormat="1">
      <c r="A314" s="134" t="str">
        <f ca="1">IFERROR(__xludf.DUMMYFUNCTION("""COMPUTED_VALUE"""),"")</f>
        <v/>
      </c>
      <c r="B314" s="134" t="str">
        <f ca="1">IFERROR(__xludf.DUMMYFUNCTION("""COMPUTED_VALUE"""),"")</f>
        <v/>
      </c>
      <c r="C314" s="134" t="str">
        <f ca="1">IFERROR(__xludf.DUMMYFUNCTION("""COMPUTED_VALUE"""),"")</f>
        <v/>
      </c>
      <c r="D314" s="134" t="str">
        <f ca="1">IFERROR(__xludf.DUMMYFUNCTION("""COMPUTED_VALUE"""),"")</f>
        <v/>
      </c>
      <c r="E314" s="134" t="str">
        <f ca="1">IFERROR(__xludf.DUMMYFUNCTION("""COMPUTED_VALUE"""),"")</f>
        <v/>
      </c>
      <c r="F314" s="134" t="str">
        <f ca="1">IFERROR(__xludf.DUMMYFUNCTION("""COMPUTED_VALUE"""),"")</f>
        <v/>
      </c>
      <c r="G314" s="134" t="str">
        <f ca="1">IFERROR(__xludf.DUMMYFUNCTION("""COMPUTED_VALUE"""),"")</f>
        <v/>
      </c>
      <c r="H314" s="134" t="str">
        <f ca="1">IFERROR(__xludf.DUMMYFUNCTION("""COMPUTED_VALUE"""),"")</f>
        <v/>
      </c>
      <c r="I314" s="134" t="str">
        <f ca="1">IFERROR(__xludf.DUMMYFUNCTION("""COMPUTED_VALUE"""),"")</f>
        <v/>
      </c>
      <c r="J314" s="134" t="str">
        <f ca="1">IFERROR(__xludf.DUMMYFUNCTION("""COMPUTED_VALUE"""),"")</f>
        <v/>
      </c>
      <c r="N314" s="31"/>
      <c r="Q314" s="31"/>
    </row>
    <row r="315" spans="1:17" customFormat="1">
      <c r="A315" s="134" t="str">
        <f ca="1">IFERROR(__xludf.DUMMYFUNCTION("""COMPUTED_VALUE"""),"")</f>
        <v/>
      </c>
      <c r="B315" s="134" t="str">
        <f ca="1">IFERROR(__xludf.DUMMYFUNCTION("""COMPUTED_VALUE"""),"")</f>
        <v/>
      </c>
      <c r="C315" s="134" t="str">
        <f ca="1">IFERROR(__xludf.DUMMYFUNCTION("""COMPUTED_VALUE"""),"")</f>
        <v/>
      </c>
      <c r="D315" s="134" t="str">
        <f ca="1">IFERROR(__xludf.DUMMYFUNCTION("""COMPUTED_VALUE"""),"")</f>
        <v/>
      </c>
      <c r="E315" s="134" t="str">
        <f ca="1">IFERROR(__xludf.DUMMYFUNCTION("""COMPUTED_VALUE"""),"")</f>
        <v/>
      </c>
      <c r="F315" s="134" t="str">
        <f ca="1">IFERROR(__xludf.DUMMYFUNCTION("""COMPUTED_VALUE"""),"")</f>
        <v/>
      </c>
      <c r="G315" s="134" t="str">
        <f ca="1">IFERROR(__xludf.DUMMYFUNCTION("""COMPUTED_VALUE"""),"")</f>
        <v/>
      </c>
      <c r="H315" s="134" t="str">
        <f ca="1">IFERROR(__xludf.DUMMYFUNCTION("""COMPUTED_VALUE"""),"")</f>
        <v/>
      </c>
      <c r="I315" s="134" t="str">
        <f ca="1">IFERROR(__xludf.DUMMYFUNCTION("""COMPUTED_VALUE"""),"")</f>
        <v/>
      </c>
      <c r="J315" s="134" t="str">
        <f ca="1">IFERROR(__xludf.DUMMYFUNCTION("""COMPUTED_VALUE"""),"")</f>
        <v/>
      </c>
      <c r="N315" s="31"/>
      <c r="Q315" s="31"/>
    </row>
    <row r="316" spans="1:17" customFormat="1">
      <c r="A316" s="134" t="str">
        <f ca="1">IFERROR(__xludf.DUMMYFUNCTION("""COMPUTED_VALUE"""),"")</f>
        <v/>
      </c>
      <c r="B316" s="134" t="str">
        <f ca="1">IFERROR(__xludf.DUMMYFUNCTION("""COMPUTED_VALUE"""),"")</f>
        <v/>
      </c>
      <c r="C316" s="134" t="str">
        <f ca="1">IFERROR(__xludf.DUMMYFUNCTION("""COMPUTED_VALUE"""),"")</f>
        <v/>
      </c>
      <c r="D316" s="134" t="str">
        <f ca="1">IFERROR(__xludf.DUMMYFUNCTION("""COMPUTED_VALUE"""),"")</f>
        <v/>
      </c>
      <c r="E316" s="134" t="str">
        <f ca="1">IFERROR(__xludf.DUMMYFUNCTION("""COMPUTED_VALUE"""),"")</f>
        <v/>
      </c>
      <c r="F316" s="134" t="str">
        <f ca="1">IFERROR(__xludf.DUMMYFUNCTION("""COMPUTED_VALUE"""),"")</f>
        <v/>
      </c>
      <c r="G316" s="134" t="str">
        <f ca="1">IFERROR(__xludf.DUMMYFUNCTION("""COMPUTED_VALUE"""),"")</f>
        <v/>
      </c>
      <c r="H316" s="134" t="str">
        <f ca="1">IFERROR(__xludf.DUMMYFUNCTION("""COMPUTED_VALUE"""),"")</f>
        <v/>
      </c>
      <c r="I316" s="134" t="str">
        <f ca="1">IFERROR(__xludf.DUMMYFUNCTION("""COMPUTED_VALUE"""),"")</f>
        <v/>
      </c>
      <c r="J316" s="134" t="str">
        <f ca="1">IFERROR(__xludf.DUMMYFUNCTION("""COMPUTED_VALUE"""),"")</f>
        <v/>
      </c>
      <c r="N316" s="31"/>
      <c r="Q316" s="31"/>
    </row>
    <row r="317" spans="1:17" customFormat="1">
      <c r="A317" s="134" t="str">
        <f ca="1">IFERROR(__xludf.DUMMYFUNCTION("""COMPUTED_VALUE"""),"")</f>
        <v/>
      </c>
      <c r="B317" s="134" t="str">
        <f ca="1">IFERROR(__xludf.DUMMYFUNCTION("""COMPUTED_VALUE"""),"")</f>
        <v/>
      </c>
      <c r="C317" s="134" t="str">
        <f ca="1">IFERROR(__xludf.DUMMYFUNCTION("""COMPUTED_VALUE"""),"")</f>
        <v/>
      </c>
      <c r="D317" s="134" t="str">
        <f ca="1">IFERROR(__xludf.DUMMYFUNCTION("""COMPUTED_VALUE"""),"")</f>
        <v/>
      </c>
      <c r="E317" s="134" t="str">
        <f ca="1">IFERROR(__xludf.DUMMYFUNCTION("""COMPUTED_VALUE"""),"")</f>
        <v/>
      </c>
      <c r="F317" s="134" t="str">
        <f ca="1">IFERROR(__xludf.DUMMYFUNCTION("""COMPUTED_VALUE"""),"")</f>
        <v/>
      </c>
      <c r="G317" s="134" t="str">
        <f ca="1">IFERROR(__xludf.DUMMYFUNCTION("""COMPUTED_VALUE"""),"")</f>
        <v/>
      </c>
      <c r="H317" s="134" t="str">
        <f ca="1">IFERROR(__xludf.DUMMYFUNCTION("""COMPUTED_VALUE"""),"")</f>
        <v/>
      </c>
      <c r="I317" s="134" t="str">
        <f ca="1">IFERROR(__xludf.DUMMYFUNCTION("""COMPUTED_VALUE"""),"")</f>
        <v/>
      </c>
      <c r="J317" s="134" t="str">
        <f ca="1">IFERROR(__xludf.DUMMYFUNCTION("""COMPUTED_VALUE"""),"")</f>
        <v/>
      </c>
      <c r="N317" s="31"/>
      <c r="Q317" s="31"/>
    </row>
    <row r="318" spans="1:17" customFormat="1">
      <c r="A318" s="134" t="str">
        <f ca="1">IFERROR(__xludf.DUMMYFUNCTION("""COMPUTED_VALUE"""),"")</f>
        <v/>
      </c>
      <c r="B318" s="134" t="str">
        <f ca="1">IFERROR(__xludf.DUMMYFUNCTION("""COMPUTED_VALUE"""),"")</f>
        <v/>
      </c>
      <c r="C318" s="134" t="str">
        <f ca="1">IFERROR(__xludf.DUMMYFUNCTION("""COMPUTED_VALUE"""),"")</f>
        <v/>
      </c>
      <c r="D318" s="134" t="str">
        <f ca="1">IFERROR(__xludf.DUMMYFUNCTION("""COMPUTED_VALUE"""),"")</f>
        <v/>
      </c>
      <c r="E318" s="134" t="str">
        <f ca="1">IFERROR(__xludf.DUMMYFUNCTION("""COMPUTED_VALUE"""),"")</f>
        <v/>
      </c>
      <c r="F318" s="134" t="str">
        <f ca="1">IFERROR(__xludf.DUMMYFUNCTION("""COMPUTED_VALUE"""),"")</f>
        <v/>
      </c>
      <c r="G318" s="134" t="str">
        <f ca="1">IFERROR(__xludf.DUMMYFUNCTION("""COMPUTED_VALUE"""),"")</f>
        <v/>
      </c>
      <c r="H318" s="134" t="str">
        <f ca="1">IFERROR(__xludf.DUMMYFUNCTION("""COMPUTED_VALUE"""),"")</f>
        <v/>
      </c>
      <c r="I318" s="134" t="str">
        <f ca="1">IFERROR(__xludf.DUMMYFUNCTION("""COMPUTED_VALUE"""),"")</f>
        <v/>
      </c>
      <c r="J318" s="134" t="str">
        <f ca="1">IFERROR(__xludf.DUMMYFUNCTION("""COMPUTED_VALUE"""),"")</f>
        <v/>
      </c>
      <c r="N318" s="31"/>
      <c r="Q318" s="31"/>
    </row>
    <row r="319" spans="1:17" customFormat="1">
      <c r="A319" s="134" t="str">
        <f ca="1">IFERROR(__xludf.DUMMYFUNCTION("""COMPUTED_VALUE"""),"")</f>
        <v/>
      </c>
      <c r="B319" s="134" t="str">
        <f ca="1">IFERROR(__xludf.DUMMYFUNCTION("""COMPUTED_VALUE"""),"")</f>
        <v/>
      </c>
      <c r="C319" s="134" t="str">
        <f ca="1">IFERROR(__xludf.DUMMYFUNCTION("""COMPUTED_VALUE"""),"")</f>
        <v/>
      </c>
      <c r="D319" s="134" t="str">
        <f ca="1">IFERROR(__xludf.DUMMYFUNCTION("""COMPUTED_VALUE"""),"")</f>
        <v/>
      </c>
      <c r="E319" s="134" t="str">
        <f ca="1">IFERROR(__xludf.DUMMYFUNCTION("""COMPUTED_VALUE"""),"")</f>
        <v/>
      </c>
      <c r="F319" s="134" t="str">
        <f ca="1">IFERROR(__xludf.DUMMYFUNCTION("""COMPUTED_VALUE"""),"")</f>
        <v/>
      </c>
      <c r="G319" s="134" t="str">
        <f ca="1">IFERROR(__xludf.DUMMYFUNCTION("""COMPUTED_VALUE"""),"")</f>
        <v/>
      </c>
      <c r="H319" s="134" t="str">
        <f ca="1">IFERROR(__xludf.DUMMYFUNCTION("""COMPUTED_VALUE"""),"")</f>
        <v/>
      </c>
      <c r="I319" s="134" t="str">
        <f ca="1">IFERROR(__xludf.DUMMYFUNCTION("""COMPUTED_VALUE"""),"")</f>
        <v/>
      </c>
      <c r="J319" s="134" t="str">
        <f ca="1">IFERROR(__xludf.DUMMYFUNCTION("""COMPUTED_VALUE"""),"")</f>
        <v/>
      </c>
      <c r="N319" s="31"/>
      <c r="Q319" s="31"/>
    </row>
    <row r="320" spans="1:17" customFormat="1">
      <c r="A320" s="134" t="str">
        <f ca="1">IFERROR(__xludf.DUMMYFUNCTION("""COMPUTED_VALUE"""),"")</f>
        <v/>
      </c>
      <c r="B320" s="134" t="str">
        <f ca="1">IFERROR(__xludf.DUMMYFUNCTION("""COMPUTED_VALUE"""),"")</f>
        <v/>
      </c>
      <c r="C320" s="134" t="str">
        <f ca="1">IFERROR(__xludf.DUMMYFUNCTION("""COMPUTED_VALUE"""),"")</f>
        <v/>
      </c>
      <c r="D320" s="134" t="str">
        <f ca="1">IFERROR(__xludf.DUMMYFUNCTION("""COMPUTED_VALUE"""),"")</f>
        <v/>
      </c>
      <c r="E320" s="134" t="str">
        <f ca="1">IFERROR(__xludf.DUMMYFUNCTION("""COMPUTED_VALUE"""),"")</f>
        <v/>
      </c>
      <c r="F320" s="134" t="str">
        <f ca="1">IFERROR(__xludf.DUMMYFUNCTION("""COMPUTED_VALUE"""),"")</f>
        <v/>
      </c>
      <c r="G320" s="134" t="str">
        <f ca="1">IFERROR(__xludf.DUMMYFUNCTION("""COMPUTED_VALUE"""),"")</f>
        <v/>
      </c>
      <c r="H320" s="134" t="str">
        <f ca="1">IFERROR(__xludf.DUMMYFUNCTION("""COMPUTED_VALUE"""),"")</f>
        <v/>
      </c>
      <c r="I320" s="134" t="str">
        <f ca="1">IFERROR(__xludf.DUMMYFUNCTION("""COMPUTED_VALUE"""),"")</f>
        <v/>
      </c>
      <c r="J320" s="134" t="str">
        <f ca="1">IFERROR(__xludf.DUMMYFUNCTION("""COMPUTED_VALUE"""),"")</f>
        <v/>
      </c>
      <c r="N320" s="31"/>
      <c r="Q320" s="31"/>
    </row>
    <row r="321" spans="1:17" customFormat="1">
      <c r="A321" s="134" t="str">
        <f ca="1">IFERROR(__xludf.DUMMYFUNCTION("""COMPUTED_VALUE"""),"")</f>
        <v/>
      </c>
      <c r="B321" s="134" t="str">
        <f ca="1">IFERROR(__xludf.DUMMYFUNCTION("""COMPUTED_VALUE"""),"")</f>
        <v/>
      </c>
      <c r="C321" s="134" t="str">
        <f ca="1">IFERROR(__xludf.DUMMYFUNCTION("""COMPUTED_VALUE"""),"")</f>
        <v/>
      </c>
      <c r="D321" s="134" t="str">
        <f ca="1">IFERROR(__xludf.DUMMYFUNCTION("""COMPUTED_VALUE"""),"")</f>
        <v/>
      </c>
      <c r="E321" s="134" t="str">
        <f ca="1">IFERROR(__xludf.DUMMYFUNCTION("""COMPUTED_VALUE"""),"")</f>
        <v/>
      </c>
      <c r="F321" s="134" t="str">
        <f ca="1">IFERROR(__xludf.DUMMYFUNCTION("""COMPUTED_VALUE"""),"")</f>
        <v/>
      </c>
      <c r="G321" s="134" t="str">
        <f ca="1">IFERROR(__xludf.DUMMYFUNCTION("""COMPUTED_VALUE"""),"")</f>
        <v/>
      </c>
      <c r="H321" s="134" t="str">
        <f ca="1">IFERROR(__xludf.DUMMYFUNCTION("""COMPUTED_VALUE"""),"")</f>
        <v/>
      </c>
      <c r="I321" s="134" t="str">
        <f ca="1">IFERROR(__xludf.DUMMYFUNCTION("""COMPUTED_VALUE"""),"")</f>
        <v/>
      </c>
      <c r="J321" s="134" t="str">
        <f ca="1">IFERROR(__xludf.DUMMYFUNCTION("""COMPUTED_VALUE"""),"")</f>
        <v/>
      </c>
      <c r="N321" s="31"/>
      <c r="Q321" s="31"/>
    </row>
    <row r="322" spans="1:17" customFormat="1">
      <c r="A322" s="134" t="str">
        <f ca="1">IFERROR(__xludf.DUMMYFUNCTION("""COMPUTED_VALUE"""),"")</f>
        <v/>
      </c>
      <c r="B322" s="134" t="str">
        <f ca="1">IFERROR(__xludf.DUMMYFUNCTION("""COMPUTED_VALUE"""),"")</f>
        <v/>
      </c>
      <c r="C322" s="134" t="str">
        <f ca="1">IFERROR(__xludf.DUMMYFUNCTION("""COMPUTED_VALUE"""),"")</f>
        <v/>
      </c>
      <c r="D322" s="134" t="str">
        <f ca="1">IFERROR(__xludf.DUMMYFUNCTION("""COMPUTED_VALUE"""),"")</f>
        <v/>
      </c>
      <c r="E322" s="134" t="str">
        <f ca="1">IFERROR(__xludf.DUMMYFUNCTION("""COMPUTED_VALUE"""),"")</f>
        <v/>
      </c>
      <c r="F322" s="134" t="str">
        <f ca="1">IFERROR(__xludf.DUMMYFUNCTION("""COMPUTED_VALUE"""),"")</f>
        <v/>
      </c>
      <c r="G322" s="134" t="str">
        <f ca="1">IFERROR(__xludf.DUMMYFUNCTION("""COMPUTED_VALUE"""),"")</f>
        <v/>
      </c>
      <c r="H322" s="134" t="str">
        <f ca="1">IFERROR(__xludf.DUMMYFUNCTION("""COMPUTED_VALUE"""),"")</f>
        <v/>
      </c>
      <c r="I322" s="134" t="str">
        <f ca="1">IFERROR(__xludf.DUMMYFUNCTION("""COMPUTED_VALUE"""),"")</f>
        <v/>
      </c>
      <c r="J322" s="134" t="str">
        <f ca="1">IFERROR(__xludf.DUMMYFUNCTION("""COMPUTED_VALUE"""),"")</f>
        <v/>
      </c>
      <c r="N322" s="31"/>
      <c r="Q322" s="31"/>
    </row>
    <row r="323" spans="1:17" customFormat="1">
      <c r="A323" s="134" t="str">
        <f ca="1">IFERROR(__xludf.DUMMYFUNCTION("""COMPUTED_VALUE"""),"")</f>
        <v/>
      </c>
      <c r="B323" s="134" t="str">
        <f ca="1">IFERROR(__xludf.DUMMYFUNCTION("""COMPUTED_VALUE"""),"")</f>
        <v/>
      </c>
      <c r="C323" s="134" t="str">
        <f ca="1">IFERROR(__xludf.DUMMYFUNCTION("""COMPUTED_VALUE"""),"")</f>
        <v/>
      </c>
      <c r="D323" s="134" t="str">
        <f ca="1">IFERROR(__xludf.DUMMYFUNCTION("""COMPUTED_VALUE"""),"")</f>
        <v/>
      </c>
      <c r="E323" s="134" t="str">
        <f ca="1">IFERROR(__xludf.DUMMYFUNCTION("""COMPUTED_VALUE"""),"")</f>
        <v/>
      </c>
      <c r="F323" s="134" t="str">
        <f ca="1">IFERROR(__xludf.DUMMYFUNCTION("""COMPUTED_VALUE"""),"")</f>
        <v/>
      </c>
      <c r="G323" s="134" t="str">
        <f ca="1">IFERROR(__xludf.DUMMYFUNCTION("""COMPUTED_VALUE"""),"")</f>
        <v/>
      </c>
      <c r="H323" s="134" t="str">
        <f ca="1">IFERROR(__xludf.DUMMYFUNCTION("""COMPUTED_VALUE"""),"")</f>
        <v/>
      </c>
      <c r="I323" s="134" t="str">
        <f ca="1">IFERROR(__xludf.DUMMYFUNCTION("""COMPUTED_VALUE"""),"")</f>
        <v/>
      </c>
      <c r="J323" s="134" t="str">
        <f ca="1">IFERROR(__xludf.DUMMYFUNCTION("""COMPUTED_VALUE"""),"")</f>
        <v/>
      </c>
      <c r="N323" s="31"/>
      <c r="Q323" s="31"/>
    </row>
    <row r="324" spans="1:17" customFormat="1">
      <c r="A324" s="134" t="str">
        <f ca="1">IFERROR(__xludf.DUMMYFUNCTION("""COMPUTED_VALUE"""),"")</f>
        <v/>
      </c>
      <c r="B324" s="134" t="str">
        <f ca="1">IFERROR(__xludf.DUMMYFUNCTION("""COMPUTED_VALUE"""),"")</f>
        <v/>
      </c>
      <c r="C324" s="134" t="str">
        <f ca="1">IFERROR(__xludf.DUMMYFUNCTION("""COMPUTED_VALUE"""),"")</f>
        <v/>
      </c>
      <c r="D324" s="134" t="str">
        <f ca="1">IFERROR(__xludf.DUMMYFUNCTION("""COMPUTED_VALUE"""),"")</f>
        <v/>
      </c>
      <c r="E324" s="134" t="str">
        <f ca="1">IFERROR(__xludf.DUMMYFUNCTION("""COMPUTED_VALUE"""),"")</f>
        <v/>
      </c>
      <c r="F324" s="134" t="str">
        <f ca="1">IFERROR(__xludf.DUMMYFUNCTION("""COMPUTED_VALUE"""),"")</f>
        <v/>
      </c>
      <c r="G324" s="134" t="str">
        <f ca="1">IFERROR(__xludf.DUMMYFUNCTION("""COMPUTED_VALUE"""),"")</f>
        <v/>
      </c>
      <c r="H324" s="134" t="str">
        <f ca="1">IFERROR(__xludf.DUMMYFUNCTION("""COMPUTED_VALUE"""),"")</f>
        <v/>
      </c>
      <c r="I324" s="134" t="str">
        <f ca="1">IFERROR(__xludf.DUMMYFUNCTION("""COMPUTED_VALUE"""),"")</f>
        <v/>
      </c>
      <c r="J324" s="134" t="str">
        <f ca="1">IFERROR(__xludf.DUMMYFUNCTION("""COMPUTED_VALUE"""),"")</f>
        <v/>
      </c>
      <c r="N324" s="31"/>
      <c r="Q324" s="31"/>
    </row>
    <row r="325" spans="1:17" customFormat="1">
      <c r="A325" s="134" t="str">
        <f ca="1">IFERROR(__xludf.DUMMYFUNCTION("""COMPUTED_VALUE"""),"")</f>
        <v/>
      </c>
      <c r="B325" s="134" t="str">
        <f ca="1">IFERROR(__xludf.DUMMYFUNCTION("""COMPUTED_VALUE"""),"")</f>
        <v/>
      </c>
      <c r="C325" s="134" t="str">
        <f ca="1">IFERROR(__xludf.DUMMYFUNCTION("""COMPUTED_VALUE"""),"")</f>
        <v/>
      </c>
      <c r="D325" s="134" t="str">
        <f ca="1">IFERROR(__xludf.DUMMYFUNCTION("""COMPUTED_VALUE"""),"")</f>
        <v/>
      </c>
      <c r="E325" s="134" t="str">
        <f ca="1">IFERROR(__xludf.DUMMYFUNCTION("""COMPUTED_VALUE"""),"")</f>
        <v/>
      </c>
      <c r="F325" s="134" t="str">
        <f ca="1">IFERROR(__xludf.DUMMYFUNCTION("""COMPUTED_VALUE"""),"")</f>
        <v/>
      </c>
      <c r="G325" s="134" t="str">
        <f ca="1">IFERROR(__xludf.DUMMYFUNCTION("""COMPUTED_VALUE"""),"")</f>
        <v/>
      </c>
      <c r="H325" s="134" t="str">
        <f ca="1">IFERROR(__xludf.DUMMYFUNCTION("""COMPUTED_VALUE"""),"")</f>
        <v/>
      </c>
      <c r="I325" s="134" t="str">
        <f ca="1">IFERROR(__xludf.DUMMYFUNCTION("""COMPUTED_VALUE"""),"")</f>
        <v/>
      </c>
      <c r="J325" s="134" t="str">
        <f ca="1">IFERROR(__xludf.DUMMYFUNCTION("""COMPUTED_VALUE"""),"")</f>
        <v/>
      </c>
      <c r="N325" s="31"/>
      <c r="Q325" s="31"/>
    </row>
    <row r="326" spans="1:17" customFormat="1">
      <c r="A326" s="134" t="str">
        <f ca="1">IFERROR(__xludf.DUMMYFUNCTION("""COMPUTED_VALUE"""),"")</f>
        <v/>
      </c>
      <c r="B326" s="134" t="str">
        <f ca="1">IFERROR(__xludf.DUMMYFUNCTION("""COMPUTED_VALUE"""),"")</f>
        <v/>
      </c>
      <c r="C326" s="134" t="str">
        <f ca="1">IFERROR(__xludf.DUMMYFUNCTION("""COMPUTED_VALUE"""),"")</f>
        <v/>
      </c>
      <c r="D326" s="134" t="str">
        <f ca="1">IFERROR(__xludf.DUMMYFUNCTION("""COMPUTED_VALUE"""),"")</f>
        <v/>
      </c>
      <c r="E326" s="134" t="str">
        <f ca="1">IFERROR(__xludf.DUMMYFUNCTION("""COMPUTED_VALUE"""),"")</f>
        <v/>
      </c>
      <c r="F326" s="134" t="str">
        <f ca="1">IFERROR(__xludf.DUMMYFUNCTION("""COMPUTED_VALUE"""),"")</f>
        <v/>
      </c>
      <c r="G326" s="134" t="str">
        <f ca="1">IFERROR(__xludf.DUMMYFUNCTION("""COMPUTED_VALUE"""),"")</f>
        <v/>
      </c>
      <c r="H326" s="134" t="str">
        <f ca="1">IFERROR(__xludf.DUMMYFUNCTION("""COMPUTED_VALUE"""),"")</f>
        <v/>
      </c>
      <c r="I326" s="134" t="str">
        <f ca="1">IFERROR(__xludf.DUMMYFUNCTION("""COMPUTED_VALUE"""),"")</f>
        <v/>
      </c>
      <c r="J326" s="134" t="str">
        <f ca="1">IFERROR(__xludf.DUMMYFUNCTION("""COMPUTED_VALUE"""),"")</f>
        <v/>
      </c>
      <c r="N326" s="31"/>
      <c r="Q326" s="31"/>
    </row>
    <row r="327" spans="1:17" customFormat="1">
      <c r="A327" s="134" t="str">
        <f ca="1">IFERROR(__xludf.DUMMYFUNCTION("""COMPUTED_VALUE"""),"")</f>
        <v/>
      </c>
      <c r="B327" s="134" t="str">
        <f ca="1">IFERROR(__xludf.DUMMYFUNCTION("""COMPUTED_VALUE"""),"")</f>
        <v/>
      </c>
      <c r="C327" s="134" t="str">
        <f ca="1">IFERROR(__xludf.DUMMYFUNCTION("""COMPUTED_VALUE"""),"")</f>
        <v/>
      </c>
      <c r="D327" s="134" t="str">
        <f ca="1">IFERROR(__xludf.DUMMYFUNCTION("""COMPUTED_VALUE"""),"")</f>
        <v/>
      </c>
      <c r="E327" s="134" t="str">
        <f ca="1">IFERROR(__xludf.DUMMYFUNCTION("""COMPUTED_VALUE"""),"")</f>
        <v/>
      </c>
      <c r="F327" s="134" t="str">
        <f ca="1">IFERROR(__xludf.DUMMYFUNCTION("""COMPUTED_VALUE"""),"")</f>
        <v/>
      </c>
      <c r="G327" s="134" t="str">
        <f ca="1">IFERROR(__xludf.DUMMYFUNCTION("""COMPUTED_VALUE"""),"")</f>
        <v/>
      </c>
      <c r="H327" s="134" t="str">
        <f ca="1">IFERROR(__xludf.DUMMYFUNCTION("""COMPUTED_VALUE"""),"")</f>
        <v/>
      </c>
      <c r="I327" s="134" t="str">
        <f ca="1">IFERROR(__xludf.DUMMYFUNCTION("""COMPUTED_VALUE"""),"")</f>
        <v/>
      </c>
      <c r="J327" s="134" t="str">
        <f ca="1">IFERROR(__xludf.DUMMYFUNCTION("""COMPUTED_VALUE"""),"")</f>
        <v/>
      </c>
      <c r="N327" s="31"/>
      <c r="Q327" s="31"/>
    </row>
    <row r="328" spans="1:17" customFormat="1">
      <c r="A328" s="134" t="str">
        <f ca="1">IFERROR(__xludf.DUMMYFUNCTION("""COMPUTED_VALUE"""),"")</f>
        <v/>
      </c>
      <c r="B328" s="134" t="str">
        <f ca="1">IFERROR(__xludf.DUMMYFUNCTION("""COMPUTED_VALUE"""),"")</f>
        <v/>
      </c>
      <c r="C328" s="134" t="str">
        <f ca="1">IFERROR(__xludf.DUMMYFUNCTION("""COMPUTED_VALUE"""),"")</f>
        <v/>
      </c>
      <c r="D328" s="134" t="str">
        <f ca="1">IFERROR(__xludf.DUMMYFUNCTION("""COMPUTED_VALUE"""),"")</f>
        <v/>
      </c>
      <c r="E328" s="134" t="str">
        <f ca="1">IFERROR(__xludf.DUMMYFUNCTION("""COMPUTED_VALUE"""),"")</f>
        <v/>
      </c>
      <c r="F328" s="134" t="str">
        <f ca="1">IFERROR(__xludf.DUMMYFUNCTION("""COMPUTED_VALUE"""),"")</f>
        <v/>
      </c>
      <c r="G328" s="134" t="str">
        <f ca="1">IFERROR(__xludf.DUMMYFUNCTION("""COMPUTED_VALUE"""),"")</f>
        <v/>
      </c>
      <c r="H328" s="134" t="str">
        <f ca="1">IFERROR(__xludf.DUMMYFUNCTION("""COMPUTED_VALUE"""),"")</f>
        <v/>
      </c>
      <c r="I328" s="134" t="str">
        <f ca="1">IFERROR(__xludf.DUMMYFUNCTION("""COMPUTED_VALUE"""),"")</f>
        <v/>
      </c>
      <c r="J328" s="134" t="str">
        <f ca="1">IFERROR(__xludf.DUMMYFUNCTION("""COMPUTED_VALUE"""),"")</f>
        <v/>
      </c>
      <c r="N328" s="31"/>
      <c r="Q328" s="31"/>
    </row>
    <row r="329" spans="1:17" customFormat="1">
      <c r="A329" s="134" t="str">
        <f ca="1">IFERROR(__xludf.DUMMYFUNCTION("""COMPUTED_VALUE"""),"")</f>
        <v/>
      </c>
      <c r="B329" s="134" t="str">
        <f ca="1">IFERROR(__xludf.DUMMYFUNCTION("""COMPUTED_VALUE"""),"")</f>
        <v/>
      </c>
      <c r="C329" s="134" t="str">
        <f ca="1">IFERROR(__xludf.DUMMYFUNCTION("""COMPUTED_VALUE"""),"")</f>
        <v/>
      </c>
      <c r="D329" s="134" t="str">
        <f ca="1">IFERROR(__xludf.DUMMYFUNCTION("""COMPUTED_VALUE"""),"")</f>
        <v/>
      </c>
      <c r="E329" s="134" t="str">
        <f ca="1">IFERROR(__xludf.DUMMYFUNCTION("""COMPUTED_VALUE"""),"")</f>
        <v/>
      </c>
      <c r="F329" s="134" t="str">
        <f ca="1">IFERROR(__xludf.DUMMYFUNCTION("""COMPUTED_VALUE"""),"")</f>
        <v/>
      </c>
      <c r="G329" s="134" t="str">
        <f ca="1">IFERROR(__xludf.DUMMYFUNCTION("""COMPUTED_VALUE"""),"")</f>
        <v/>
      </c>
      <c r="H329" s="134" t="str">
        <f ca="1">IFERROR(__xludf.DUMMYFUNCTION("""COMPUTED_VALUE"""),"")</f>
        <v/>
      </c>
      <c r="I329" s="134" t="str">
        <f ca="1">IFERROR(__xludf.DUMMYFUNCTION("""COMPUTED_VALUE"""),"")</f>
        <v/>
      </c>
      <c r="J329" s="134" t="str">
        <f ca="1">IFERROR(__xludf.DUMMYFUNCTION("""COMPUTED_VALUE"""),"")</f>
        <v/>
      </c>
      <c r="N329" s="31"/>
      <c r="Q329" s="31"/>
    </row>
    <row r="330" spans="1:17" customFormat="1">
      <c r="A330" s="134" t="str">
        <f ca="1">IFERROR(__xludf.DUMMYFUNCTION("""COMPUTED_VALUE"""),"")</f>
        <v/>
      </c>
      <c r="B330" s="134" t="str">
        <f ca="1">IFERROR(__xludf.DUMMYFUNCTION("""COMPUTED_VALUE"""),"")</f>
        <v/>
      </c>
      <c r="C330" s="134" t="str">
        <f ca="1">IFERROR(__xludf.DUMMYFUNCTION("""COMPUTED_VALUE"""),"")</f>
        <v/>
      </c>
      <c r="D330" s="134" t="str">
        <f ca="1">IFERROR(__xludf.DUMMYFUNCTION("""COMPUTED_VALUE"""),"")</f>
        <v/>
      </c>
      <c r="E330" s="134" t="str">
        <f ca="1">IFERROR(__xludf.DUMMYFUNCTION("""COMPUTED_VALUE"""),"")</f>
        <v/>
      </c>
      <c r="F330" s="134" t="str">
        <f ca="1">IFERROR(__xludf.DUMMYFUNCTION("""COMPUTED_VALUE"""),"")</f>
        <v/>
      </c>
      <c r="G330" s="134" t="str">
        <f ca="1">IFERROR(__xludf.DUMMYFUNCTION("""COMPUTED_VALUE"""),"")</f>
        <v/>
      </c>
      <c r="H330" s="134" t="str">
        <f ca="1">IFERROR(__xludf.DUMMYFUNCTION("""COMPUTED_VALUE"""),"")</f>
        <v/>
      </c>
      <c r="I330" s="134" t="str">
        <f ca="1">IFERROR(__xludf.DUMMYFUNCTION("""COMPUTED_VALUE"""),"")</f>
        <v/>
      </c>
      <c r="J330" s="134" t="str">
        <f ca="1">IFERROR(__xludf.DUMMYFUNCTION("""COMPUTED_VALUE"""),"")</f>
        <v/>
      </c>
      <c r="N330" s="31"/>
      <c r="Q330" s="31"/>
    </row>
    <row r="331" spans="1:17" customFormat="1">
      <c r="A331" s="134" t="str">
        <f ca="1">IFERROR(__xludf.DUMMYFUNCTION("""COMPUTED_VALUE"""),"")</f>
        <v/>
      </c>
      <c r="B331" s="134" t="str">
        <f ca="1">IFERROR(__xludf.DUMMYFUNCTION("""COMPUTED_VALUE"""),"")</f>
        <v/>
      </c>
      <c r="C331" s="134" t="str">
        <f ca="1">IFERROR(__xludf.DUMMYFUNCTION("""COMPUTED_VALUE"""),"")</f>
        <v/>
      </c>
      <c r="D331" s="134" t="str">
        <f ca="1">IFERROR(__xludf.DUMMYFUNCTION("""COMPUTED_VALUE"""),"")</f>
        <v/>
      </c>
      <c r="E331" s="134" t="str">
        <f ca="1">IFERROR(__xludf.DUMMYFUNCTION("""COMPUTED_VALUE"""),"")</f>
        <v/>
      </c>
      <c r="F331" s="134" t="str">
        <f ca="1">IFERROR(__xludf.DUMMYFUNCTION("""COMPUTED_VALUE"""),"")</f>
        <v/>
      </c>
      <c r="G331" s="134" t="str">
        <f ca="1">IFERROR(__xludf.DUMMYFUNCTION("""COMPUTED_VALUE"""),"")</f>
        <v/>
      </c>
      <c r="H331" s="134" t="str">
        <f ca="1">IFERROR(__xludf.DUMMYFUNCTION("""COMPUTED_VALUE"""),"")</f>
        <v/>
      </c>
      <c r="I331" s="134" t="str">
        <f ca="1">IFERROR(__xludf.DUMMYFUNCTION("""COMPUTED_VALUE"""),"")</f>
        <v/>
      </c>
      <c r="J331" s="134" t="str">
        <f ca="1">IFERROR(__xludf.DUMMYFUNCTION("""COMPUTED_VALUE"""),"")</f>
        <v/>
      </c>
      <c r="N331" s="31"/>
      <c r="Q331" s="31"/>
    </row>
    <row r="332" spans="1:17" customFormat="1">
      <c r="A332" s="134" t="str">
        <f ca="1">IFERROR(__xludf.DUMMYFUNCTION("""COMPUTED_VALUE"""),"")</f>
        <v/>
      </c>
      <c r="B332" s="134" t="str">
        <f ca="1">IFERROR(__xludf.DUMMYFUNCTION("""COMPUTED_VALUE"""),"")</f>
        <v/>
      </c>
      <c r="C332" s="134" t="str">
        <f ca="1">IFERROR(__xludf.DUMMYFUNCTION("""COMPUTED_VALUE"""),"")</f>
        <v/>
      </c>
      <c r="D332" s="134" t="str">
        <f ca="1">IFERROR(__xludf.DUMMYFUNCTION("""COMPUTED_VALUE"""),"")</f>
        <v/>
      </c>
      <c r="E332" s="134" t="str">
        <f ca="1">IFERROR(__xludf.DUMMYFUNCTION("""COMPUTED_VALUE"""),"")</f>
        <v/>
      </c>
      <c r="F332" s="134" t="str">
        <f ca="1">IFERROR(__xludf.DUMMYFUNCTION("""COMPUTED_VALUE"""),"")</f>
        <v/>
      </c>
      <c r="G332" s="134" t="str">
        <f ca="1">IFERROR(__xludf.DUMMYFUNCTION("""COMPUTED_VALUE"""),"")</f>
        <v/>
      </c>
      <c r="H332" s="134" t="str">
        <f ca="1">IFERROR(__xludf.DUMMYFUNCTION("""COMPUTED_VALUE"""),"")</f>
        <v/>
      </c>
      <c r="I332" s="134" t="str">
        <f ca="1">IFERROR(__xludf.DUMMYFUNCTION("""COMPUTED_VALUE"""),"")</f>
        <v/>
      </c>
      <c r="J332" s="134" t="str">
        <f ca="1">IFERROR(__xludf.DUMMYFUNCTION("""COMPUTED_VALUE"""),"")</f>
        <v/>
      </c>
      <c r="N332" s="31"/>
      <c r="Q332" s="31"/>
    </row>
    <row r="333" spans="1:17" customFormat="1">
      <c r="A333" s="134" t="str">
        <f ca="1">IFERROR(__xludf.DUMMYFUNCTION("""COMPUTED_VALUE"""),"")</f>
        <v/>
      </c>
      <c r="B333" s="134" t="str">
        <f ca="1">IFERROR(__xludf.DUMMYFUNCTION("""COMPUTED_VALUE"""),"")</f>
        <v/>
      </c>
      <c r="C333" s="134" t="str">
        <f ca="1">IFERROR(__xludf.DUMMYFUNCTION("""COMPUTED_VALUE"""),"")</f>
        <v/>
      </c>
      <c r="D333" s="134" t="str">
        <f ca="1">IFERROR(__xludf.DUMMYFUNCTION("""COMPUTED_VALUE"""),"")</f>
        <v/>
      </c>
      <c r="E333" s="134" t="str">
        <f ca="1">IFERROR(__xludf.DUMMYFUNCTION("""COMPUTED_VALUE"""),"")</f>
        <v/>
      </c>
      <c r="F333" s="134" t="str">
        <f ca="1">IFERROR(__xludf.DUMMYFUNCTION("""COMPUTED_VALUE"""),"")</f>
        <v/>
      </c>
      <c r="G333" s="134" t="str">
        <f ca="1">IFERROR(__xludf.DUMMYFUNCTION("""COMPUTED_VALUE"""),"")</f>
        <v/>
      </c>
      <c r="H333" s="134" t="str">
        <f ca="1">IFERROR(__xludf.DUMMYFUNCTION("""COMPUTED_VALUE"""),"")</f>
        <v/>
      </c>
      <c r="I333" s="134" t="str">
        <f ca="1">IFERROR(__xludf.DUMMYFUNCTION("""COMPUTED_VALUE"""),"")</f>
        <v/>
      </c>
      <c r="J333" s="134" t="str">
        <f ca="1">IFERROR(__xludf.DUMMYFUNCTION("""COMPUTED_VALUE"""),"")</f>
        <v/>
      </c>
      <c r="N333" s="31"/>
      <c r="Q333" s="31"/>
    </row>
    <row r="334" spans="1:17" customFormat="1">
      <c r="A334" s="134" t="str">
        <f ca="1">IFERROR(__xludf.DUMMYFUNCTION("""COMPUTED_VALUE"""),"")</f>
        <v/>
      </c>
      <c r="B334" s="134" t="str">
        <f ca="1">IFERROR(__xludf.DUMMYFUNCTION("""COMPUTED_VALUE"""),"")</f>
        <v/>
      </c>
      <c r="C334" s="134" t="str">
        <f ca="1">IFERROR(__xludf.DUMMYFUNCTION("""COMPUTED_VALUE"""),"")</f>
        <v/>
      </c>
      <c r="D334" s="134" t="str">
        <f ca="1">IFERROR(__xludf.DUMMYFUNCTION("""COMPUTED_VALUE"""),"")</f>
        <v/>
      </c>
      <c r="E334" s="134" t="str">
        <f ca="1">IFERROR(__xludf.DUMMYFUNCTION("""COMPUTED_VALUE"""),"")</f>
        <v/>
      </c>
      <c r="F334" s="134" t="str">
        <f ca="1">IFERROR(__xludf.DUMMYFUNCTION("""COMPUTED_VALUE"""),"")</f>
        <v/>
      </c>
      <c r="G334" s="134" t="str">
        <f ca="1">IFERROR(__xludf.DUMMYFUNCTION("""COMPUTED_VALUE"""),"")</f>
        <v/>
      </c>
      <c r="H334" s="134" t="str">
        <f ca="1">IFERROR(__xludf.DUMMYFUNCTION("""COMPUTED_VALUE"""),"")</f>
        <v/>
      </c>
      <c r="I334" s="134" t="str">
        <f ca="1">IFERROR(__xludf.DUMMYFUNCTION("""COMPUTED_VALUE"""),"")</f>
        <v/>
      </c>
      <c r="J334" s="134" t="str">
        <f ca="1">IFERROR(__xludf.DUMMYFUNCTION("""COMPUTED_VALUE"""),"")</f>
        <v/>
      </c>
      <c r="N334" s="31"/>
      <c r="Q334" s="31"/>
    </row>
    <row r="335" spans="1:17" customFormat="1">
      <c r="A335" s="134" t="str">
        <f ca="1">IFERROR(__xludf.DUMMYFUNCTION("""COMPUTED_VALUE"""),"")</f>
        <v/>
      </c>
      <c r="B335" s="134" t="str">
        <f ca="1">IFERROR(__xludf.DUMMYFUNCTION("""COMPUTED_VALUE"""),"")</f>
        <v/>
      </c>
      <c r="C335" s="134" t="str">
        <f ca="1">IFERROR(__xludf.DUMMYFUNCTION("""COMPUTED_VALUE"""),"")</f>
        <v/>
      </c>
      <c r="D335" s="134" t="str">
        <f ca="1">IFERROR(__xludf.DUMMYFUNCTION("""COMPUTED_VALUE"""),"")</f>
        <v/>
      </c>
      <c r="E335" s="134" t="str">
        <f ca="1">IFERROR(__xludf.DUMMYFUNCTION("""COMPUTED_VALUE"""),"")</f>
        <v/>
      </c>
      <c r="F335" s="134" t="str">
        <f ca="1">IFERROR(__xludf.DUMMYFUNCTION("""COMPUTED_VALUE"""),"")</f>
        <v/>
      </c>
      <c r="G335" s="134" t="str">
        <f ca="1">IFERROR(__xludf.DUMMYFUNCTION("""COMPUTED_VALUE"""),"")</f>
        <v/>
      </c>
      <c r="H335" s="134" t="str">
        <f ca="1">IFERROR(__xludf.DUMMYFUNCTION("""COMPUTED_VALUE"""),"")</f>
        <v/>
      </c>
      <c r="I335" s="134" t="str">
        <f ca="1">IFERROR(__xludf.DUMMYFUNCTION("""COMPUTED_VALUE"""),"")</f>
        <v/>
      </c>
      <c r="J335" s="134" t="str">
        <f ca="1">IFERROR(__xludf.DUMMYFUNCTION("""COMPUTED_VALUE"""),"")</f>
        <v/>
      </c>
      <c r="N335" s="31"/>
      <c r="Q335" s="31"/>
    </row>
    <row r="336" spans="1:17" customFormat="1">
      <c r="A336" s="134" t="str">
        <f ca="1">IFERROR(__xludf.DUMMYFUNCTION("""COMPUTED_VALUE"""),"")</f>
        <v/>
      </c>
      <c r="B336" s="134" t="str">
        <f ca="1">IFERROR(__xludf.DUMMYFUNCTION("""COMPUTED_VALUE"""),"")</f>
        <v/>
      </c>
      <c r="C336" s="134" t="str">
        <f ca="1">IFERROR(__xludf.DUMMYFUNCTION("""COMPUTED_VALUE"""),"")</f>
        <v/>
      </c>
      <c r="D336" s="134" t="str">
        <f ca="1">IFERROR(__xludf.DUMMYFUNCTION("""COMPUTED_VALUE"""),"")</f>
        <v/>
      </c>
      <c r="E336" s="134" t="str">
        <f ca="1">IFERROR(__xludf.DUMMYFUNCTION("""COMPUTED_VALUE"""),"")</f>
        <v/>
      </c>
      <c r="F336" s="134" t="str">
        <f ca="1">IFERROR(__xludf.DUMMYFUNCTION("""COMPUTED_VALUE"""),"")</f>
        <v/>
      </c>
      <c r="G336" s="134" t="str">
        <f ca="1">IFERROR(__xludf.DUMMYFUNCTION("""COMPUTED_VALUE"""),"")</f>
        <v/>
      </c>
      <c r="H336" s="134" t="str">
        <f ca="1">IFERROR(__xludf.DUMMYFUNCTION("""COMPUTED_VALUE"""),"")</f>
        <v/>
      </c>
      <c r="I336" s="134" t="str">
        <f ca="1">IFERROR(__xludf.DUMMYFUNCTION("""COMPUTED_VALUE"""),"")</f>
        <v/>
      </c>
      <c r="J336" s="134" t="str">
        <f ca="1">IFERROR(__xludf.DUMMYFUNCTION("""COMPUTED_VALUE"""),"")</f>
        <v/>
      </c>
      <c r="N336" s="31"/>
      <c r="Q336" s="31"/>
    </row>
    <row r="337" spans="1:17" customFormat="1">
      <c r="A337" s="134" t="str">
        <f ca="1">IFERROR(__xludf.DUMMYFUNCTION("""COMPUTED_VALUE"""),"")</f>
        <v/>
      </c>
      <c r="B337" s="134" t="str">
        <f ca="1">IFERROR(__xludf.DUMMYFUNCTION("""COMPUTED_VALUE"""),"")</f>
        <v/>
      </c>
      <c r="C337" s="134" t="str">
        <f ca="1">IFERROR(__xludf.DUMMYFUNCTION("""COMPUTED_VALUE"""),"")</f>
        <v/>
      </c>
      <c r="D337" s="134" t="str">
        <f ca="1">IFERROR(__xludf.DUMMYFUNCTION("""COMPUTED_VALUE"""),"")</f>
        <v/>
      </c>
      <c r="E337" s="134" t="str">
        <f ca="1">IFERROR(__xludf.DUMMYFUNCTION("""COMPUTED_VALUE"""),"")</f>
        <v/>
      </c>
      <c r="F337" s="134" t="str">
        <f ca="1">IFERROR(__xludf.DUMMYFUNCTION("""COMPUTED_VALUE"""),"")</f>
        <v/>
      </c>
      <c r="G337" s="134" t="str">
        <f ca="1">IFERROR(__xludf.DUMMYFUNCTION("""COMPUTED_VALUE"""),"")</f>
        <v/>
      </c>
      <c r="H337" s="134" t="str">
        <f ca="1">IFERROR(__xludf.DUMMYFUNCTION("""COMPUTED_VALUE"""),"")</f>
        <v/>
      </c>
      <c r="I337" s="134" t="str">
        <f ca="1">IFERROR(__xludf.DUMMYFUNCTION("""COMPUTED_VALUE"""),"")</f>
        <v/>
      </c>
      <c r="J337" s="134" t="str">
        <f ca="1">IFERROR(__xludf.DUMMYFUNCTION("""COMPUTED_VALUE"""),"")</f>
        <v/>
      </c>
      <c r="N337" s="31"/>
      <c r="Q337" s="31"/>
    </row>
    <row r="338" spans="1:17" customFormat="1">
      <c r="A338" s="134" t="str">
        <f ca="1">IFERROR(__xludf.DUMMYFUNCTION("""COMPUTED_VALUE"""),"")</f>
        <v/>
      </c>
      <c r="B338" s="134" t="str">
        <f ca="1">IFERROR(__xludf.DUMMYFUNCTION("""COMPUTED_VALUE"""),"")</f>
        <v/>
      </c>
      <c r="C338" s="134" t="str">
        <f ca="1">IFERROR(__xludf.DUMMYFUNCTION("""COMPUTED_VALUE"""),"")</f>
        <v/>
      </c>
      <c r="D338" s="134" t="str">
        <f ca="1">IFERROR(__xludf.DUMMYFUNCTION("""COMPUTED_VALUE"""),"")</f>
        <v/>
      </c>
      <c r="E338" s="134" t="str">
        <f ca="1">IFERROR(__xludf.DUMMYFUNCTION("""COMPUTED_VALUE"""),"")</f>
        <v/>
      </c>
      <c r="F338" s="134" t="str">
        <f ca="1">IFERROR(__xludf.DUMMYFUNCTION("""COMPUTED_VALUE"""),"")</f>
        <v/>
      </c>
      <c r="G338" s="134" t="str">
        <f ca="1">IFERROR(__xludf.DUMMYFUNCTION("""COMPUTED_VALUE"""),"")</f>
        <v/>
      </c>
      <c r="H338" s="134" t="str">
        <f ca="1">IFERROR(__xludf.DUMMYFUNCTION("""COMPUTED_VALUE"""),"")</f>
        <v/>
      </c>
      <c r="I338" s="134" t="str">
        <f ca="1">IFERROR(__xludf.DUMMYFUNCTION("""COMPUTED_VALUE"""),"")</f>
        <v/>
      </c>
      <c r="J338" s="134" t="str">
        <f ca="1">IFERROR(__xludf.DUMMYFUNCTION("""COMPUTED_VALUE"""),"")</f>
        <v/>
      </c>
      <c r="N338" s="31"/>
      <c r="Q338" s="31"/>
    </row>
    <row r="339" spans="1:17" customFormat="1">
      <c r="A339" s="134" t="str">
        <f ca="1">IFERROR(__xludf.DUMMYFUNCTION("""COMPUTED_VALUE"""),"")</f>
        <v/>
      </c>
      <c r="B339" s="134" t="str">
        <f ca="1">IFERROR(__xludf.DUMMYFUNCTION("""COMPUTED_VALUE"""),"")</f>
        <v/>
      </c>
      <c r="C339" s="134" t="str">
        <f ca="1">IFERROR(__xludf.DUMMYFUNCTION("""COMPUTED_VALUE"""),"")</f>
        <v/>
      </c>
      <c r="D339" s="134" t="str">
        <f ca="1">IFERROR(__xludf.DUMMYFUNCTION("""COMPUTED_VALUE"""),"")</f>
        <v/>
      </c>
      <c r="E339" s="134" t="str">
        <f ca="1">IFERROR(__xludf.DUMMYFUNCTION("""COMPUTED_VALUE"""),"")</f>
        <v/>
      </c>
      <c r="F339" s="134" t="str">
        <f ca="1">IFERROR(__xludf.DUMMYFUNCTION("""COMPUTED_VALUE"""),"")</f>
        <v/>
      </c>
      <c r="G339" s="134" t="str">
        <f ca="1">IFERROR(__xludf.DUMMYFUNCTION("""COMPUTED_VALUE"""),"")</f>
        <v/>
      </c>
      <c r="H339" s="134" t="str">
        <f ca="1">IFERROR(__xludf.DUMMYFUNCTION("""COMPUTED_VALUE"""),"")</f>
        <v/>
      </c>
      <c r="I339" s="134" t="str">
        <f ca="1">IFERROR(__xludf.DUMMYFUNCTION("""COMPUTED_VALUE"""),"")</f>
        <v/>
      </c>
      <c r="J339" s="134" t="str">
        <f ca="1">IFERROR(__xludf.DUMMYFUNCTION("""COMPUTED_VALUE"""),"")</f>
        <v/>
      </c>
      <c r="N339" s="31"/>
      <c r="Q339" s="31"/>
    </row>
    <row r="340" spans="1:17" customFormat="1">
      <c r="A340" s="134" t="str">
        <f ca="1">IFERROR(__xludf.DUMMYFUNCTION("""COMPUTED_VALUE"""),"")</f>
        <v/>
      </c>
      <c r="B340" s="134" t="str">
        <f ca="1">IFERROR(__xludf.DUMMYFUNCTION("""COMPUTED_VALUE"""),"")</f>
        <v/>
      </c>
      <c r="C340" s="134" t="str">
        <f ca="1">IFERROR(__xludf.DUMMYFUNCTION("""COMPUTED_VALUE"""),"")</f>
        <v/>
      </c>
      <c r="D340" s="134" t="str">
        <f ca="1">IFERROR(__xludf.DUMMYFUNCTION("""COMPUTED_VALUE"""),"")</f>
        <v/>
      </c>
      <c r="E340" s="134" t="str">
        <f ca="1">IFERROR(__xludf.DUMMYFUNCTION("""COMPUTED_VALUE"""),"")</f>
        <v/>
      </c>
      <c r="F340" s="134" t="str">
        <f ca="1">IFERROR(__xludf.DUMMYFUNCTION("""COMPUTED_VALUE"""),"")</f>
        <v/>
      </c>
      <c r="G340" s="134" t="str">
        <f ca="1">IFERROR(__xludf.DUMMYFUNCTION("""COMPUTED_VALUE"""),"")</f>
        <v/>
      </c>
      <c r="H340" s="134" t="str">
        <f ca="1">IFERROR(__xludf.DUMMYFUNCTION("""COMPUTED_VALUE"""),"")</f>
        <v/>
      </c>
      <c r="I340" s="134" t="str">
        <f ca="1">IFERROR(__xludf.DUMMYFUNCTION("""COMPUTED_VALUE"""),"")</f>
        <v/>
      </c>
      <c r="J340" s="134" t="str">
        <f ca="1">IFERROR(__xludf.DUMMYFUNCTION("""COMPUTED_VALUE"""),"")</f>
        <v/>
      </c>
      <c r="N340" s="31"/>
      <c r="Q340" s="31"/>
    </row>
    <row r="341" spans="1:17" customFormat="1">
      <c r="A341" s="134" t="str">
        <f ca="1">IFERROR(__xludf.DUMMYFUNCTION("""COMPUTED_VALUE"""),"")</f>
        <v/>
      </c>
      <c r="B341" s="134" t="str">
        <f ca="1">IFERROR(__xludf.DUMMYFUNCTION("""COMPUTED_VALUE"""),"")</f>
        <v/>
      </c>
      <c r="C341" s="134" t="str">
        <f ca="1">IFERROR(__xludf.DUMMYFUNCTION("""COMPUTED_VALUE"""),"")</f>
        <v/>
      </c>
      <c r="D341" s="134" t="str">
        <f ca="1">IFERROR(__xludf.DUMMYFUNCTION("""COMPUTED_VALUE"""),"")</f>
        <v/>
      </c>
      <c r="E341" s="134" t="str">
        <f ca="1">IFERROR(__xludf.DUMMYFUNCTION("""COMPUTED_VALUE"""),"")</f>
        <v/>
      </c>
      <c r="F341" s="134" t="str">
        <f ca="1">IFERROR(__xludf.DUMMYFUNCTION("""COMPUTED_VALUE"""),"")</f>
        <v/>
      </c>
      <c r="G341" s="134" t="str">
        <f ca="1">IFERROR(__xludf.DUMMYFUNCTION("""COMPUTED_VALUE"""),"")</f>
        <v/>
      </c>
      <c r="H341" s="134" t="str">
        <f ca="1">IFERROR(__xludf.DUMMYFUNCTION("""COMPUTED_VALUE"""),"")</f>
        <v/>
      </c>
      <c r="I341" s="134" t="str">
        <f ca="1">IFERROR(__xludf.DUMMYFUNCTION("""COMPUTED_VALUE"""),"")</f>
        <v/>
      </c>
      <c r="J341" s="134" t="str">
        <f ca="1">IFERROR(__xludf.DUMMYFUNCTION("""COMPUTED_VALUE"""),"")</f>
        <v/>
      </c>
      <c r="N341" s="31"/>
      <c r="Q341" s="31"/>
    </row>
    <row r="342" spans="1:17" customFormat="1">
      <c r="A342" s="134" t="str">
        <f ca="1">IFERROR(__xludf.DUMMYFUNCTION("""COMPUTED_VALUE"""),"")</f>
        <v/>
      </c>
      <c r="B342" s="134" t="str">
        <f ca="1">IFERROR(__xludf.DUMMYFUNCTION("""COMPUTED_VALUE"""),"")</f>
        <v/>
      </c>
      <c r="C342" s="134" t="str">
        <f ca="1">IFERROR(__xludf.DUMMYFUNCTION("""COMPUTED_VALUE"""),"")</f>
        <v/>
      </c>
      <c r="D342" s="134" t="str">
        <f ca="1">IFERROR(__xludf.DUMMYFUNCTION("""COMPUTED_VALUE"""),"")</f>
        <v/>
      </c>
      <c r="E342" s="134" t="str">
        <f ca="1">IFERROR(__xludf.DUMMYFUNCTION("""COMPUTED_VALUE"""),"")</f>
        <v/>
      </c>
      <c r="F342" s="134" t="str">
        <f ca="1">IFERROR(__xludf.DUMMYFUNCTION("""COMPUTED_VALUE"""),"")</f>
        <v/>
      </c>
      <c r="G342" s="134" t="str">
        <f ca="1">IFERROR(__xludf.DUMMYFUNCTION("""COMPUTED_VALUE"""),"")</f>
        <v/>
      </c>
      <c r="H342" s="134" t="str">
        <f ca="1">IFERROR(__xludf.DUMMYFUNCTION("""COMPUTED_VALUE"""),"")</f>
        <v/>
      </c>
      <c r="I342" s="134" t="str">
        <f ca="1">IFERROR(__xludf.DUMMYFUNCTION("""COMPUTED_VALUE"""),"")</f>
        <v/>
      </c>
      <c r="J342" s="134" t="str">
        <f ca="1">IFERROR(__xludf.DUMMYFUNCTION("""COMPUTED_VALUE"""),"")</f>
        <v/>
      </c>
      <c r="N342" s="31"/>
      <c r="Q342" s="31"/>
    </row>
    <row r="343" spans="1:17" customFormat="1">
      <c r="C343" s="134" t="str">
        <f ca="1">IFERROR(__xludf.DUMMYFUNCTION("""COMPUTED_VALUE"""),"")</f>
        <v/>
      </c>
      <c r="D343" s="134" t="str">
        <f ca="1">IFERROR(__xludf.DUMMYFUNCTION("""COMPUTED_VALUE"""),"")</f>
        <v/>
      </c>
      <c r="E343" s="134" t="str">
        <f ca="1">IFERROR(__xludf.DUMMYFUNCTION("""COMPUTED_VALUE"""),"")</f>
        <v/>
      </c>
      <c r="F343" s="134" t="str">
        <f ca="1">IFERROR(__xludf.DUMMYFUNCTION("""COMPUTED_VALUE"""),"")</f>
        <v/>
      </c>
      <c r="G343" s="134" t="str">
        <f ca="1">IFERROR(__xludf.DUMMYFUNCTION("""COMPUTED_VALUE"""),"")</f>
        <v/>
      </c>
      <c r="H343" s="134" t="str">
        <f ca="1">IFERROR(__xludf.DUMMYFUNCTION("""COMPUTED_VALUE"""),"")</f>
        <v/>
      </c>
      <c r="I343" s="134" t="str">
        <f ca="1">IFERROR(__xludf.DUMMYFUNCTION("""COMPUTED_VALUE"""),"")</f>
        <v/>
      </c>
      <c r="J343" s="134" t="str">
        <f ca="1">IFERROR(__xludf.DUMMYFUNCTION("""COMPUTED_VALUE"""),"")</f>
        <v/>
      </c>
      <c r="N343" s="31"/>
      <c r="Q343" s="31"/>
    </row>
    <row r="344" spans="1:17" customFormat="1" ht="14.25">
      <c r="N344" s="31"/>
      <c r="Q344" s="31"/>
    </row>
    <row r="345" spans="1:17" customFormat="1" ht="14.25">
      <c r="N345" s="31"/>
      <c r="Q345" s="31"/>
    </row>
    <row r="346" spans="1:17" customFormat="1" ht="14.25">
      <c r="N346" s="31"/>
      <c r="Q346" s="31"/>
    </row>
    <row r="347" spans="1:17" customFormat="1" ht="14.25">
      <c r="N347" s="31"/>
      <c r="Q347" s="31"/>
    </row>
    <row r="348" spans="1:17" customFormat="1" ht="14.25">
      <c r="N348" s="31"/>
      <c r="Q348" s="31"/>
    </row>
    <row r="349" spans="1:17" customFormat="1" ht="14.25">
      <c r="N349" s="31"/>
      <c r="Q349" s="31"/>
    </row>
    <row r="350" spans="1:17" customFormat="1" ht="14.25">
      <c r="N350" s="31"/>
      <c r="Q350" s="31"/>
    </row>
    <row r="351" spans="1:17" customFormat="1" ht="14.25">
      <c r="N351" s="31"/>
      <c r="Q351" s="31"/>
    </row>
    <row r="352" spans="1:17" customFormat="1" ht="14.25">
      <c r="N352" s="31"/>
      <c r="Q352" s="31"/>
    </row>
    <row r="353" spans="14:17" customFormat="1" ht="14.25">
      <c r="N353" s="31"/>
      <c r="Q353" s="31"/>
    </row>
    <row r="354" spans="14:17" customFormat="1" ht="14.25">
      <c r="N354" s="31"/>
      <c r="Q354" s="31"/>
    </row>
    <row r="355" spans="14:17" customFormat="1" ht="14.25">
      <c r="N355" s="31"/>
      <c r="Q355" s="31"/>
    </row>
    <row r="356" spans="14:17" customFormat="1" ht="14.25">
      <c r="N356" s="31"/>
      <c r="Q356" s="31"/>
    </row>
    <row r="357" spans="14:17" customFormat="1" ht="14.25">
      <c r="N357" s="31"/>
      <c r="Q357" s="31"/>
    </row>
    <row r="358" spans="14:17" customFormat="1" ht="14.25">
      <c r="N358" s="31"/>
      <c r="Q358" s="31"/>
    </row>
    <row r="359" spans="14:17" customFormat="1" ht="14.25">
      <c r="N359" s="31"/>
      <c r="Q359" s="31"/>
    </row>
    <row r="360" spans="14:17" customFormat="1" ht="14.25">
      <c r="N360" s="31"/>
      <c r="Q360" s="31"/>
    </row>
    <row r="361" spans="14:17" customFormat="1" ht="14.25">
      <c r="N361" s="31"/>
      <c r="Q361" s="31"/>
    </row>
    <row r="362" spans="14:17" customFormat="1" ht="14.25">
      <c r="N362" s="31"/>
      <c r="Q362" s="31"/>
    </row>
    <row r="363" spans="14:17" customFormat="1" ht="14.25">
      <c r="N363" s="31"/>
      <c r="Q363" s="31"/>
    </row>
    <row r="364" spans="14:17" customFormat="1" ht="14.25">
      <c r="N364" s="31"/>
      <c r="Q364" s="31"/>
    </row>
    <row r="365" spans="14:17" customFormat="1" ht="14.25">
      <c r="N365" s="31"/>
      <c r="Q365" s="31"/>
    </row>
    <row r="366" spans="14:17" customFormat="1" ht="14.25">
      <c r="N366" s="31"/>
      <c r="Q366" s="31"/>
    </row>
    <row r="367" spans="14:17" customFormat="1" ht="14.25">
      <c r="N367" s="31"/>
      <c r="Q367" s="31"/>
    </row>
    <row r="368" spans="14:17" customFormat="1" ht="14.25">
      <c r="N368" s="31"/>
      <c r="Q368" s="31"/>
    </row>
    <row r="369" spans="14:17" customFormat="1" ht="14.25">
      <c r="N369" s="31"/>
      <c r="Q369" s="31"/>
    </row>
    <row r="370" spans="14:17" customFormat="1" ht="14.25">
      <c r="N370" s="31"/>
      <c r="Q370" s="31"/>
    </row>
    <row r="371" spans="14:17" customFormat="1" ht="14.25">
      <c r="N371" s="31"/>
      <c r="Q371" s="31"/>
    </row>
    <row r="372" spans="14:17" customFormat="1" ht="14.25">
      <c r="N372" s="31"/>
      <c r="Q372" s="31"/>
    </row>
    <row r="373" spans="14:17" customFormat="1" ht="14.25">
      <c r="N373" s="31"/>
      <c r="Q373" s="31"/>
    </row>
    <row r="374" spans="14:17" customFormat="1" ht="14.25">
      <c r="N374" s="31"/>
      <c r="Q374" s="31"/>
    </row>
    <row r="375" spans="14:17" customFormat="1" ht="14.25">
      <c r="N375" s="31"/>
      <c r="Q375" s="31"/>
    </row>
    <row r="376" spans="14:17" customFormat="1" ht="14.25">
      <c r="N376" s="31"/>
      <c r="Q376" s="31"/>
    </row>
    <row r="377" spans="14:17" customFormat="1" ht="14.25">
      <c r="N377" s="31"/>
      <c r="Q377" s="31"/>
    </row>
    <row r="378" spans="14:17" customFormat="1" ht="14.25">
      <c r="N378" s="31"/>
      <c r="Q378" s="31"/>
    </row>
    <row r="379" spans="14:17" customFormat="1" ht="14.25">
      <c r="N379" s="31"/>
      <c r="Q379" s="31"/>
    </row>
    <row r="380" spans="14:17" customFormat="1" ht="14.25">
      <c r="N380" s="31"/>
      <c r="Q380" s="31"/>
    </row>
    <row r="381" spans="14:17" customFormat="1" ht="14.25">
      <c r="N381" s="31"/>
      <c r="Q381" s="31"/>
    </row>
    <row r="382" spans="14:17" customFormat="1" ht="14.25">
      <c r="N382" s="31"/>
      <c r="Q382" s="31"/>
    </row>
    <row r="383" spans="14:17" customFormat="1" ht="14.25">
      <c r="N383" s="31"/>
      <c r="Q383" s="31"/>
    </row>
    <row r="384" spans="14:17" customFormat="1" ht="14.25">
      <c r="N384" s="31"/>
      <c r="Q384" s="31"/>
    </row>
    <row r="385" spans="14:17" customFormat="1" ht="14.25">
      <c r="N385" s="31"/>
      <c r="Q385" s="31"/>
    </row>
    <row r="386" spans="14:17" customFormat="1" ht="14.25">
      <c r="N386" s="31"/>
      <c r="Q386" s="31"/>
    </row>
    <row r="387" spans="14:17" customFormat="1" ht="14.25">
      <c r="N387" s="31"/>
      <c r="Q387" s="31"/>
    </row>
    <row r="388" spans="14:17" customFormat="1" ht="14.25">
      <c r="N388" s="31"/>
      <c r="Q388" s="31"/>
    </row>
    <row r="389" spans="14:17" customFormat="1" ht="14.25">
      <c r="N389" s="31"/>
      <c r="Q389" s="31"/>
    </row>
    <row r="390" spans="14:17" customFormat="1" ht="14.25">
      <c r="N390" s="31"/>
      <c r="Q390" s="31"/>
    </row>
    <row r="391" spans="14:17" customFormat="1" ht="14.25">
      <c r="N391" s="31"/>
      <c r="Q391" s="31"/>
    </row>
    <row r="392" spans="14:17" customFormat="1" ht="14.25">
      <c r="N392" s="31"/>
      <c r="Q392" s="31"/>
    </row>
    <row r="393" spans="14:17" customFormat="1" ht="14.25">
      <c r="N393" s="31"/>
      <c r="Q393" s="31"/>
    </row>
    <row r="394" spans="14:17" customFormat="1" ht="14.25">
      <c r="N394" s="31"/>
      <c r="Q394" s="31"/>
    </row>
    <row r="395" spans="14:17" customFormat="1" ht="14.25">
      <c r="N395" s="31"/>
      <c r="Q395" s="31"/>
    </row>
    <row r="396" spans="14:17" customFormat="1" ht="14.25">
      <c r="N396" s="31"/>
      <c r="Q396" s="31"/>
    </row>
    <row r="397" spans="14:17" customFormat="1" ht="14.25">
      <c r="N397" s="31"/>
      <c r="Q397" s="31"/>
    </row>
    <row r="398" spans="14:17" customFormat="1" ht="14.25">
      <c r="N398" s="31"/>
      <c r="Q398" s="31"/>
    </row>
    <row r="399" spans="14:17" customFormat="1" ht="14.25">
      <c r="N399" s="31"/>
      <c r="Q399" s="31"/>
    </row>
    <row r="400" spans="14:17" customFormat="1" ht="14.25">
      <c r="N400" s="31"/>
      <c r="Q400" s="31"/>
    </row>
    <row r="401" spans="14:17" customFormat="1" ht="14.25">
      <c r="N401" s="31"/>
      <c r="Q401" s="31"/>
    </row>
    <row r="402" spans="14:17" customFormat="1" ht="14.25">
      <c r="N402" s="31"/>
      <c r="Q402" s="31"/>
    </row>
    <row r="403" spans="14:17" customFormat="1" ht="14.25">
      <c r="N403" s="31"/>
      <c r="Q403" s="31"/>
    </row>
    <row r="404" spans="14:17" customFormat="1" ht="14.25">
      <c r="N404" s="31"/>
      <c r="Q404" s="31"/>
    </row>
    <row r="405" spans="14:17" customFormat="1" ht="14.25">
      <c r="N405" s="31"/>
      <c r="Q405" s="31"/>
    </row>
    <row r="406" spans="14:17" customFormat="1" ht="14.25">
      <c r="N406" s="31"/>
      <c r="Q406" s="31"/>
    </row>
    <row r="407" spans="14:17" customFormat="1" ht="14.25">
      <c r="N407" s="31"/>
      <c r="Q407" s="31"/>
    </row>
    <row r="408" spans="14:17" customFormat="1" ht="14.25">
      <c r="N408" s="31"/>
      <c r="Q408" s="31"/>
    </row>
    <row r="409" spans="14:17" customFormat="1" ht="14.25">
      <c r="N409" s="31"/>
      <c r="Q409" s="31"/>
    </row>
    <row r="410" spans="14:17" customFormat="1" ht="14.25">
      <c r="N410" s="31"/>
      <c r="Q410" s="31"/>
    </row>
    <row r="411" spans="14:17" customFormat="1" ht="14.25">
      <c r="N411" s="31"/>
      <c r="Q411" s="31"/>
    </row>
    <row r="412" spans="14:17" customFormat="1" ht="14.25">
      <c r="N412" s="31"/>
      <c r="Q412" s="31"/>
    </row>
    <row r="413" spans="14:17" customFormat="1" ht="14.25">
      <c r="N413" s="31"/>
      <c r="Q413" s="31"/>
    </row>
    <row r="414" spans="14:17" customFormat="1" ht="14.25">
      <c r="N414" s="31"/>
      <c r="Q414" s="31"/>
    </row>
    <row r="415" spans="14:17" customFormat="1" ht="14.25">
      <c r="N415" s="31"/>
      <c r="Q415" s="31"/>
    </row>
    <row r="416" spans="14:17" customFormat="1" ht="14.25">
      <c r="N416" s="31"/>
      <c r="Q416" s="31"/>
    </row>
    <row r="417" spans="1:17" customFormat="1" ht="14.25">
      <c r="N417" s="31"/>
      <c r="Q417" s="31"/>
    </row>
    <row r="418" spans="1:17" customFormat="1" ht="14.25">
      <c r="N418" s="31"/>
      <c r="Q418" s="31"/>
    </row>
    <row r="419" spans="1:17" customFormat="1" ht="14.25">
      <c r="N419" s="31"/>
      <c r="Q419" s="31"/>
    </row>
    <row r="420" spans="1:17" customFormat="1" ht="14.25">
      <c r="N420" s="31"/>
      <c r="Q420" s="31"/>
    </row>
    <row r="421" spans="1:17" customFormat="1" ht="14.25">
      <c r="N421" s="31"/>
      <c r="Q421" s="31"/>
    </row>
    <row r="422" spans="1:17" customFormat="1" ht="14.25">
      <c r="N422" s="31"/>
      <c r="Q422" s="31"/>
    </row>
    <row r="423" spans="1:17" customFormat="1" ht="14.25">
      <c r="N423" s="31"/>
      <c r="Q423" s="31"/>
    </row>
    <row r="424" spans="1:17" customFormat="1" ht="14.25">
      <c r="N424" s="31"/>
      <c r="Q424" s="31"/>
    </row>
    <row r="425" spans="1:17" customFormat="1" ht="14.25">
      <c r="N425" s="31"/>
      <c r="Q425" s="31"/>
    </row>
    <row r="426" spans="1:17" customFormat="1" ht="14.25">
      <c r="N426" s="31"/>
      <c r="Q426" s="31"/>
    </row>
    <row r="427" spans="1:17" customFormat="1" ht="14.25">
      <c r="N427" s="31"/>
      <c r="Q427" s="31"/>
    </row>
    <row r="428" spans="1:17" customFormat="1" ht="14.25">
      <c r="N428" s="31"/>
      <c r="Q428" s="31"/>
    </row>
    <row r="429" spans="1:17" customFormat="1" ht="14.25">
      <c r="N429" s="31"/>
      <c r="Q429" s="31"/>
    </row>
    <row r="430" spans="1:17" customFormat="1" ht="14.25">
      <c r="A430" s="28"/>
      <c r="B430" s="28"/>
      <c r="N430" s="31"/>
      <c r="Q430" s="31"/>
    </row>
  </sheetData>
  <autoFilter ref="A1:AA430" xr:uid="{00000000-0009-0000-0000-00000C000000}"/>
  <sortState xmlns:xlrd2="http://schemas.microsoft.com/office/spreadsheetml/2017/richdata2" ref="A2:L58">
    <sortCondition ref="G2:G58"/>
  </sortState>
  <mergeCells count="2">
    <mergeCell ref="D62:G62"/>
    <mergeCell ref="A62:B6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FF"/>
    <outlinePr summaryBelow="0" summaryRight="0"/>
  </sheetPr>
  <dimension ref="A1:G81"/>
  <sheetViews>
    <sheetView workbookViewId="0"/>
  </sheetViews>
  <sheetFormatPr defaultColWidth="12.625" defaultRowHeight="15" customHeight="1"/>
  <cols>
    <col min="1" max="1" width="39.625" customWidth="1"/>
    <col min="3" max="3" width="12.5" customWidth="1"/>
    <col min="4" max="4" width="22.375" customWidth="1"/>
    <col min="5" max="5" width="20" customWidth="1"/>
    <col min="6" max="6" width="17.375" customWidth="1"/>
    <col min="7" max="7" width="19.125" customWidth="1"/>
  </cols>
  <sheetData>
    <row r="1" spans="1:7">
      <c r="A1" s="134" t="str">
        <f ca="1">IFERROR(__xludf.DUMMYFUNCTION("query('Data Set'!1:99989, ""Select A,B,G,Y,Z,AA,AB Where B = 'ASC'"",1)"),"Facility")</f>
        <v>Facility</v>
      </c>
      <c r="B1" s="134" t="str">
        <f ca="1">IFERROR(__xludf.DUMMYFUNCTION("""COMPUTED_VALUE"""),"Corporation")</f>
        <v>Corporation</v>
      </c>
      <c r="C1" s="134" t="str">
        <f ca="1">IFERROR(__xludf.DUMMYFUNCTION("""COMPUTED_VALUE"""),"Number of Staff")</f>
        <v>Number of Staff</v>
      </c>
      <c r="D1" s="134" t="str">
        <f ca="1">IFERROR(__xludf.DUMMYFUNCTION("""COMPUTED_VALUE"""),"Address 1")</f>
        <v>Address 1</v>
      </c>
      <c r="E1" s="134" t="str">
        <f ca="1">IFERROR(__xludf.DUMMYFUNCTION("""COMPUTED_VALUE"""),"Address 2")</f>
        <v>Address 2</v>
      </c>
      <c r="F1" s="134" t="str">
        <f ca="1">IFERROR(__xludf.DUMMYFUNCTION("""COMPUTED_VALUE"""),"Kit delivery and pickup")</f>
        <v>Kit delivery and pickup</v>
      </c>
      <c r="G1" s="134" t="str">
        <f ca="1">IFERROR(__xludf.DUMMYFUNCTION("""COMPUTED_VALUE"""),"Require Training of Staff?")</f>
        <v>Require Training of Staff?</v>
      </c>
    </row>
    <row r="2" spans="1:7">
      <c r="A2" s="134" t="str">
        <f ca="1">IFERROR(__xludf.DUMMYFUNCTION("""COMPUTED_VALUE"""),"Allisonville Meadows")</f>
        <v>Allisonville Meadows</v>
      </c>
      <c r="B2" s="134" t="str">
        <f ca="1">IFERROR(__xludf.DUMMYFUNCTION("""COMPUTED_VALUE"""),"ASC")</f>
        <v>ASC</v>
      </c>
      <c r="C2" s="134">
        <f ca="1">IFERROR(__xludf.DUMMYFUNCTION("""COMPUTED_VALUE"""),140)</f>
        <v>140</v>
      </c>
      <c r="D2" s="134" t="str">
        <f ca="1">IFERROR(__xludf.DUMMYFUNCTION("""COMPUTED_VALUE"""),"   10312 Allisonville Rd")</f>
        <v xml:space="preserve">   10312 Allisonville Rd</v>
      </c>
      <c r="E2" s="134" t="str">
        <f ca="1">IFERROR(__xludf.DUMMYFUNCTION("""COMPUTED_VALUE"""),"   Fishers, In 46038")</f>
        <v xml:space="preserve">   Fishers, In 46038</v>
      </c>
      <c r="F2" s="134" t="str">
        <f ca="1">IFERROR(__xludf.DUMMYFUNCTION("""COMPUTED_VALUE"""),"Kit delivery and pickup")</f>
        <v>Kit delivery and pickup</v>
      </c>
      <c r="G2" s="134" t="str">
        <f ca="1">IFERROR(__xludf.DUMMYFUNCTION("""COMPUTED_VALUE"""),"no")</f>
        <v>no</v>
      </c>
    </row>
    <row r="3" spans="1:7">
      <c r="A3" s="134" t="str">
        <f ca="1">IFERROR(__xludf.DUMMYFUNCTION("""COMPUTED_VALUE"""),"American Village")</f>
        <v>American Village</v>
      </c>
      <c r="B3" s="134" t="str">
        <f ca="1">IFERROR(__xludf.DUMMYFUNCTION("""COMPUTED_VALUE"""),"ASC")</f>
        <v>ASC</v>
      </c>
      <c r="C3" s="134">
        <f ca="1">IFERROR(__xludf.DUMMYFUNCTION("""COMPUTED_VALUE"""),251)</f>
        <v>251</v>
      </c>
      <c r="D3" s="134" t="str">
        <f ca="1">IFERROR(__xludf.DUMMYFUNCTION("""COMPUTED_VALUE"""),"   2026 East 54Th St")</f>
        <v xml:space="preserve">   2026 East 54Th St</v>
      </c>
      <c r="E3" s="134" t="str">
        <f ca="1">IFERROR(__xludf.DUMMYFUNCTION("""COMPUTED_VALUE"""),"   Indianapolis, In 46220")</f>
        <v xml:space="preserve">   Indianapolis, In 46220</v>
      </c>
      <c r="F3" s="134" t="str">
        <f ca="1">IFERROR(__xludf.DUMMYFUNCTION("""COMPUTED_VALUE"""),"Kit delivery and pickup")</f>
        <v>Kit delivery and pickup</v>
      </c>
      <c r="G3" s="134" t="str">
        <f ca="1">IFERROR(__xludf.DUMMYFUNCTION("""COMPUTED_VALUE"""),"no")</f>
        <v>no</v>
      </c>
    </row>
    <row r="4" spans="1:7">
      <c r="A4" s="134" t="str">
        <f ca="1">IFERROR(__xludf.DUMMYFUNCTION("""COMPUTED_VALUE"""),"Arbor Grove Village")</f>
        <v>Arbor Grove Village</v>
      </c>
      <c r="B4" s="134" t="str">
        <f ca="1">IFERROR(__xludf.DUMMYFUNCTION("""COMPUTED_VALUE"""),"ASC")</f>
        <v>ASC</v>
      </c>
      <c r="C4" s="134">
        <f ca="1">IFERROR(__xludf.DUMMYFUNCTION("""COMPUTED_VALUE"""),99)</f>
        <v>99</v>
      </c>
      <c r="D4" s="134" t="str">
        <f ca="1">IFERROR(__xludf.DUMMYFUNCTION("""COMPUTED_VALUE"""),"   1021 E Central Ave")</f>
        <v xml:space="preserve">   1021 E Central Ave</v>
      </c>
      <c r="E4" s="134" t="str">
        <f ca="1">IFERROR(__xludf.DUMMYFUNCTION("""COMPUTED_VALUE"""),"   Greensburg, In 47240")</f>
        <v xml:space="preserve">   Greensburg, In 47240</v>
      </c>
      <c r="F4" s="134" t="str">
        <f ca="1">IFERROR(__xludf.DUMMYFUNCTION("""COMPUTED_VALUE"""),"Kit delivery and pickup")</f>
        <v>Kit delivery and pickup</v>
      </c>
      <c r="G4" s="134" t="str">
        <f ca="1">IFERROR(__xludf.DUMMYFUNCTION("""COMPUTED_VALUE"""),"no")</f>
        <v>no</v>
      </c>
    </row>
    <row r="5" spans="1:7">
      <c r="A5" s="134" t="str">
        <f ca="1">IFERROR(__xludf.DUMMYFUNCTION("""COMPUTED_VALUE"""),"Aster Place")</f>
        <v>Aster Place</v>
      </c>
      <c r="B5" s="134" t="str">
        <f ca="1">IFERROR(__xludf.DUMMYFUNCTION("""COMPUTED_VALUE"""),"ASC")</f>
        <v>ASC</v>
      </c>
      <c r="C5" s="134">
        <f ca="1">IFERROR(__xludf.DUMMYFUNCTION("""COMPUTED_VALUE"""),70)</f>
        <v>70</v>
      </c>
      <c r="D5" s="134" t="str">
        <f ca="1">IFERROR(__xludf.DUMMYFUNCTION("""COMPUTED_VALUE"""),"741 Park E Blvd")</f>
        <v>741 Park E Blvd</v>
      </c>
      <c r="E5" s="134" t="str">
        <f ca="1">IFERROR(__xludf.DUMMYFUNCTION("""COMPUTED_VALUE"""),"Lafayette, In  47905")</f>
        <v>Lafayette, In  47905</v>
      </c>
      <c r="F5" s="134" t="str">
        <f ca="1">IFERROR(__xludf.DUMMYFUNCTION("""COMPUTED_VALUE"""),"Kit delivery and pickup")</f>
        <v>Kit delivery and pickup</v>
      </c>
      <c r="G5" s="134" t="str">
        <f ca="1">IFERROR(__xludf.DUMMYFUNCTION("""COMPUTED_VALUE"""),"no")</f>
        <v>no</v>
      </c>
    </row>
    <row r="6" spans="1:7">
      <c r="A6" s="134" t="str">
        <f ca="1">IFERROR(__xludf.DUMMYFUNCTION("""COMPUTED_VALUE"""),"Autumn Ridge Rehabilitation Centre")</f>
        <v>Autumn Ridge Rehabilitation Centre</v>
      </c>
      <c r="B6" s="134" t="str">
        <f ca="1">IFERROR(__xludf.DUMMYFUNCTION("""COMPUTED_VALUE"""),"ASC")</f>
        <v>ASC</v>
      </c>
      <c r="C6" s="134">
        <f ca="1">IFERROR(__xludf.DUMMYFUNCTION("""COMPUTED_VALUE"""),72)</f>
        <v>72</v>
      </c>
      <c r="D6" s="134" t="str">
        <f ca="1">IFERROR(__xludf.DUMMYFUNCTION("""COMPUTED_VALUE"""),"   600 Washington Ave")</f>
        <v xml:space="preserve">   600 Washington Ave</v>
      </c>
      <c r="E6" s="134" t="str">
        <f ca="1">IFERROR(__xludf.DUMMYFUNCTION("""COMPUTED_VALUE"""),"   Wabash, In 46992")</f>
        <v xml:space="preserve">   Wabash, In 46992</v>
      </c>
      <c r="F6" s="134" t="str">
        <f ca="1">IFERROR(__xludf.DUMMYFUNCTION("""COMPUTED_VALUE"""),"Kit delivery and pickup")</f>
        <v>Kit delivery and pickup</v>
      </c>
      <c r="G6" s="134" t="str">
        <f ca="1">IFERROR(__xludf.DUMMYFUNCTION("""COMPUTED_VALUE"""),"no")</f>
        <v>no</v>
      </c>
    </row>
    <row r="7" spans="1:7">
      <c r="A7" s="134" t="str">
        <f ca="1">IFERROR(__xludf.DUMMYFUNCTION("""COMPUTED_VALUE"""),"Avalon Village")</f>
        <v>Avalon Village</v>
      </c>
      <c r="B7" s="134" t="str">
        <f ca="1">IFERROR(__xludf.DUMMYFUNCTION("""COMPUTED_VALUE"""),"ASC")</f>
        <v>ASC</v>
      </c>
      <c r="C7" s="134">
        <f ca="1">IFERROR(__xludf.DUMMYFUNCTION("""COMPUTED_VALUE"""),80)</f>
        <v>80</v>
      </c>
      <c r="D7" s="134" t="str">
        <f ca="1">IFERROR(__xludf.DUMMYFUNCTION("""COMPUTED_VALUE"""),"   200 Kingston Cir")</f>
        <v xml:space="preserve">   200 Kingston Cir</v>
      </c>
      <c r="E7" s="134" t="str">
        <f ca="1">IFERROR(__xludf.DUMMYFUNCTION("""COMPUTED_VALUE"""),"   Ligonier, In 46767")</f>
        <v xml:space="preserve">   Ligonier, In 46767</v>
      </c>
      <c r="F7" s="134" t="str">
        <f ca="1">IFERROR(__xludf.DUMMYFUNCTION("""COMPUTED_VALUE"""),"Kit delivery and pickup")</f>
        <v>Kit delivery and pickup</v>
      </c>
      <c r="G7" s="134" t="str">
        <f ca="1">IFERROR(__xludf.DUMMYFUNCTION("""COMPUTED_VALUE"""),"no")</f>
        <v>no</v>
      </c>
    </row>
    <row r="8" spans="1:7">
      <c r="A8" s="134" t="str">
        <f ca="1">IFERROR(__xludf.DUMMYFUNCTION("""COMPUTED_VALUE"""),"Beech Grove Meadows")</f>
        <v>Beech Grove Meadows</v>
      </c>
      <c r="B8" s="134" t="str">
        <f ca="1">IFERROR(__xludf.DUMMYFUNCTION("""COMPUTED_VALUE"""),"ASC")</f>
        <v>ASC</v>
      </c>
      <c r="C8" s="134">
        <f ca="1">IFERROR(__xludf.DUMMYFUNCTION("""COMPUTED_VALUE"""),155)</f>
        <v>155</v>
      </c>
      <c r="D8" s="134" t="str">
        <f ca="1">IFERROR(__xludf.DUMMYFUNCTION("""COMPUTED_VALUE"""),"   2002 Albany St")</f>
        <v xml:space="preserve">   2002 Albany St</v>
      </c>
      <c r="E8" s="134" t="str">
        <f ca="1">IFERROR(__xludf.DUMMYFUNCTION("""COMPUTED_VALUE"""),"   Beech Grove, In 46107")</f>
        <v xml:space="preserve">   Beech Grove, In 46107</v>
      </c>
      <c r="F8" s="134" t="str">
        <f ca="1">IFERROR(__xludf.DUMMYFUNCTION("""COMPUTED_VALUE"""),"Kit delivery and pickup")</f>
        <v>Kit delivery and pickup</v>
      </c>
      <c r="G8" s="134" t="str">
        <f ca="1">IFERROR(__xludf.DUMMYFUNCTION("""COMPUTED_VALUE"""),"no")</f>
        <v>no</v>
      </c>
    </row>
    <row r="9" spans="1:7">
      <c r="A9" s="134" t="str">
        <f ca="1">IFERROR(__xludf.DUMMYFUNCTION("""COMPUTED_VALUE"""),"Ben Hur Health And Rehabilitation")</f>
        <v>Ben Hur Health And Rehabilitation</v>
      </c>
      <c r="B9" s="134" t="str">
        <f ca="1">IFERROR(__xludf.DUMMYFUNCTION("""COMPUTED_VALUE"""),"ASC")</f>
        <v>ASC</v>
      </c>
      <c r="C9" s="134">
        <f ca="1">IFERROR(__xludf.DUMMYFUNCTION("""COMPUTED_VALUE"""),114)</f>
        <v>114</v>
      </c>
      <c r="D9" s="134" t="str">
        <f ca="1">IFERROR(__xludf.DUMMYFUNCTION("""COMPUTED_VALUE"""),"   1375 S Grant Ave")</f>
        <v xml:space="preserve">   1375 S Grant Ave</v>
      </c>
      <c r="E9" s="134" t="str">
        <f ca="1">IFERROR(__xludf.DUMMYFUNCTION("""COMPUTED_VALUE"""),"   Crawfordsville, In 47933")</f>
        <v xml:space="preserve">   Crawfordsville, In 47933</v>
      </c>
      <c r="F9" s="134" t="str">
        <f ca="1">IFERROR(__xludf.DUMMYFUNCTION("""COMPUTED_VALUE"""),"Kit delivery and pickup")</f>
        <v>Kit delivery and pickup</v>
      </c>
      <c r="G9" s="134" t="str">
        <f ca="1">IFERROR(__xludf.DUMMYFUNCTION("""COMPUTED_VALUE"""),"no")</f>
        <v>no</v>
      </c>
    </row>
    <row r="10" spans="1:7">
      <c r="A10" s="134" t="str">
        <f ca="1">IFERROR(__xludf.DUMMYFUNCTION("""COMPUTED_VALUE"""),"Bethany Village")</f>
        <v>Bethany Village</v>
      </c>
      <c r="B10" s="134" t="str">
        <f ca="1">IFERROR(__xludf.DUMMYFUNCTION("""COMPUTED_VALUE"""),"ASC")</f>
        <v>ASC</v>
      </c>
      <c r="C10" s="134">
        <f ca="1">IFERROR(__xludf.DUMMYFUNCTION("""COMPUTED_VALUE"""),100)</f>
        <v>100</v>
      </c>
      <c r="D10" s="134" t="str">
        <f ca="1">IFERROR(__xludf.DUMMYFUNCTION("""COMPUTED_VALUE"""),"   3518 S Shelby St")</f>
        <v xml:space="preserve">   3518 S Shelby St</v>
      </c>
      <c r="E10" s="134" t="str">
        <f ca="1">IFERROR(__xludf.DUMMYFUNCTION("""COMPUTED_VALUE"""),"   Indianapolis, In 46227")</f>
        <v xml:space="preserve">   Indianapolis, In 46227</v>
      </c>
      <c r="F10" s="134" t="str">
        <f ca="1">IFERROR(__xludf.DUMMYFUNCTION("""COMPUTED_VALUE"""),"Kit delivery and pickup")</f>
        <v>Kit delivery and pickup</v>
      </c>
      <c r="G10" s="134" t="str">
        <f ca="1">IFERROR(__xludf.DUMMYFUNCTION("""COMPUTED_VALUE"""),"no")</f>
        <v>no</v>
      </c>
    </row>
    <row r="11" spans="1:7">
      <c r="A11" s="134" t="str">
        <f ca="1">IFERROR(__xludf.DUMMYFUNCTION("""COMPUTED_VALUE"""),"Bethlehem Woods Nursing And Rehabilitation")</f>
        <v>Bethlehem Woods Nursing And Rehabilitation</v>
      </c>
      <c r="B11" s="134" t="str">
        <f ca="1">IFERROR(__xludf.DUMMYFUNCTION("""COMPUTED_VALUE"""),"ASC")</f>
        <v>ASC</v>
      </c>
      <c r="C11" s="134">
        <f ca="1">IFERROR(__xludf.DUMMYFUNCTION("""COMPUTED_VALUE"""),99)</f>
        <v>99</v>
      </c>
      <c r="D11" s="134" t="str">
        <f ca="1">IFERROR(__xludf.DUMMYFUNCTION("""COMPUTED_VALUE"""),"   4430 Elsdale Dr")</f>
        <v xml:space="preserve">   4430 Elsdale Dr</v>
      </c>
      <c r="E11" s="134" t="str">
        <f ca="1">IFERROR(__xludf.DUMMYFUNCTION("""COMPUTED_VALUE"""),"   Fort Wayne, In 46835")</f>
        <v xml:space="preserve">   Fort Wayne, In 46835</v>
      </c>
      <c r="F11" s="134" t="str">
        <f ca="1">IFERROR(__xludf.DUMMYFUNCTION("""COMPUTED_VALUE"""),"Kit delivery and pickup")</f>
        <v>Kit delivery and pickup</v>
      </c>
      <c r="G11" s="134" t="str">
        <f ca="1">IFERROR(__xludf.DUMMYFUNCTION("""COMPUTED_VALUE"""),"no")</f>
        <v>no</v>
      </c>
    </row>
    <row r="12" spans="1:7">
      <c r="A12" s="134" t="str">
        <f ca="1">IFERROR(__xludf.DUMMYFUNCTION("""COMPUTED_VALUE"""),"Betz Nursing Home")</f>
        <v>Betz Nursing Home</v>
      </c>
      <c r="B12" s="134" t="str">
        <f ca="1">IFERROR(__xludf.DUMMYFUNCTION("""COMPUTED_VALUE"""),"ASC")</f>
        <v>ASC</v>
      </c>
      <c r="C12" s="134">
        <f ca="1">IFERROR(__xludf.DUMMYFUNCTION("""COMPUTED_VALUE"""),125)</f>
        <v>125</v>
      </c>
      <c r="D12" s="134" t="str">
        <f ca="1">IFERROR(__xludf.DUMMYFUNCTION("""COMPUTED_VALUE"""),"   116 Betz Rd")</f>
        <v xml:space="preserve">   116 Betz Rd</v>
      </c>
      <c r="E12" s="134" t="str">
        <f ca="1">IFERROR(__xludf.DUMMYFUNCTION("""COMPUTED_VALUE"""),"   Auburn, In 46706")</f>
        <v xml:space="preserve">   Auburn, In 46706</v>
      </c>
      <c r="F12" s="134" t="str">
        <f ca="1">IFERROR(__xludf.DUMMYFUNCTION("""COMPUTED_VALUE"""),"Kit delivery and pickup")</f>
        <v>Kit delivery and pickup</v>
      </c>
      <c r="G12" s="134" t="str">
        <f ca="1">IFERROR(__xludf.DUMMYFUNCTION("""COMPUTED_VALUE"""),"no")</f>
        <v>no</v>
      </c>
    </row>
    <row r="13" spans="1:7">
      <c r="A13" s="134" t="str">
        <f ca="1">IFERROR(__xludf.DUMMYFUNCTION("""COMPUTED_VALUE"""),"Brownsburg Meadows")</f>
        <v>Brownsburg Meadows</v>
      </c>
      <c r="B13" s="134" t="str">
        <f ca="1">IFERROR(__xludf.DUMMYFUNCTION("""COMPUTED_VALUE"""),"ASC")</f>
        <v>ASC</v>
      </c>
      <c r="C13" s="134">
        <f ca="1">IFERROR(__xludf.DUMMYFUNCTION("""COMPUTED_VALUE"""),180)</f>
        <v>180</v>
      </c>
      <c r="D13" s="134" t="str">
        <f ca="1">IFERROR(__xludf.DUMMYFUNCTION("""COMPUTED_VALUE"""),"   2 E Tilden")</f>
        <v xml:space="preserve">   2 E Tilden</v>
      </c>
      <c r="E13" s="134" t="str">
        <f ca="1">IFERROR(__xludf.DUMMYFUNCTION("""COMPUTED_VALUE"""),"   Brownsburg, In 46112")</f>
        <v xml:space="preserve">   Brownsburg, In 46112</v>
      </c>
      <c r="F13" s="134" t="str">
        <f ca="1">IFERROR(__xludf.DUMMYFUNCTION("""COMPUTED_VALUE"""),"Kit delivery and pickup")</f>
        <v>Kit delivery and pickup</v>
      </c>
      <c r="G13" s="134" t="str">
        <f ca="1">IFERROR(__xludf.DUMMYFUNCTION("""COMPUTED_VALUE"""),"no")</f>
        <v>no</v>
      </c>
    </row>
    <row r="14" spans="1:7">
      <c r="A14" s="134" t="str">
        <f ca="1">IFERROR(__xludf.DUMMYFUNCTION("""COMPUTED_VALUE"""),"Canterbury Nursing And Rehabilitation Center")</f>
        <v>Canterbury Nursing And Rehabilitation Center</v>
      </c>
      <c r="B14" s="134" t="str">
        <f ca="1">IFERROR(__xludf.DUMMYFUNCTION("""COMPUTED_VALUE"""),"ASC")</f>
        <v>ASC</v>
      </c>
      <c r="C14" s="134">
        <f ca="1">IFERROR(__xludf.DUMMYFUNCTION("""COMPUTED_VALUE"""),150)</f>
        <v>150</v>
      </c>
      <c r="D14" s="134" t="str">
        <f ca="1">IFERROR(__xludf.DUMMYFUNCTION("""COMPUTED_VALUE"""),"   2827 Northgate Blvd")</f>
        <v xml:space="preserve">   2827 Northgate Blvd</v>
      </c>
      <c r="E14" s="134" t="str">
        <f ca="1">IFERROR(__xludf.DUMMYFUNCTION("""COMPUTED_VALUE"""),"   Fort Wayne, In 46835")</f>
        <v xml:space="preserve">   Fort Wayne, In 46835</v>
      </c>
      <c r="F14" s="134" t="str">
        <f ca="1">IFERROR(__xludf.DUMMYFUNCTION("""COMPUTED_VALUE"""),"Kit delivery and pickup")</f>
        <v>Kit delivery and pickup</v>
      </c>
      <c r="G14" s="134" t="str">
        <f ca="1">IFERROR(__xludf.DUMMYFUNCTION("""COMPUTED_VALUE"""),"no")</f>
        <v>no</v>
      </c>
    </row>
    <row r="15" spans="1:7">
      <c r="A15" s="134" t="str">
        <f ca="1">IFERROR(__xludf.DUMMYFUNCTION("""COMPUTED_VALUE"""),"Cardinal Nursing And Rehabilitation Center")</f>
        <v>Cardinal Nursing And Rehabilitation Center</v>
      </c>
      <c r="B15" s="134" t="str">
        <f ca="1">IFERROR(__xludf.DUMMYFUNCTION("""COMPUTED_VALUE"""),"ASC")</f>
        <v>ASC</v>
      </c>
      <c r="C15" s="134">
        <f ca="1">IFERROR(__xludf.DUMMYFUNCTION("""COMPUTED_VALUE"""),100)</f>
        <v>100</v>
      </c>
      <c r="D15" s="134" t="str">
        <f ca="1">IFERROR(__xludf.DUMMYFUNCTION("""COMPUTED_VALUE"""),"   1121 E Lasalle Ave")</f>
        <v xml:space="preserve">   1121 E Lasalle Ave</v>
      </c>
      <c r="E15" s="134" t="str">
        <f ca="1">IFERROR(__xludf.DUMMYFUNCTION("""COMPUTED_VALUE"""),"   South Bend, In 46617")</f>
        <v xml:space="preserve">   South Bend, In 46617</v>
      </c>
      <c r="F15" s="134" t="str">
        <f ca="1">IFERROR(__xludf.DUMMYFUNCTION("""COMPUTED_VALUE"""),"Kit delivery and pickup")</f>
        <v>Kit delivery and pickup</v>
      </c>
      <c r="G15" s="134" t="str">
        <f ca="1">IFERROR(__xludf.DUMMYFUNCTION("""COMPUTED_VALUE"""),"no")</f>
        <v>no</v>
      </c>
    </row>
    <row r="16" spans="1:7">
      <c r="A16" s="134" t="str">
        <f ca="1">IFERROR(__xludf.DUMMYFUNCTION("""COMPUTED_VALUE"""),"Clark Rehabilitation And Skilled Nursing Center")</f>
        <v>Clark Rehabilitation And Skilled Nursing Center</v>
      </c>
      <c r="B16" s="134" t="str">
        <f ca="1">IFERROR(__xludf.DUMMYFUNCTION("""COMPUTED_VALUE"""),"ASC")</f>
        <v>ASC</v>
      </c>
      <c r="C16" s="134">
        <f ca="1">IFERROR(__xludf.DUMMYFUNCTION("""COMPUTED_VALUE"""),80)</f>
        <v>80</v>
      </c>
      <c r="D16" s="134" t="str">
        <f ca="1">IFERROR(__xludf.DUMMYFUNCTION("""COMPUTED_VALUE"""),"   517 N Little League Blvd")</f>
        <v xml:space="preserve">   517 N Little League Blvd</v>
      </c>
      <c r="E16" s="134" t="str">
        <f ca="1">IFERROR(__xludf.DUMMYFUNCTION("""COMPUTED_VALUE"""),"   Clarksville, In 47129")</f>
        <v xml:space="preserve">   Clarksville, In 47129</v>
      </c>
      <c r="F16" s="134" t="str">
        <f ca="1">IFERROR(__xludf.DUMMYFUNCTION("""COMPUTED_VALUE"""),"Kit delivery and pickup")</f>
        <v>Kit delivery and pickup</v>
      </c>
      <c r="G16" s="134" t="str">
        <f ca="1">IFERROR(__xludf.DUMMYFUNCTION("""COMPUTED_VALUE"""),"no")</f>
        <v>no</v>
      </c>
    </row>
    <row r="17" spans="1:7">
      <c r="A17" s="134" t="str">
        <f ca="1">IFERROR(__xludf.DUMMYFUNCTION("""COMPUTED_VALUE"""),"Clinton Gardens")</f>
        <v>Clinton Gardens</v>
      </c>
      <c r="B17" s="134" t="str">
        <f ca="1">IFERROR(__xludf.DUMMYFUNCTION("""COMPUTED_VALUE"""),"ASC")</f>
        <v>ASC</v>
      </c>
      <c r="C17" s="134">
        <f ca="1">IFERROR(__xludf.DUMMYFUNCTION("""COMPUTED_VALUE"""),138)</f>
        <v>138</v>
      </c>
      <c r="D17" s="134" t="str">
        <f ca="1">IFERROR(__xludf.DUMMYFUNCTION("""COMPUTED_VALUE"""),"   375 S 11Th St")</f>
        <v xml:space="preserve">   375 S 11Th St</v>
      </c>
      <c r="E17" s="134" t="str">
        <f ca="1">IFERROR(__xludf.DUMMYFUNCTION("""COMPUTED_VALUE"""),"   Clinton, In 47842")</f>
        <v xml:space="preserve">   Clinton, In 47842</v>
      </c>
      <c r="F17" s="134" t="str">
        <f ca="1">IFERROR(__xludf.DUMMYFUNCTION("""COMPUTED_VALUE"""),"Kit delivery and pickup")</f>
        <v>Kit delivery and pickup</v>
      </c>
      <c r="G17" s="134" t="str">
        <f ca="1">IFERROR(__xludf.DUMMYFUNCTION("""COMPUTED_VALUE"""),"no")</f>
        <v>no</v>
      </c>
    </row>
    <row r="18" spans="1:7">
      <c r="A18" s="134" t="str">
        <f ca="1">IFERROR(__xludf.DUMMYFUNCTION("""COMPUTED_VALUE"""),"Columbia Healthcare Center")</f>
        <v>Columbia Healthcare Center</v>
      </c>
      <c r="B18" s="134" t="str">
        <f ca="1">IFERROR(__xludf.DUMMYFUNCTION("""COMPUTED_VALUE"""),"ASC")</f>
        <v>ASC</v>
      </c>
      <c r="C18" s="134">
        <f ca="1">IFERROR(__xludf.DUMMYFUNCTION("""COMPUTED_VALUE"""),139)</f>
        <v>139</v>
      </c>
      <c r="D18" s="134" t="str">
        <f ca="1">IFERROR(__xludf.DUMMYFUNCTION("""COMPUTED_VALUE"""),"   621 W Columbia St")</f>
        <v xml:space="preserve">   621 W Columbia St</v>
      </c>
      <c r="E18" s="134" t="str">
        <f ca="1">IFERROR(__xludf.DUMMYFUNCTION("""COMPUTED_VALUE"""),"   Evansville, In 47710")</f>
        <v xml:space="preserve">   Evansville, In 47710</v>
      </c>
      <c r="F18" s="134" t="str">
        <f ca="1">IFERROR(__xludf.DUMMYFUNCTION("""COMPUTED_VALUE"""),"Kit delivery and pickup")</f>
        <v>Kit delivery and pickup</v>
      </c>
      <c r="G18" s="134" t="str">
        <f ca="1">IFERROR(__xludf.DUMMYFUNCTION("""COMPUTED_VALUE"""),"no")</f>
        <v>no</v>
      </c>
    </row>
    <row r="19" spans="1:7">
      <c r="A19" s="134" t="str">
        <f ca="1">IFERROR(__xludf.DUMMYFUNCTION("""COMPUTED_VALUE"""),"Community Nursing And Rehabilitation Center")</f>
        <v>Community Nursing And Rehabilitation Center</v>
      </c>
      <c r="B19" s="134" t="str">
        <f ca="1">IFERROR(__xludf.DUMMYFUNCTION("""COMPUTED_VALUE"""),"ASC")</f>
        <v>ASC</v>
      </c>
      <c r="C19" s="134">
        <f ca="1">IFERROR(__xludf.DUMMYFUNCTION("""COMPUTED_VALUE"""),116)</f>
        <v>116</v>
      </c>
      <c r="D19" s="134" t="str">
        <f ca="1">IFERROR(__xludf.DUMMYFUNCTION("""COMPUTED_VALUE"""),"   5600 E 16Th St")</f>
        <v xml:space="preserve">   5600 E 16Th St</v>
      </c>
      <c r="E19" s="134" t="str">
        <f ca="1">IFERROR(__xludf.DUMMYFUNCTION("""COMPUTED_VALUE"""),"   Indianapolis, In 46218")</f>
        <v xml:space="preserve">   Indianapolis, In 46218</v>
      </c>
      <c r="F19" s="134" t="str">
        <f ca="1">IFERROR(__xludf.DUMMYFUNCTION("""COMPUTED_VALUE"""),"Kit delivery and pickup")</f>
        <v>Kit delivery and pickup</v>
      </c>
      <c r="G19" s="134" t="str">
        <f ca="1">IFERROR(__xludf.DUMMYFUNCTION("""COMPUTED_VALUE"""),"no")</f>
        <v>no</v>
      </c>
    </row>
    <row r="20" spans="1:7">
      <c r="A20" s="134" t="str">
        <f ca="1">IFERROR(__xludf.DUMMYFUNCTION("""COMPUTED_VALUE"""),"Countryside Meadows")</f>
        <v>Countryside Meadows</v>
      </c>
      <c r="B20" s="134" t="str">
        <f ca="1">IFERROR(__xludf.DUMMYFUNCTION("""COMPUTED_VALUE"""),"ASC")</f>
        <v>ASC</v>
      </c>
      <c r="C20" s="134">
        <f ca="1">IFERROR(__xludf.DUMMYFUNCTION("""COMPUTED_VALUE"""),150)</f>
        <v>150</v>
      </c>
      <c r="D20" s="134" t="str">
        <f ca="1">IFERROR(__xludf.DUMMYFUNCTION("""COMPUTED_VALUE"""),"   762 N Dan Jones Rd")</f>
        <v xml:space="preserve">   762 N Dan Jones Rd</v>
      </c>
      <c r="E20" s="134" t="str">
        <f ca="1">IFERROR(__xludf.DUMMYFUNCTION("""COMPUTED_VALUE"""),"   Avon, In 46123")</f>
        <v xml:space="preserve">   Avon, In 46123</v>
      </c>
      <c r="F20" s="134" t="str">
        <f ca="1">IFERROR(__xludf.DUMMYFUNCTION("""COMPUTED_VALUE"""),"Kit delivery and pickup")</f>
        <v>Kit delivery and pickup</v>
      </c>
      <c r="G20" s="134" t="str">
        <f ca="1">IFERROR(__xludf.DUMMYFUNCTION("""COMPUTED_VALUE"""),"no")</f>
        <v>no</v>
      </c>
    </row>
    <row r="21" spans="1:7">
      <c r="A21" s="134" t="str">
        <f ca="1">IFERROR(__xludf.DUMMYFUNCTION("""COMPUTED_VALUE"""),"Coventry Meadows")</f>
        <v>Coventry Meadows</v>
      </c>
      <c r="B21" s="134" t="str">
        <f ca="1">IFERROR(__xludf.DUMMYFUNCTION("""COMPUTED_VALUE"""),"ASC")</f>
        <v>ASC</v>
      </c>
      <c r="C21" s="134">
        <f ca="1">IFERROR(__xludf.DUMMYFUNCTION("""COMPUTED_VALUE"""),180)</f>
        <v>180</v>
      </c>
      <c r="D21" s="134" t="str">
        <f ca="1">IFERROR(__xludf.DUMMYFUNCTION("""COMPUTED_VALUE"""),"   7843 W Jefferson Blvd")</f>
        <v xml:space="preserve">   7843 W Jefferson Blvd</v>
      </c>
      <c r="E21" s="134" t="str">
        <f ca="1">IFERROR(__xludf.DUMMYFUNCTION("""COMPUTED_VALUE"""),"   Fort Wayne, In 46804")</f>
        <v xml:space="preserve">   Fort Wayne, In 46804</v>
      </c>
      <c r="F21" s="134" t="str">
        <f ca="1">IFERROR(__xludf.DUMMYFUNCTION("""COMPUTED_VALUE"""),"Kit delivery and pickup")</f>
        <v>Kit delivery and pickup</v>
      </c>
      <c r="G21" s="134" t="str">
        <f ca="1">IFERROR(__xludf.DUMMYFUNCTION("""COMPUTED_VALUE"""),"no")</f>
        <v>no</v>
      </c>
    </row>
    <row r="22" spans="1:7">
      <c r="A22" s="134" t="str">
        <f ca="1">IFERROR(__xludf.DUMMYFUNCTION("""COMPUTED_VALUE"""),"Creekside Village")</f>
        <v>Creekside Village</v>
      </c>
      <c r="B22" s="134" t="str">
        <f ca="1">IFERROR(__xludf.DUMMYFUNCTION("""COMPUTED_VALUE"""),"ASC")</f>
        <v>ASC</v>
      </c>
      <c r="C22" s="134">
        <f ca="1">IFERROR(__xludf.DUMMYFUNCTION("""COMPUTED_VALUE"""),142)</f>
        <v>142</v>
      </c>
      <c r="D22" s="134" t="str">
        <f ca="1">IFERROR(__xludf.DUMMYFUNCTION("""COMPUTED_VALUE"""),"   1420 E Douglas Rd")</f>
        <v xml:space="preserve">   1420 E Douglas Rd</v>
      </c>
      <c r="E22" s="134" t="str">
        <f ca="1">IFERROR(__xludf.DUMMYFUNCTION("""COMPUTED_VALUE"""),"   Mishawaka, In 46545")</f>
        <v xml:space="preserve">   Mishawaka, In 46545</v>
      </c>
      <c r="F22" s="134" t="str">
        <f ca="1">IFERROR(__xludf.DUMMYFUNCTION("""COMPUTED_VALUE"""),"Kit delivery and pickup")</f>
        <v>Kit delivery and pickup</v>
      </c>
      <c r="G22" s="134" t="str">
        <f ca="1">IFERROR(__xludf.DUMMYFUNCTION("""COMPUTED_VALUE"""),"no")</f>
        <v>no</v>
      </c>
    </row>
    <row r="23" spans="1:7">
      <c r="A23" s="134" t="str">
        <f ca="1">IFERROR(__xludf.DUMMYFUNCTION("""COMPUTED_VALUE"""),"Cypress Grove Rehabilitation Center")</f>
        <v>Cypress Grove Rehabilitation Center</v>
      </c>
      <c r="B23" s="134" t="str">
        <f ca="1">IFERROR(__xludf.DUMMYFUNCTION("""COMPUTED_VALUE"""),"ASC")</f>
        <v>ASC</v>
      </c>
      <c r="C23" s="134">
        <f ca="1">IFERROR(__xludf.DUMMYFUNCTION("""COMPUTED_VALUE"""),100)</f>
        <v>100</v>
      </c>
      <c r="D23" s="134" t="str">
        <f ca="1">IFERROR(__xludf.DUMMYFUNCTION("""COMPUTED_VALUE"""),"   4255 Medwell Dr")</f>
        <v xml:space="preserve">   4255 Medwell Dr</v>
      </c>
      <c r="E23" s="134" t="str">
        <f ca="1">IFERROR(__xludf.DUMMYFUNCTION("""COMPUTED_VALUE"""),"   Newburgh, In 47630")</f>
        <v xml:space="preserve">   Newburgh, In 47630</v>
      </c>
      <c r="F23" s="134" t="str">
        <f ca="1">IFERROR(__xludf.DUMMYFUNCTION("""COMPUTED_VALUE"""),"Kit delivery and pickup")</f>
        <v>Kit delivery and pickup</v>
      </c>
      <c r="G23" s="134" t="str">
        <f ca="1">IFERROR(__xludf.DUMMYFUNCTION("""COMPUTED_VALUE"""),"no")</f>
        <v>no</v>
      </c>
    </row>
    <row r="24" spans="1:7">
      <c r="A24" s="134" t="str">
        <f ca="1">IFERROR(__xludf.DUMMYFUNCTION("""COMPUTED_VALUE"""),"Danville Regional Rehabilitation")</f>
        <v>Danville Regional Rehabilitation</v>
      </c>
      <c r="B24" s="134" t="str">
        <f ca="1">IFERROR(__xludf.DUMMYFUNCTION("""COMPUTED_VALUE"""),"ASC")</f>
        <v>ASC</v>
      </c>
      <c r="C24" s="134">
        <f ca="1">IFERROR(__xludf.DUMMYFUNCTION("""COMPUTED_VALUE"""),124)</f>
        <v>124</v>
      </c>
      <c r="D24" s="134" t="str">
        <f ca="1">IFERROR(__xludf.DUMMYFUNCTION("""COMPUTED_VALUE"""),"   255 Meadow Dr")</f>
        <v xml:space="preserve">   255 Meadow Dr</v>
      </c>
      <c r="E24" s="134" t="str">
        <f ca="1">IFERROR(__xludf.DUMMYFUNCTION("""COMPUTED_VALUE"""),"   Danville, In 46122")</f>
        <v xml:space="preserve">   Danville, In 46122</v>
      </c>
      <c r="F24" s="134" t="str">
        <f ca="1">IFERROR(__xludf.DUMMYFUNCTION("""COMPUTED_VALUE"""),"Kit delivery and pickup")</f>
        <v>Kit delivery and pickup</v>
      </c>
      <c r="G24" s="134" t="str">
        <f ca="1">IFERROR(__xludf.DUMMYFUNCTION("""COMPUTED_VALUE"""),"no")</f>
        <v>no</v>
      </c>
    </row>
    <row r="25" spans="1:7">
      <c r="A25" s="134" t="str">
        <f ca="1">IFERROR(__xludf.DUMMYFUNCTION("""COMPUTED_VALUE"""),"Eagle Valley Meadows")</f>
        <v>Eagle Valley Meadows</v>
      </c>
      <c r="B25" s="134" t="str">
        <f ca="1">IFERROR(__xludf.DUMMYFUNCTION("""COMPUTED_VALUE"""),"ASC")</f>
        <v>ASC</v>
      </c>
      <c r="C25" s="134">
        <f ca="1">IFERROR(__xludf.DUMMYFUNCTION("""COMPUTED_VALUE"""),92)</f>
        <v>92</v>
      </c>
      <c r="D25" s="134" t="str">
        <f ca="1">IFERROR(__xludf.DUMMYFUNCTION("""COMPUTED_VALUE"""),"   3017 Valley Farms Rd")</f>
        <v xml:space="preserve">   3017 Valley Farms Rd</v>
      </c>
      <c r="E25" s="134" t="str">
        <f ca="1">IFERROR(__xludf.DUMMYFUNCTION("""COMPUTED_VALUE"""),"   Indianapolis, In 46214")</f>
        <v xml:space="preserve">   Indianapolis, In 46214</v>
      </c>
      <c r="F25" s="134" t="str">
        <f ca="1">IFERROR(__xludf.DUMMYFUNCTION("""COMPUTED_VALUE"""),"Kit delivery and pickup")</f>
        <v>Kit delivery and pickup</v>
      </c>
      <c r="G25" s="134" t="str">
        <f ca="1">IFERROR(__xludf.DUMMYFUNCTION("""COMPUTED_VALUE"""),"no")</f>
        <v>no</v>
      </c>
    </row>
    <row r="26" spans="1:7">
      <c r="A26" s="134" t="str">
        <f ca="1">IFERROR(__xludf.DUMMYFUNCTION("""COMPUTED_VALUE"""),"East Lake Nursing &amp; Rehabilitation Center")</f>
        <v>East Lake Nursing &amp; Rehabilitation Center</v>
      </c>
      <c r="B26" s="134" t="str">
        <f ca="1">IFERROR(__xludf.DUMMYFUNCTION("""COMPUTED_VALUE"""),"ASC")</f>
        <v>ASC</v>
      </c>
      <c r="C26" s="134">
        <f ca="1">IFERROR(__xludf.DUMMYFUNCTION("""COMPUTED_VALUE"""),112)</f>
        <v>112</v>
      </c>
      <c r="D26" s="134" t="str">
        <f ca="1">IFERROR(__xludf.DUMMYFUNCTION("""COMPUTED_VALUE"""),"   1900 Jeanwood Dr")</f>
        <v xml:space="preserve">   1900 Jeanwood Dr</v>
      </c>
      <c r="E26" s="134" t="str">
        <f ca="1">IFERROR(__xludf.DUMMYFUNCTION("""COMPUTED_VALUE"""),"   Elkhart, In 46514")</f>
        <v xml:space="preserve">   Elkhart, In 46514</v>
      </c>
      <c r="F26" s="134" t="str">
        <f ca="1">IFERROR(__xludf.DUMMYFUNCTION("""COMPUTED_VALUE"""),"Kit delivery and pickup")</f>
        <v>Kit delivery and pickup</v>
      </c>
      <c r="G26" s="134" t="str">
        <f ca="1">IFERROR(__xludf.DUMMYFUNCTION("""COMPUTED_VALUE"""),"no")</f>
        <v>no</v>
      </c>
    </row>
    <row r="27" spans="1:7">
      <c r="A27" s="134" t="str">
        <f ca="1">IFERROR(__xludf.DUMMYFUNCTION("""COMPUTED_VALUE"""),"Eastgate Manor Nursing And Rehabilitation")</f>
        <v>Eastgate Manor Nursing And Rehabilitation</v>
      </c>
      <c r="B27" s="134" t="str">
        <f ca="1">IFERROR(__xludf.DUMMYFUNCTION("""COMPUTED_VALUE"""),"ASC")</f>
        <v>ASC</v>
      </c>
      <c r="C27" s="134">
        <f ca="1">IFERROR(__xludf.DUMMYFUNCTION("""COMPUTED_VALUE"""),67)</f>
        <v>67</v>
      </c>
      <c r="D27" s="134" t="str">
        <f ca="1">IFERROR(__xludf.DUMMYFUNCTION("""COMPUTED_VALUE"""),"   2119 E National Hwy")</f>
        <v xml:space="preserve">   2119 E National Hwy</v>
      </c>
      <c r="E27" s="134" t="str">
        <f ca="1">IFERROR(__xludf.DUMMYFUNCTION("""COMPUTED_VALUE"""),"   Washington, In 47501")</f>
        <v xml:space="preserve">   Washington, In 47501</v>
      </c>
      <c r="F27" s="134" t="str">
        <f ca="1">IFERROR(__xludf.DUMMYFUNCTION("""COMPUTED_VALUE"""),"Kit delivery and pickup")</f>
        <v>Kit delivery and pickup</v>
      </c>
      <c r="G27" s="134" t="str">
        <f ca="1">IFERROR(__xludf.DUMMYFUNCTION("""COMPUTED_VALUE"""),"no")</f>
        <v>no</v>
      </c>
    </row>
    <row r="28" spans="1:7">
      <c r="A28" s="134" t="str">
        <f ca="1">IFERROR(__xludf.DUMMYFUNCTION("""COMPUTED_VALUE"""),"Edgewater Woods")</f>
        <v>Edgewater Woods</v>
      </c>
      <c r="B28" s="134" t="str">
        <f ca="1">IFERROR(__xludf.DUMMYFUNCTION("""COMPUTED_VALUE"""),"ASC")</f>
        <v>ASC</v>
      </c>
      <c r="C28" s="134">
        <f ca="1">IFERROR(__xludf.DUMMYFUNCTION("""COMPUTED_VALUE"""),80)</f>
        <v>80</v>
      </c>
      <c r="D28" s="134" t="str">
        <f ca="1">IFERROR(__xludf.DUMMYFUNCTION("""COMPUTED_VALUE"""),"   1809 N Madison Ave")</f>
        <v xml:space="preserve">   1809 N Madison Ave</v>
      </c>
      <c r="E28" s="134" t="str">
        <f ca="1">IFERROR(__xludf.DUMMYFUNCTION("""COMPUTED_VALUE"""),"   Anderson, In 46011")</f>
        <v xml:space="preserve">   Anderson, In 46011</v>
      </c>
      <c r="F28" s="134" t="str">
        <f ca="1">IFERROR(__xludf.DUMMYFUNCTION("""COMPUTED_VALUE"""),"Kit delivery and pickup")</f>
        <v>Kit delivery and pickup</v>
      </c>
      <c r="G28" s="134" t="str">
        <f ca="1">IFERROR(__xludf.DUMMYFUNCTION("""COMPUTED_VALUE"""),"no")</f>
        <v>no</v>
      </c>
    </row>
    <row r="29" spans="1:7">
      <c r="A29" s="134" t="str">
        <f ca="1">IFERROR(__xludf.DUMMYFUNCTION("""COMPUTED_VALUE"""),"Elkhart Meadows")</f>
        <v>Elkhart Meadows</v>
      </c>
      <c r="B29" s="134" t="str">
        <f ca="1">IFERROR(__xludf.DUMMYFUNCTION("""COMPUTED_VALUE"""),"ASC")</f>
        <v>ASC</v>
      </c>
      <c r="C29" s="134">
        <f ca="1">IFERROR(__xludf.DUMMYFUNCTION("""COMPUTED_VALUE"""),90)</f>
        <v>90</v>
      </c>
      <c r="D29" s="134" t="str">
        <f ca="1">IFERROR(__xludf.DUMMYFUNCTION("""COMPUTED_VALUE"""),"   2600 Morehouse Ave")</f>
        <v xml:space="preserve">   2600 Morehouse Ave</v>
      </c>
      <c r="E29" s="134" t="str">
        <f ca="1">IFERROR(__xludf.DUMMYFUNCTION("""COMPUTED_VALUE"""),"   Elkhart, In 46517")</f>
        <v xml:space="preserve">   Elkhart, In 46517</v>
      </c>
      <c r="F29" s="134" t="str">
        <f ca="1">IFERROR(__xludf.DUMMYFUNCTION("""COMPUTED_VALUE"""),"Kit delivery and pickup")</f>
        <v>Kit delivery and pickup</v>
      </c>
      <c r="G29" s="134" t="str">
        <f ca="1">IFERROR(__xludf.DUMMYFUNCTION("""COMPUTED_VALUE"""),"no")</f>
        <v>no</v>
      </c>
    </row>
    <row r="30" spans="1:7">
      <c r="A30" s="134" t="str">
        <f ca="1">IFERROR(__xludf.DUMMYFUNCTION("""COMPUTED_VALUE"""),"Fairway Village")</f>
        <v>Fairway Village</v>
      </c>
      <c r="B30" s="134" t="str">
        <f ca="1">IFERROR(__xludf.DUMMYFUNCTION("""COMPUTED_VALUE"""),"ASC")</f>
        <v>ASC</v>
      </c>
      <c r="C30" s="134">
        <f ca="1">IFERROR(__xludf.DUMMYFUNCTION("""COMPUTED_VALUE"""),55)</f>
        <v>55</v>
      </c>
      <c r="D30" s="134" t="str">
        <f ca="1">IFERROR(__xludf.DUMMYFUNCTION("""COMPUTED_VALUE"""),"   2630 S Keystone Ave")</f>
        <v xml:space="preserve">   2630 S Keystone Ave</v>
      </c>
      <c r="E30" s="134" t="str">
        <f ca="1">IFERROR(__xludf.DUMMYFUNCTION("""COMPUTED_VALUE"""),"   Indianapolis, In 46203")</f>
        <v xml:space="preserve">   Indianapolis, In 46203</v>
      </c>
      <c r="F30" s="134" t="str">
        <f ca="1">IFERROR(__xludf.DUMMYFUNCTION("""COMPUTED_VALUE"""),"Kit delivery and pickup")</f>
        <v>Kit delivery and pickup</v>
      </c>
      <c r="G30" s="134" t="str">
        <f ca="1">IFERROR(__xludf.DUMMYFUNCTION("""COMPUTED_VALUE"""),"no")</f>
        <v>no</v>
      </c>
    </row>
    <row r="31" spans="1:7">
      <c r="A31" s="134" t="str">
        <f ca="1">IFERROR(__xludf.DUMMYFUNCTION("""COMPUTED_VALUE"""),"Forest Creek Village")</f>
        <v>Forest Creek Village</v>
      </c>
      <c r="B31" s="134" t="str">
        <f ca="1">IFERROR(__xludf.DUMMYFUNCTION("""COMPUTED_VALUE"""),"ASC")</f>
        <v>ASC</v>
      </c>
      <c r="C31" s="134" t="str">
        <f ca="1">IFERROR(__xludf.DUMMYFUNCTION("""COMPUTED_VALUE"""),"")</f>
        <v/>
      </c>
      <c r="D31" s="134" t="str">
        <f ca="1">IFERROR(__xludf.DUMMYFUNCTION("""COMPUTED_VALUE"""),"525 E Thompson Rd")</f>
        <v>525 E Thompson Rd</v>
      </c>
      <c r="E31" s="134" t="str">
        <f ca="1">IFERROR(__xludf.DUMMYFUNCTION("""COMPUTED_VALUE"""),"")</f>
        <v/>
      </c>
      <c r="F31" s="134" t="str">
        <f ca="1">IFERROR(__xludf.DUMMYFUNCTION("""COMPUTED_VALUE"""),"Kit delivery and pickup")</f>
        <v>Kit delivery and pickup</v>
      </c>
      <c r="G31" s="134" t="str">
        <f ca="1">IFERROR(__xludf.DUMMYFUNCTION("""COMPUTED_VALUE"""),"No")</f>
        <v>No</v>
      </c>
    </row>
    <row r="32" spans="1:7">
      <c r="A32" s="134" t="str">
        <f ca="1">IFERROR(__xludf.DUMMYFUNCTION("""COMPUTED_VALUE"""),"Franklin Meadows")</f>
        <v>Franklin Meadows</v>
      </c>
      <c r="B32" s="134" t="str">
        <f ca="1">IFERROR(__xludf.DUMMYFUNCTION("""COMPUTED_VALUE"""),"ASC")</f>
        <v>ASC</v>
      </c>
      <c r="C32" s="134">
        <f ca="1">IFERROR(__xludf.DUMMYFUNCTION("""COMPUTED_VALUE"""),93)</f>
        <v>93</v>
      </c>
      <c r="D32" s="134" t="str">
        <f ca="1">IFERROR(__xludf.DUMMYFUNCTION("""COMPUTED_VALUE"""),"   1285 W Jefferson St")</f>
        <v xml:space="preserve">   1285 W Jefferson St</v>
      </c>
      <c r="E32" s="134" t="str">
        <f ca="1">IFERROR(__xludf.DUMMYFUNCTION("""COMPUTED_VALUE"""),"   Franklin, In 46131")</f>
        <v xml:space="preserve">   Franklin, In 46131</v>
      </c>
      <c r="F32" s="134" t="str">
        <f ca="1">IFERROR(__xludf.DUMMYFUNCTION("""COMPUTED_VALUE"""),"Kit delivery and pickup")</f>
        <v>Kit delivery and pickup</v>
      </c>
      <c r="G32" s="134" t="str">
        <f ca="1">IFERROR(__xludf.DUMMYFUNCTION("""COMPUTED_VALUE"""),"no")</f>
        <v>no</v>
      </c>
    </row>
    <row r="33" spans="1:7">
      <c r="A33" s="134" t="str">
        <f ca="1">IFERROR(__xludf.DUMMYFUNCTION("""COMPUTED_VALUE"""),"Glenbrook Rehabilitation &amp; Skilled Nursing Center")</f>
        <v>Glenbrook Rehabilitation &amp; Skilled Nursing Center</v>
      </c>
      <c r="B33" s="134" t="str">
        <f ca="1">IFERROR(__xludf.DUMMYFUNCTION("""COMPUTED_VALUE"""),"ASC")</f>
        <v>ASC</v>
      </c>
      <c r="C33" s="134">
        <f ca="1">IFERROR(__xludf.DUMMYFUNCTION("""COMPUTED_VALUE"""),94)</f>
        <v>94</v>
      </c>
      <c r="D33" s="134" t="str">
        <f ca="1">IFERROR(__xludf.DUMMYFUNCTION("""COMPUTED_VALUE"""),"   3811 Parnell Ave")</f>
        <v xml:space="preserve">   3811 Parnell Ave</v>
      </c>
      <c r="E33" s="134" t="str">
        <f ca="1">IFERROR(__xludf.DUMMYFUNCTION("""COMPUTED_VALUE"""),"   Fort Wayne, In 46805")</f>
        <v xml:space="preserve">   Fort Wayne, In 46805</v>
      </c>
      <c r="F33" s="134" t="str">
        <f ca="1">IFERROR(__xludf.DUMMYFUNCTION("""COMPUTED_VALUE"""),"Kit delivery and pickup")</f>
        <v>Kit delivery and pickup</v>
      </c>
      <c r="G33" s="134" t="str">
        <f ca="1">IFERROR(__xludf.DUMMYFUNCTION("""COMPUTED_VALUE"""),"no")</f>
        <v>no</v>
      </c>
    </row>
    <row r="34" spans="1:7">
      <c r="A34" s="134" t="str">
        <f ca="1">IFERROR(__xludf.DUMMYFUNCTION("""COMPUTED_VALUE"""),"Good Samaritan Home &amp; Rehabilitative Center")</f>
        <v>Good Samaritan Home &amp; Rehabilitative Center</v>
      </c>
      <c r="B34" s="134" t="str">
        <f ca="1">IFERROR(__xludf.DUMMYFUNCTION("""COMPUTED_VALUE"""),"ASC")</f>
        <v>ASC</v>
      </c>
      <c r="C34" s="134">
        <f ca="1">IFERROR(__xludf.DUMMYFUNCTION("""COMPUTED_VALUE"""),114)</f>
        <v>114</v>
      </c>
      <c r="D34" s="134" t="str">
        <f ca="1">IFERROR(__xludf.DUMMYFUNCTION("""COMPUTED_VALUE"""),"   231 N Jackson St")</f>
        <v xml:space="preserve">   231 N Jackson St</v>
      </c>
      <c r="E34" s="134" t="str">
        <f ca="1">IFERROR(__xludf.DUMMYFUNCTION("""COMPUTED_VALUE"""),"   Oakland City, In 47660")</f>
        <v xml:space="preserve">   Oakland City, In 47660</v>
      </c>
      <c r="F34" s="134" t="str">
        <f ca="1">IFERROR(__xludf.DUMMYFUNCTION("""COMPUTED_VALUE"""),"Kit delivery and pickup")</f>
        <v>Kit delivery and pickup</v>
      </c>
      <c r="G34" s="134" t="str">
        <f ca="1">IFERROR(__xludf.DUMMYFUNCTION("""COMPUTED_VALUE"""),"no")</f>
        <v>no</v>
      </c>
    </row>
    <row r="35" spans="1:7">
      <c r="A35" s="134" t="str">
        <f ca="1">IFERROR(__xludf.DUMMYFUNCTION("""COMPUTED_VALUE"""),"Good Samaritan Home Health Center And Residential")</f>
        <v>Good Samaritan Home Health Center And Residential</v>
      </c>
      <c r="B35" s="134" t="str">
        <f ca="1">IFERROR(__xludf.DUMMYFUNCTION("""COMPUTED_VALUE"""),"ASC")</f>
        <v>ASC</v>
      </c>
      <c r="C35" s="134">
        <f ca="1">IFERROR(__xludf.DUMMYFUNCTION("""COMPUTED_VALUE"""),240)</f>
        <v>240</v>
      </c>
      <c r="D35" s="134" t="str">
        <f ca="1">IFERROR(__xludf.DUMMYFUNCTION("""COMPUTED_VALUE"""),"   601 N Boeke Rd")</f>
        <v xml:space="preserve">   601 N Boeke Rd</v>
      </c>
      <c r="E35" s="134" t="str">
        <f ca="1">IFERROR(__xludf.DUMMYFUNCTION("""COMPUTED_VALUE"""),"   Evansville, In 47711")</f>
        <v xml:space="preserve">   Evansville, In 47711</v>
      </c>
      <c r="F35" s="134" t="str">
        <f ca="1">IFERROR(__xludf.DUMMYFUNCTION("""COMPUTED_VALUE"""),"Kit delivery and pickup")</f>
        <v>Kit delivery and pickup</v>
      </c>
      <c r="G35" s="134" t="str">
        <f ca="1">IFERROR(__xludf.DUMMYFUNCTION("""COMPUTED_VALUE"""),"no")</f>
        <v>no</v>
      </c>
    </row>
    <row r="36" spans="1:7">
      <c r="A36" s="134" t="str">
        <f ca="1">IFERROR(__xludf.DUMMYFUNCTION("""COMPUTED_VALUE"""),"Greenwood Meadows")</f>
        <v>Greenwood Meadows</v>
      </c>
      <c r="B36" s="134" t="str">
        <f ca="1">IFERROR(__xludf.DUMMYFUNCTION("""COMPUTED_VALUE"""),"ASC")</f>
        <v>ASC</v>
      </c>
      <c r="C36" s="134">
        <f ca="1">IFERROR(__xludf.DUMMYFUNCTION("""COMPUTED_VALUE"""),125)</f>
        <v>125</v>
      </c>
      <c r="D36" s="134" t="str">
        <f ca="1">IFERROR(__xludf.DUMMYFUNCTION("""COMPUTED_VALUE"""),"   1200 N State Road 135")</f>
        <v xml:space="preserve">   1200 N State Road 135</v>
      </c>
      <c r="E36" s="134" t="str">
        <f ca="1">IFERROR(__xludf.DUMMYFUNCTION("""COMPUTED_VALUE"""),"   Greenwood, In 46142")</f>
        <v xml:space="preserve">   Greenwood, In 46142</v>
      </c>
      <c r="F36" s="134" t="str">
        <f ca="1">IFERROR(__xludf.DUMMYFUNCTION("""COMPUTED_VALUE"""),"Kit delivery and pickup")</f>
        <v>Kit delivery and pickup</v>
      </c>
      <c r="G36" s="134" t="str">
        <f ca="1">IFERROR(__xludf.DUMMYFUNCTION("""COMPUTED_VALUE"""),"no")</f>
        <v>no</v>
      </c>
    </row>
    <row r="37" spans="1:7">
      <c r="A37" s="134" t="str">
        <f ca="1">IFERROR(__xludf.DUMMYFUNCTION("""COMPUTED_VALUE"""),"Harcourt Terrace Nursing And Rehabilitation")</f>
        <v>Harcourt Terrace Nursing And Rehabilitation</v>
      </c>
      <c r="B37" s="134" t="str">
        <f ca="1">IFERROR(__xludf.DUMMYFUNCTION("""COMPUTED_VALUE"""),"ASC")</f>
        <v>ASC</v>
      </c>
      <c r="C37" s="134">
        <f ca="1">IFERROR(__xludf.DUMMYFUNCTION("""COMPUTED_VALUE"""),107)</f>
        <v>107</v>
      </c>
      <c r="D37" s="134" t="str">
        <f ca="1">IFERROR(__xludf.DUMMYFUNCTION("""COMPUTED_VALUE"""),"   8181 Harcourt Rd")</f>
        <v xml:space="preserve">   8181 Harcourt Rd</v>
      </c>
      <c r="E37" s="134" t="str">
        <f ca="1">IFERROR(__xludf.DUMMYFUNCTION("""COMPUTED_VALUE"""),"   Indianapolis, In 46260")</f>
        <v xml:space="preserve">   Indianapolis, In 46260</v>
      </c>
      <c r="F37" s="134" t="str">
        <f ca="1">IFERROR(__xludf.DUMMYFUNCTION("""COMPUTED_VALUE"""),"Kit delivery and pickup")</f>
        <v>Kit delivery and pickup</v>
      </c>
      <c r="G37" s="134" t="str">
        <f ca="1">IFERROR(__xludf.DUMMYFUNCTION("""COMPUTED_VALUE"""),"no")</f>
        <v>no</v>
      </c>
    </row>
    <row r="38" spans="1:7">
      <c r="A38" s="134" t="str">
        <f ca="1">IFERROR(__xludf.DUMMYFUNCTION("""COMPUTED_VALUE"""),"Harrison Terrace")</f>
        <v>Harrison Terrace</v>
      </c>
      <c r="B38" s="134" t="str">
        <f ca="1">IFERROR(__xludf.DUMMYFUNCTION("""COMPUTED_VALUE"""),"ASC")</f>
        <v>ASC</v>
      </c>
      <c r="C38" s="134">
        <f ca="1">IFERROR(__xludf.DUMMYFUNCTION("""COMPUTED_VALUE"""),125)</f>
        <v>125</v>
      </c>
      <c r="D38" s="134" t="str">
        <f ca="1">IFERROR(__xludf.DUMMYFUNCTION("""COMPUTED_VALUE"""),"   1924 Wellesley Blvd")</f>
        <v xml:space="preserve">   1924 Wellesley Blvd</v>
      </c>
      <c r="E38" s="134" t="str">
        <f ca="1">IFERROR(__xludf.DUMMYFUNCTION("""COMPUTED_VALUE"""),"   Indianapolis, In 46219")</f>
        <v xml:space="preserve">   Indianapolis, In 46219</v>
      </c>
      <c r="F38" s="134" t="str">
        <f ca="1">IFERROR(__xludf.DUMMYFUNCTION("""COMPUTED_VALUE"""),"Kit delivery and pickup")</f>
        <v>Kit delivery and pickup</v>
      </c>
      <c r="G38" s="134" t="str">
        <f ca="1">IFERROR(__xludf.DUMMYFUNCTION("""COMPUTED_VALUE"""),"no")</f>
        <v>no</v>
      </c>
    </row>
    <row r="39" spans="1:7">
      <c r="A39" s="134" t="str">
        <f ca="1">IFERROR(__xludf.DUMMYFUNCTION("""COMPUTED_VALUE"""),"Heritage House Rehabilitation &amp; Health Care Center")</f>
        <v>Heritage House Rehabilitation &amp; Health Care Center</v>
      </c>
      <c r="B39" s="134" t="str">
        <f ca="1">IFERROR(__xludf.DUMMYFUNCTION("""COMPUTED_VALUE"""),"ASC")</f>
        <v>ASC</v>
      </c>
      <c r="C39" s="134">
        <f ca="1">IFERROR(__xludf.DUMMYFUNCTION("""COMPUTED_VALUE"""),131)</f>
        <v>131</v>
      </c>
      <c r="D39" s="134" t="str">
        <f ca="1">IFERROR(__xludf.DUMMYFUNCTION("""COMPUTED_VALUE"""),"   281 S County Road 200 East")</f>
        <v xml:space="preserve">   281 S County Road 200 East</v>
      </c>
      <c r="E39" s="134" t="str">
        <f ca="1">IFERROR(__xludf.DUMMYFUNCTION("""COMPUTED_VALUE"""),"   Connersville, In 47331")</f>
        <v xml:space="preserve">   Connersville, In 47331</v>
      </c>
      <c r="F39" s="134" t="str">
        <f ca="1">IFERROR(__xludf.DUMMYFUNCTION("""COMPUTED_VALUE"""),"Kit delivery and pickup")</f>
        <v>Kit delivery and pickup</v>
      </c>
      <c r="G39" s="134" t="str">
        <f ca="1">IFERROR(__xludf.DUMMYFUNCTION("""COMPUTED_VALUE"""),"no")</f>
        <v>no</v>
      </c>
    </row>
    <row r="40" spans="1:7">
      <c r="A40" s="134" t="str">
        <f ca="1">IFERROR(__xludf.DUMMYFUNCTION("""COMPUTED_VALUE"""),"Heritage Park")</f>
        <v>Heritage Park</v>
      </c>
      <c r="B40" s="134" t="str">
        <f ca="1">IFERROR(__xludf.DUMMYFUNCTION("""COMPUTED_VALUE"""),"ASC")</f>
        <v>ASC</v>
      </c>
      <c r="C40" s="134">
        <f ca="1">IFERROR(__xludf.DUMMYFUNCTION("""COMPUTED_VALUE"""),240)</f>
        <v>240</v>
      </c>
      <c r="D40" s="134" t="str">
        <f ca="1">IFERROR(__xludf.DUMMYFUNCTION("""COMPUTED_VALUE"""),"   2001 Hobson Rd")</f>
        <v xml:space="preserve">   2001 Hobson Rd</v>
      </c>
      <c r="E40" s="134" t="str">
        <f ca="1">IFERROR(__xludf.DUMMYFUNCTION("""COMPUTED_VALUE"""),"   Fort Wayne, In 46805")</f>
        <v xml:space="preserve">   Fort Wayne, In 46805</v>
      </c>
      <c r="F40" s="134" t="str">
        <f ca="1">IFERROR(__xludf.DUMMYFUNCTION("""COMPUTED_VALUE"""),"Kit delivery and pickup")</f>
        <v>Kit delivery and pickup</v>
      </c>
      <c r="G40" s="134" t="str">
        <f ca="1">IFERROR(__xludf.DUMMYFUNCTION("""COMPUTED_VALUE"""),"no")</f>
        <v>no</v>
      </c>
    </row>
    <row r="41" spans="1:7">
      <c r="A41" s="134" t="str">
        <f ca="1">IFERROR(__xludf.DUMMYFUNCTION("""COMPUTED_VALUE"""),"Hillcrest Village")</f>
        <v>Hillcrest Village</v>
      </c>
      <c r="B41" s="134" t="str">
        <f ca="1">IFERROR(__xludf.DUMMYFUNCTION("""COMPUTED_VALUE"""),"ASC")</f>
        <v>ASC</v>
      </c>
      <c r="C41" s="134">
        <f ca="1">IFERROR(__xludf.DUMMYFUNCTION("""COMPUTED_VALUE"""),95)</f>
        <v>95</v>
      </c>
      <c r="D41" s="134" t="str">
        <f ca="1">IFERROR(__xludf.DUMMYFUNCTION("""COMPUTED_VALUE"""),"   203 Sparks Ave")</f>
        <v xml:space="preserve">   203 Sparks Ave</v>
      </c>
      <c r="E41" s="134" t="str">
        <f ca="1">IFERROR(__xludf.DUMMYFUNCTION("""COMPUTED_VALUE"""),"   Jeffersonville, In 47130")</f>
        <v xml:space="preserve">   Jeffersonville, In 47130</v>
      </c>
      <c r="F41" s="134" t="str">
        <f ca="1">IFERROR(__xludf.DUMMYFUNCTION("""COMPUTED_VALUE"""),"Kit delivery and pickup")</f>
        <v>Kit delivery and pickup</v>
      </c>
      <c r="G41" s="134" t="str">
        <f ca="1">IFERROR(__xludf.DUMMYFUNCTION("""COMPUTED_VALUE"""),"no")</f>
        <v>no</v>
      </c>
    </row>
    <row r="42" spans="1:7">
      <c r="A42" s="134" t="str">
        <f ca="1">IFERROR(__xludf.DUMMYFUNCTION("""COMPUTED_VALUE"""),"Lake Pointe Village")</f>
        <v>Lake Pointe Village</v>
      </c>
      <c r="B42" s="134" t="str">
        <f ca="1">IFERROR(__xludf.DUMMYFUNCTION("""COMPUTED_VALUE"""),"ASC")</f>
        <v>ASC</v>
      </c>
      <c r="C42" s="134">
        <f ca="1">IFERROR(__xludf.DUMMYFUNCTION("""COMPUTED_VALUE"""),79)</f>
        <v>79</v>
      </c>
      <c r="D42" s="134" t="str">
        <f ca="1">IFERROR(__xludf.DUMMYFUNCTION("""COMPUTED_VALUE"""),"   545 W Moonglo Rd")</f>
        <v xml:space="preserve">   545 W Moonglo Rd</v>
      </c>
      <c r="E42" s="134" t="str">
        <f ca="1">IFERROR(__xludf.DUMMYFUNCTION("""COMPUTED_VALUE"""),"   Scottsburg, In 47170")</f>
        <v xml:space="preserve">   Scottsburg, In 47170</v>
      </c>
      <c r="F42" s="134" t="str">
        <f ca="1">IFERROR(__xludf.DUMMYFUNCTION("""COMPUTED_VALUE"""),"Kit delivery and pickup")</f>
        <v>Kit delivery and pickup</v>
      </c>
      <c r="G42" s="134" t="str">
        <f ca="1">IFERROR(__xludf.DUMMYFUNCTION("""COMPUTED_VALUE"""),"no")</f>
        <v>no</v>
      </c>
    </row>
    <row r="43" spans="1:7">
      <c r="A43" s="134" t="str">
        <f ca="1">IFERROR(__xludf.DUMMYFUNCTION("""COMPUTED_VALUE"""),"Lowell Healthcare")</f>
        <v>Lowell Healthcare</v>
      </c>
      <c r="B43" s="134" t="str">
        <f ca="1">IFERROR(__xludf.DUMMYFUNCTION("""COMPUTED_VALUE"""),"ASC")</f>
        <v>ASC</v>
      </c>
      <c r="C43" s="134">
        <f ca="1">IFERROR(__xludf.DUMMYFUNCTION("""COMPUTED_VALUE"""),122)</f>
        <v>122</v>
      </c>
      <c r="D43" s="134" t="str">
        <f ca="1">IFERROR(__xludf.DUMMYFUNCTION("""COMPUTED_VALUE"""),"   710 Michigan St")</f>
        <v xml:space="preserve">   710 Michigan St</v>
      </c>
      <c r="E43" s="134" t="str">
        <f ca="1">IFERROR(__xludf.DUMMYFUNCTION("""COMPUTED_VALUE"""),"   Lowell, In 46356")</f>
        <v xml:space="preserve">   Lowell, In 46356</v>
      </c>
      <c r="F43" s="134" t="str">
        <f ca="1">IFERROR(__xludf.DUMMYFUNCTION("""COMPUTED_VALUE"""),"Kit delivery and pickup")</f>
        <v>Kit delivery and pickup</v>
      </c>
      <c r="G43" s="134" t="str">
        <f ca="1">IFERROR(__xludf.DUMMYFUNCTION("""COMPUTED_VALUE"""),"no")</f>
        <v>no</v>
      </c>
    </row>
    <row r="44" spans="1:7">
      <c r="A44" s="134" t="str">
        <f ca="1">IFERROR(__xludf.DUMMYFUNCTION("""COMPUTED_VALUE"""),"Maple Park Village")</f>
        <v>Maple Park Village</v>
      </c>
      <c r="B44" s="134" t="str">
        <f ca="1">IFERROR(__xludf.DUMMYFUNCTION("""COMPUTED_VALUE"""),"ASC")</f>
        <v>ASC</v>
      </c>
      <c r="C44" s="134">
        <f ca="1">IFERROR(__xludf.DUMMYFUNCTION("""COMPUTED_VALUE"""),85)</f>
        <v>85</v>
      </c>
      <c r="D44" s="134" t="str">
        <f ca="1">IFERROR(__xludf.DUMMYFUNCTION("""COMPUTED_VALUE"""),"   776 N Union St")</f>
        <v xml:space="preserve">   776 N Union St</v>
      </c>
      <c r="E44" s="134" t="str">
        <f ca="1">IFERROR(__xludf.DUMMYFUNCTION("""COMPUTED_VALUE"""),"   Westfield, In 46074")</f>
        <v xml:space="preserve">   Westfield, In 46074</v>
      </c>
      <c r="F44" s="134" t="str">
        <f ca="1">IFERROR(__xludf.DUMMYFUNCTION("""COMPUTED_VALUE"""),"Kit delivery and pickup")</f>
        <v>Kit delivery and pickup</v>
      </c>
      <c r="G44" s="134" t="str">
        <f ca="1">IFERROR(__xludf.DUMMYFUNCTION("""COMPUTED_VALUE"""),"no")</f>
        <v>no</v>
      </c>
    </row>
    <row r="45" spans="1:7">
      <c r="A45" s="134" t="str">
        <f ca="1">IFERROR(__xludf.DUMMYFUNCTION("""COMPUTED_VALUE"""),"Markle Health &amp; Rehabilitation")</f>
        <v>Markle Health &amp; Rehabilitation</v>
      </c>
      <c r="B45" s="134" t="str">
        <f ca="1">IFERROR(__xludf.DUMMYFUNCTION("""COMPUTED_VALUE"""),"ASC")</f>
        <v>ASC</v>
      </c>
      <c r="C45" s="134">
        <f ca="1">IFERROR(__xludf.DUMMYFUNCTION("""COMPUTED_VALUE"""),115)</f>
        <v>115</v>
      </c>
      <c r="D45" s="134" t="str">
        <f ca="1">IFERROR(__xludf.DUMMYFUNCTION("""COMPUTED_VALUE"""),"   170 N Tracy St")</f>
        <v xml:space="preserve">   170 N Tracy St</v>
      </c>
      <c r="E45" s="134" t="str">
        <f ca="1">IFERROR(__xludf.DUMMYFUNCTION("""COMPUTED_VALUE"""),"   Markle, In 46770")</f>
        <v xml:space="preserve">   Markle, In 46770</v>
      </c>
      <c r="F45" s="134" t="str">
        <f ca="1">IFERROR(__xludf.DUMMYFUNCTION("""COMPUTED_VALUE"""),"Kit delivery and pickup")</f>
        <v>Kit delivery and pickup</v>
      </c>
      <c r="G45" s="134" t="str">
        <f ca="1">IFERROR(__xludf.DUMMYFUNCTION("""COMPUTED_VALUE"""),"no")</f>
        <v>no</v>
      </c>
    </row>
    <row r="46" spans="1:7">
      <c r="A46" s="134" t="str">
        <f ca="1">IFERROR(__xludf.DUMMYFUNCTION("""COMPUTED_VALUE"""),"Meadow Lakes")</f>
        <v>Meadow Lakes</v>
      </c>
      <c r="B46" s="134" t="str">
        <f ca="1">IFERROR(__xludf.DUMMYFUNCTION("""COMPUTED_VALUE"""),"ASC")</f>
        <v>ASC</v>
      </c>
      <c r="C46" s="134">
        <f ca="1">IFERROR(__xludf.DUMMYFUNCTION("""COMPUTED_VALUE"""),180)</f>
        <v>180</v>
      </c>
      <c r="D46" s="134" t="str">
        <f ca="1">IFERROR(__xludf.DUMMYFUNCTION("""COMPUTED_VALUE"""),"   200 Meadow Lake Dr")</f>
        <v xml:space="preserve">   200 Meadow Lake Dr</v>
      </c>
      <c r="E46" s="134" t="str">
        <f ca="1">IFERROR(__xludf.DUMMYFUNCTION("""COMPUTED_VALUE"""),"   Mooresville, In 46158")</f>
        <v xml:space="preserve">   Mooresville, In 46158</v>
      </c>
      <c r="F46" s="134" t="str">
        <f ca="1">IFERROR(__xludf.DUMMYFUNCTION("""COMPUTED_VALUE"""),"Kit delivery and pickup")</f>
        <v>Kit delivery and pickup</v>
      </c>
      <c r="G46" s="134" t="str">
        <f ca="1">IFERROR(__xludf.DUMMYFUNCTION("""COMPUTED_VALUE"""),"no")</f>
        <v>no</v>
      </c>
    </row>
    <row r="47" spans="1:7">
      <c r="A47" s="134" t="str">
        <f ca="1">IFERROR(__xludf.DUMMYFUNCTION("""COMPUTED_VALUE"""),"Meadow View Health And Rehabilitation")</f>
        <v>Meadow View Health And Rehabilitation</v>
      </c>
      <c r="B47" s="134" t="str">
        <f ca="1">IFERROR(__xludf.DUMMYFUNCTION("""COMPUTED_VALUE"""),"ASC")</f>
        <v>ASC</v>
      </c>
      <c r="C47" s="134">
        <f ca="1">IFERROR(__xludf.DUMMYFUNCTION("""COMPUTED_VALUE"""),102)</f>
        <v>102</v>
      </c>
      <c r="D47" s="134" t="str">
        <f ca="1">IFERROR(__xludf.DUMMYFUNCTION("""COMPUTED_VALUE"""),"   900 Anson St")</f>
        <v xml:space="preserve">   900 Anson St</v>
      </c>
      <c r="E47" s="134" t="str">
        <f ca="1">IFERROR(__xludf.DUMMYFUNCTION("""COMPUTED_VALUE"""),"   Salem, In 47167")</f>
        <v xml:space="preserve">   Salem, In 47167</v>
      </c>
      <c r="F47" s="134" t="str">
        <f ca="1">IFERROR(__xludf.DUMMYFUNCTION("""COMPUTED_VALUE"""),"Kit delivery and pickup")</f>
        <v>Kit delivery and pickup</v>
      </c>
      <c r="G47" s="134" t="str">
        <f ca="1">IFERROR(__xludf.DUMMYFUNCTION("""COMPUTED_VALUE"""),"no")</f>
        <v>no</v>
      </c>
    </row>
    <row r="48" spans="1:7">
      <c r="A48" s="134" t="str">
        <f ca="1">IFERROR(__xludf.DUMMYFUNCTION("""COMPUTED_VALUE"""),"Monticello Healthcare")</f>
        <v>Monticello Healthcare</v>
      </c>
      <c r="B48" s="134" t="str">
        <f ca="1">IFERROR(__xludf.DUMMYFUNCTION("""COMPUTED_VALUE"""),"ASC")</f>
        <v>ASC</v>
      </c>
      <c r="C48" s="134">
        <f ca="1">IFERROR(__xludf.DUMMYFUNCTION("""COMPUTED_VALUE"""),115)</f>
        <v>115</v>
      </c>
      <c r="D48" s="134" t="str">
        <f ca="1">IFERROR(__xludf.DUMMYFUNCTION("""COMPUTED_VALUE"""),"   1120 N Main St")</f>
        <v xml:space="preserve">   1120 N Main St</v>
      </c>
      <c r="E48" s="134" t="str">
        <f ca="1">IFERROR(__xludf.DUMMYFUNCTION("""COMPUTED_VALUE"""),"   Monticello, In 47960")</f>
        <v xml:space="preserve">   Monticello, In 47960</v>
      </c>
      <c r="F48" s="134" t="str">
        <f ca="1">IFERROR(__xludf.DUMMYFUNCTION("""COMPUTED_VALUE"""),"Kit delivery and pickup")</f>
        <v>Kit delivery and pickup</v>
      </c>
      <c r="G48" s="134" t="str">
        <f ca="1">IFERROR(__xludf.DUMMYFUNCTION("""COMPUTED_VALUE"""),"no")</f>
        <v>no</v>
      </c>
    </row>
    <row r="49" spans="1:7">
      <c r="A49" s="134" t="str">
        <f ca="1">IFERROR(__xludf.DUMMYFUNCTION("""COMPUTED_VALUE"""),"Mount Vernon Nursing And Rehabilitation")</f>
        <v>Mount Vernon Nursing And Rehabilitation</v>
      </c>
      <c r="B49" s="134" t="str">
        <f ca="1">IFERROR(__xludf.DUMMYFUNCTION("""COMPUTED_VALUE"""),"ASC")</f>
        <v>ASC</v>
      </c>
      <c r="C49" s="134">
        <f ca="1">IFERROR(__xludf.DUMMYFUNCTION("""COMPUTED_VALUE"""),80)</f>
        <v>80</v>
      </c>
      <c r="D49" s="134" t="str">
        <f ca="1">IFERROR(__xludf.DUMMYFUNCTION("""COMPUTED_VALUE"""),"   1415 Country Club Rd")</f>
        <v xml:space="preserve">   1415 Country Club Rd</v>
      </c>
      <c r="E49" s="134" t="str">
        <f ca="1">IFERROR(__xludf.DUMMYFUNCTION("""COMPUTED_VALUE"""),"   Mount Vernon, In 47620")</f>
        <v xml:space="preserve">   Mount Vernon, In 47620</v>
      </c>
      <c r="F49" s="134" t="str">
        <f ca="1">IFERROR(__xludf.DUMMYFUNCTION("""COMPUTED_VALUE"""),"Kit delivery and pickup")</f>
        <v>Kit delivery and pickup</v>
      </c>
      <c r="G49" s="134" t="str">
        <f ca="1">IFERROR(__xludf.DUMMYFUNCTION("""COMPUTED_VALUE"""),"no")</f>
        <v>no</v>
      </c>
    </row>
    <row r="50" spans="1:7">
      <c r="A50" s="134" t="str">
        <f ca="1">IFERROR(__xludf.DUMMYFUNCTION("""COMPUTED_VALUE"""),"North Capitol Nursing &amp; Rehabilitation Center")</f>
        <v>North Capitol Nursing &amp; Rehabilitation Center</v>
      </c>
      <c r="B50" s="134" t="str">
        <f ca="1">IFERROR(__xludf.DUMMYFUNCTION("""COMPUTED_VALUE"""),"ASC")</f>
        <v>ASC</v>
      </c>
      <c r="C50" s="134">
        <f ca="1">IFERROR(__xludf.DUMMYFUNCTION("""COMPUTED_VALUE"""),111)</f>
        <v>111</v>
      </c>
      <c r="D50" s="134" t="str">
        <f ca="1">IFERROR(__xludf.DUMMYFUNCTION("""COMPUTED_VALUE"""),"   2010 N Capitol Ave")</f>
        <v xml:space="preserve">   2010 N Capitol Ave</v>
      </c>
      <c r="E50" s="134" t="str">
        <f ca="1">IFERROR(__xludf.DUMMYFUNCTION("""COMPUTED_VALUE"""),"   Indianapolis, In 46202")</f>
        <v xml:space="preserve">   Indianapolis, In 46202</v>
      </c>
      <c r="F50" s="134" t="str">
        <f ca="1">IFERROR(__xludf.DUMMYFUNCTION("""COMPUTED_VALUE"""),"Kit delivery and pickup")</f>
        <v>Kit delivery and pickup</v>
      </c>
      <c r="G50" s="134" t="str">
        <f ca="1">IFERROR(__xludf.DUMMYFUNCTION("""COMPUTED_VALUE"""),"no")</f>
        <v>no</v>
      </c>
    </row>
    <row r="51" spans="1:7">
      <c r="A51" s="134" t="str">
        <f ca="1">IFERROR(__xludf.DUMMYFUNCTION("""COMPUTED_VALUE"""),"North Park Nursing Center")</f>
        <v>North Park Nursing Center</v>
      </c>
      <c r="B51" s="134" t="str">
        <f ca="1">IFERROR(__xludf.DUMMYFUNCTION("""COMPUTED_VALUE"""),"ASC")</f>
        <v>ASC</v>
      </c>
      <c r="C51" s="134">
        <f ca="1">IFERROR(__xludf.DUMMYFUNCTION("""COMPUTED_VALUE"""),132)</f>
        <v>132</v>
      </c>
      <c r="D51" s="134" t="str">
        <f ca="1">IFERROR(__xludf.DUMMYFUNCTION("""COMPUTED_VALUE"""),"   650 Fairway Dr")</f>
        <v xml:space="preserve">   650 Fairway Dr</v>
      </c>
      <c r="E51" s="134" t="str">
        <f ca="1">IFERROR(__xludf.DUMMYFUNCTION("""COMPUTED_VALUE"""),"   Evansville, In 47710")</f>
        <v xml:space="preserve">   Evansville, In 47710</v>
      </c>
      <c r="F51" s="134" t="str">
        <f ca="1">IFERROR(__xludf.DUMMYFUNCTION("""COMPUTED_VALUE"""),"Kit delivery and pickup")</f>
        <v>Kit delivery and pickup</v>
      </c>
      <c r="G51" s="134" t="str">
        <f ca="1">IFERROR(__xludf.DUMMYFUNCTION("""COMPUTED_VALUE"""),"no")</f>
        <v>no</v>
      </c>
    </row>
    <row r="52" spans="1:7">
      <c r="A52" s="134" t="str">
        <f ca="1">IFERROR(__xludf.DUMMYFUNCTION("""COMPUTED_VALUE"""),"North Woods Village")</f>
        <v>North Woods Village</v>
      </c>
      <c r="B52" s="134" t="str">
        <f ca="1">IFERROR(__xludf.DUMMYFUNCTION("""COMPUTED_VALUE"""),"ASC")</f>
        <v>ASC</v>
      </c>
      <c r="C52" s="134">
        <f ca="1">IFERROR(__xludf.DUMMYFUNCTION("""COMPUTED_VALUE"""),55)</f>
        <v>55</v>
      </c>
      <c r="D52" s="134" t="str">
        <f ca="1">IFERROR(__xludf.DUMMYFUNCTION("""COMPUTED_VALUE"""),"   2233 W Jefferson St")</f>
        <v xml:space="preserve">   2233 W Jefferson St</v>
      </c>
      <c r="E52" s="134" t="str">
        <f ca="1">IFERROR(__xludf.DUMMYFUNCTION("""COMPUTED_VALUE"""),"   Kokomo, In 46901")</f>
        <v xml:space="preserve">   Kokomo, In 46901</v>
      </c>
      <c r="F52" s="134" t="str">
        <f ca="1">IFERROR(__xludf.DUMMYFUNCTION("""COMPUTED_VALUE"""),"Kit delivery and pickup")</f>
        <v>Kit delivery and pickup</v>
      </c>
      <c r="G52" s="134" t="str">
        <f ca="1">IFERROR(__xludf.DUMMYFUNCTION("""COMPUTED_VALUE"""),"no")</f>
        <v>no</v>
      </c>
    </row>
    <row r="53" spans="1:7">
      <c r="A53" s="134" t="str">
        <f ca="1">IFERROR(__xludf.DUMMYFUNCTION("""COMPUTED_VALUE"""),"Park Terrace Village")</f>
        <v>Park Terrace Village</v>
      </c>
      <c r="B53" s="134" t="str">
        <f ca="1">IFERROR(__xludf.DUMMYFUNCTION("""COMPUTED_VALUE"""),"ASC")</f>
        <v>ASC</v>
      </c>
      <c r="C53" s="134">
        <f ca="1">IFERROR(__xludf.DUMMYFUNCTION("""COMPUTED_VALUE"""),85)</f>
        <v>85</v>
      </c>
      <c r="D53" s="134" t="str">
        <f ca="1">IFERROR(__xludf.DUMMYFUNCTION("""COMPUTED_VALUE"""),"   25 S Boehne Camp Rd")</f>
        <v xml:space="preserve">   25 S Boehne Camp Rd</v>
      </c>
      <c r="E53" s="134" t="str">
        <f ca="1">IFERROR(__xludf.DUMMYFUNCTION("""COMPUTED_VALUE"""),"   Evansville, In 47712")</f>
        <v xml:space="preserve">   Evansville, In 47712</v>
      </c>
      <c r="F53" s="134" t="str">
        <f ca="1">IFERROR(__xludf.DUMMYFUNCTION("""COMPUTED_VALUE"""),"Kit delivery and pickup")</f>
        <v>Kit delivery and pickup</v>
      </c>
      <c r="G53" s="134" t="str">
        <f ca="1">IFERROR(__xludf.DUMMYFUNCTION("""COMPUTED_VALUE"""),"no")</f>
        <v>no</v>
      </c>
    </row>
    <row r="54" spans="1:7">
      <c r="A54" s="134" t="str">
        <f ca="1">IFERROR(__xludf.DUMMYFUNCTION("""COMPUTED_VALUE"""),"Prairie Village Nursing And Rehabilitation")</f>
        <v>Prairie Village Nursing And Rehabilitation</v>
      </c>
      <c r="B54" s="134" t="str">
        <f ca="1">IFERROR(__xludf.DUMMYFUNCTION("""COMPUTED_VALUE"""),"ASC")</f>
        <v>ASC</v>
      </c>
      <c r="C54" s="134">
        <f ca="1">IFERROR(__xludf.DUMMYFUNCTION("""COMPUTED_VALUE"""),73)</f>
        <v>73</v>
      </c>
      <c r="D54" s="134" t="str">
        <f ca="1">IFERROR(__xludf.DUMMYFUNCTION("""COMPUTED_VALUE"""),"   801 S Sr 57")</f>
        <v xml:space="preserve">   801 S Sr 57</v>
      </c>
      <c r="E54" s="134" t="str">
        <f ca="1">IFERROR(__xludf.DUMMYFUNCTION("""COMPUTED_VALUE"""),"   Washington, In 47501")</f>
        <v xml:space="preserve">   Washington, In 47501</v>
      </c>
      <c r="F54" s="134" t="str">
        <f ca="1">IFERROR(__xludf.DUMMYFUNCTION("""COMPUTED_VALUE"""),"Kit delivery and pickup")</f>
        <v>Kit delivery and pickup</v>
      </c>
      <c r="G54" s="134" t="str">
        <f ca="1">IFERROR(__xludf.DUMMYFUNCTION("""COMPUTED_VALUE"""),"no")</f>
        <v>no</v>
      </c>
    </row>
    <row r="55" spans="1:7">
      <c r="A55" s="134" t="str">
        <f ca="1">IFERROR(__xludf.DUMMYFUNCTION("""COMPUTED_VALUE"""),"Riverside Village")</f>
        <v>Riverside Village</v>
      </c>
      <c r="B55" s="134" t="str">
        <f ca="1">IFERROR(__xludf.DUMMYFUNCTION("""COMPUTED_VALUE"""),"ASC")</f>
        <v>ASC</v>
      </c>
      <c r="C55" s="134">
        <f ca="1">IFERROR(__xludf.DUMMYFUNCTION("""COMPUTED_VALUE"""),125)</f>
        <v>125</v>
      </c>
      <c r="D55" s="134" t="str">
        <f ca="1">IFERROR(__xludf.DUMMYFUNCTION("""COMPUTED_VALUE"""),"   1400 W Franklin St")</f>
        <v xml:space="preserve">   1400 W Franklin St</v>
      </c>
      <c r="E55" s="134" t="str">
        <f ca="1">IFERROR(__xludf.DUMMYFUNCTION("""COMPUTED_VALUE"""),"   Elkhart, In 46516")</f>
        <v xml:space="preserve">   Elkhart, In 46516</v>
      </c>
      <c r="F55" s="134" t="str">
        <f ca="1">IFERROR(__xludf.DUMMYFUNCTION("""COMPUTED_VALUE"""),"Kit delivery and pickup")</f>
        <v>Kit delivery and pickup</v>
      </c>
      <c r="G55" s="134" t="str">
        <f ca="1">IFERROR(__xludf.DUMMYFUNCTION("""COMPUTED_VALUE"""),"no")</f>
        <v>no</v>
      </c>
    </row>
    <row r="56" spans="1:7">
      <c r="A56" s="134" t="str">
        <f ca="1">IFERROR(__xludf.DUMMYFUNCTION("""COMPUTED_VALUE"""),"Riverview Village")</f>
        <v>Riverview Village</v>
      </c>
      <c r="B56" s="134" t="str">
        <f ca="1">IFERROR(__xludf.DUMMYFUNCTION("""COMPUTED_VALUE"""),"ASC")</f>
        <v>ASC</v>
      </c>
      <c r="C56" s="134">
        <f ca="1">IFERROR(__xludf.DUMMYFUNCTION("""COMPUTED_VALUE"""),92)</f>
        <v>92</v>
      </c>
      <c r="D56" s="134" t="str">
        <f ca="1">IFERROR(__xludf.DUMMYFUNCTION("""COMPUTED_VALUE"""),"   586 Eastern Blvd")</f>
        <v xml:space="preserve">   586 Eastern Blvd</v>
      </c>
      <c r="E56" s="134" t="str">
        <f ca="1">IFERROR(__xludf.DUMMYFUNCTION("""COMPUTED_VALUE"""),"   Clarksville, In 47129")</f>
        <v xml:space="preserve">   Clarksville, In 47129</v>
      </c>
      <c r="F56" s="134" t="str">
        <f ca="1">IFERROR(__xludf.DUMMYFUNCTION("""COMPUTED_VALUE"""),"Kit delivery and pickup")</f>
        <v>Kit delivery and pickup</v>
      </c>
      <c r="G56" s="134" t="str">
        <f ca="1">IFERROR(__xludf.DUMMYFUNCTION("""COMPUTED_VALUE"""),"no")</f>
        <v>no</v>
      </c>
    </row>
    <row r="57" spans="1:7">
      <c r="A57" s="134" t="str">
        <f ca="1">IFERROR(__xludf.DUMMYFUNCTION("""COMPUTED_VALUE"""),"Riverwalk Village")</f>
        <v>Riverwalk Village</v>
      </c>
      <c r="B57" s="134" t="str">
        <f ca="1">IFERROR(__xludf.DUMMYFUNCTION("""COMPUTED_VALUE"""),"ASC")</f>
        <v>ASC</v>
      </c>
      <c r="C57" s="134">
        <f ca="1">IFERROR(__xludf.DUMMYFUNCTION("""COMPUTED_VALUE"""),140)</f>
        <v>140</v>
      </c>
      <c r="D57" s="134" t="str">
        <f ca="1">IFERROR(__xludf.DUMMYFUNCTION("""COMPUTED_VALUE"""),"   295 Westfield Rd")</f>
        <v xml:space="preserve">   295 Westfield Rd</v>
      </c>
      <c r="E57" s="134" t="str">
        <f ca="1">IFERROR(__xludf.DUMMYFUNCTION("""COMPUTED_VALUE"""),"   Noblesville, In 46060")</f>
        <v xml:space="preserve">   Noblesville, In 46060</v>
      </c>
      <c r="F57" s="134" t="str">
        <f ca="1">IFERROR(__xludf.DUMMYFUNCTION("""COMPUTED_VALUE"""),"Kit delivery and pickup")</f>
        <v>Kit delivery and pickup</v>
      </c>
      <c r="G57" s="134" t="str">
        <f ca="1">IFERROR(__xludf.DUMMYFUNCTION("""COMPUTED_VALUE"""),"no")</f>
        <v>no</v>
      </c>
    </row>
    <row r="58" spans="1:7">
      <c r="A58" s="134" t="str">
        <f ca="1">IFERROR(__xludf.DUMMYFUNCTION("""COMPUTED_VALUE"""),"Rosebud Village")</f>
        <v>Rosebud Village</v>
      </c>
      <c r="B58" s="134" t="str">
        <f ca="1">IFERROR(__xludf.DUMMYFUNCTION("""COMPUTED_VALUE"""),"ASC")</f>
        <v>ASC</v>
      </c>
      <c r="C58" s="134">
        <f ca="1">IFERROR(__xludf.DUMMYFUNCTION("""COMPUTED_VALUE"""),125)</f>
        <v>125</v>
      </c>
      <c r="D58" s="134" t="str">
        <f ca="1">IFERROR(__xludf.DUMMYFUNCTION("""COMPUTED_VALUE"""),"   2050 Chester Blvd")</f>
        <v xml:space="preserve">   2050 Chester Blvd</v>
      </c>
      <c r="E58" s="134" t="str">
        <f ca="1">IFERROR(__xludf.DUMMYFUNCTION("""COMPUTED_VALUE"""),"   Richmond, In 47374")</f>
        <v xml:space="preserve">   Richmond, In 47374</v>
      </c>
      <c r="F58" s="134" t="str">
        <f ca="1">IFERROR(__xludf.DUMMYFUNCTION("""COMPUTED_VALUE"""),"Kit delivery and pickup")</f>
        <v>Kit delivery and pickup</v>
      </c>
      <c r="G58" s="134" t="str">
        <f ca="1">IFERROR(__xludf.DUMMYFUNCTION("""COMPUTED_VALUE"""),"no")</f>
        <v>no</v>
      </c>
    </row>
    <row r="59" spans="1:7">
      <c r="A59" s="134" t="str">
        <f ca="1">IFERROR(__xludf.DUMMYFUNCTION("""COMPUTED_VALUE"""),"Rosegate Village")</f>
        <v>Rosegate Village</v>
      </c>
      <c r="B59" s="134" t="str">
        <f ca="1">IFERROR(__xludf.DUMMYFUNCTION("""COMPUTED_VALUE"""),"ASC")</f>
        <v>ASC</v>
      </c>
      <c r="C59" s="134">
        <f ca="1">IFERROR(__xludf.DUMMYFUNCTION("""COMPUTED_VALUE"""),150)</f>
        <v>150</v>
      </c>
      <c r="D59" s="134" t="str">
        <f ca="1">IFERROR(__xludf.DUMMYFUNCTION("""COMPUTED_VALUE"""),"   7510 Rosegate Dr")</f>
        <v xml:space="preserve">   7510 Rosegate Dr</v>
      </c>
      <c r="E59" s="134" t="str">
        <f ca="1">IFERROR(__xludf.DUMMYFUNCTION("""COMPUTED_VALUE"""),"   Indianapolis, In 46237")</f>
        <v xml:space="preserve">   Indianapolis, In 46237</v>
      </c>
      <c r="F59" s="134" t="str">
        <f ca="1">IFERROR(__xludf.DUMMYFUNCTION("""COMPUTED_VALUE"""),"Kit delivery and pickup")</f>
        <v>Kit delivery and pickup</v>
      </c>
      <c r="G59" s="134" t="str">
        <f ca="1">IFERROR(__xludf.DUMMYFUNCTION("""COMPUTED_VALUE"""),"no")</f>
        <v>no</v>
      </c>
    </row>
    <row r="60" spans="1:7">
      <c r="A60" s="134" t="str">
        <f ca="1">IFERROR(__xludf.DUMMYFUNCTION("""COMPUTED_VALUE"""),"Rosewalk Village")</f>
        <v>Rosewalk Village</v>
      </c>
      <c r="B60" s="134" t="str">
        <f ca="1">IFERROR(__xludf.DUMMYFUNCTION("""COMPUTED_VALUE"""),"ASC")</f>
        <v>ASC</v>
      </c>
      <c r="C60" s="134" t="str">
        <f ca="1">IFERROR(__xludf.DUMMYFUNCTION("""COMPUTED_VALUE"""),"")</f>
        <v/>
      </c>
      <c r="D60" s="134" t="str">
        <f ca="1">IFERROR(__xludf.DUMMYFUNCTION("""COMPUTED_VALUE"""),"1302 N Lesley Ave")</f>
        <v>1302 N Lesley Ave</v>
      </c>
      <c r="E60" s="134" t="str">
        <f ca="1">IFERROR(__xludf.DUMMYFUNCTION("""COMPUTED_VALUE"""),"")</f>
        <v/>
      </c>
      <c r="F60" s="134" t="str">
        <f ca="1">IFERROR(__xludf.DUMMYFUNCTION("""COMPUTED_VALUE"""),"Kit delivery and pickup")</f>
        <v>Kit delivery and pickup</v>
      </c>
      <c r="G60" s="134" t="str">
        <f ca="1">IFERROR(__xludf.DUMMYFUNCTION("""COMPUTED_VALUE"""),"no")</f>
        <v>no</v>
      </c>
    </row>
    <row r="61" spans="1:7">
      <c r="A61" s="134" t="str">
        <f ca="1">IFERROR(__xludf.DUMMYFUNCTION("""COMPUTED_VALUE"""),"Rosewalk Village At Lafayette")</f>
        <v>Rosewalk Village At Lafayette</v>
      </c>
      <c r="B61" s="134" t="str">
        <f ca="1">IFERROR(__xludf.DUMMYFUNCTION("""COMPUTED_VALUE"""),"ASC")</f>
        <v>ASC</v>
      </c>
      <c r="C61" s="134">
        <f ca="1">IFERROR(__xludf.DUMMYFUNCTION("""COMPUTED_VALUE"""),162)</f>
        <v>162</v>
      </c>
      <c r="D61" s="134" t="str">
        <f ca="1">IFERROR(__xludf.DUMMYFUNCTION("""COMPUTED_VALUE"""),"   1903 Union St")</f>
        <v xml:space="preserve">   1903 Union St</v>
      </c>
      <c r="E61" s="134" t="str">
        <f ca="1">IFERROR(__xludf.DUMMYFUNCTION("""COMPUTED_VALUE"""),"   Lafayette, In 47904")</f>
        <v xml:space="preserve">   Lafayette, In 47904</v>
      </c>
      <c r="F61" s="134" t="str">
        <f ca="1">IFERROR(__xludf.DUMMYFUNCTION("""COMPUTED_VALUE"""),"Kit delivery and pickup")</f>
        <v>Kit delivery and pickup</v>
      </c>
      <c r="G61" s="134" t="str">
        <f ca="1">IFERROR(__xludf.DUMMYFUNCTION("""COMPUTED_VALUE"""),"no")</f>
        <v>no</v>
      </c>
    </row>
    <row r="62" spans="1:7">
      <c r="A62" s="134" t="str">
        <f ca="1">IFERROR(__xludf.DUMMYFUNCTION("""COMPUTED_VALUE"""),"Salem Crossing")</f>
        <v>Salem Crossing</v>
      </c>
      <c r="B62" s="134" t="str">
        <f ca="1">IFERROR(__xludf.DUMMYFUNCTION("""COMPUTED_VALUE"""),"ASC")</f>
        <v>ASC</v>
      </c>
      <c r="C62" s="134">
        <f ca="1">IFERROR(__xludf.DUMMYFUNCTION("""COMPUTED_VALUE"""),134)</f>
        <v>134</v>
      </c>
      <c r="D62" s="134" t="str">
        <f ca="1">IFERROR(__xludf.DUMMYFUNCTION("""COMPUTED_VALUE"""),"   200 Connie Ave")</f>
        <v xml:space="preserve">   200 Connie Ave</v>
      </c>
      <c r="E62" s="134" t="str">
        <f ca="1">IFERROR(__xludf.DUMMYFUNCTION("""COMPUTED_VALUE"""),"   Salem, In 47167")</f>
        <v xml:space="preserve">   Salem, In 47167</v>
      </c>
      <c r="F62" s="134" t="str">
        <f ca="1">IFERROR(__xludf.DUMMYFUNCTION("""COMPUTED_VALUE"""),"Kit delivery and pickup")</f>
        <v>Kit delivery and pickup</v>
      </c>
      <c r="G62" s="134" t="str">
        <f ca="1">IFERROR(__xludf.DUMMYFUNCTION("""COMPUTED_VALUE"""),"no")</f>
        <v>no</v>
      </c>
    </row>
    <row r="63" spans="1:7">
      <c r="A63" s="134" t="str">
        <f ca="1">IFERROR(__xludf.DUMMYFUNCTION("""COMPUTED_VALUE"""),"Seymour Crossing")</f>
        <v>Seymour Crossing</v>
      </c>
      <c r="B63" s="134" t="str">
        <f ca="1">IFERROR(__xludf.DUMMYFUNCTION("""COMPUTED_VALUE"""),"ASC")</f>
        <v>ASC</v>
      </c>
      <c r="C63" s="134" t="str">
        <f ca="1">IFERROR(__xludf.DUMMYFUNCTION("""COMPUTED_VALUE"""),"")</f>
        <v/>
      </c>
      <c r="D63" s="134" t="str">
        <f ca="1">IFERROR(__xludf.DUMMYFUNCTION("""COMPUTED_VALUE"""),"707 S Jackson Park Dr")</f>
        <v>707 S Jackson Park Dr</v>
      </c>
      <c r="E63" s="134" t="str">
        <f ca="1">IFERROR(__xludf.DUMMYFUNCTION("""COMPUTED_VALUE"""),"")</f>
        <v/>
      </c>
      <c r="F63" s="134" t="str">
        <f ca="1">IFERROR(__xludf.DUMMYFUNCTION("""COMPUTED_VALUE"""),"Kit delivery and pickup")</f>
        <v>Kit delivery and pickup</v>
      </c>
      <c r="G63" s="134" t="str">
        <f ca="1">IFERROR(__xludf.DUMMYFUNCTION("""COMPUTED_VALUE"""),"no")</f>
        <v>no</v>
      </c>
    </row>
    <row r="64" spans="1:7">
      <c r="A64" s="134" t="str">
        <f ca="1">IFERROR(__xludf.DUMMYFUNCTION("""COMPUTED_VALUE"""),"Spring Mill Meadows")</f>
        <v>Spring Mill Meadows</v>
      </c>
      <c r="B64" s="134" t="str">
        <f ca="1">IFERROR(__xludf.DUMMYFUNCTION("""COMPUTED_VALUE"""),"ASC")</f>
        <v>ASC</v>
      </c>
      <c r="C64" s="134">
        <f ca="1">IFERROR(__xludf.DUMMYFUNCTION("""COMPUTED_VALUE"""),82)</f>
        <v>82</v>
      </c>
      <c r="D64" s="134" t="str">
        <f ca="1">IFERROR(__xludf.DUMMYFUNCTION("""COMPUTED_VALUE"""),"   2140 W 86Th St")</f>
        <v xml:space="preserve">   2140 W 86Th St</v>
      </c>
      <c r="E64" s="134" t="str">
        <f ca="1">IFERROR(__xludf.DUMMYFUNCTION("""COMPUTED_VALUE"""),"   Indianapolis, In 46260")</f>
        <v xml:space="preserve">   Indianapolis, In 46260</v>
      </c>
      <c r="F64" s="134" t="str">
        <f ca="1">IFERROR(__xludf.DUMMYFUNCTION("""COMPUTED_VALUE"""),"Kit delivery and pickup")</f>
        <v>Kit delivery and pickup</v>
      </c>
      <c r="G64" s="134" t="str">
        <f ca="1">IFERROR(__xludf.DUMMYFUNCTION("""COMPUTED_VALUE"""),"no")</f>
        <v>no</v>
      </c>
    </row>
    <row r="65" spans="1:7">
      <c r="A65" s="134" t="str">
        <f ca="1">IFERROR(__xludf.DUMMYFUNCTION("""COMPUTED_VALUE"""),"Springhill Village")</f>
        <v>Springhill Village</v>
      </c>
      <c r="B65" s="134" t="str">
        <f ca="1">IFERROR(__xludf.DUMMYFUNCTION("""COMPUTED_VALUE"""),"ASC")</f>
        <v>ASC</v>
      </c>
      <c r="C65" s="134">
        <f ca="1">IFERROR(__xludf.DUMMYFUNCTION("""COMPUTED_VALUE"""),118)</f>
        <v>118</v>
      </c>
      <c r="D65" s="134" t="str">
        <f ca="1">IFERROR(__xludf.DUMMYFUNCTION("""COMPUTED_VALUE"""),"   1001 E Springhill Dr")</f>
        <v xml:space="preserve">   1001 E Springhill Dr</v>
      </c>
      <c r="E65" s="134" t="str">
        <f ca="1">IFERROR(__xludf.DUMMYFUNCTION("""COMPUTED_VALUE"""),"   Terre Haute, In 47802")</f>
        <v xml:space="preserve">   Terre Haute, In 47802</v>
      </c>
      <c r="F65" s="134" t="str">
        <f ca="1">IFERROR(__xludf.DUMMYFUNCTION("""COMPUTED_VALUE"""),"Kit delivery and pickup")</f>
        <v>Kit delivery and pickup</v>
      </c>
      <c r="G65" s="134" t="str">
        <f ca="1">IFERROR(__xludf.DUMMYFUNCTION("""COMPUTED_VALUE"""),"no")</f>
        <v>no</v>
      </c>
    </row>
    <row r="66" spans="1:7">
      <c r="A66" s="134" t="str">
        <f ca="1">IFERROR(__xludf.DUMMYFUNCTION("""COMPUTED_VALUE"""),"Springs Valley Meadows")</f>
        <v>Springs Valley Meadows</v>
      </c>
      <c r="B66" s="134" t="str">
        <f ca="1">IFERROR(__xludf.DUMMYFUNCTION("""COMPUTED_VALUE"""),"ASC")</f>
        <v>ASC</v>
      </c>
      <c r="C66" s="134">
        <f ca="1">IFERROR(__xludf.DUMMYFUNCTION("""COMPUTED_VALUE"""),98)</f>
        <v>98</v>
      </c>
      <c r="D66" s="134" t="str">
        <f ca="1">IFERROR(__xludf.DUMMYFUNCTION("""COMPUTED_VALUE"""),"   457 S Sr 145")</f>
        <v xml:space="preserve">   457 S Sr 145</v>
      </c>
      <c r="E66" s="134" t="str">
        <f ca="1">IFERROR(__xludf.DUMMYFUNCTION("""COMPUTED_VALUE"""),"   French Lick, In 47432")</f>
        <v xml:space="preserve">   French Lick, In 47432</v>
      </c>
      <c r="F66" s="134" t="str">
        <f ca="1">IFERROR(__xludf.DUMMYFUNCTION("""COMPUTED_VALUE"""),"Kit delivery and pickup")</f>
        <v>Kit delivery and pickup</v>
      </c>
      <c r="G66" s="134" t="str">
        <f ca="1">IFERROR(__xludf.DUMMYFUNCTION("""COMPUTED_VALUE"""),"no")</f>
        <v>no</v>
      </c>
    </row>
    <row r="67" spans="1:7">
      <c r="A67" s="134" t="str">
        <f ca="1">IFERROR(__xludf.DUMMYFUNCTION("""COMPUTED_VALUE"""),"Stonebrooke Rehabilitation Center")</f>
        <v>Stonebrooke Rehabilitation Center</v>
      </c>
      <c r="B67" s="134" t="str">
        <f ca="1">IFERROR(__xludf.DUMMYFUNCTION("""COMPUTED_VALUE"""),"ASC")</f>
        <v>ASC</v>
      </c>
      <c r="C67" s="134">
        <f ca="1">IFERROR(__xludf.DUMMYFUNCTION("""COMPUTED_VALUE"""),115)</f>
        <v>115</v>
      </c>
      <c r="D67" s="134" t="str">
        <f ca="1">IFERROR(__xludf.DUMMYFUNCTION("""COMPUTED_VALUE"""),"   990 N 16Th St")</f>
        <v xml:space="preserve">   990 N 16Th St</v>
      </c>
      <c r="E67" s="134" t="str">
        <f ca="1">IFERROR(__xludf.DUMMYFUNCTION("""COMPUTED_VALUE"""),"   New Castle, In 47362")</f>
        <v xml:space="preserve">   New Castle, In 47362</v>
      </c>
      <c r="F67" s="134" t="str">
        <f ca="1">IFERROR(__xludf.DUMMYFUNCTION("""COMPUTED_VALUE"""),"Kit delivery and pickup")</f>
        <v>Kit delivery and pickup</v>
      </c>
      <c r="G67" s="134" t="str">
        <f ca="1">IFERROR(__xludf.DUMMYFUNCTION("""COMPUTED_VALUE"""),"no")</f>
        <v>no</v>
      </c>
    </row>
    <row r="68" spans="1:7">
      <c r="A68" s="134" t="str">
        <f ca="1">IFERROR(__xludf.DUMMYFUNCTION("""COMPUTED_VALUE"""),"Summit City Nursing And Rehabilitation")</f>
        <v>Summit City Nursing And Rehabilitation</v>
      </c>
      <c r="B68" s="134" t="str">
        <f ca="1">IFERROR(__xludf.DUMMYFUNCTION("""COMPUTED_VALUE"""),"ASC")</f>
        <v>ASC</v>
      </c>
      <c r="C68" s="134">
        <f ca="1">IFERROR(__xludf.DUMMYFUNCTION("""COMPUTED_VALUE"""),96)</f>
        <v>96</v>
      </c>
      <c r="D68" s="134" t="str">
        <f ca="1">IFERROR(__xludf.DUMMYFUNCTION("""COMPUTED_VALUE"""),"   2940 N Clinton St")</f>
        <v xml:space="preserve">   2940 N Clinton St</v>
      </c>
      <c r="E68" s="134" t="str">
        <f ca="1">IFERROR(__xludf.DUMMYFUNCTION("""COMPUTED_VALUE"""),"   Fort Wayne, In 46805")</f>
        <v xml:space="preserve">   Fort Wayne, In 46805</v>
      </c>
      <c r="F68" s="134" t="str">
        <f ca="1">IFERROR(__xludf.DUMMYFUNCTION("""COMPUTED_VALUE"""),"Kit delivery and pickup")</f>
        <v>Kit delivery and pickup</v>
      </c>
      <c r="G68" s="134" t="str">
        <f ca="1">IFERROR(__xludf.DUMMYFUNCTION("""COMPUTED_VALUE"""),"no")</f>
        <v>no</v>
      </c>
    </row>
    <row r="69" spans="1:7">
      <c r="A69" s="134" t="str">
        <f ca="1">IFERROR(__xludf.DUMMYFUNCTION("""COMPUTED_VALUE"""),"Swiss Villa Nursing And Rehabilitation")</f>
        <v>Swiss Villa Nursing And Rehabilitation</v>
      </c>
      <c r="B69" s="134" t="str">
        <f ca="1">IFERROR(__xludf.DUMMYFUNCTION("""COMPUTED_VALUE"""),"ASC")</f>
        <v>ASC</v>
      </c>
      <c r="C69" s="134">
        <f ca="1">IFERROR(__xludf.DUMMYFUNCTION("""COMPUTED_VALUE"""),65)</f>
        <v>65</v>
      </c>
      <c r="D69" s="134" t="str">
        <f ca="1">IFERROR(__xludf.DUMMYFUNCTION("""COMPUTED_VALUE"""),"   1023 W Main St")</f>
        <v xml:space="preserve">   1023 W Main St</v>
      </c>
      <c r="E69" s="134" t="str">
        <f ca="1">IFERROR(__xludf.DUMMYFUNCTION("""COMPUTED_VALUE"""),"   Vevay, In 47043")</f>
        <v xml:space="preserve">   Vevay, In 47043</v>
      </c>
      <c r="F69" s="134" t="str">
        <f ca="1">IFERROR(__xludf.DUMMYFUNCTION("""COMPUTED_VALUE"""),"Kit delivery and pickup")</f>
        <v>Kit delivery and pickup</v>
      </c>
      <c r="G69" s="134" t="str">
        <f ca="1">IFERROR(__xludf.DUMMYFUNCTION("""COMPUTED_VALUE"""),"no")</f>
        <v>no</v>
      </c>
    </row>
    <row r="70" spans="1:7">
      <c r="A70" s="134" t="str">
        <f ca="1">IFERROR(__xludf.DUMMYFUNCTION("""COMPUTED_VALUE"""),"Timbers Of Jasper The")</f>
        <v>Timbers Of Jasper The</v>
      </c>
      <c r="B70" s="134" t="str">
        <f ca="1">IFERROR(__xludf.DUMMYFUNCTION("""COMPUTED_VALUE"""),"ASC")</f>
        <v>ASC</v>
      </c>
      <c r="C70" s="134">
        <f ca="1">IFERROR(__xludf.DUMMYFUNCTION("""COMPUTED_VALUE"""),98)</f>
        <v>98</v>
      </c>
      <c r="D70" s="134" t="str">
        <f ca="1">IFERROR(__xludf.DUMMYFUNCTION("""COMPUTED_VALUE"""),"   2909 Howard Dr")</f>
        <v xml:space="preserve">   2909 Howard Dr</v>
      </c>
      <c r="E70" s="134" t="str">
        <f ca="1">IFERROR(__xludf.DUMMYFUNCTION("""COMPUTED_VALUE"""),"   Jasper, In 47546")</f>
        <v xml:space="preserve">   Jasper, In 47546</v>
      </c>
      <c r="F70" s="134" t="str">
        <f ca="1">IFERROR(__xludf.DUMMYFUNCTION("""COMPUTED_VALUE"""),"Kit delivery and pickup")</f>
        <v>Kit delivery and pickup</v>
      </c>
      <c r="G70" s="134" t="str">
        <f ca="1">IFERROR(__xludf.DUMMYFUNCTION("""COMPUTED_VALUE"""),"no")</f>
        <v>no</v>
      </c>
    </row>
    <row r="71" spans="1:7">
      <c r="A71" s="134" t="str">
        <f ca="1">IFERROR(__xludf.DUMMYFUNCTION("""COMPUTED_VALUE"""),"Todd-Dickey Nursing And Rehabilitation")</f>
        <v>Todd-Dickey Nursing And Rehabilitation</v>
      </c>
      <c r="B71" s="134" t="str">
        <f ca="1">IFERROR(__xludf.DUMMYFUNCTION("""COMPUTED_VALUE"""),"ASC")</f>
        <v>ASC</v>
      </c>
      <c r="C71" s="134">
        <f ca="1">IFERROR(__xludf.DUMMYFUNCTION("""COMPUTED_VALUE"""),75)</f>
        <v>75</v>
      </c>
      <c r="D71" s="134" t="str">
        <f ca="1">IFERROR(__xludf.DUMMYFUNCTION("""COMPUTED_VALUE"""),"   712 W 2Nd St")</f>
        <v xml:space="preserve">   712 W 2Nd St</v>
      </c>
      <c r="E71" s="134" t="str">
        <f ca="1">IFERROR(__xludf.DUMMYFUNCTION("""COMPUTED_VALUE"""),"   Leavenworth, In 47137")</f>
        <v xml:space="preserve">   Leavenworth, In 47137</v>
      </c>
      <c r="F71" s="134" t="str">
        <f ca="1">IFERROR(__xludf.DUMMYFUNCTION("""COMPUTED_VALUE"""),"Kit delivery and pickup")</f>
        <v>Kit delivery and pickup</v>
      </c>
      <c r="G71" s="134" t="str">
        <f ca="1">IFERROR(__xludf.DUMMYFUNCTION("""COMPUTED_VALUE"""),"no")</f>
        <v>no</v>
      </c>
    </row>
    <row r="72" spans="1:7">
      <c r="A72" s="134" t="str">
        <f ca="1">IFERROR(__xludf.DUMMYFUNCTION("""COMPUTED_VALUE"""),"Trailpoint Village")</f>
        <v>Trailpoint Village</v>
      </c>
      <c r="B72" s="134" t="str">
        <f ca="1">IFERROR(__xludf.DUMMYFUNCTION("""COMPUTED_VALUE"""),"ASC")</f>
        <v>ASC</v>
      </c>
      <c r="C72" s="134">
        <f ca="1">IFERROR(__xludf.DUMMYFUNCTION("""COMPUTED_VALUE"""),190)</f>
        <v>190</v>
      </c>
      <c r="D72" s="134" t="str">
        <f ca="1">IFERROR(__xludf.DUMMYFUNCTION("""COMPUTED_VALUE"""),"   1950 Ridgedale Rd")</f>
        <v xml:space="preserve">   1950 Ridgedale Rd</v>
      </c>
      <c r="E72" s="134" t="str">
        <f ca="1">IFERROR(__xludf.DUMMYFUNCTION("""COMPUTED_VALUE"""),"   South Bend, In 46614")</f>
        <v xml:space="preserve">   South Bend, In 46614</v>
      </c>
      <c r="F72" s="134" t="str">
        <f ca="1">IFERROR(__xludf.DUMMYFUNCTION("""COMPUTED_VALUE"""),"Kit delivery and pickup")</f>
        <v>Kit delivery and pickup</v>
      </c>
      <c r="G72" s="134" t="str">
        <f ca="1">IFERROR(__xludf.DUMMYFUNCTION("""COMPUTED_VALUE"""),"no")</f>
        <v>no</v>
      </c>
    </row>
    <row r="73" spans="1:7">
      <c r="A73" s="134" t="str">
        <f ca="1">IFERROR(__xludf.DUMMYFUNCTION("""COMPUTED_VALUE"""),"University Nursing Center")</f>
        <v>University Nursing Center</v>
      </c>
      <c r="B73" s="134" t="str">
        <f ca="1">IFERROR(__xludf.DUMMYFUNCTION("""COMPUTED_VALUE"""),"ASC")</f>
        <v>ASC</v>
      </c>
      <c r="C73" s="134">
        <f ca="1">IFERROR(__xludf.DUMMYFUNCTION("""COMPUTED_VALUE"""),90)</f>
        <v>90</v>
      </c>
      <c r="D73" s="134" t="str">
        <f ca="1">IFERROR(__xludf.DUMMYFUNCTION("""COMPUTED_VALUE"""),"   1564 S University Blvd")</f>
        <v xml:space="preserve">   1564 S University Blvd</v>
      </c>
      <c r="E73" s="134" t="str">
        <f ca="1">IFERROR(__xludf.DUMMYFUNCTION("""COMPUTED_VALUE"""),"   Upland, In 46989")</f>
        <v xml:space="preserve">   Upland, In 46989</v>
      </c>
      <c r="F73" s="134" t="str">
        <f ca="1">IFERROR(__xludf.DUMMYFUNCTION("""COMPUTED_VALUE"""),"Kit delivery and pickup")</f>
        <v>Kit delivery and pickup</v>
      </c>
      <c r="G73" s="134" t="str">
        <f ca="1">IFERROR(__xludf.DUMMYFUNCTION("""COMPUTED_VALUE"""),"no")</f>
        <v>no</v>
      </c>
    </row>
    <row r="74" spans="1:7">
      <c r="A74" s="134" t="str">
        <f ca="1">IFERROR(__xludf.DUMMYFUNCTION("""COMPUTED_VALUE"""),"Valparaiso Care &amp; Rehabilitation")</f>
        <v>Valparaiso Care &amp; Rehabilitation</v>
      </c>
      <c r="B74" s="134" t="str">
        <f ca="1">IFERROR(__xludf.DUMMYFUNCTION("""COMPUTED_VALUE"""),"ASC")</f>
        <v>ASC</v>
      </c>
      <c r="C74" s="134">
        <f ca="1">IFERROR(__xludf.DUMMYFUNCTION("""COMPUTED_VALUE"""),239)</f>
        <v>239</v>
      </c>
      <c r="D74" s="134" t="str">
        <f ca="1">IFERROR(__xludf.DUMMYFUNCTION("""COMPUTED_VALUE"""),"   606 Wall Street")</f>
        <v xml:space="preserve">   606 Wall Street</v>
      </c>
      <c r="E74" s="134" t="str">
        <f ca="1">IFERROR(__xludf.DUMMYFUNCTION("""COMPUTED_VALUE"""),"   Valparaiso, In 46383")</f>
        <v xml:space="preserve">   Valparaiso, In 46383</v>
      </c>
      <c r="F74" s="134" t="str">
        <f ca="1">IFERROR(__xludf.DUMMYFUNCTION("""COMPUTED_VALUE"""),"Kit delivery and pickup")</f>
        <v>Kit delivery and pickup</v>
      </c>
      <c r="G74" s="134" t="str">
        <f ca="1">IFERROR(__xludf.DUMMYFUNCTION("""COMPUTED_VALUE"""),"no")</f>
        <v>no</v>
      </c>
    </row>
    <row r="75" spans="1:7">
      <c r="A75" s="134" t="str">
        <f ca="1">IFERROR(__xludf.DUMMYFUNCTION("""COMPUTED_VALUE"""),"Washington Healthcare Center")</f>
        <v>Washington Healthcare Center</v>
      </c>
      <c r="B75" s="134" t="str">
        <f ca="1">IFERROR(__xludf.DUMMYFUNCTION("""COMPUTED_VALUE"""),"ASC")</f>
        <v>ASC</v>
      </c>
      <c r="C75" s="134">
        <f ca="1">IFERROR(__xludf.DUMMYFUNCTION("""COMPUTED_VALUE"""),94)</f>
        <v>94</v>
      </c>
      <c r="D75" s="134" t="str">
        <f ca="1">IFERROR(__xludf.DUMMYFUNCTION("""COMPUTED_VALUE"""),"   8201 W Washington St")</f>
        <v xml:space="preserve">   8201 W Washington St</v>
      </c>
      <c r="E75" s="134" t="str">
        <f ca="1">IFERROR(__xludf.DUMMYFUNCTION("""COMPUTED_VALUE"""),"   Indianapolis, In 46231")</f>
        <v xml:space="preserve">   Indianapolis, In 46231</v>
      </c>
      <c r="F75" s="134" t="str">
        <f ca="1">IFERROR(__xludf.DUMMYFUNCTION("""COMPUTED_VALUE"""),"Kit delivery and pickup")</f>
        <v>Kit delivery and pickup</v>
      </c>
      <c r="G75" s="134" t="str">
        <f ca="1">IFERROR(__xludf.DUMMYFUNCTION("""COMPUTED_VALUE"""),"no")</f>
        <v>no</v>
      </c>
    </row>
    <row r="76" spans="1:7">
      <c r="A76" s="134" t="str">
        <f ca="1">IFERROR(__xludf.DUMMYFUNCTION("""COMPUTED_VALUE"""),"Waters Edge Village")</f>
        <v>Waters Edge Village</v>
      </c>
      <c r="B76" s="134" t="str">
        <f ca="1">IFERROR(__xludf.DUMMYFUNCTION("""COMPUTED_VALUE"""),"ASC")</f>
        <v>ASC</v>
      </c>
      <c r="C76" s="134">
        <f ca="1">IFERROR(__xludf.DUMMYFUNCTION("""COMPUTED_VALUE"""),78)</f>
        <v>78</v>
      </c>
      <c r="D76" s="134" t="str">
        <f ca="1">IFERROR(__xludf.DUMMYFUNCTION("""COMPUTED_VALUE"""),"   2200 West White River Blvd")</f>
        <v xml:space="preserve">   2200 West White River Blvd</v>
      </c>
      <c r="E76" s="134" t="str">
        <f ca="1">IFERROR(__xludf.DUMMYFUNCTION("""COMPUTED_VALUE"""),"   Muncie, In 47303")</f>
        <v xml:space="preserve">   Muncie, In 47303</v>
      </c>
      <c r="F76" s="134" t="str">
        <f ca="1">IFERROR(__xludf.DUMMYFUNCTION("""COMPUTED_VALUE"""),"Kit delivery and pickup")</f>
        <v>Kit delivery and pickup</v>
      </c>
      <c r="G76" s="134" t="str">
        <f ca="1">IFERROR(__xludf.DUMMYFUNCTION("""COMPUTED_VALUE"""),"no")</f>
        <v>no</v>
      </c>
    </row>
    <row r="77" spans="1:7">
      <c r="A77" s="134" t="str">
        <f ca="1">IFERROR(__xludf.DUMMYFUNCTION("""COMPUTED_VALUE"""),"West Bend Nursing And Rehabilitation")</f>
        <v>West Bend Nursing And Rehabilitation</v>
      </c>
      <c r="B77" s="134" t="str">
        <f ca="1">IFERROR(__xludf.DUMMYFUNCTION("""COMPUTED_VALUE"""),"ASC")</f>
        <v>ASC</v>
      </c>
      <c r="C77" s="134">
        <f ca="1">IFERROR(__xludf.DUMMYFUNCTION("""COMPUTED_VALUE"""),100)</f>
        <v>100</v>
      </c>
      <c r="D77" s="134" t="str">
        <f ca="1">IFERROR(__xludf.DUMMYFUNCTION("""COMPUTED_VALUE"""),"   4600 W Washington Ave")</f>
        <v xml:space="preserve">   4600 W Washington Ave</v>
      </c>
      <c r="E77" s="134" t="str">
        <f ca="1">IFERROR(__xludf.DUMMYFUNCTION("""COMPUTED_VALUE"""),"   South Bend, In 46619")</f>
        <v xml:space="preserve">   South Bend, In 46619</v>
      </c>
      <c r="F77" s="134" t="str">
        <f ca="1">IFERROR(__xludf.DUMMYFUNCTION("""COMPUTED_VALUE"""),"Kit delivery and pickup")</f>
        <v>Kit delivery and pickup</v>
      </c>
      <c r="G77" s="134" t="str">
        <f ca="1">IFERROR(__xludf.DUMMYFUNCTION("""COMPUTED_VALUE"""),"no")</f>
        <v>no</v>
      </c>
    </row>
    <row r="78" spans="1:7">
      <c r="A78" s="134" t="str">
        <f ca="1">IFERROR(__xludf.DUMMYFUNCTION("""COMPUTED_VALUE"""),"Westview Nursing And Rehabilitation Center")</f>
        <v>Westview Nursing And Rehabilitation Center</v>
      </c>
      <c r="B78" s="134" t="str">
        <f ca="1">IFERROR(__xludf.DUMMYFUNCTION("""COMPUTED_VALUE"""),"ASC")</f>
        <v>ASC</v>
      </c>
      <c r="C78" s="134">
        <f ca="1">IFERROR(__xludf.DUMMYFUNCTION("""COMPUTED_VALUE"""),96)</f>
        <v>96</v>
      </c>
      <c r="D78" s="134" t="str">
        <f ca="1">IFERROR(__xludf.DUMMYFUNCTION("""COMPUTED_VALUE"""),"   1510 Clinic Dr")</f>
        <v xml:space="preserve">   1510 Clinic Dr</v>
      </c>
      <c r="E78" s="134" t="str">
        <f ca="1">IFERROR(__xludf.DUMMYFUNCTION("""COMPUTED_VALUE"""),"   Bedford, In 47421")</f>
        <v xml:space="preserve">   Bedford, In 47421</v>
      </c>
      <c r="F78" s="134" t="str">
        <f ca="1">IFERROR(__xludf.DUMMYFUNCTION("""COMPUTED_VALUE"""),"Kit delivery and pickup")</f>
        <v>Kit delivery and pickup</v>
      </c>
      <c r="G78" s="134" t="str">
        <f ca="1">IFERROR(__xludf.DUMMYFUNCTION("""COMPUTED_VALUE"""),"no")</f>
        <v>no</v>
      </c>
    </row>
    <row r="79" spans="1:7">
      <c r="A79" s="134" t="str">
        <f ca="1">IFERROR(__xludf.DUMMYFUNCTION("""COMPUTED_VALUE"""),"Williamsport Nursing And Rehabilitation")</f>
        <v>Williamsport Nursing And Rehabilitation</v>
      </c>
      <c r="B79" s="134" t="str">
        <f ca="1">IFERROR(__xludf.DUMMYFUNCTION("""COMPUTED_VALUE"""),"ASC")</f>
        <v>ASC</v>
      </c>
      <c r="C79" s="134">
        <f ca="1">IFERROR(__xludf.DUMMYFUNCTION("""COMPUTED_VALUE"""),82)</f>
        <v>82</v>
      </c>
      <c r="D79" s="134" t="str">
        <f ca="1">IFERROR(__xludf.DUMMYFUNCTION("""COMPUTED_VALUE"""),"   200 Short St")</f>
        <v xml:space="preserve">   200 Short St</v>
      </c>
      <c r="E79" s="134" t="str">
        <f ca="1">IFERROR(__xludf.DUMMYFUNCTION("""COMPUTED_VALUE"""),"   Williamsport, In 47993")</f>
        <v xml:space="preserve">   Williamsport, In 47993</v>
      </c>
      <c r="F79" s="134" t="str">
        <f ca="1">IFERROR(__xludf.DUMMYFUNCTION("""COMPUTED_VALUE"""),"Kit delivery and pickup")</f>
        <v>Kit delivery and pickup</v>
      </c>
      <c r="G79" s="134" t="str">
        <f ca="1">IFERROR(__xludf.DUMMYFUNCTION("""COMPUTED_VALUE"""),"no")</f>
        <v>no</v>
      </c>
    </row>
    <row r="80" spans="1:7">
      <c r="A80" s="134" t="str">
        <f ca="1">IFERROR(__xludf.DUMMYFUNCTION("""COMPUTED_VALUE"""),"Willowdale Village")</f>
        <v>Willowdale Village</v>
      </c>
      <c r="B80" s="134" t="str">
        <f ca="1">IFERROR(__xludf.DUMMYFUNCTION("""COMPUTED_VALUE"""),"ASC")</f>
        <v>ASC</v>
      </c>
      <c r="C80" s="134">
        <f ca="1">IFERROR(__xludf.DUMMYFUNCTION("""COMPUTED_VALUE"""),52)</f>
        <v>52</v>
      </c>
      <c r="D80" s="134" t="str">
        <f ca="1">IFERROR(__xludf.DUMMYFUNCTION("""COMPUTED_VALUE"""),"   404 W Willow Rd")</f>
        <v xml:space="preserve">   404 W Willow Rd</v>
      </c>
      <c r="E80" s="134" t="str">
        <f ca="1">IFERROR(__xludf.DUMMYFUNCTION("""COMPUTED_VALUE"""),"   Dale, In 47523")</f>
        <v xml:space="preserve">   Dale, In 47523</v>
      </c>
      <c r="F80" s="134" t="str">
        <f ca="1">IFERROR(__xludf.DUMMYFUNCTION("""COMPUTED_VALUE"""),"Kit delivery and pickup")</f>
        <v>Kit delivery and pickup</v>
      </c>
      <c r="G80" s="134" t="str">
        <f ca="1">IFERROR(__xludf.DUMMYFUNCTION("""COMPUTED_VALUE"""),"no")</f>
        <v>no</v>
      </c>
    </row>
    <row r="81" spans="1:7">
      <c r="A81" s="134" t="str">
        <f ca="1">IFERROR(__xludf.DUMMYFUNCTION("""COMPUTED_VALUE"""),"Zionsville Meadows")</f>
        <v>Zionsville Meadows</v>
      </c>
      <c r="B81" s="134" t="str">
        <f ca="1">IFERROR(__xludf.DUMMYFUNCTION("""COMPUTED_VALUE"""),"ASC")</f>
        <v>ASC</v>
      </c>
      <c r="C81" s="134">
        <f ca="1">IFERROR(__xludf.DUMMYFUNCTION("""COMPUTED_VALUE"""),110)</f>
        <v>110</v>
      </c>
      <c r="D81" s="134" t="str">
        <f ca="1">IFERROR(__xludf.DUMMYFUNCTION("""COMPUTED_VALUE"""),"   675 S Ford Rd")</f>
        <v xml:space="preserve">   675 S Ford Rd</v>
      </c>
      <c r="E81" s="134" t="str">
        <f ca="1">IFERROR(__xludf.DUMMYFUNCTION("""COMPUTED_VALUE"""),"   Zionsville, In 46077")</f>
        <v xml:space="preserve">   Zionsville, In 46077</v>
      </c>
      <c r="F81" s="134" t="str">
        <f ca="1">IFERROR(__xludf.DUMMYFUNCTION("""COMPUTED_VALUE"""),"Kit delivery and pickup")</f>
        <v>Kit delivery and pickup</v>
      </c>
      <c r="G81" s="134" t="str">
        <f ca="1">IFERROR(__xludf.DUMMYFUNCTION("""COMPUTED_VALUE"""),"no")</f>
        <v>no</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FF"/>
    <outlinePr summaryBelow="0" summaryRight="0"/>
  </sheetPr>
  <dimension ref="A1:G64"/>
  <sheetViews>
    <sheetView workbookViewId="0"/>
  </sheetViews>
  <sheetFormatPr defaultColWidth="12.625" defaultRowHeight="15" customHeight="1"/>
  <cols>
    <col min="1" max="1" width="39.625" customWidth="1"/>
    <col min="3" max="3" width="12.5" customWidth="1"/>
    <col min="5" max="5" width="20" customWidth="1"/>
    <col min="6" max="6" width="17.375" customWidth="1"/>
    <col min="7" max="7" width="19.125" customWidth="1"/>
  </cols>
  <sheetData>
    <row r="1" spans="1:7">
      <c r="A1" s="134" t="str">
        <f ca="1">IFERROR(__xludf.DUMMYFUNCTION("query('Data Set'!1:99989, ""Select A,B,G,Y,Z,AA,AB Where B = 'Trilogy'"",1)"),"Facility")</f>
        <v>Facility</v>
      </c>
      <c r="B1" s="134" t="str">
        <f ca="1">IFERROR(__xludf.DUMMYFUNCTION("""COMPUTED_VALUE"""),"Corporation")</f>
        <v>Corporation</v>
      </c>
      <c r="C1" s="134" t="str">
        <f ca="1">IFERROR(__xludf.DUMMYFUNCTION("""COMPUTED_VALUE"""),"Number of Staff")</f>
        <v>Number of Staff</v>
      </c>
      <c r="D1" s="134" t="str">
        <f ca="1">IFERROR(__xludf.DUMMYFUNCTION("""COMPUTED_VALUE"""),"Address 1")</f>
        <v>Address 1</v>
      </c>
      <c r="E1" s="134" t="str">
        <f ca="1">IFERROR(__xludf.DUMMYFUNCTION("""COMPUTED_VALUE"""),"Address 2")</f>
        <v>Address 2</v>
      </c>
      <c r="F1" s="134" t="str">
        <f ca="1">IFERROR(__xludf.DUMMYFUNCTION("""COMPUTED_VALUE"""),"Kit delivery and pickup")</f>
        <v>Kit delivery and pickup</v>
      </c>
      <c r="G1" s="134" t="str">
        <f ca="1">IFERROR(__xludf.DUMMYFUNCTION("""COMPUTED_VALUE"""),"Require Training of Staff?")</f>
        <v>Require Training of Staff?</v>
      </c>
    </row>
    <row r="2" spans="1:7">
      <c r="A2" s="134" t="str">
        <f ca="1">IFERROR(__xludf.DUMMYFUNCTION("""COMPUTED_VALUE"""),"Amber Manor Care Center")</f>
        <v>Amber Manor Care Center</v>
      </c>
      <c r="B2" s="134" t="str">
        <f ca="1">IFERROR(__xludf.DUMMYFUNCTION("""COMPUTED_VALUE"""),"Trilogy")</f>
        <v>Trilogy</v>
      </c>
      <c r="C2" s="134">
        <f ca="1">IFERROR(__xludf.DUMMYFUNCTION("""COMPUTED_VALUE"""),111)</f>
        <v>111</v>
      </c>
      <c r="D2" s="134" t="str">
        <f ca="1">IFERROR(__xludf.DUMMYFUNCTION("""COMPUTED_VALUE"""),"   801 E Illinois St")</f>
        <v xml:space="preserve">   801 E Illinois St</v>
      </c>
      <c r="E2" s="134" t="str">
        <f ca="1">IFERROR(__xludf.DUMMYFUNCTION("""COMPUTED_VALUE"""),"   Petersburg, In 47567")</f>
        <v xml:space="preserve">   Petersburg, In 47567</v>
      </c>
      <c r="F2" s="134" t="str">
        <f ca="1">IFERROR(__xludf.DUMMYFUNCTION("""COMPUTED_VALUE"""),"Kit delivery and pickup")</f>
        <v>Kit delivery and pickup</v>
      </c>
      <c r="G2" s="134" t="str">
        <f ca="1">IFERROR(__xludf.DUMMYFUNCTION("""COMPUTED_VALUE"""),"no")</f>
        <v>no</v>
      </c>
    </row>
    <row r="3" spans="1:7">
      <c r="A3" s="134" t="str">
        <f ca="1">IFERROR(__xludf.DUMMYFUNCTION("""COMPUTED_VALUE"""),"Arlington Place Health Campus")</f>
        <v>Arlington Place Health Campus</v>
      </c>
      <c r="B3" s="134" t="str">
        <f ca="1">IFERROR(__xludf.DUMMYFUNCTION("""COMPUTED_VALUE"""),"Trilogy")</f>
        <v>Trilogy</v>
      </c>
      <c r="C3" s="134">
        <f ca="1">IFERROR(__xludf.DUMMYFUNCTION("""COMPUTED_VALUE"""),100)</f>
        <v>100</v>
      </c>
      <c r="D3" s="134" t="str">
        <f ca="1">IFERROR(__xludf.DUMMYFUNCTION("""COMPUTED_VALUE"""),"   1635 N Arlington Ave")</f>
        <v xml:space="preserve">   1635 N Arlington Ave</v>
      </c>
      <c r="E3" s="134" t="str">
        <f ca="1">IFERROR(__xludf.DUMMYFUNCTION("""COMPUTED_VALUE"""),"   Indianapolis, In 46218")</f>
        <v xml:space="preserve">   Indianapolis, In 46218</v>
      </c>
      <c r="F3" s="134" t="str">
        <f ca="1">IFERROR(__xludf.DUMMYFUNCTION("""COMPUTED_VALUE"""),"Kit delivery and pickup")</f>
        <v>Kit delivery and pickup</v>
      </c>
      <c r="G3" s="134" t="str">
        <f ca="1">IFERROR(__xludf.DUMMYFUNCTION("""COMPUTED_VALUE"""),"no")</f>
        <v>no</v>
      </c>
    </row>
    <row r="4" spans="1:7">
      <c r="A4" s="134" t="str">
        <f ca="1">IFERROR(__xludf.DUMMYFUNCTION("""COMPUTED_VALUE"""),"Ashford Place Health Campus")</f>
        <v>Ashford Place Health Campus</v>
      </c>
      <c r="B4" s="134" t="str">
        <f ca="1">IFERROR(__xludf.DUMMYFUNCTION("""COMPUTED_VALUE"""),"Trilogy")</f>
        <v>Trilogy</v>
      </c>
      <c r="C4" s="134">
        <f ca="1">IFERROR(__xludf.DUMMYFUNCTION("""COMPUTED_VALUE"""),122)</f>
        <v>122</v>
      </c>
      <c r="D4" s="134" t="str">
        <f ca="1">IFERROR(__xludf.DUMMYFUNCTION("""COMPUTED_VALUE"""),"   2200 N Riley Hwy")</f>
        <v xml:space="preserve">   2200 N Riley Hwy</v>
      </c>
      <c r="E4" s="134" t="str">
        <f ca="1">IFERROR(__xludf.DUMMYFUNCTION("""COMPUTED_VALUE"""),"   Shelbyville, In 46176")</f>
        <v xml:space="preserve">   Shelbyville, In 46176</v>
      </c>
      <c r="F4" s="134" t="str">
        <f ca="1">IFERROR(__xludf.DUMMYFUNCTION("""COMPUTED_VALUE"""),"Kit delivery and pickup")</f>
        <v>Kit delivery and pickup</v>
      </c>
      <c r="G4" s="134" t="str">
        <f ca="1">IFERROR(__xludf.DUMMYFUNCTION("""COMPUTED_VALUE"""),"no")</f>
        <v>no</v>
      </c>
    </row>
    <row r="5" spans="1:7">
      <c r="A5" s="134" t="str">
        <f ca="1">IFERROR(__xludf.DUMMYFUNCTION("""COMPUTED_VALUE"""),"Aspen Place Health Campus")</f>
        <v>Aspen Place Health Campus</v>
      </c>
      <c r="B5" s="134" t="str">
        <f ca="1">IFERROR(__xludf.DUMMYFUNCTION("""COMPUTED_VALUE"""),"Trilogy")</f>
        <v>Trilogy</v>
      </c>
      <c r="C5" s="134">
        <f ca="1">IFERROR(__xludf.DUMMYFUNCTION("""COMPUTED_VALUE"""),111)</f>
        <v>111</v>
      </c>
      <c r="D5" s="134" t="str">
        <f ca="1">IFERROR(__xludf.DUMMYFUNCTION("""COMPUTED_VALUE"""),"   2320 N Montgomery Road")</f>
        <v xml:space="preserve">   2320 N Montgomery Road</v>
      </c>
      <c r="E5" s="134" t="str">
        <f ca="1">IFERROR(__xludf.DUMMYFUNCTION("""COMPUTED_VALUE"""),"   Greensburg, In 47240")</f>
        <v xml:space="preserve">   Greensburg, In 47240</v>
      </c>
      <c r="F5" s="134" t="str">
        <f ca="1">IFERROR(__xludf.DUMMYFUNCTION("""COMPUTED_VALUE"""),"Kit delivery and pickup")</f>
        <v>Kit delivery and pickup</v>
      </c>
      <c r="G5" s="134" t="str">
        <f ca="1">IFERROR(__xludf.DUMMYFUNCTION("""COMPUTED_VALUE"""),"no")</f>
        <v>no</v>
      </c>
    </row>
    <row r="6" spans="1:7">
      <c r="A6" s="134" t="str">
        <f ca="1">IFERROR(__xludf.DUMMYFUNCTION("""COMPUTED_VALUE"""),"Autumn Woods Health Campus")</f>
        <v>Autumn Woods Health Campus</v>
      </c>
      <c r="B6" s="134" t="str">
        <f ca="1">IFERROR(__xludf.DUMMYFUNCTION("""COMPUTED_VALUE"""),"Trilogy")</f>
        <v>Trilogy</v>
      </c>
      <c r="C6" s="134">
        <f ca="1">IFERROR(__xludf.DUMMYFUNCTION("""COMPUTED_VALUE"""),137)</f>
        <v>137</v>
      </c>
      <c r="D6" s="134" t="str">
        <f ca="1">IFERROR(__xludf.DUMMYFUNCTION("""COMPUTED_VALUE"""),"   2911 Green Valley Rd")</f>
        <v xml:space="preserve">   2911 Green Valley Rd</v>
      </c>
      <c r="E6" s="134" t="str">
        <f ca="1">IFERROR(__xludf.DUMMYFUNCTION("""COMPUTED_VALUE"""),"   New Albany, In 47150")</f>
        <v xml:space="preserve">   New Albany, In 47150</v>
      </c>
      <c r="F6" s="134" t="str">
        <f ca="1">IFERROR(__xludf.DUMMYFUNCTION("""COMPUTED_VALUE"""),"Kit delivery and pickup")</f>
        <v>Kit delivery and pickup</v>
      </c>
      <c r="G6" s="134" t="str">
        <f ca="1">IFERROR(__xludf.DUMMYFUNCTION("""COMPUTED_VALUE"""),"no")</f>
        <v>no</v>
      </c>
    </row>
    <row r="7" spans="1:7">
      <c r="A7" s="134" t="str">
        <f ca="1">IFERROR(__xludf.DUMMYFUNCTION("""COMPUTED_VALUE"""),"Avalon Springs Health Campus")</f>
        <v>Avalon Springs Health Campus</v>
      </c>
      <c r="B7" s="134" t="str">
        <f ca="1">IFERROR(__xludf.DUMMYFUNCTION("""COMPUTED_VALUE"""),"Trilogy")</f>
        <v>Trilogy</v>
      </c>
      <c r="C7" s="134">
        <f ca="1">IFERROR(__xludf.DUMMYFUNCTION("""COMPUTED_VALUE"""),161)</f>
        <v>161</v>
      </c>
      <c r="D7" s="134" t="str">
        <f ca="1">IFERROR(__xludf.DUMMYFUNCTION("""COMPUTED_VALUE"""),"   2400 Silhavy Road")</f>
        <v xml:space="preserve">   2400 Silhavy Road</v>
      </c>
      <c r="E7" s="134" t="str">
        <f ca="1">IFERROR(__xludf.DUMMYFUNCTION("""COMPUTED_VALUE"""),"   Valparaiso, In 46383")</f>
        <v xml:space="preserve">   Valparaiso, In 46383</v>
      </c>
      <c r="F7" s="134" t="str">
        <f ca="1">IFERROR(__xludf.DUMMYFUNCTION("""COMPUTED_VALUE"""),"Kit delivery and pickup")</f>
        <v>Kit delivery and pickup</v>
      </c>
      <c r="G7" s="134" t="str">
        <f ca="1">IFERROR(__xludf.DUMMYFUNCTION("""COMPUTED_VALUE"""),"no")</f>
        <v>no</v>
      </c>
    </row>
    <row r="8" spans="1:7">
      <c r="A8" s="134" t="str">
        <f ca="1">IFERROR(__xludf.DUMMYFUNCTION("""COMPUTED_VALUE"""),"Bethany Pointe Health Campus")</f>
        <v>Bethany Pointe Health Campus</v>
      </c>
      <c r="B8" s="134" t="str">
        <f ca="1">IFERROR(__xludf.DUMMYFUNCTION("""COMPUTED_VALUE"""),"Trilogy")</f>
        <v>Trilogy</v>
      </c>
      <c r="C8" s="134">
        <f ca="1">IFERROR(__xludf.DUMMYFUNCTION("""COMPUTED_VALUE"""),65)</f>
        <v>65</v>
      </c>
      <c r="D8" s="134" t="str">
        <f ca="1">IFERROR(__xludf.DUMMYFUNCTION("""COMPUTED_VALUE"""),"   1707 Bethany Rd")</f>
        <v xml:space="preserve">   1707 Bethany Rd</v>
      </c>
      <c r="E8" s="134" t="str">
        <f ca="1">IFERROR(__xludf.DUMMYFUNCTION("""COMPUTED_VALUE"""),"   Anderson, In 46012")</f>
        <v xml:space="preserve">   Anderson, In 46012</v>
      </c>
      <c r="F8" s="134" t="str">
        <f ca="1">IFERROR(__xludf.DUMMYFUNCTION("""COMPUTED_VALUE"""),"Kit delivery and pickup")</f>
        <v>Kit delivery and pickup</v>
      </c>
      <c r="G8" s="134" t="str">
        <f ca="1">IFERROR(__xludf.DUMMYFUNCTION("""COMPUTED_VALUE"""),"no")</f>
        <v>no</v>
      </c>
    </row>
    <row r="9" spans="1:7">
      <c r="A9" s="134" t="str">
        <f ca="1">IFERROR(__xludf.DUMMYFUNCTION("""COMPUTED_VALUE"""),"Blair Ridge Health Campus")</f>
        <v>Blair Ridge Health Campus</v>
      </c>
      <c r="B9" s="134" t="str">
        <f ca="1">IFERROR(__xludf.DUMMYFUNCTION("""COMPUTED_VALUE"""),"Trilogy")</f>
        <v>Trilogy</v>
      </c>
      <c r="C9" s="134">
        <f ca="1">IFERROR(__xludf.DUMMYFUNCTION("""COMPUTED_VALUE"""),117)</f>
        <v>117</v>
      </c>
      <c r="D9" s="134" t="str">
        <f ca="1">IFERROR(__xludf.DUMMYFUNCTION("""COMPUTED_VALUE"""),"   269 Meadowview Dr")</f>
        <v xml:space="preserve">   269 Meadowview Dr</v>
      </c>
      <c r="E9" s="134" t="str">
        <f ca="1">IFERROR(__xludf.DUMMYFUNCTION("""COMPUTED_VALUE"""),"   Peru, In 46970")</f>
        <v xml:space="preserve">   Peru, In 46970</v>
      </c>
      <c r="F9" s="134" t="str">
        <f ca="1">IFERROR(__xludf.DUMMYFUNCTION("""COMPUTED_VALUE"""),"Kit delivery and pickup")</f>
        <v>Kit delivery and pickup</v>
      </c>
      <c r="G9" s="134" t="str">
        <f ca="1">IFERROR(__xludf.DUMMYFUNCTION("""COMPUTED_VALUE"""),"no")</f>
        <v>no</v>
      </c>
    </row>
    <row r="10" spans="1:7">
      <c r="A10" s="134" t="str">
        <f ca="1">IFERROR(__xludf.DUMMYFUNCTION("""COMPUTED_VALUE"""),"Bridgepointe Health Campus")</f>
        <v>Bridgepointe Health Campus</v>
      </c>
      <c r="B10" s="134" t="str">
        <f ca="1">IFERROR(__xludf.DUMMYFUNCTION("""COMPUTED_VALUE"""),"Trilogy")</f>
        <v>Trilogy</v>
      </c>
      <c r="C10" s="134">
        <f ca="1">IFERROR(__xludf.DUMMYFUNCTION("""COMPUTED_VALUE"""),110)</f>
        <v>110</v>
      </c>
      <c r="D10" s="134" t="str">
        <f ca="1">IFERROR(__xludf.DUMMYFUNCTION("""COMPUTED_VALUE"""),"   1900 College Ave")</f>
        <v xml:space="preserve">   1900 College Ave</v>
      </c>
      <c r="E10" s="134" t="str">
        <f ca="1">IFERROR(__xludf.DUMMYFUNCTION("""COMPUTED_VALUE"""),"   Vincennes, In 47591")</f>
        <v xml:space="preserve">   Vincennes, In 47591</v>
      </c>
      <c r="F10" s="134" t="str">
        <f ca="1">IFERROR(__xludf.DUMMYFUNCTION("""COMPUTED_VALUE"""),"Kit delivery and pickup")</f>
        <v>Kit delivery and pickup</v>
      </c>
      <c r="G10" s="134" t="str">
        <f ca="1">IFERROR(__xludf.DUMMYFUNCTION("""COMPUTED_VALUE"""),"no")</f>
        <v>no</v>
      </c>
    </row>
    <row r="11" spans="1:7">
      <c r="A11" s="134" t="str">
        <f ca="1">IFERROR(__xludf.DUMMYFUNCTION("""COMPUTED_VALUE"""),"Cedar Creek Health Campus")</f>
        <v>Cedar Creek Health Campus</v>
      </c>
      <c r="B11" s="134" t="str">
        <f ca="1">IFERROR(__xludf.DUMMYFUNCTION("""COMPUTED_VALUE"""),"Trilogy")</f>
        <v>Trilogy</v>
      </c>
      <c r="C11" s="134">
        <f ca="1">IFERROR(__xludf.DUMMYFUNCTION("""COMPUTED_VALUE"""),136)</f>
        <v>136</v>
      </c>
      <c r="D11" s="134" t="str">
        <f ca="1">IFERROR(__xludf.DUMMYFUNCTION("""COMPUTED_VALUE"""),"   18275 Burr Street")</f>
        <v xml:space="preserve">   18275 Burr Street</v>
      </c>
      <c r="E11" s="134" t="str">
        <f ca="1">IFERROR(__xludf.DUMMYFUNCTION("""COMPUTED_VALUE"""),"   Lowell, In 46356")</f>
        <v xml:space="preserve">   Lowell, In 46356</v>
      </c>
      <c r="F11" s="134" t="str">
        <f ca="1">IFERROR(__xludf.DUMMYFUNCTION("""COMPUTED_VALUE"""),"Kit delivery and pickup")</f>
        <v>Kit delivery and pickup</v>
      </c>
      <c r="G11" s="134" t="str">
        <f ca="1">IFERROR(__xludf.DUMMYFUNCTION("""COMPUTED_VALUE"""),"no")</f>
        <v>no</v>
      </c>
    </row>
    <row r="12" spans="1:7">
      <c r="A12" s="134" t="str">
        <f ca="1">IFERROR(__xludf.DUMMYFUNCTION("""COMPUTED_VALUE"""),"Clearvista Lake Health Campus")</f>
        <v>Clearvista Lake Health Campus</v>
      </c>
      <c r="B12" s="134" t="str">
        <f ca="1">IFERROR(__xludf.DUMMYFUNCTION("""COMPUTED_VALUE"""),"Trilogy")</f>
        <v>Trilogy</v>
      </c>
      <c r="C12" s="134">
        <f ca="1">IFERROR(__xludf.DUMMYFUNCTION("""COMPUTED_VALUE"""),101)</f>
        <v>101</v>
      </c>
      <c r="D12" s="134" t="str">
        <f ca="1">IFERROR(__xludf.DUMMYFUNCTION("""COMPUTED_VALUE"""),"   8405 Clearvista Place")</f>
        <v xml:space="preserve">   8405 Clearvista Place</v>
      </c>
      <c r="E12" s="134" t="str">
        <f ca="1">IFERROR(__xludf.DUMMYFUNCTION("""COMPUTED_VALUE"""),"   Indianapolis, In 46256")</f>
        <v xml:space="preserve">   Indianapolis, In 46256</v>
      </c>
      <c r="F12" s="134" t="str">
        <f ca="1">IFERROR(__xludf.DUMMYFUNCTION("""COMPUTED_VALUE"""),"Kit delivery and pickup")</f>
        <v>Kit delivery and pickup</v>
      </c>
      <c r="G12" s="134" t="str">
        <f ca="1">IFERROR(__xludf.DUMMYFUNCTION("""COMPUTED_VALUE"""),"no")</f>
        <v>no</v>
      </c>
    </row>
    <row r="13" spans="1:7">
      <c r="A13" s="134" t="str">
        <f ca="1">IFERROR(__xludf.DUMMYFUNCTION("""COMPUTED_VALUE"""),"Cobblestone Crossings Health Campus")</f>
        <v>Cobblestone Crossings Health Campus</v>
      </c>
      <c r="B13" s="134" t="str">
        <f ca="1">IFERROR(__xludf.DUMMYFUNCTION("""COMPUTED_VALUE"""),"Trilogy")</f>
        <v>Trilogy</v>
      </c>
      <c r="C13" s="134">
        <f ca="1">IFERROR(__xludf.DUMMYFUNCTION("""COMPUTED_VALUE"""),137)</f>
        <v>137</v>
      </c>
      <c r="D13" s="134" t="str">
        <f ca="1">IFERROR(__xludf.DUMMYFUNCTION("""COMPUTED_VALUE"""),"   1850 E Howard Wayne Dr")</f>
        <v xml:space="preserve">   1850 E Howard Wayne Dr</v>
      </c>
      <c r="E13" s="134" t="str">
        <f ca="1">IFERROR(__xludf.DUMMYFUNCTION("""COMPUTED_VALUE"""),"   Terre Haute, In 47802")</f>
        <v xml:space="preserve">   Terre Haute, In 47802</v>
      </c>
      <c r="F13" s="134" t="str">
        <f ca="1">IFERROR(__xludf.DUMMYFUNCTION("""COMPUTED_VALUE"""),"#N/A")</f>
        <v>#N/A</v>
      </c>
      <c r="G13" s="134" t="str">
        <f ca="1">IFERROR(__xludf.DUMMYFUNCTION("""COMPUTED_VALUE"""),"#N/A")</f>
        <v>#N/A</v>
      </c>
    </row>
    <row r="14" spans="1:7">
      <c r="A14" s="134" t="str">
        <f ca="1">IFERROR(__xludf.DUMMYFUNCTION("""COMPUTED_VALUE"""),"Covered Bridge Health Campus")</f>
        <v>Covered Bridge Health Campus</v>
      </c>
      <c r="B14" s="134" t="str">
        <f ca="1">IFERROR(__xludf.DUMMYFUNCTION("""COMPUTED_VALUE"""),"Trilogy")</f>
        <v>Trilogy</v>
      </c>
      <c r="C14" s="134">
        <f ca="1">IFERROR(__xludf.DUMMYFUNCTION("""COMPUTED_VALUE"""),109)</f>
        <v>109</v>
      </c>
      <c r="D14" s="134" t="str">
        <f ca="1">IFERROR(__xludf.DUMMYFUNCTION("""COMPUTED_VALUE"""),"   1675 W Tipton St")</f>
        <v xml:space="preserve">   1675 W Tipton St</v>
      </c>
      <c r="E14" s="134" t="str">
        <f ca="1">IFERROR(__xludf.DUMMYFUNCTION("""COMPUTED_VALUE"""),"   Seymour, In 47274")</f>
        <v xml:space="preserve">   Seymour, In 47274</v>
      </c>
      <c r="F14" s="134" t="str">
        <f ca="1">IFERROR(__xludf.DUMMYFUNCTION("""COMPUTED_VALUE"""),"Kit delivery and pickup")</f>
        <v>Kit delivery and pickup</v>
      </c>
      <c r="G14" s="134" t="str">
        <f ca="1">IFERROR(__xludf.DUMMYFUNCTION("""COMPUTED_VALUE"""),"no")</f>
        <v>no</v>
      </c>
    </row>
    <row r="15" spans="1:7">
      <c r="A15" s="134" t="str">
        <f ca="1">IFERROR(__xludf.DUMMYFUNCTION("""COMPUTED_VALUE"""),"Creasy Springs Health Campus")</f>
        <v>Creasy Springs Health Campus</v>
      </c>
      <c r="B15" s="134" t="str">
        <f ca="1">IFERROR(__xludf.DUMMYFUNCTION("""COMPUTED_VALUE"""),"Trilogy")</f>
        <v>Trilogy</v>
      </c>
      <c r="C15" s="134">
        <f ca="1">IFERROR(__xludf.DUMMYFUNCTION("""COMPUTED_VALUE"""),125)</f>
        <v>125</v>
      </c>
      <c r="D15" s="134" t="str">
        <f ca="1">IFERROR(__xludf.DUMMYFUNCTION("""COMPUTED_VALUE"""),"   1750 S Creasy Ln")</f>
        <v xml:space="preserve">   1750 S Creasy Ln</v>
      </c>
      <c r="E15" s="134" t="str">
        <f ca="1">IFERROR(__xludf.DUMMYFUNCTION("""COMPUTED_VALUE"""),"   Lafayette, In 47905")</f>
        <v xml:space="preserve">   Lafayette, In 47905</v>
      </c>
      <c r="F15" s="134" t="str">
        <f ca="1">IFERROR(__xludf.DUMMYFUNCTION("""COMPUTED_VALUE"""),"Kit delivery and pickup")</f>
        <v>Kit delivery and pickup</v>
      </c>
      <c r="G15" s="134" t="str">
        <f ca="1">IFERROR(__xludf.DUMMYFUNCTION("""COMPUTED_VALUE"""),"no")</f>
        <v>no</v>
      </c>
    </row>
    <row r="16" spans="1:7">
      <c r="A16" s="134" t="str">
        <f ca="1">IFERROR(__xludf.DUMMYFUNCTION("""COMPUTED_VALUE"""),"Cumberland Pointe Health Campus")</f>
        <v>Cumberland Pointe Health Campus</v>
      </c>
      <c r="B16" s="134" t="str">
        <f ca="1">IFERROR(__xludf.DUMMYFUNCTION("""COMPUTED_VALUE"""),"Trilogy")</f>
        <v>Trilogy</v>
      </c>
      <c r="C16" s="134">
        <f ca="1">IFERROR(__xludf.DUMMYFUNCTION("""COMPUTED_VALUE"""),130)</f>
        <v>130</v>
      </c>
      <c r="D16" s="134" t="str">
        <f ca="1">IFERROR(__xludf.DUMMYFUNCTION("""COMPUTED_VALUE"""),"   1051 Cumberland Ave")</f>
        <v xml:space="preserve">   1051 Cumberland Ave</v>
      </c>
      <c r="E16" s="134" t="str">
        <f ca="1">IFERROR(__xludf.DUMMYFUNCTION("""COMPUTED_VALUE"""),"   West Lafayette, In 47906")</f>
        <v xml:space="preserve">   West Lafayette, In 47906</v>
      </c>
      <c r="F16" s="134" t="str">
        <f ca="1">IFERROR(__xludf.DUMMYFUNCTION("""COMPUTED_VALUE"""),"Kit delivery and pickup")</f>
        <v>Kit delivery and pickup</v>
      </c>
      <c r="G16" s="134" t="str">
        <f ca="1">IFERROR(__xludf.DUMMYFUNCTION("""COMPUTED_VALUE"""),"no")</f>
        <v>no</v>
      </c>
    </row>
    <row r="17" spans="1:7">
      <c r="A17" s="134" t="str">
        <f ca="1">IFERROR(__xludf.DUMMYFUNCTION("""COMPUTED_VALUE"""),"Forest Park Health Campus")</f>
        <v>Forest Park Health Campus</v>
      </c>
      <c r="B17" s="134" t="str">
        <f ca="1">IFERROR(__xludf.DUMMYFUNCTION("""COMPUTED_VALUE"""),"Trilogy")</f>
        <v>Trilogy</v>
      </c>
      <c r="C17" s="134">
        <f ca="1">IFERROR(__xludf.DUMMYFUNCTION("""COMPUTED_VALUE"""),98)</f>
        <v>98</v>
      </c>
      <c r="D17" s="134" t="str">
        <f ca="1">IFERROR(__xludf.DUMMYFUNCTION("""COMPUTED_VALUE"""),"   2401 South L St")</f>
        <v xml:space="preserve">   2401 South L St</v>
      </c>
      <c r="E17" s="134" t="str">
        <f ca="1">IFERROR(__xludf.DUMMYFUNCTION("""COMPUTED_VALUE"""),"   Richmond, In 47374")</f>
        <v xml:space="preserve">   Richmond, In 47374</v>
      </c>
      <c r="F17" s="134" t="str">
        <f ca="1">IFERROR(__xludf.DUMMYFUNCTION("""COMPUTED_VALUE"""),"Kit delivery and pickup")</f>
        <v>Kit delivery and pickup</v>
      </c>
      <c r="G17" s="134" t="str">
        <f ca="1">IFERROR(__xludf.DUMMYFUNCTION("""COMPUTED_VALUE"""),"no")</f>
        <v>no</v>
      </c>
    </row>
    <row r="18" spans="1:7">
      <c r="A18" s="134" t="str">
        <f ca="1">IFERROR(__xludf.DUMMYFUNCTION("""COMPUTED_VALUE"""),"Glen Oaks Health Campus")</f>
        <v>Glen Oaks Health Campus</v>
      </c>
      <c r="B18" s="134" t="str">
        <f ca="1">IFERROR(__xludf.DUMMYFUNCTION("""COMPUTED_VALUE"""),"Trilogy")</f>
        <v>Trilogy</v>
      </c>
      <c r="C18" s="134">
        <f ca="1">IFERROR(__xludf.DUMMYFUNCTION("""COMPUTED_VALUE"""),120)</f>
        <v>120</v>
      </c>
      <c r="D18" s="134" t="str">
        <f ca="1">IFERROR(__xludf.DUMMYFUNCTION("""COMPUTED_VALUE"""),"   601 W Cr 200 S")</f>
        <v xml:space="preserve">   601 W Cr 200 S</v>
      </c>
      <c r="E18" s="134" t="str">
        <f ca="1">IFERROR(__xludf.DUMMYFUNCTION("""COMPUTED_VALUE"""),"   New Castle, In 47362")</f>
        <v xml:space="preserve">   New Castle, In 47362</v>
      </c>
      <c r="F18" s="134" t="str">
        <f ca="1">IFERROR(__xludf.DUMMYFUNCTION("""COMPUTED_VALUE"""),"Kit delivery and pickup")</f>
        <v>Kit delivery and pickup</v>
      </c>
      <c r="G18" s="134" t="str">
        <f ca="1">IFERROR(__xludf.DUMMYFUNCTION("""COMPUTED_VALUE"""),"no")</f>
        <v>no</v>
      </c>
    </row>
    <row r="19" spans="1:7">
      <c r="A19" s="134" t="str">
        <f ca="1">IFERROR(__xludf.DUMMYFUNCTION("""COMPUTED_VALUE"""),"Greenleaf Health Campus")</f>
        <v>Greenleaf Health Campus</v>
      </c>
      <c r="B19" s="134" t="str">
        <f ca="1">IFERROR(__xludf.DUMMYFUNCTION("""COMPUTED_VALUE"""),"Trilogy")</f>
        <v>Trilogy</v>
      </c>
      <c r="C19" s="134">
        <f ca="1">IFERROR(__xludf.DUMMYFUNCTION("""COMPUTED_VALUE"""),85)</f>
        <v>85</v>
      </c>
      <c r="D19" s="134" t="str">
        <f ca="1">IFERROR(__xludf.DUMMYFUNCTION("""COMPUTED_VALUE"""),"   1201 E Beardsley Ave")</f>
        <v xml:space="preserve">   1201 E Beardsley Ave</v>
      </c>
      <c r="E19" s="134" t="str">
        <f ca="1">IFERROR(__xludf.DUMMYFUNCTION("""COMPUTED_VALUE"""),"   Elkhart, In 46514")</f>
        <v xml:space="preserve">   Elkhart, In 46514</v>
      </c>
      <c r="F19" s="134" t="str">
        <f ca="1">IFERROR(__xludf.DUMMYFUNCTION("""COMPUTED_VALUE"""),"Kit delivery and pickup")</f>
        <v>Kit delivery and pickup</v>
      </c>
      <c r="G19" s="134" t="str">
        <f ca="1">IFERROR(__xludf.DUMMYFUNCTION("""COMPUTED_VALUE"""),"no")</f>
        <v>no</v>
      </c>
    </row>
    <row r="20" spans="1:7">
      <c r="A20" s="134" t="str">
        <f ca="1">IFERROR(__xludf.DUMMYFUNCTION("""COMPUTED_VALUE"""),"Hampton Oaks Health Campus")</f>
        <v>Hampton Oaks Health Campus</v>
      </c>
      <c r="B20" s="134" t="str">
        <f ca="1">IFERROR(__xludf.DUMMYFUNCTION("""COMPUTED_VALUE"""),"Trilogy")</f>
        <v>Trilogy</v>
      </c>
      <c r="C20" s="134">
        <f ca="1">IFERROR(__xludf.DUMMYFUNCTION("""COMPUTED_VALUE"""),107)</f>
        <v>107</v>
      </c>
      <c r="D20" s="134" t="str">
        <f ca="1">IFERROR(__xludf.DUMMYFUNCTION("""COMPUTED_VALUE"""),"   966 N Wilson Rd")</f>
        <v xml:space="preserve">   966 N Wilson Rd</v>
      </c>
      <c r="E20" s="134" t="str">
        <f ca="1">IFERROR(__xludf.DUMMYFUNCTION("""COMPUTED_VALUE"""),"   Scottsburg, In 47170")</f>
        <v xml:space="preserve">   Scottsburg, In 47170</v>
      </c>
      <c r="F20" s="134" t="str">
        <f ca="1">IFERROR(__xludf.DUMMYFUNCTION("""COMPUTED_VALUE"""),"Kit delivery and pickup")</f>
        <v>Kit delivery and pickup</v>
      </c>
      <c r="G20" s="134" t="str">
        <f ca="1">IFERROR(__xludf.DUMMYFUNCTION("""COMPUTED_VALUE"""),"no")</f>
        <v>no</v>
      </c>
    </row>
    <row r="21" spans="1:7">
      <c r="A21" s="134" t="str">
        <f ca="1">IFERROR(__xludf.DUMMYFUNCTION("""COMPUTED_VALUE"""),"Harrison Springs Health Campus")</f>
        <v>Harrison Springs Health Campus</v>
      </c>
      <c r="B21" s="134" t="str">
        <f ca="1">IFERROR(__xludf.DUMMYFUNCTION("""COMPUTED_VALUE"""),"Trilogy")</f>
        <v>Trilogy</v>
      </c>
      <c r="C21" s="134">
        <f ca="1">IFERROR(__xludf.DUMMYFUNCTION("""COMPUTED_VALUE"""),121)</f>
        <v>121</v>
      </c>
      <c r="D21" s="134" t="str">
        <f ca="1">IFERROR(__xludf.DUMMYFUNCTION("""COMPUTED_VALUE"""),"   871 Pacer Drive Nw")</f>
        <v xml:space="preserve">   871 Pacer Drive Nw</v>
      </c>
      <c r="E21" s="134" t="str">
        <f ca="1">IFERROR(__xludf.DUMMYFUNCTION("""COMPUTED_VALUE"""),"   Corydon, In 47112")</f>
        <v xml:space="preserve">   Corydon, In 47112</v>
      </c>
      <c r="F21" s="134" t="str">
        <f ca="1">IFERROR(__xludf.DUMMYFUNCTION("""COMPUTED_VALUE"""),"Kit delivery and pickup")</f>
        <v>Kit delivery and pickup</v>
      </c>
      <c r="G21" s="134" t="str">
        <f ca="1">IFERROR(__xludf.DUMMYFUNCTION("""COMPUTED_VALUE"""),"No")</f>
        <v>No</v>
      </c>
    </row>
    <row r="22" spans="1:7">
      <c r="A22" s="134" t="str">
        <f ca="1">IFERROR(__xludf.DUMMYFUNCTION("""COMPUTED_VALUE"""),"Harrison'S Crossing Health Campus")</f>
        <v>Harrison'S Crossing Health Campus</v>
      </c>
      <c r="B22" s="134" t="str">
        <f ca="1">IFERROR(__xludf.DUMMYFUNCTION("""COMPUTED_VALUE"""),"Trilogy")</f>
        <v>Trilogy</v>
      </c>
      <c r="C22" s="134">
        <f ca="1">IFERROR(__xludf.DUMMYFUNCTION("""COMPUTED_VALUE"""),115)</f>
        <v>115</v>
      </c>
      <c r="D22" s="134" t="str">
        <f ca="1">IFERROR(__xludf.DUMMYFUNCTION("""COMPUTED_VALUE"""),"   395 8Th Avenue")</f>
        <v xml:space="preserve">   395 8Th Avenue</v>
      </c>
      <c r="E22" s="134" t="str">
        <f ca="1">IFERROR(__xludf.DUMMYFUNCTION("""COMPUTED_VALUE"""),"   Terre Haute, In 47804")</f>
        <v xml:space="preserve">   Terre Haute, In 47804</v>
      </c>
      <c r="F22" s="134" t="str">
        <f ca="1">IFERROR(__xludf.DUMMYFUNCTION("""COMPUTED_VALUE"""),"kit delivery and pickup")</f>
        <v>kit delivery and pickup</v>
      </c>
      <c r="G22" s="134" t="str">
        <f ca="1">IFERROR(__xludf.DUMMYFUNCTION("""COMPUTED_VALUE"""),"No")</f>
        <v>No</v>
      </c>
    </row>
    <row r="23" spans="1:7">
      <c r="A23" s="134" t="str">
        <f ca="1">IFERROR(__xludf.DUMMYFUNCTION("""COMPUTED_VALUE"""),"Hearthstone Health Campus")</f>
        <v>Hearthstone Health Campus</v>
      </c>
      <c r="B23" s="134" t="str">
        <f ca="1">IFERROR(__xludf.DUMMYFUNCTION("""COMPUTED_VALUE"""),"Trilogy")</f>
        <v>Trilogy</v>
      </c>
      <c r="C23" s="134">
        <f ca="1">IFERROR(__xludf.DUMMYFUNCTION("""COMPUTED_VALUE"""),129)</f>
        <v>129</v>
      </c>
      <c r="D23" s="134" t="str">
        <f ca="1">IFERROR(__xludf.DUMMYFUNCTION("""COMPUTED_VALUE"""),"   3043 North Lintel Drive")</f>
        <v xml:space="preserve">   3043 North Lintel Drive</v>
      </c>
      <c r="E23" s="134" t="str">
        <f ca="1">IFERROR(__xludf.DUMMYFUNCTION("""COMPUTED_VALUE"""),"   Bloomington, In 47404")</f>
        <v xml:space="preserve">   Bloomington, In 47404</v>
      </c>
      <c r="F23" s="134" t="str">
        <f ca="1">IFERROR(__xludf.DUMMYFUNCTION("""COMPUTED_VALUE"""),"Kit delivery and pickup")</f>
        <v>Kit delivery and pickup</v>
      </c>
      <c r="G23" s="134" t="str">
        <f ca="1">IFERROR(__xludf.DUMMYFUNCTION("""COMPUTED_VALUE"""),"no")</f>
        <v>no</v>
      </c>
    </row>
    <row r="24" spans="1:7">
      <c r="A24" s="134" t="str">
        <f ca="1">IFERROR(__xludf.DUMMYFUNCTION("""COMPUTED_VALUE"""),"Homewood Health Campus")</f>
        <v>Homewood Health Campus</v>
      </c>
      <c r="B24" s="134" t="str">
        <f ca="1">IFERROR(__xludf.DUMMYFUNCTION("""COMPUTED_VALUE"""),"Trilogy")</f>
        <v>Trilogy</v>
      </c>
      <c r="C24" s="134">
        <f ca="1">IFERROR(__xludf.DUMMYFUNCTION("""COMPUTED_VALUE"""),70)</f>
        <v>70</v>
      </c>
      <c r="D24" s="134" t="str">
        <f ca="1">IFERROR(__xludf.DUMMYFUNCTION("""COMPUTED_VALUE"""),"   2494 N Lebanon St")</f>
        <v xml:space="preserve">   2494 N Lebanon St</v>
      </c>
      <c r="E24" s="134" t="str">
        <f ca="1">IFERROR(__xludf.DUMMYFUNCTION("""COMPUTED_VALUE"""),"   Lebanon, In 46052")</f>
        <v xml:space="preserve">   Lebanon, In 46052</v>
      </c>
      <c r="F24" s="134" t="str">
        <f ca="1">IFERROR(__xludf.DUMMYFUNCTION("""COMPUTED_VALUE"""),"Kit delivery and pickup")</f>
        <v>Kit delivery and pickup</v>
      </c>
      <c r="G24" s="134" t="str">
        <f ca="1">IFERROR(__xludf.DUMMYFUNCTION("""COMPUTED_VALUE"""),"no")</f>
        <v>no</v>
      </c>
    </row>
    <row r="25" spans="1:7">
      <c r="A25" s="134" t="str">
        <f ca="1">IFERROR(__xludf.DUMMYFUNCTION("""COMPUTED_VALUE"""),"Mill Pond Health Campus")</f>
        <v>Mill Pond Health Campus</v>
      </c>
      <c r="B25" s="134" t="str">
        <f ca="1">IFERROR(__xludf.DUMMYFUNCTION("""COMPUTED_VALUE"""),"Trilogy")</f>
        <v>Trilogy</v>
      </c>
      <c r="C25" s="134">
        <f ca="1">IFERROR(__xludf.DUMMYFUNCTION("""COMPUTED_VALUE"""),108)</f>
        <v>108</v>
      </c>
      <c r="D25" s="134" t="str">
        <f ca="1">IFERROR(__xludf.DUMMYFUNCTION("""COMPUTED_VALUE"""),"   1014 Mill Pond Lane")</f>
        <v xml:space="preserve">   1014 Mill Pond Lane</v>
      </c>
      <c r="E25" s="134" t="str">
        <f ca="1">IFERROR(__xludf.DUMMYFUNCTION("""COMPUTED_VALUE"""),"   Greencastle, In 46135")</f>
        <v xml:space="preserve">   Greencastle, In 46135</v>
      </c>
      <c r="F25" s="134" t="str">
        <f ca="1">IFERROR(__xludf.DUMMYFUNCTION("""COMPUTED_VALUE"""),"Kit delivery and pickup")</f>
        <v>Kit delivery and pickup</v>
      </c>
      <c r="G25" s="134" t="str">
        <f ca="1">IFERROR(__xludf.DUMMYFUNCTION("""COMPUTED_VALUE"""),"no")</f>
        <v>no</v>
      </c>
    </row>
    <row r="26" spans="1:7">
      <c r="A26" s="134" t="str">
        <f ca="1">IFERROR(__xludf.DUMMYFUNCTION("""COMPUTED_VALUE"""),"Morrison Woods Health Campus")</f>
        <v>Morrison Woods Health Campus</v>
      </c>
      <c r="B26" s="134" t="str">
        <f ca="1">IFERROR(__xludf.DUMMYFUNCTION("""COMPUTED_VALUE"""),"Trilogy")</f>
        <v>Trilogy</v>
      </c>
      <c r="C26" s="134">
        <f ca="1">IFERROR(__xludf.DUMMYFUNCTION("""COMPUTED_VALUE"""),156)</f>
        <v>156</v>
      </c>
      <c r="D26" s="134" t="str">
        <f ca="1">IFERROR(__xludf.DUMMYFUNCTION("""COMPUTED_VALUE"""),"   4100 N Morrison Rd")</f>
        <v xml:space="preserve">   4100 N Morrison Rd</v>
      </c>
      <c r="E26" s="134" t="str">
        <f ca="1">IFERROR(__xludf.DUMMYFUNCTION("""COMPUTED_VALUE"""),"   Muncie, In 47304")</f>
        <v xml:space="preserve">   Muncie, In 47304</v>
      </c>
      <c r="F26" s="134" t="str">
        <f ca="1">IFERROR(__xludf.DUMMYFUNCTION("""COMPUTED_VALUE"""),"Kit delivery and pickup")</f>
        <v>Kit delivery and pickup</v>
      </c>
      <c r="G26" s="134" t="str">
        <f ca="1">IFERROR(__xludf.DUMMYFUNCTION("""COMPUTED_VALUE"""),"no")</f>
        <v>no</v>
      </c>
    </row>
    <row r="27" spans="1:7">
      <c r="A27" s="134" t="str">
        <f ca="1">IFERROR(__xludf.DUMMYFUNCTION("""COMPUTED_VALUE"""),"North River Health Campus")</f>
        <v>North River Health Campus</v>
      </c>
      <c r="B27" s="134" t="str">
        <f ca="1">IFERROR(__xludf.DUMMYFUNCTION("""COMPUTED_VALUE"""),"Trilogy")</f>
        <v>Trilogy</v>
      </c>
      <c r="C27" s="134">
        <f ca="1">IFERROR(__xludf.DUMMYFUNCTION("""COMPUTED_VALUE"""),124)</f>
        <v>124</v>
      </c>
      <c r="D27" s="134" t="str">
        <f ca="1">IFERROR(__xludf.DUMMYFUNCTION("""COMPUTED_VALUE"""),"   811 E Baseline Road")</f>
        <v xml:space="preserve">   811 E Baseline Road</v>
      </c>
      <c r="E27" s="134" t="str">
        <f ca="1">IFERROR(__xludf.DUMMYFUNCTION("""COMPUTED_VALUE"""),"   Evansville, In 47725")</f>
        <v xml:space="preserve">   Evansville, In 47725</v>
      </c>
      <c r="F27" s="134" t="str">
        <f ca="1">IFERROR(__xludf.DUMMYFUNCTION("""COMPUTED_VALUE"""),"Kit delivery and pickup")</f>
        <v>Kit delivery and pickup</v>
      </c>
      <c r="G27" s="134" t="str">
        <f ca="1">IFERROR(__xludf.DUMMYFUNCTION("""COMPUTED_VALUE"""),"no")</f>
        <v>no</v>
      </c>
    </row>
    <row r="28" spans="1:7">
      <c r="A28" s="134" t="str">
        <f ca="1">IFERROR(__xludf.DUMMYFUNCTION("""COMPUTED_VALUE"""),"Orchard Pointe Health Campus")</f>
        <v>Orchard Pointe Health Campus</v>
      </c>
      <c r="B28" s="134" t="str">
        <f ca="1">IFERROR(__xludf.DUMMYFUNCTION("""COMPUTED_VALUE"""),"Trilogy")</f>
        <v>Trilogy</v>
      </c>
      <c r="C28" s="134">
        <f ca="1">IFERROR(__xludf.DUMMYFUNCTION("""COMPUTED_VALUE"""),116)</f>
        <v>116</v>
      </c>
      <c r="D28" s="134" t="str">
        <f ca="1">IFERROR(__xludf.DUMMYFUNCTION("""COMPUTED_VALUE"""),"   702 Sawyer Road")</f>
        <v xml:space="preserve">   702 Sawyer Road</v>
      </c>
      <c r="E28" s="134" t="str">
        <f ca="1">IFERROR(__xludf.DUMMYFUNCTION("""COMPUTED_VALUE"""),"   Kendallville, In 46755")</f>
        <v xml:space="preserve">   Kendallville, In 46755</v>
      </c>
      <c r="F28" s="134" t="str">
        <f ca="1">IFERROR(__xludf.DUMMYFUNCTION("""COMPUTED_VALUE"""),"Kit delivery and pickup")</f>
        <v>Kit delivery and pickup</v>
      </c>
      <c r="G28" s="134" t="str">
        <f ca="1">IFERROR(__xludf.DUMMYFUNCTION("""COMPUTED_VALUE"""),"no")</f>
        <v>no</v>
      </c>
    </row>
    <row r="29" spans="1:7">
      <c r="A29" s="134" t="str">
        <f ca="1">IFERROR(__xludf.DUMMYFUNCTION("""COMPUTED_VALUE"""),"Owen Valley Health Campus")</f>
        <v>Owen Valley Health Campus</v>
      </c>
      <c r="B29" s="134" t="str">
        <f ca="1">IFERROR(__xludf.DUMMYFUNCTION("""COMPUTED_VALUE"""),"Trilogy")</f>
        <v>Trilogy</v>
      </c>
      <c r="C29" s="134">
        <f ca="1">IFERROR(__xludf.DUMMYFUNCTION("""COMPUTED_VALUE"""),102)</f>
        <v>102</v>
      </c>
      <c r="D29" s="134" t="str">
        <f ca="1">IFERROR(__xludf.DUMMYFUNCTION("""COMPUTED_VALUE"""),"   920 W Hwy 46")</f>
        <v xml:space="preserve">   920 W Hwy 46</v>
      </c>
      <c r="E29" s="134" t="str">
        <f ca="1">IFERROR(__xludf.DUMMYFUNCTION("""COMPUTED_VALUE"""),"   Spencer, In 47460")</f>
        <v xml:space="preserve">   Spencer, In 47460</v>
      </c>
      <c r="F29" s="134" t="str">
        <f ca="1">IFERROR(__xludf.DUMMYFUNCTION("""COMPUTED_VALUE"""),"Kit delivery and pickup")</f>
        <v>Kit delivery and pickup</v>
      </c>
      <c r="G29" s="134" t="str">
        <f ca="1">IFERROR(__xludf.DUMMYFUNCTION("""COMPUTED_VALUE"""),"no")</f>
        <v>no</v>
      </c>
    </row>
    <row r="30" spans="1:7">
      <c r="A30" s="134" t="str">
        <f ca="1">IFERROR(__xludf.DUMMYFUNCTION("""COMPUTED_VALUE"""),"Paddock Springs")</f>
        <v>Paddock Springs</v>
      </c>
      <c r="B30" s="134" t="str">
        <f ca="1">IFERROR(__xludf.DUMMYFUNCTION("""COMPUTED_VALUE"""),"Trilogy")</f>
        <v>Trilogy</v>
      </c>
      <c r="C30" s="134">
        <f ca="1">IFERROR(__xludf.DUMMYFUNCTION("""COMPUTED_VALUE"""),124)</f>
        <v>124</v>
      </c>
      <c r="D30" s="134" t="str">
        <f ca="1">IFERROR(__xludf.DUMMYFUNCTION("""COMPUTED_VALUE"""),"   2695 Sheldon Street")</f>
        <v xml:space="preserve">   2695 Sheldon Street</v>
      </c>
      <c r="E30" s="134" t="str">
        <f ca="1">IFERROR(__xludf.DUMMYFUNCTION("""COMPUTED_VALUE"""),"   Warsaw, In 46582")</f>
        <v xml:space="preserve">   Warsaw, In 46582</v>
      </c>
      <c r="F30" s="134" t="str">
        <f ca="1">IFERROR(__xludf.DUMMYFUNCTION("""COMPUTED_VALUE"""),"Kit delivery and pickup")</f>
        <v>Kit delivery and pickup</v>
      </c>
      <c r="G30" s="134" t="str">
        <f ca="1">IFERROR(__xludf.DUMMYFUNCTION("""COMPUTED_VALUE"""),"no")</f>
        <v>no</v>
      </c>
    </row>
    <row r="31" spans="1:7">
      <c r="A31" s="134" t="str">
        <f ca="1">IFERROR(__xludf.DUMMYFUNCTION("""COMPUTED_VALUE"""),"Prairie Lakes Health Campus")</f>
        <v>Prairie Lakes Health Campus</v>
      </c>
      <c r="B31" s="134" t="str">
        <f ca="1">IFERROR(__xludf.DUMMYFUNCTION("""COMPUTED_VALUE"""),"Trilogy")</f>
        <v>Trilogy</v>
      </c>
      <c r="C31" s="134">
        <f ca="1">IFERROR(__xludf.DUMMYFUNCTION("""COMPUTED_VALUE"""),134)</f>
        <v>134</v>
      </c>
      <c r="D31" s="134" t="str">
        <f ca="1">IFERROR(__xludf.DUMMYFUNCTION("""COMPUTED_VALUE"""),"   9730 Prairie Lakes Blvd East")</f>
        <v xml:space="preserve">   9730 Prairie Lakes Blvd East</v>
      </c>
      <c r="E31" s="134" t="str">
        <f ca="1">IFERROR(__xludf.DUMMYFUNCTION("""COMPUTED_VALUE"""),"   Noblesville, In 46060")</f>
        <v xml:space="preserve">   Noblesville, In 46060</v>
      </c>
      <c r="F31" s="134" t="str">
        <f ca="1">IFERROR(__xludf.DUMMYFUNCTION("""COMPUTED_VALUE"""),"Kit delivery and pickup")</f>
        <v>Kit delivery and pickup</v>
      </c>
      <c r="G31" s="134" t="str">
        <f ca="1">IFERROR(__xludf.DUMMYFUNCTION("""COMPUTED_VALUE"""),"no")</f>
        <v>no</v>
      </c>
    </row>
    <row r="32" spans="1:7">
      <c r="A32" s="134" t="str">
        <f ca="1">IFERROR(__xludf.DUMMYFUNCTION("""COMPUTED_VALUE"""),"Ridgewood Health Campus")</f>
        <v>Ridgewood Health Campus</v>
      </c>
      <c r="B32" s="134" t="str">
        <f ca="1">IFERROR(__xludf.DUMMYFUNCTION("""COMPUTED_VALUE"""),"Trilogy")</f>
        <v>Trilogy</v>
      </c>
      <c r="C32" s="134">
        <f ca="1">IFERROR(__xludf.DUMMYFUNCTION("""COMPUTED_VALUE"""),159)</f>
        <v>159</v>
      </c>
      <c r="D32" s="134" t="str">
        <f ca="1">IFERROR(__xludf.DUMMYFUNCTION("""COMPUTED_VALUE"""),"   181 Campus Dr")</f>
        <v xml:space="preserve">   181 Campus Dr</v>
      </c>
      <c r="E32" s="134" t="str">
        <f ca="1">IFERROR(__xludf.DUMMYFUNCTION("""COMPUTED_VALUE"""),"   Lawrenceburg, In 47025")</f>
        <v xml:space="preserve">   Lawrenceburg, In 47025</v>
      </c>
      <c r="F32" s="134" t="str">
        <f ca="1">IFERROR(__xludf.DUMMYFUNCTION("""COMPUTED_VALUE"""),"Kit delivery and pickup")</f>
        <v>Kit delivery and pickup</v>
      </c>
      <c r="G32" s="134" t="str">
        <f ca="1">IFERROR(__xludf.DUMMYFUNCTION("""COMPUTED_VALUE"""),"no")</f>
        <v>no</v>
      </c>
    </row>
    <row r="33" spans="1:7">
      <c r="A33" s="134" t="str">
        <f ca="1">IFERROR(__xludf.DUMMYFUNCTION("""COMPUTED_VALUE"""),"River Pointe Health Campus")</f>
        <v>River Pointe Health Campus</v>
      </c>
      <c r="B33" s="134" t="str">
        <f ca="1">IFERROR(__xludf.DUMMYFUNCTION("""COMPUTED_VALUE"""),"Trilogy")</f>
        <v>Trilogy</v>
      </c>
      <c r="C33" s="134">
        <f ca="1">IFERROR(__xludf.DUMMYFUNCTION("""COMPUTED_VALUE"""),115)</f>
        <v>115</v>
      </c>
      <c r="D33" s="134" t="str">
        <f ca="1">IFERROR(__xludf.DUMMYFUNCTION("""COMPUTED_VALUE"""),"   3001 Galaxy Dr")</f>
        <v xml:space="preserve">   3001 Galaxy Dr</v>
      </c>
      <c r="E33" s="134" t="str">
        <f ca="1">IFERROR(__xludf.DUMMYFUNCTION("""COMPUTED_VALUE"""),"   Evansville, In 47715")</f>
        <v xml:space="preserve">   Evansville, In 47715</v>
      </c>
      <c r="F33" s="134" t="str">
        <f ca="1">IFERROR(__xludf.DUMMYFUNCTION("""COMPUTED_VALUE"""),"Kit delivery and pickup")</f>
        <v>Kit delivery and pickup</v>
      </c>
      <c r="G33" s="134" t="str">
        <f ca="1">IFERROR(__xludf.DUMMYFUNCTION("""COMPUTED_VALUE"""),"no")</f>
        <v>no</v>
      </c>
    </row>
    <row r="34" spans="1:7">
      <c r="A34" s="134" t="str">
        <f ca="1">IFERROR(__xludf.DUMMYFUNCTION("""COMPUTED_VALUE"""),"River Terrace Health Campus")</f>
        <v>River Terrace Health Campus</v>
      </c>
      <c r="B34" s="134" t="str">
        <f ca="1">IFERROR(__xludf.DUMMYFUNCTION("""COMPUTED_VALUE"""),"Trilogy")</f>
        <v>Trilogy</v>
      </c>
      <c r="C34" s="134">
        <f ca="1">IFERROR(__xludf.DUMMYFUNCTION("""COMPUTED_VALUE"""),109)</f>
        <v>109</v>
      </c>
      <c r="D34" s="134" t="str">
        <f ca="1">IFERROR(__xludf.DUMMYFUNCTION("""COMPUTED_VALUE"""),"   120 Presbyterian Ave")</f>
        <v xml:space="preserve">   120 Presbyterian Ave</v>
      </c>
      <c r="E34" s="134" t="str">
        <f ca="1">IFERROR(__xludf.DUMMYFUNCTION("""COMPUTED_VALUE"""),"   Madison, In 47250")</f>
        <v xml:space="preserve">   Madison, In 47250</v>
      </c>
      <c r="F34" s="134" t="str">
        <f ca="1">IFERROR(__xludf.DUMMYFUNCTION("""COMPUTED_VALUE"""),"Kit delivery and pickup")</f>
        <v>Kit delivery and pickup</v>
      </c>
      <c r="G34" s="134" t="str">
        <f ca="1">IFERROR(__xludf.DUMMYFUNCTION("""COMPUTED_VALUE"""),"no")</f>
        <v>no</v>
      </c>
    </row>
    <row r="35" spans="1:7">
      <c r="A35" s="134" t="str">
        <f ca="1">IFERROR(__xludf.DUMMYFUNCTION("""COMPUTED_VALUE"""),"Riveroaks Health Campus")</f>
        <v>Riveroaks Health Campus</v>
      </c>
      <c r="B35" s="134" t="str">
        <f ca="1">IFERROR(__xludf.DUMMYFUNCTION("""COMPUTED_VALUE"""),"Trilogy")</f>
        <v>Trilogy</v>
      </c>
      <c r="C35" s="134">
        <f ca="1">IFERROR(__xludf.DUMMYFUNCTION("""COMPUTED_VALUE"""),99)</f>
        <v>99</v>
      </c>
      <c r="D35" s="134" t="str">
        <f ca="1">IFERROR(__xludf.DUMMYFUNCTION("""COMPUTED_VALUE"""),"   1244 Vail St")</f>
        <v xml:space="preserve">   1244 Vail St</v>
      </c>
      <c r="E35" s="134" t="str">
        <f ca="1">IFERROR(__xludf.DUMMYFUNCTION("""COMPUTED_VALUE"""),"   Princeton, In 47670")</f>
        <v xml:space="preserve">   Princeton, In 47670</v>
      </c>
      <c r="F35" s="134" t="str">
        <f ca="1">IFERROR(__xludf.DUMMYFUNCTION("""COMPUTED_VALUE"""),"Kit delivery and pickup")</f>
        <v>Kit delivery and pickup</v>
      </c>
      <c r="G35" s="134" t="str">
        <f ca="1">IFERROR(__xludf.DUMMYFUNCTION("""COMPUTED_VALUE"""),"no")</f>
        <v>no</v>
      </c>
    </row>
    <row r="36" spans="1:7">
      <c r="A36" s="134" t="str">
        <f ca="1">IFERROR(__xludf.DUMMYFUNCTION("""COMPUTED_VALUE"""),"Scenic Hills At The Monastery")</f>
        <v>Scenic Hills At The Monastery</v>
      </c>
      <c r="B36" s="134" t="str">
        <f ca="1">IFERROR(__xludf.DUMMYFUNCTION("""COMPUTED_VALUE"""),"Trilogy")</f>
        <v>Trilogy</v>
      </c>
      <c r="C36" s="134">
        <f ca="1">IFERROR(__xludf.DUMMYFUNCTION("""COMPUTED_VALUE"""),136)</f>
        <v>136</v>
      </c>
      <c r="D36" s="134" t="str">
        <f ca="1">IFERROR(__xludf.DUMMYFUNCTION("""COMPUTED_VALUE"""),"   710 Sunrise Drive")</f>
        <v xml:space="preserve">   710 Sunrise Drive</v>
      </c>
      <c r="E36" s="134" t="str">
        <f ca="1">IFERROR(__xludf.DUMMYFUNCTION("""COMPUTED_VALUE"""),"   Ferdinand, In 47532")</f>
        <v xml:space="preserve">   Ferdinand, In 47532</v>
      </c>
      <c r="F36" s="134" t="str">
        <f ca="1">IFERROR(__xludf.DUMMYFUNCTION("""COMPUTED_VALUE"""),"Kit delivery and pickup")</f>
        <v>Kit delivery and pickup</v>
      </c>
      <c r="G36" s="134" t="str">
        <f ca="1">IFERROR(__xludf.DUMMYFUNCTION("""COMPUTED_VALUE"""),"no")</f>
        <v>no</v>
      </c>
    </row>
    <row r="37" spans="1:7">
      <c r="A37" s="134" t="str">
        <f ca="1">IFERROR(__xludf.DUMMYFUNCTION("""COMPUTED_VALUE"""),"Senior Living At Forest Ridge")</f>
        <v>Senior Living At Forest Ridge</v>
      </c>
      <c r="B37" s="134" t="str">
        <f ca="1">IFERROR(__xludf.DUMMYFUNCTION("""COMPUTED_VALUE"""),"Trilogy")</f>
        <v>Trilogy</v>
      </c>
      <c r="C37" s="134">
        <f ca="1">IFERROR(__xludf.DUMMYFUNCTION("""COMPUTED_VALUE"""),28)</f>
        <v>28</v>
      </c>
      <c r="D37" s="134" t="str">
        <f ca="1">IFERROR(__xludf.DUMMYFUNCTION("""COMPUTED_VALUE"""),"2800 Forest Ridge Pkwy")</f>
        <v>2800 Forest Ridge Pkwy</v>
      </c>
      <c r="E37" s="134" t="str">
        <f ca="1">IFERROR(__xludf.DUMMYFUNCTION("""COMPUTED_VALUE"""),"New Castle, In  47362")</f>
        <v>New Castle, In  47362</v>
      </c>
      <c r="F37" s="134" t="str">
        <f ca="1">IFERROR(__xludf.DUMMYFUNCTION("""COMPUTED_VALUE"""),"Kit delivery and pickup")</f>
        <v>Kit delivery and pickup</v>
      </c>
      <c r="G37" s="134" t="str">
        <f ca="1">IFERROR(__xludf.DUMMYFUNCTION("""COMPUTED_VALUE"""),"no")</f>
        <v>no</v>
      </c>
    </row>
    <row r="38" spans="1:7">
      <c r="A38" s="134" t="str">
        <f ca="1">IFERROR(__xludf.DUMMYFUNCTION("""COMPUTED_VALUE"""),"Silver Oaks Health Campus")</f>
        <v>Silver Oaks Health Campus</v>
      </c>
      <c r="B38" s="134" t="str">
        <f ca="1">IFERROR(__xludf.DUMMYFUNCTION("""COMPUTED_VALUE"""),"Trilogy")</f>
        <v>Trilogy</v>
      </c>
      <c r="C38" s="134">
        <f ca="1">IFERROR(__xludf.DUMMYFUNCTION("""COMPUTED_VALUE"""),141)</f>
        <v>141</v>
      </c>
      <c r="D38" s="134" t="str">
        <f ca="1">IFERROR(__xludf.DUMMYFUNCTION("""COMPUTED_VALUE"""),"   2011 Chapa Street")</f>
        <v xml:space="preserve">   2011 Chapa Street</v>
      </c>
      <c r="E38" s="134" t="str">
        <f ca="1">IFERROR(__xludf.DUMMYFUNCTION("""COMPUTED_VALUE"""),"   Columbus, In 47203")</f>
        <v xml:space="preserve">   Columbus, In 47203</v>
      </c>
      <c r="F38" s="134" t="str">
        <f ca="1">IFERROR(__xludf.DUMMYFUNCTION("""COMPUTED_VALUE"""),"Kit delivery and pickup")</f>
        <v>Kit delivery and pickup</v>
      </c>
      <c r="G38" s="134" t="str">
        <f ca="1">IFERROR(__xludf.DUMMYFUNCTION("""COMPUTED_VALUE"""),"no")</f>
        <v>no</v>
      </c>
    </row>
    <row r="39" spans="1:7">
      <c r="A39" s="134" t="str">
        <f ca="1">IFERROR(__xludf.DUMMYFUNCTION("""COMPUTED_VALUE"""),"Springhurst Health Campus")</f>
        <v>Springhurst Health Campus</v>
      </c>
      <c r="B39" s="134" t="str">
        <f ca="1">IFERROR(__xludf.DUMMYFUNCTION("""COMPUTED_VALUE"""),"Trilogy")</f>
        <v>Trilogy</v>
      </c>
      <c r="C39" s="134">
        <f ca="1">IFERROR(__xludf.DUMMYFUNCTION("""COMPUTED_VALUE"""),40)</f>
        <v>40</v>
      </c>
      <c r="D39" s="134" t="str">
        <f ca="1">IFERROR(__xludf.DUMMYFUNCTION("""COMPUTED_VALUE"""),"   628 N Meridian Rd")</f>
        <v xml:space="preserve">   628 N Meridian Rd</v>
      </c>
      <c r="E39" s="134" t="str">
        <f ca="1">IFERROR(__xludf.DUMMYFUNCTION("""COMPUTED_VALUE"""),"   Greenfield, In 46140")</f>
        <v xml:space="preserve">   Greenfield, In 46140</v>
      </c>
      <c r="F39" s="134" t="str">
        <f ca="1">IFERROR(__xludf.DUMMYFUNCTION("""COMPUTED_VALUE"""),"Kit delivery and pickup")</f>
        <v>Kit delivery and pickup</v>
      </c>
      <c r="G39" s="134" t="str">
        <f ca="1">IFERROR(__xludf.DUMMYFUNCTION("""COMPUTED_VALUE"""),"no")</f>
        <v>no</v>
      </c>
    </row>
    <row r="40" spans="1:7">
      <c r="A40" s="134" t="str">
        <f ca="1">IFERROR(__xludf.DUMMYFUNCTION("""COMPUTED_VALUE"""),"Springs At Lafayette, The")</f>
        <v>Springs At Lafayette, The</v>
      </c>
      <c r="B40" s="134" t="str">
        <f ca="1">IFERROR(__xludf.DUMMYFUNCTION("""COMPUTED_VALUE"""),"Trilogy")</f>
        <v>Trilogy</v>
      </c>
      <c r="C40" s="134">
        <f ca="1">IFERROR(__xludf.DUMMYFUNCTION("""COMPUTED_VALUE"""),96)</f>
        <v>96</v>
      </c>
      <c r="D40" s="134" t="str">
        <f ca="1">IFERROR(__xludf.DUMMYFUNCTION("""COMPUTED_VALUE"""),"   2402 South Street")</f>
        <v xml:space="preserve">   2402 South Street</v>
      </c>
      <c r="E40" s="134" t="str">
        <f ca="1">IFERROR(__xludf.DUMMYFUNCTION("""COMPUTED_VALUE"""),"   Lafayette, In 47904")</f>
        <v xml:space="preserve">   Lafayette, In 47904</v>
      </c>
      <c r="F40" s="134" t="str">
        <f ca="1">IFERROR(__xludf.DUMMYFUNCTION("""COMPUTED_VALUE"""),"Kit delivery and pickup")</f>
        <v>Kit delivery and pickup</v>
      </c>
      <c r="G40" s="134" t="str">
        <f ca="1">IFERROR(__xludf.DUMMYFUNCTION("""COMPUTED_VALUE"""),"no")</f>
        <v>no</v>
      </c>
    </row>
    <row r="41" spans="1:7">
      <c r="A41" s="134" t="str">
        <f ca="1">IFERROR(__xludf.DUMMYFUNCTION("""COMPUTED_VALUE"""),"Springs Of Mooresville, The")</f>
        <v>Springs Of Mooresville, The</v>
      </c>
      <c r="B41" s="134" t="str">
        <f ca="1">IFERROR(__xludf.DUMMYFUNCTION("""COMPUTED_VALUE"""),"Trilogy")</f>
        <v>Trilogy</v>
      </c>
      <c r="C41" s="134">
        <f ca="1">IFERROR(__xludf.DUMMYFUNCTION("""COMPUTED_VALUE"""),90)</f>
        <v>90</v>
      </c>
      <c r="D41" s="134" t="str">
        <f ca="1">IFERROR(__xludf.DUMMYFUNCTION("""COMPUTED_VALUE"""),"   302 North Johnson Road")</f>
        <v xml:space="preserve">   302 North Johnson Road</v>
      </c>
      <c r="E41" s="134" t="str">
        <f ca="1">IFERROR(__xludf.DUMMYFUNCTION("""COMPUTED_VALUE"""),"   Mooresville, In 46158")</f>
        <v xml:space="preserve">   Mooresville, In 46158</v>
      </c>
      <c r="F41" s="134" t="str">
        <f ca="1">IFERROR(__xludf.DUMMYFUNCTION("""COMPUTED_VALUE"""),"Kit delivery and pickup")</f>
        <v>Kit delivery and pickup</v>
      </c>
      <c r="G41" s="134" t="str">
        <f ca="1">IFERROR(__xludf.DUMMYFUNCTION("""COMPUTED_VALUE"""),"no")</f>
        <v>no</v>
      </c>
    </row>
    <row r="42" spans="1:7">
      <c r="A42" s="134" t="str">
        <f ca="1">IFERROR(__xludf.DUMMYFUNCTION("""COMPUTED_VALUE"""),"Springs Of Richmond, The")</f>
        <v>Springs Of Richmond, The</v>
      </c>
      <c r="B42" s="134" t="str">
        <f ca="1">IFERROR(__xludf.DUMMYFUNCTION("""COMPUTED_VALUE"""),"Trilogy")</f>
        <v>Trilogy</v>
      </c>
      <c r="C42" s="134">
        <f ca="1">IFERROR(__xludf.DUMMYFUNCTION("""COMPUTED_VALUE"""),14)</f>
        <v>14</v>
      </c>
      <c r="D42" s="134" t="str">
        <f ca="1">IFERROR(__xludf.DUMMYFUNCTION("""COMPUTED_VALUE"""),"   400 Industries Road")</f>
        <v xml:space="preserve">   400 Industries Road</v>
      </c>
      <c r="E42" s="134" t="str">
        <f ca="1">IFERROR(__xludf.DUMMYFUNCTION("""COMPUTED_VALUE"""),"   Richmond, In 47374")</f>
        <v xml:space="preserve">   Richmond, In 47374</v>
      </c>
      <c r="F42" s="134" t="str">
        <f ca="1">IFERROR(__xludf.DUMMYFUNCTION("""COMPUTED_VALUE"""),"Kit delivery and pickup")</f>
        <v>Kit delivery and pickup</v>
      </c>
      <c r="G42" s="134" t="str">
        <f ca="1">IFERROR(__xludf.DUMMYFUNCTION("""COMPUTED_VALUE"""),"no")</f>
        <v>no</v>
      </c>
    </row>
    <row r="43" spans="1:7">
      <c r="A43" s="134" t="str">
        <f ca="1">IFERROR(__xludf.DUMMYFUNCTION("""COMPUTED_VALUE"""),"St Andrews Health Campus")</f>
        <v>St Andrews Health Campus</v>
      </c>
      <c r="B43" s="134" t="str">
        <f ca="1">IFERROR(__xludf.DUMMYFUNCTION("""COMPUTED_VALUE"""),"Trilogy")</f>
        <v>Trilogy</v>
      </c>
      <c r="C43" s="134">
        <f ca="1">IFERROR(__xludf.DUMMYFUNCTION("""COMPUTED_VALUE"""),117)</f>
        <v>117</v>
      </c>
      <c r="D43" s="134" t="str">
        <f ca="1">IFERROR(__xludf.DUMMYFUNCTION("""COMPUTED_VALUE"""),"   1400 Lammers Pike")</f>
        <v xml:space="preserve">   1400 Lammers Pike</v>
      </c>
      <c r="E43" s="134" t="str">
        <f ca="1">IFERROR(__xludf.DUMMYFUNCTION("""COMPUTED_VALUE"""),"   Batesville, In 47006")</f>
        <v xml:space="preserve">   Batesville, In 47006</v>
      </c>
      <c r="F43" s="134" t="str">
        <f ca="1">IFERROR(__xludf.DUMMYFUNCTION("""COMPUTED_VALUE"""),"Kit delivery and pickup")</f>
        <v>Kit delivery and pickup</v>
      </c>
      <c r="G43" s="134" t="str">
        <f ca="1">IFERROR(__xludf.DUMMYFUNCTION("""COMPUTED_VALUE"""),"no")</f>
        <v>no</v>
      </c>
    </row>
    <row r="44" spans="1:7">
      <c r="A44" s="134" t="str">
        <f ca="1">IFERROR(__xludf.DUMMYFUNCTION("""COMPUTED_VALUE"""),"St Charles Health Campus")</f>
        <v>St Charles Health Campus</v>
      </c>
      <c r="B44" s="134" t="str">
        <f ca="1">IFERROR(__xludf.DUMMYFUNCTION("""COMPUTED_VALUE"""),"Trilogy")</f>
        <v>Trilogy</v>
      </c>
      <c r="C44" s="134">
        <f ca="1">IFERROR(__xludf.DUMMYFUNCTION("""COMPUTED_VALUE"""),106)</f>
        <v>106</v>
      </c>
      <c r="D44" s="134" t="str">
        <f ca="1">IFERROR(__xludf.DUMMYFUNCTION("""COMPUTED_VALUE"""),"   3150 St Charles St")</f>
        <v xml:space="preserve">   3150 St Charles St</v>
      </c>
      <c r="E44" s="134" t="str">
        <f ca="1">IFERROR(__xludf.DUMMYFUNCTION("""COMPUTED_VALUE"""),"   Jasper, In 47546")</f>
        <v xml:space="preserve">   Jasper, In 47546</v>
      </c>
      <c r="F44" s="134" t="str">
        <f ca="1">IFERROR(__xludf.DUMMYFUNCTION("""COMPUTED_VALUE"""),"Kit delivery and pickup")</f>
        <v>Kit delivery and pickup</v>
      </c>
      <c r="G44" s="134" t="str">
        <f ca="1">IFERROR(__xludf.DUMMYFUNCTION("""COMPUTED_VALUE"""),"no")</f>
        <v>no</v>
      </c>
    </row>
    <row r="45" spans="1:7">
      <c r="A45" s="134" t="str">
        <f ca="1">IFERROR(__xludf.DUMMYFUNCTION("""COMPUTED_VALUE"""),"St Elizabeth Healthcare Center")</f>
        <v>St Elizabeth Healthcare Center</v>
      </c>
      <c r="B45" s="134" t="str">
        <f ca="1">IFERROR(__xludf.DUMMYFUNCTION("""COMPUTED_VALUE"""),"Trilogy")</f>
        <v>Trilogy</v>
      </c>
      <c r="C45" s="134">
        <f ca="1">IFERROR(__xludf.DUMMYFUNCTION("""COMPUTED_VALUE"""),108)</f>
        <v>108</v>
      </c>
      <c r="D45" s="134" t="str">
        <f ca="1">IFERROR(__xludf.DUMMYFUNCTION("""COMPUTED_VALUE"""),"   701 Armory Rd")</f>
        <v xml:space="preserve">   701 Armory Rd</v>
      </c>
      <c r="E45" s="134" t="str">
        <f ca="1">IFERROR(__xludf.DUMMYFUNCTION("""COMPUTED_VALUE"""),"   Delphi, In 46923")</f>
        <v xml:space="preserve">   Delphi, In 46923</v>
      </c>
      <c r="F45" s="134" t="str">
        <f ca="1">IFERROR(__xludf.DUMMYFUNCTION("""COMPUTED_VALUE"""),"Kit delivery and pickup")</f>
        <v>Kit delivery and pickup</v>
      </c>
      <c r="G45" s="134" t="str">
        <f ca="1">IFERROR(__xludf.DUMMYFUNCTION("""COMPUTED_VALUE"""),"no")</f>
        <v>no</v>
      </c>
    </row>
    <row r="46" spans="1:7">
      <c r="A46" s="134" t="str">
        <f ca="1">IFERROR(__xludf.DUMMYFUNCTION("""COMPUTED_VALUE"""),"St Mary Healthcare Center")</f>
        <v>St Mary Healthcare Center</v>
      </c>
      <c r="B46" s="134" t="str">
        <f ca="1">IFERROR(__xludf.DUMMYFUNCTION("""COMPUTED_VALUE"""),"Trilogy")</f>
        <v>Trilogy</v>
      </c>
      <c r="C46" s="134">
        <f ca="1">IFERROR(__xludf.DUMMYFUNCTION("""COMPUTED_VALUE"""),102)</f>
        <v>102</v>
      </c>
      <c r="D46" s="134" t="str">
        <f ca="1">IFERROR(__xludf.DUMMYFUNCTION("""COMPUTED_VALUE"""),"   2201 Cason St")</f>
        <v xml:space="preserve">   2201 Cason St</v>
      </c>
      <c r="E46" s="134" t="str">
        <f ca="1">IFERROR(__xludf.DUMMYFUNCTION("""COMPUTED_VALUE"""),"   Lafayette, In 47904")</f>
        <v xml:space="preserve">   Lafayette, In 47904</v>
      </c>
      <c r="F46" s="134" t="str">
        <f ca="1">IFERROR(__xludf.DUMMYFUNCTION("""COMPUTED_VALUE"""),"Kit delivery and pickup")</f>
        <v>Kit delivery and pickup</v>
      </c>
      <c r="G46" s="134" t="str">
        <f ca="1">IFERROR(__xludf.DUMMYFUNCTION("""COMPUTED_VALUE"""),"no")</f>
        <v>no</v>
      </c>
    </row>
    <row r="47" spans="1:7">
      <c r="A47" s="134" t="str">
        <f ca="1">IFERROR(__xludf.DUMMYFUNCTION("""COMPUTED_VALUE"""),"Stonebridge Health Campus")</f>
        <v>Stonebridge Health Campus</v>
      </c>
      <c r="B47" s="134" t="str">
        <f ca="1">IFERROR(__xludf.DUMMYFUNCTION("""COMPUTED_VALUE"""),"Trilogy")</f>
        <v>Trilogy</v>
      </c>
      <c r="C47" s="134">
        <f ca="1">IFERROR(__xludf.DUMMYFUNCTION("""COMPUTED_VALUE"""),101)</f>
        <v>101</v>
      </c>
      <c r="D47" s="134" t="str">
        <f ca="1">IFERROR(__xludf.DUMMYFUNCTION("""COMPUTED_VALUE"""),"   3100 Shawnee Dr S")</f>
        <v xml:space="preserve">   3100 Shawnee Dr S</v>
      </c>
      <c r="E47" s="134" t="str">
        <f ca="1">IFERROR(__xludf.DUMMYFUNCTION("""COMPUTED_VALUE"""),"   Bedford, In 47421")</f>
        <v xml:space="preserve">   Bedford, In 47421</v>
      </c>
      <c r="F47" s="134" t="str">
        <f ca="1">IFERROR(__xludf.DUMMYFUNCTION("""COMPUTED_VALUE"""),"Kit delivery and pickup")</f>
        <v>Kit delivery and pickup</v>
      </c>
      <c r="G47" s="134" t="str">
        <f ca="1">IFERROR(__xludf.DUMMYFUNCTION("""COMPUTED_VALUE"""),"no")</f>
        <v>no</v>
      </c>
    </row>
    <row r="48" spans="1:7">
      <c r="A48" s="134" t="str">
        <f ca="1">IFERROR(__xludf.DUMMYFUNCTION("""COMPUTED_VALUE"""),"Stonecroft Health Campus")</f>
        <v>Stonecroft Health Campus</v>
      </c>
      <c r="B48" s="134" t="str">
        <f ca="1">IFERROR(__xludf.DUMMYFUNCTION("""COMPUTED_VALUE"""),"Trilogy")</f>
        <v>Trilogy</v>
      </c>
      <c r="C48" s="134">
        <f ca="1">IFERROR(__xludf.DUMMYFUNCTION("""COMPUTED_VALUE"""),115)</f>
        <v>115</v>
      </c>
      <c r="D48" s="134" t="str">
        <f ca="1">IFERROR(__xludf.DUMMYFUNCTION("""COMPUTED_VALUE"""),"   363 South Fieldstone Blvd")</f>
        <v xml:space="preserve">   363 South Fieldstone Blvd</v>
      </c>
      <c r="E48" s="134" t="str">
        <f ca="1">IFERROR(__xludf.DUMMYFUNCTION("""COMPUTED_VALUE"""),"   Bloomington, In 47403")</f>
        <v xml:space="preserve">   Bloomington, In 47403</v>
      </c>
      <c r="F48" s="134" t="str">
        <f ca="1">IFERROR(__xludf.DUMMYFUNCTION("""COMPUTED_VALUE"""),"Kit delivery and pickup")</f>
        <v>Kit delivery and pickup</v>
      </c>
      <c r="G48" s="134" t="str">
        <f ca="1">IFERROR(__xludf.DUMMYFUNCTION("""COMPUTED_VALUE"""),"no")</f>
        <v>no</v>
      </c>
    </row>
    <row r="49" spans="1:7">
      <c r="A49" s="134" t="str">
        <f ca="1">IFERROR(__xludf.DUMMYFUNCTION("""COMPUTED_VALUE"""),"The Villages At Historic Silvercrest")</f>
        <v>The Villages At Historic Silvercrest</v>
      </c>
      <c r="B49" s="134" t="str">
        <f ca="1">IFERROR(__xludf.DUMMYFUNCTION("""COMPUTED_VALUE"""),"Trilogy")</f>
        <v>Trilogy</v>
      </c>
      <c r="C49" s="134">
        <f ca="1">IFERROR(__xludf.DUMMYFUNCTION("""COMPUTED_VALUE"""),141)</f>
        <v>141</v>
      </c>
      <c r="D49" s="134" t="str">
        <f ca="1">IFERROR(__xludf.DUMMYFUNCTION("""COMPUTED_VALUE"""),"1 Silvercrest Dr")</f>
        <v>1 Silvercrest Dr</v>
      </c>
      <c r="E49" s="134" t="str">
        <f ca="1">IFERROR(__xludf.DUMMYFUNCTION("""COMPUTED_VALUE"""),"New Albany, In  47150")</f>
        <v>New Albany, In  47150</v>
      </c>
      <c r="F49" s="134" t="str">
        <f ca="1">IFERROR(__xludf.DUMMYFUNCTION("""COMPUTED_VALUE"""),"Kit delivery and pickup")</f>
        <v>Kit delivery and pickup</v>
      </c>
      <c r="G49" s="134" t="str">
        <f ca="1">IFERROR(__xludf.DUMMYFUNCTION("""COMPUTED_VALUE"""),"no")</f>
        <v>no</v>
      </c>
    </row>
    <row r="50" spans="1:7">
      <c r="A50" s="134" t="str">
        <f ca="1">IFERROR(__xludf.DUMMYFUNCTION("""COMPUTED_VALUE"""),"Thornton Terrace Health Campus")</f>
        <v>Thornton Terrace Health Campus</v>
      </c>
      <c r="B50" s="134" t="str">
        <f ca="1">IFERROR(__xludf.DUMMYFUNCTION("""COMPUTED_VALUE"""),"Trilogy")</f>
        <v>Trilogy</v>
      </c>
      <c r="C50" s="134">
        <f ca="1">IFERROR(__xludf.DUMMYFUNCTION("""COMPUTED_VALUE"""),81)</f>
        <v>81</v>
      </c>
      <c r="D50" s="134" t="str">
        <f ca="1">IFERROR(__xludf.DUMMYFUNCTION("""COMPUTED_VALUE"""),"   188 Thornton Rd")</f>
        <v xml:space="preserve">   188 Thornton Rd</v>
      </c>
      <c r="E50" s="134" t="str">
        <f ca="1">IFERROR(__xludf.DUMMYFUNCTION("""COMPUTED_VALUE"""),"   Hanover, In 47243")</f>
        <v xml:space="preserve">   Hanover, In 47243</v>
      </c>
      <c r="F50" s="134" t="str">
        <f ca="1">IFERROR(__xludf.DUMMYFUNCTION("""COMPUTED_VALUE"""),"Kit delivery and pickup")</f>
        <v>Kit delivery and pickup</v>
      </c>
      <c r="G50" s="134" t="str">
        <f ca="1">IFERROR(__xludf.DUMMYFUNCTION("""COMPUTED_VALUE"""),"no")</f>
        <v>no</v>
      </c>
    </row>
    <row r="51" spans="1:7">
      <c r="A51" s="134" t="str">
        <f ca="1">IFERROR(__xludf.DUMMYFUNCTION("""COMPUTED_VALUE"""),"Villages At Oak Ridge, The")</f>
        <v>Villages At Oak Ridge, The</v>
      </c>
      <c r="B51" s="134" t="str">
        <f ca="1">IFERROR(__xludf.DUMMYFUNCTION("""COMPUTED_VALUE"""),"Trilogy")</f>
        <v>Trilogy</v>
      </c>
      <c r="C51" s="134">
        <f ca="1">IFERROR(__xludf.DUMMYFUNCTION("""COMPUTED_VALUE"""),119)</f>
        <v>119</v>
      </c>
      <c r="D51" s="134" t="str">
        <f ca="1">IFERROR(__xludf.DUMMYFUNCTION("""COMPUTED_VALUE"""),"   1694 Troy Road")</f>
        <v xml:space="preserve">   1694 Troy Road</v>
      </c>
      <c r="E51" s="134" t="str">
        <f ca="1">IFERROR(__xludf.DUMMYFUNCTION("""COMPUTED_VALUE"""),"   Washington, In 47501")</f>
        <v xml:space="preserve">   Washington, In 47501</v>
      </c>
      <c r="F51" s="134" t="str">
        <f ca="1">IFERROR(__xludf.DUMMYFUNCTION("""COMPUTED_VALUE"""),"Kit delivery and pickup")</f>
        <v>Kit delivery and pickup</v>
      </c>
      <c r="G51" s="134" t="str">
        <f ca="1">IFERROR(__xludf.DUMMYFUNCTION("""COMPUTED_VALUE"""),"no")</f>
        <v>no</v>
      </c>
    </row>
    <row r="52" spans="1:7">
      <c r="A52" s="134" t="str">
        <f ca="1">IFERROR(__xludf.DUMMYFUNCTION("""COMPUTED_VALUE"""),"Waterford Crossing")</f>
        <v>Waterford Crossing</v>
      </c>
      <c r="B52" s="134" t="str">
        <f ca="1">IFERROR(__xludf.DUMMYFUNCTION("""COMPUTED_VALUE"""),"Trilogy")</f>
        <v>Trilogy</v>
      </c>
      <c r="C52" s="134">
        <f ca="1">IFERROR(__xludf.DUMMYFUNCTION("""COMPUTED_VALUE"""),130)</f>
        <v>130</v>
      </c>
      <c r="D52" s="134" t="str">
        <f ca="1">IFERROR(__xludf.DUMMYFUNCTION("""COMPUTED_VALUE"""),"   1332 Waterford Cir")</f>
        <v xml:space="preserve">   1332 Waterford Cir</v>
      </c>
      <c r="E52" s="134" t="str">
        <f ca="1">IFERROR(__xludf.DUMMYFUNCTION("""COMPUTED_VALUE"""),"   Goshen, In 46526")</f>
        <v xml:space="preserve">   Goshen, In 46526</v>
      </c>
      <c r="F52" s="134" t="str">
        <f ca="1">IFERROR(__xludf.DUMMYFUNCTION("""COMPUTED_VALUE"""),"Kit delivery and pickup")</f>
        <v>Kit delivery and pickup</v>
      </c>
      <c r="G52" s="134" t="str">
        <f ca="1">IFERROR(__xludf.DUMMYFUNCTION("""COMPUTED_VALUE"""),"no")</f>
        <v>no</v>
      </c>
    </row>
    <row r="53" spans="1:7">
      <c r="A53" s="134" t="str">
        <f ca="1">IFERROR(__xludf.DUMMYFUNCTION("""COMPUTED_VALUE"""),"Waterford Place Health Campus")</f>
        <v>Waterford Place Health Campus</v>
      </c>
      <c r="B53" s="134" t="str">
        <f ca="1">IFERROR(__xludf.DUMMYFUNCTION("""COMPUTED_VALUE"""),"Trilogy")</f>
        <v>Trilogy</v>
      </c>
      <c r="C53" s="134">
        <f ca="1">IFERROR(__xludf.DUMMYFUNCTION("""COMPUTED_VALUE"""),155)</f>
        <v>155</v>
      </c>
      <c r="D53" s="134" t="str">
        <f ca="1">IFERROR(__xludf.DUMMYFUNCTION("""COMPUTED_VALUE"""),"   800 St Joseph Dr")</f>
        <v xml:space="preserve">   800 St Joseph Dr</v>
      </c>
      <c r="E53" s="134" t="str">
        <f ca="1">IFERROR(__xludf.DUMMYFUNCTION("""COMPUTED_VALUE"""),"   Kokomo, In 46901")</f>
        <v xml:space="preserve">   Kokomo, In 46901</v>
      </c>
      <c r="F53" s="134" t="str">
        <f ca="1">IFERROR(__xludf.DUMMYFUNCTION("""COMPUTED_VALUE"""),"Kit delivery and pickup")</f>
        <v>Kit delivery and pickup</v>
      </c>
      <c r="G53" s="134" t="str">
        <f ca="1">IFERROR(__xludf.DUMMYFUNCTION("""COMPUTED_VALUE"""),"no")</f>
        <v>no</v>
      </c>
    </row>
    <row r="54" spans="1:7">
      <c r="A54" s="134" t="str">
        <f ca="1">IFERROR(__xludf.DUMMYFUNCTION("""COMPUTED_VALUE"""),"Wellbrooke Of Avon")</f>
        <v>Wellbrooke Of Avon</v>
      </c>
      <c r="B54" s="134" t="str">
        <f ca="1">IFERROR(__xludf.DUMMYFUNCTION("""COMPUTED_VALUE"""),"Trilogy")</f>
        <v>Trilogy</v>
      </c>
      <c r="C54" s="134">
        <f ca="1">IFERROR(__xludf.DUMMYFUNCTION("""COMPUTED_VALUE"""),109)</f>
        <v>109</v>
      </c>
      <c r="D54" s="134" t="str">
        <f ca="1">IFERROR(__xludf.DUMMYFUNCTION("""COMPUTED_VALUE"""),"   10307 East County Road 100 North")</f>
        <v xml:space="preserve">   10307 East County Road 100 North</v>
      </c>
      <c r="E54" s="134" t="str">
        <f ca="1">IFERROR(__xludf.DUMMYFUNCTION("""COMPUTED_VALUE"""),"   Indianapolis, In 46234")</f>
        <v xml:space="preserve">   Indianapolis, In 46234</v>
      </c>
      <c r="F54" s="134" t="str">
        <f ca="1">IFERROR(__xludf.DUMMYFUNCTION("""COMPUTED_VALUE"""),"Kit delivery and pickup")</f>
        <v>Kit delivery and pickup</v>
      </c>
      <c r="G54" s="134" t="str">
        <f ca="1">IFERROR(__xludf.DUMMYFUNCTION("""COMPUTED_VALUE"""),"no")</f>
        <v>no</v>
      </c>
    </row>
    <row r="55" spans="1:7">
      <c r="A55" s="134" t="str">
        <f ca="1">IFERROR(__xludf.DUMMYFUNCTION("""COMPUTED_VALUE"""),"Wellbrooke Of Carmel")</f>
        <v>Wellbrooke Of Carmel</v>
      </c>
      <c r="B55" s="134" t="str">
        <f ca="1">IFERROR(__xludf.DUMMYFUNCTION("""COMPUTED_VALUE"""),"Trilogy")</f>
        <v>Trilogy</v>
      </c>
      <c r="C55" s="134">
        <f ca="1">IFERROR(__xludf.DUMMYFUNCTION("""COMPUTED_VALUE"""),94)</f>
        <v>94</v>
      </c>
      <c r="D55" s="134" t="str">
        <f ca="1">IFERROR(__xludf.DUMMYFUNCTION("""COMPUTED_VALUE"""),"   12315 Pennsylvania Street")</f>
        <v xml:space="preserve">   12315 Pennsylvania Street</v>
      </c>
      <c r="E55" s="134" t="str">
        <f ca="1">IFERROR(__xludf.DUMMYFUNCTION("""COMPUTED_VALUE"""),"   Carmel, In 46032")</f>
        <v xml:space="preserve">   Carmel, In 46032</v>
      </c>
      <c r="F55" s="134" t="str">
        <f ca="1">IFERROR(__xludf.DUMMYFUNCTION("""COMPUTED_VALUE"""),"Kit delivery and pickup")</f>
        <v>Kit delivery and pickup</v>
      </c>
      <c r="G55" s="134" t="str">
        <f ca="1">IFERROR(__xludf.DUMMYFUNCTION("""COMPUTED_VALUE"""),"no")</f>
        <v>no</v>
      </c>
    </row>
    <row r="56" spans="1:7">
      <c r="A56" s="134" t="str">
        <f ca="1">IFERROR(__xludf.DUMMYFUNCTION("""COMPUTED_VALUE"""),"Wellbrooke Of Crawfordsville")</f>
        <v>Wellbrooke Of Crawfordsville</v>
      </c>
      <c r="B56" s="134" t="str">
        <f ca="1">IFERROR(__xludf.DUMMYFUNCTION("""COMPUTED_VALUE"""),"Trilogy")</f>
        <v>Trilogy</v>
      </c>
      <c r="C56" s="134">
        <f ca="1">IFERROR(__xludf.DUMMYFUNCTION("""COMPUTED_VALUE"""),126)</f>
        <v>126</v>
      </c>
      <c r="D56" s="134" t="str">
        <f ca="1">IFERROR(__xludf.DUMMYFUNCTION("""COMPUTED_VALUE"""),"   517 Concord Road")</f>
        <v xml:space="preserve">   517 Concord Road</v>
      </c>
      <c r="E56" s="134" t="str">
        <f ca="1">IFERROR(__xludf.DUMMYFUNCTION("""COMPUTED_VALUE"""),"   Crawfordsville, In 47933")</f>
        <v xml:space="preserve">   Crawfordsville, In 47933</v>
      </c>
      <c r="F56" s="134" t="str">
        <f ca="1">IFERROR(__xludf.DUMMYFUNCTION("""COMPUTED_VALUE"""),"Kit delivery and pickup")</f>
        <v>Kit delivery and pickup</v>
      </c>
      <c r="G56" s="134" t="str">
        <f ca="1">IFERROR(__xludf.DUMMYFUNCTION("""COMPUTED_VALUE"""),"no")</f>
        <v>no</v>
      </c>
    </row>
    <row r="57" spans="1:7">
      <c r="A57" s="134" t="str">
        <f ca="1">IFERROR(__xludf.DUMMYFUNCTION("""COMPUTED_VALUE"""),"Wellbrooke Of Kokomo")</f>
        <v>Wellbrooke Of Kokomo</v>
      </c>
      <c r="B57" s="134" t="str">
        <f ca="1">IFERROR(__xludf.DUMMYFUNCTION("""COMPUTED_VALUE"""),"Trilogy")</f>
        <v>Trilogy</v>
      </c>
      <c r="C57" s="134">
        <f ca="1">IFERROR(__xludf.DUMMYFUNCTION("""COMPUTED_VALUE"""),126)</f>
        <v>126</v>
      </c>
      <c r="D57" s="134" t="str">
        <f ca="1">IFERROR(__xludf.DUMMYFUNCTION("""COMPUTED_VALUE"""),"   2200 South Dixon Road")</f>
        <v xml:space="preserve">   2200 South Dixon Road</v>
      </c>
      <c r="E57" s="134" t="str">
        <f ca="1">IFERROR(__xludf.DUMMYFUNCTION("""COMPUTED_VALUE"""),"   Kokomo, In 46902")</f>
        <v xml:space="preserve">   Kokomo, In 46902</v>
      </c>
      <c r="F57" s="134" t="str">
        <f ca="1">IFERROR(__xludf.DUMMYFUNCTION("""COMPUTED_VALUE"""),"Kit delivery and pickup")</f>
        <v>Kit delivery and pickup</v>
      </c>
      <c r="G57" s="134" t="str">
        <f ca="1">IFERROR(__xludf.DUMMYFUNCTION("""COMPUTED_VALUE"""),"no")</f>
        <v>no</v>
      </c>
    </row>
    <row r="58" spans="1:7">
      <c r="A58" s="134" t="str">
        <f ca="1">IFERROR(__xludf.DUMMYFUNCTION("""COMPUTED_VALUE"""),"Wellbrooke Of South Bend")</f>
        <v>Wellbrooke Of South Bend</v>
      </c>
      <c r="B58" s="134" t="str">
        <f ca="1">IFERROR(__xludf.DUMMYFUNCTION("""COMPUTED_VALUE"""),"Trilogy")</f>
        <v>Trilogy</v>
      </c>
      <c r="C58" s="134">
        <f ca="1">IFERROR(__xludf.DUMMYFUNCTION("""COMPUTED_VALUE"""),135)</f>
        <v>135</v>
      </c>
      <c r="D58" s="134" t="str">
        <f ca="1">IFERROR(__xludf.DUMMYFUNCTION("""COMPUTED_VALUE"""),"   52565 State Road 933")</f>
        <v xml:space="preserve">   52565 State Road 933</v>
      </c>
      <c r="E58" s="134" t="str">
        <f ca="1">IFERROR(__xludf.DUMMYFUNCTION("""COMPUTED_VALUE"""),"   South Bend, In 46637")</f>
        <v xml:space="preserve">   South Bend, In 46637</v>
      </c>
      <c r="F58" s="134" t="str">
        <f ca="1">IFERROR(__xludf.DUMMYFUNCTION("""COMPUTED_VALUE"""),"Kit delivery and pickup")</f>
        <v>Kit delivery and pickup</v>
      </c>
      <c r="G58" s="134" t="str">
        <f ca="1">IFERROR(__xludf.DUMMYFUNCTION("""COMPUTED_VALUE"""),"no")</f>
        <v>no</v>
      </c>
    </row>
    <row r="59" spans="1:7">
      <c r="A59" s="134" t="str">
        <f ca="1">IFERROR(__xludf.DUMMYFUNCTION("""COMPUTED_VALUE"""),"Wellbrooke Of Wabash")</f>
        <v>Wellbrooke Of Wabash</v>
      </c>
      <c r="B59" s="134" t="str">
        <f ca="1">IFERROR(__xludf.DUMMYFUNCTION("""COMPUTED_VALUE"""),"Trilogy")</f>
        <v>Trilogy</v>
      </c>
      <c r="C59" s="134">
        <f ca="1">IFERROR(__xludf.DUMMYFUNCTION("""COMPUTED_VALUE"""),117)</f>
        <v>117</v>
      </c>
      <c r="D59" s="134" t="str">
        <f ca="1">IFERROR(__xludf.DUMMYFUNCTION("""COMPUTED_VALUE"""),"   20 John Kissinger Drive")</f>
        <v xml:space="preserve">   20 John Kissinger Drive</v>
      </c>
      <c r="E59" s="134" t="str">
        <f ca="1">IFERROR(__xludf.DUMMYFUNCTION("""COMPUTED_VALUE"""),"   Wabash, In 46992")</f>
        <v xml:space="preserve">   Wabash, In 46992</v>
      </c>
      <c r="F59" s="134" t="str">
        <f ca="1">IFERROR(__xludf.DUMMYFUNCTION("""COMPUTED_VALUE"""),"Kit delivery and pickup")</f>
        <v>Kit delivery and pickup</v>
      </c>
      <c r="G59" s="134" t="str">
        <f ca="1">IFERROR(__xludf.DUMMYFUNCTION("""COMPUTED_VALUE"""),"no")</f>
        <v>no</v>
      </c>
    </row>
    <row r="60" spans="1:7">
      <c r="A60" s="134" t="str">
        <f ca="1">IFERROR(__xludf.DUMMYFUNCTION("""COMPUTED_VALUE"""),"Wellbrooke Of Westfield")</f>
        <v>Wellbrooke Of Westfield</v>
      </c>
      <c r="B60" s="134" t="str">
        <f ca="1">IFERROR(__xludf.DUMMYFUNCTION("""COMPUTED_VALUE"""),"Trilogy")</f>
        <v>Trilogy</v>
      </c>
      <c r="C60" s="134">
        <f ca="1">IFERROR(__xludf.DUMMYFUNCTION("""COMPUTED_VALUE"""),96)</f>
        <v>96</v>
      </c>
      <c r="D60" s="134" t="str">
        <f ca="1">IFERROR(__xludf.DUMMYFUNCTION("""COMPUTED_VALUE"""),"   937 E 186Th Street")</f>
        <v xml:space="preserve">   937 E 186Th Street</v>
      </c>
      <c r="E60" s="134" t="str">
        <f ca="1">IFERROR(__xludf.DUMMYFUNCTION("""COMPUTED_VALUE"""),"   Westfield, In 46074")</f>
        <v xml:space="preserve">   Westfield, In 46074</v>
      </c>
      <c r="F60" s="134" t="str">
        <f ca="1">IFERROR(__xludf.DUMMYFUNCTION("""COMPUTED_VALUE"""),"Kit delivery and pickup")</f>
        <v>Kit delivery and pickup</v>
      </c>
      <c r="G60" s="134" t="str">
        <f ca="1">IFERROR(__xludf.DUMMYFUNCTION("""COMPUTED_VALUE"""),"no")</f>
        <v>no</v>
      </c>
    </row>
    <row r="61" spans="1:7">
      <c r="A61" s="134" t="str">
        <f ca="1">IFERROR(__xludf.DUMMYFUNCTION("""COMPUTED_VALUE"""),"West River Health Campus")</f>
        <v>West River Health Campus</v>
      </c>
      <c r="B61" s="134" t="str">
        <f ca="1">IFERROR(__xludf.DUMMYFUNCTION("""COMPUTED_VALUE"""),"Trilogy")</f>
        <v>Trilogy</v>
      </c>
      <c r="C61" s="134">
        <f ca="1">IFERROR(__xludf.DUMMYFUNCTION("""COMPUTED_VALUE"""),141)</f>
        <v>141</v>
      </c>
      <c r="D61" s="134" t="str">
        <f ca="1">IFERROR(__xludf.DUMMYFUNCTION("""COMPUTED_VALUE"""),"   714 S Eickhoff Rd")</f>
        <v xml:space="preserve">   714 S Eickhoff Rd</v>
      </c>
      <c r="E61" s="134" t="str">
        <f ca="1">IFERROR(__xludf.DUMMYFUNCTION("""COMPUTED_VALUE"""),"   Evansville, In 47712")</f>
        <v xml:space="preserve">   Evansville, In 47712</v>
      </c>
      <c r="F61" s="134" t="str">
        <f ca="1">IFERROR(__xludf.DUMMYFUNCTION("""COMPUTED_VALUE"""),"Kit delivery and pickup")</f>
        <v>Kit delivery and pickup</v>
      </c>
      <c r="G61" s="134" t="str">
        <f ca="1">IFERROR(__xludf.DUMMYFUNCTION("""COMPUTED_VALUE"""),"no")</f>
        <v>no</v>
      </c>
    </row>
    <row r="62" spans="1:7">
      <c r="A62" s="134" t="str">
        <f ca="1">IFERROR(__xludf.DUMMYFUNCTION("""COMPUTED_VALUE"""),"White Oak Health Campus")</f>
        <v>White Oak Health Campus</v>
      </c>
      <c r="B62" s="134" t="str">
        <f ca="1">IFERROR(__xludf.DUMMYFUNCTION("""COMPUTED_VALUE"""),"Trilogy")</f>
        <v>Trilogy</v>
      </c>
      <c r="C62" s="134">
        <f ca="1">IFERROR(__xludf.DUMMYFUNCTION("""COMPUTED_VALUE"""),137)</f>
        <v>137</v>
      </c>
      <c r="D62" s="134" t="str">
        <f ca="1">IFERROR(__xludf.DUMMYFUNCTION("""COMPUTED_VALUE"""),"   814 S 6Th St")</f>
        <v xml:space="preserve">   814 S 6Th St</v>
      </c>
      <c r="E62" s="134" t="str">
        <f ca="1">IFERROR(__xludf.DUMMYFUNCTION("""COMPUTED_VALUE"""),"   Monticello, In 47960")</f>
        <v xml:space="preserve">   Monticello, In 47960</v>
      </c>
      <c r="F62" s="134" t="str">
        <f ca="1">IFERROR(__xludf.DUMMYFUNCTION("""COMPUTED_VALUE"""),"Kit delivery and pickup")</f>
        <v>Kit delivery and pickup</v>
      </c>
      <c r="G62" s="134" t="str">
        <f ca="1">IFERROR(__xludf.DUMMYFUNCTION("""COMPUTED_VALUE"""),"no")</f>
        <v>no</v>
      </c>
    </row>
    <row r="63" spans="1:7">
      <c r="A63" s="134" t="str">
        <f ca="1">IFERROR(__xludf.DUMMYFUNCTION("""COMPUTED_VALUE"""),"Woodbridge Health Campus")</f>
        <v>Woodbridge Health Campus</v>
      </c>
      <c r="B63" s="134" t="str">
        <f ca="1">IFERROR(__xludf.DUMMYFUNCTION("""COMPUTED_VALUE"""),"Trilogy")</f>
        <v>Trilogy</v>
      </c>
      <c r="C63" s="134">
        <f ca="1">IFERROR(__xludf.DUMMYFUNCTION("""COMPUTED_VALUE"""),106)</f>
        <v>106</v>
      </c>
      <c r="D63" s="134" t="str">
        <f ca="1">IFERROR(__xludf.DUMMYFUNCTION("""COMPUTED_VALUE"""),"   602 Woodbridge Ave")</f>
        <v xml:space="preserve">   602 Woodbridge Ave</v>
      </c>
      <c r="E63" s="134" t="str">
        <f ca="1">IFERROR(__xludf.DUMMYFUNCTION("""COMPUTED_VALUE"""),"   Logansport, In 46947")</f>
        <v xml:space="preserve">   Logansport, In 46947</v>
      </c>
      <c r="F63" s="134" t="str">
        <f ca="1">IFERROR(__xludf.DUMMYFUNCTION("""COMPUTED_VALUE"""),"Kit delivery and pickup")</f>
        <v>Kit delivery and pickup</v>
      </c>
      <c r="G63" s="134" t="str">
        <f ca="1">IFERROR(__xludf.DUMMYFUNCTION("""COMPUTED_VALUE"""),"no")</f>
        <v>no</v>
      </c>
    </row>
    <row r="64" spans="1:7">
      <c r="A64" s="134" t="str">
        <f ca="1">IFERROR(__xludf.DUMMYFUNCTION("""COMPUTED_VALUE"""),"Woodmont Health Campus")</f>
        <v>Woodmont Health Campus</v>
      </c>
      <c r="B64" s="134" t="str">
        <f ca="1">IFERROR(__xludf.DUMMYFUNCTION("""COMPUTED_VALUE"""),"Trilogy")</f>
        <v>Trilogy</v>
      </c>
      <c r="C64" s="134">
        <f ca="1">IFERROR(__xludf.DUMMYFUNCTION("""COMPUTED_VALUE"""),108)</f>
        <v>108</v>
      </c>
      <c r="D64" s="134" t="str">
        <f ca="1">IFERROR(__xludf.DUMMYFUNCTION("""COMPUTED_VALUE"""),"   1325 Rockport Rd")</f>
        <v xml:space="preserve">   1325 Rockport Rd</v>
      </c>
      <c r="E64" s="134" t="str">
        <f ca="1">IFERROR(__xludf.DUMMYFUNCTION("""COMPUTED_VALUE"""),"   Boonville, In 47601")</f>
        <v xml:space="preserve">   Boonville, In 47601</v>
      </c>
      <c r="F64" s="134" t="str">
        <f ca="1">IFERROR(__xludf.DUMMYFUNCTION("""COMPUTED_VALUE"""),"Kit delivery and pickup")</f>
        <v>Kit delivery and pickup</v>
      </c>
      <c r="G64" s="134" t="str">
        <f ca="1">IFERROR(__xludf.DUMMYFUNCTION("""COMPUTED_VALUE"""),"no")</f>
        <v>no</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FF"/>
    <outlinePr summaryBelow="0" summaryRight="0"/>
  </sheetPr>
  <dimension ref="A1:G34"/>
  <sheetViews>
    <sheetView workbookViewId="0"/>
  </sheetViews>
  <sheetFormatPr defaultColWidth="12.625" defaultRowHeight="15" customHeight="1"/>
  <cols>
    <col min="1" max="1" width="39.625" customWidth="1"/>
    <col min="3" max="3" width="12.5" customWidth="1"/>
    <col min="5" max="5" width="20" customWidth="1"/>
    <col min="6" max="6" width="17.375" customWidth="1"/>
    <col min="7" max="7" width="19.125" customWidth="1"/>
  </cols>
  <sheetData>
    <row r="1" spans="1:7">
      <c r="A1" s="134" t="str">
        <f ca="1">IFERROR(__xludf.DUMMYFUNCTION("query('Data Set'!1:99989, ""Select A,B,G,Y,Z,AA,AB Where B = 'Millers'"",1)"),"Facility")</f>
        <v>Facility</v>
      </c>
      <c r="B1" s="134" t="str">
        <f ca="1">IFERROR(__xludf.DUMMYFUNCTION("""COMPUTED_VALUE"""),"Corporation")</f>
        <v>Corporation</v>
      </c>
      <c r="C1" s="134" t="str">
        <f ca="1">IFERROR(__xludf.DUMMYFUNCTION("""COMPUTED_VALUE"""),"Number of Staff")</f>
        <v>Number of Staff</v>
      </c>
      <c r="D1" s="134" t="str">
        <f ca="1">IFERROR(__xludf.DUMMYFUNCTION("""COMPUTED_VALUE"""),"Address 1")</f>
        <v>Address 1</v>
      </c>
      <c r="E1" s="134" t="str">
        <f ca="1">IFERROR(__xludf.DUMMYFUNCTION("""COMPUTED_VALUE"""),"Address 2")</f>
        <v>Address 2</v>
      </c>
      <c r="F1" s="134" t="str">
        <f ca="1">IFERROR(__xludf.DUMMYFUNCTION("""COMPUTED_VALUE"""),"Kit delivery and pickup")</f>
        <v>Kit delivery and pickup</v>
      </c>
      <c r="G1" s="134" t="str">
        <f ca="1">IFERROR(__xludf.DUMMYFUNCTION("""COMPUTED_VALUE"""),"Require Training of Staff?")</f>
        <v>Require Training of Staff?</v>
      </c>
    </row>
    <row r="2" spans="1:7">
      <c r="A2" s="134" t="str">
        <f ca="1">IFERROR(__xludf.DUMMYFUNCTION("""COMPUTED_VALUE"""),"Miller'S At Oak Pointe")</f>
        <v>Miller'S At Oak Pointe</v>
      </c>
      <c r="B2" s="134" t="str">
        <f ca="1">IFERROR(__xludf.DUMMYFUNCTION("""COMPUTED_VALUE"""),"Millers")</f>
        <v>Millers</v>
      </c>
      <c r="C2" s="134">
        <f ca="1">IFERROR(__xludf.DUMMYFUNCTION("""COMPUTED_VALUE"""),93)</f>
        <v>93</v>
      </c>
      <c r="D2" s="134" t="str">
        <f ca="1">IFERROR(__xludf.DUMMYFUNCTION("""COMPUTED_VALUE"""),"   411 N Wolf Rd")</f>
        <v xml:space="preserve">   411 N Wolf Rd</v>
      </c>
      <c r="E2" s="134" t="str">
        <f ca="1">IFERROR(__xludf.DUMMYFUNCTION("""COMPUTED_VALUE"""),"   Columbia City, In 46725")</f>
        <v xml:space="preserve">   Columbia City, In 46725</v>
      </c>
      <c r="F2" s="134" t="str">
        <f ca="1">IFERROR(__xludf.DUMMYFUNCTION("""COMPUTED_VALUE"""),"Kit delivery and pickup")</f>
        <v>Kit delivery and pickup</v>
      </c>
      <c r="G2" s="134" t="str">
        <f ca="1">IFERROR(__xludf.DUMMYFUNCTION("""COMPUTED_VALUE"""),"no")</f>
        <v>no</v>
      </c>
    </row>
    <row r="3" spans="1:7">
      <c r="A3" s="134" t="str">
        <f ca="1">IFERROR(__xludf.DUMMYFUNCTION("""COMPUTED_VALUE"""),"Miller'S Health &amp; Rehab")</f>
        <v>Miller'S Health &amp; Rehab</v>
      </c>
      <c r="B3" s="134" t="str">
        <f ca="1">IFERROR(__xludf.DUMMYFUNCTION("""COMPUTED_VALUE"""),"Millers")</f>
        <v>Millers</v>
      </c>
      <c r="C3" s="134">
        <f ca="1">IFERROR(__xludf.DUMMYFUNCTION("""COMPUTED_VALUE"""),109)</f>
        <v>109</v>
      </c>
      <c r="D3" s="134" t="str">
        <f ca="1">IFERROR(__xludf.DUMMYFUNCTION("""COMPUTED_VALUE"""),"   3530 Monroe Street")</f>
        <v xml:space="preserve">   3530 Monroe Street</v>
      </c>
      <c r="E3" s="134" t="str">
        <f ca="1">IFERROR(__xludf.DUMMYFUNCTION("""COMPUTED_VALUE"""),"   La Porte, In 46350")</f>
        <v xml:space="preserve">   La Porte, In 46350</v>
      </c>
      <c r="F3" s="134" t="str">
        <f ca="1">IFERROR(__xludf.DUMMYFUNCTION("""COMPUTED_VALUE"""),"Kit delivery and pickup")</f>
        <v>Kit delivery and pickup</v>
      </c>
      <c r="G3" s="134" t="str">
        <f ca="1">IFERROR(__xludf.DUMMYFUNCTION("""COMPUTED_VALUE"""),"no")</f>
        <v>no</v>
      </c>
    </row>
    <row r="4" spans="1:7">
      <c r="A4" s="134" t="str">
        <f ca="1">IFERROR(__xludf.DUMMYFUNCTION("""COMPUTED_VALUE"""),"Miller'S Merry Manor (Chesterfield)")</f>
        <v>Miller'S Merry Manor (Chesterfield)</v>
      </c>
      <c r="B4" s="134" t="str">
        <f ca="1">IFERROR(__xludf.DUMMYFUNCTION("""COMPUTED_VALUE"""),"Millers")</f>
        <v>Millers</v>
      </c>
      <c r="C4" s="134">
        <f ca="1">IFERROR(__xludf.DUMMYFUNCTION("""COMPUTED_VALUE"""),72)</f>
        <v>72</v>
      </c>
      <c r="D4" s="134" t="str">
        <f ca="1">IFERROR(__xludf.DUMMYFUNCTION("""COMPUTED_VALUE"""),"   524 Anderson Rd")</f>
        <v xml:space="preserve">   524 Anderson Rd</v>
      </c>
      <c r="E4" s="134" t="str">
        <f ca="1">IFERROR(__xludf.DUMMYFUNCTION("""COMPUTED_VALUE"""),"   Chesterfield, In 46017")</f>
        <v xml:space="preserve">   Chesterfield, In 46017</v>
      </c>
      <c r="F4" s="134" t="str">
        <f ca="1">IFERROR(__xludf.DUMMYFUNCTION("""COMPUTED_VALUE"""),"Kit delivery and pickup")</f>
        <v>Kit delivery and pickup</v>
      </c>
      <c r="G4" s="134" t="str">
        <f ca="1">IFERROR(__xludf.DUMMYFUNCTION("""COMPUTED_VALUE"""),"no")</f>
        <v>no</v>
      </c>
    </row>
    <row r="5" spans="1:7">
      <c r="A5" s="134" t="str">
        <f ca="1">IFERROR(__xludf.DUMMYFUNCTION("""COMPUTED_VALUE"""),"Miller'S Merry Manor (Columbia City)")</f>
        <v>Miller'S Merry Manor (Columbia City)</v>
      </c>
      <c r="B5" s="134" t="str">
        <f ca="1">IFERROR(__xludf.DUMMYFUNCTION("""COMPUTED_VALUE"""),"Millers")</f>
        <v>Millers</v>
      </c>
      <c r="C5" s="134">
        <f ca="1">IFERROR(__xludf.DUMMYFUNCTION("""COMPUTED_VALUE"""),54)</f>
        <v>54</v>
      </c>
      <c r="D5" s="134" t="str">
        <f ca="1">IFERROR(__xludf.DUMMYFUNCTION("""COMPUTED_VALUE"""),"   640 W Ellsworth St")</f>
        <v xml:space="preserve">   640 W Ellsworth St</v>
      </c>
      <c r="E5" s="134" t="str">
        <f ca="1">IFERROR(__xludf.DUMMYFUNCTION("""COMPUTED_VALUE"""),"   Columbia City, In 46725")</f>
        <v xml:space="preserve">   Columbia City, In 46725</v>
      </c>
      <c r="F5" s="134" t="str">
        <f ca="1">IFERROR(__xludf.DUMMYFUNCTION("""COMPUTED_VALUE"""),"Kit delivery and pickup")</f>
        <v>Kit delivery and pickup</v>
      </c>
      <c r="G5" s="134" t="str">
        <f ca="1">IFERROR(__xludf.DUMMYFUNCTION("""COMPUTED_VALUE"""),"no")</f>
        <v>no</v>
      </c>
    </row>
    <row r="6" spans="1:7">
      <c r="A6" s="134" t="str">
        <f ca="1">IFERROR(__xludf.DUMMYFUNCTION("""COMPUTED_VALUE"""),"Miller'S Merry Manor (Culver)")</f>
        <v>Miller'S Merry Manor (Culver)</v>
      </c>
      <c r="B6" s="134" t="str">
        <f ca="1">IFERROR(__xludf.DUMMYFUNCTION("""COMPUTED_VALUE"""),"Millers")</f>
        <v>Millers</v>
      </c>
      <c r="C6" s="134">
        <f ca="1">IFERROR(__xludf.DUMMYFUNCTION("""COMPUTED_VALUE"""),67)</f>
        <v>67</v>
      </c>
      <c r="D6" s="134" t="str">
        <f ca="1">IFERROR(__xludf.DUMMYFUNCTION("""COMPUTED_VALUE"""),"   730 School St")</f>
        <v xml:space="preserve">   730 School St</v>
      </c>
      <c r="E6" s="134" t="str">
        <f ca="1">IFERROR(__xludf.DUMMYFUNCTION("""COMPUTED_VALUE"""),"   Culver, In 46511")</f>
        <v xml:space="preserve">   Culver, In 46511</v>
      </c>
      <c r="F6" s="134" t="str">
        <f ca="1">IFERROR(__xludf.DUMMYFUNCTION("""COMPUTED_VALUE"""),"Kit delivery and pickup")</f>
        <v>Kit delivery and pickup</v>
      </c>
      <c r="G6" s="134" t="str">
        <f ca="1">IFERROR(__xludf.DUMMYFUNCTION("""COMPUTED_VALUE"""),"no")</f>
        <v>no</v>
      </c>
    </row>
    <row r="7" spans="1:7">
      <c r="A7" s="134" t="str">
        <f ca="1">IFERROR(__xludf.DUMMYFUNCTION("""COMPUTED_VALUE"""),"Miller'S Merry Manor (Dunkirk)")</f>
        <v>Miller'S Merry Manor (Dunkirk)</v>
      </c>
      <c r="B7" s="134" t="str">
        <f ca="1">IFERROR(__xludf.DUMMYFUNCTION("""COMPUTED_VALUE"""),"Millers")</f>
        <v>Millers</v>
      </c>
      <c r="C7" s="134">
        <f ca="1">IFERROR(__xludf.DUMMYFUNCTION("""COMPUTED_VALUE"""),54)</f>
        <v>54</v>
      </c>
      <c r="D7" s="134" t="str">
        <f ca="1">IFERROR(__xludf.DUMMYFUNCTION("""COMPUTED_VALUE"""),"   11563 W 300 S")</f>
        <v xml:space="preserve">   11563 W 300 S</v>
      </c>
      <c r="E7" s="134" t="str">
        <f ca="1">IFERROR(__xludf.DUMMYFUNCTION("""COMPUTED_VALUE"""),"   Dunkirk, In 47336")</f>
        <v xml:space="preserve">   Dunkirk, In 47336</v>
      </c>
      <c r="F7" s="134" t="str">
        <f ca="1">IFERROR(__xludf.DUMMYFUNCTION("""COMPUTED_VALUE"""),"Kit delivery and pickup")</f>
        <v>Kit delivery and pickup</v>
      </c>
      <c r="G7" s="134" t="str">
        <f ca="1">IFERROR(__xludf.DUMMYFUNCTION("""COMPUTED_VALUE"""),"no")</f>
        <v>no</v>
      </c>
    </row>
    <row r="8" spans="1:7">
      <c r="A8" s="134" t="str">
        <f ca="1">IFERROR(__xludf.DUMMYFUNCTION("""COMPUTED_VALUE"""),"Miller'S Merry Manor (Fort Wayne)")</f>
        <v>Miller'S Merry Manor (Fort Wayne)</v>
      </c>
      <c r="B8" s="134" t="str">
        <f ca="1">IFERROR(__xludf.DUMMYFUNCTION("""COMPUTED_VALUE"""),"Millers")</f>
        <v>Millers</v>
      </c>
      <c r="C8" s="134">
        <f ca="1">IFERROR(__xludf.DUMMYFUNCTION("""COMPUTED_VALUE"""),80)</f>
        <v>80</v>
      </c>
      <c r="D8" s="134" t="str">
        <f ca="1">IFERROR(__xludf.DUMMYFUNCTION("""COMPUTED_VALUE"""),"   5544 E State Blvd")</f>
        <v xml:space="preserve">   5544 E State Blvd</v>
      </c>
      <c r="E8" s="134" t="str">
        <f ca="1">IFERROR(__xludf.DUMMYFUNCTION("""COMPUTED_VALUE"""),"   Fort Wayne, In 46815")</f>
        <v xml:space="preserve">   Fort Wayne, In 46815</v>
      </c>
      <c r="F8" s="134" t="str">
        <f ca="1">IFERROR(__xludf.DUMMYFUNCTION("""COMPUTED_VALUE"""),"Kit delivery and pickup")</f>
        <v>Kit delivery and pickup</v>
      </c>
      <c r="G8" s="134" t="str">
        <f ca="1">IFERROR(__xludf.DUMMYFUNCTION("""COMPUTED_VALUE"""),"no")</f>
        <v>no</v>
      </c>
    </row>
    <row r="9" spans="1:7">
      <c r="A9" s="134" t="str">
        <f ca="1">IFERROR(__xludf.DUMMYFUNCTION("""COMPUTED_VALUE"""),"Miller'S Merry Manor (Garrett)")</f>
        <v>Miller'S Merry Manor (Garrett)</v>
      </c>
      <c r="B9" s="134" t="str">
        <f ca="1">IFERROR(__xludf.DUMMYFUNCTION("""COMPUTED_VALUE"""),"Millers")</f>
        <v>Millers</v>
      </c>
      <c r="C9" s="134">
        <f ca="1">IFERROR(__xludf.DUMMYFUNCTION("""COMPUTED_VALUE"""),87)</f>
        <v>87</v>
      </c>
      <c r="D9" s="134" t="str">
        <f ca="1">IFERROR(__xludf.DUMMYFUNCTION("""COMPUTED_VALUE"""),"   1367 S Randolph St")</f>
        <v xml:space="preserve">   1367 S Randolph St</v>
      </c>
      <c r="E9" s="134" t="str">
        <f ca="1">IFERROR(__xludf.DUMMYFUNCTION("""COMPUTED_VALUE"""),"   Garrett, In 46738")</f>
        <v xml:space="preserve">   Garrett, In 46738</v>
      </c>
      <c r="F9" s="134" t="str">
        <f ca="1">IFERROR(__xludf.DUMMYFUNCTION("""COMPUTED_VALUE"""),"Kit delivery and pickup")</f>
        <v>Kit delivery and pickup</v>
      </c>
      <c r="G9" s="134" t="str">
        <f ca="1">IFERROR(__xludf.DUMMYFUNCTION("""COMPUTED_VALUE"""),"no")</f>
        <v>no</v>
      </c>
    </row>
    <row r="10" spans="1:7">
      <c r="A10" s="134" t="str">
        <f ca="1">IFERROR(__xludf.DUMMYFUNCTION("""COMPUTED_VALUE"""),"Miller'S Merry Manor (Hartford City)")</f>
        <v>Miller'S Merry Manor (Hartford City)</v>
      </c>
      <c r="B10" s="134" t="str">
        <f ca="1">IFERROR(__xludf.DUMMYFUNCTION("""COMPUTED_VALUE"""),"Millers")</f>
        <v>Millers</v>
      </c>
      <c r="C10" s="134">
        <f ca="1">IFERROR(__xludf.DUMMYFUNCTION("""COMPUTED_VALUE"""),65)</f>
        <v>65</v>
      </c>
      <c r="D10" s="134" t="str">
        <f ca="1">IFERROR(__xludf.DUMMYFUNCTION("""COMPUTED_VALUE"""),"   0548 S 100 W")</f>
        <v xml:space="preserve">   0548 S 100 W</v>
      </c>
      <c r="E10" s="134" t="str">
        <f ca="1">IFERROR(__xludf.DUMMYFUNCTION("""COMPUTED_VALUE"""),"   Hartford City, In 47348")</f>
        <v xml:space="preserve">   Hartford City, In 47348</v>
      </c>
      <c r="F10" s="134" t="str">
        <f ca="1">IFERROR(__xludf.DUMMYFUNCTION("""COMPUTED_VALUE"""),"Kit delivery and pickup")</f>
        <v>Kit delivery and pickup</v>
      </c>
      <c r="G10" s="134" t="str">
        <f ca="1">IFERROR(__xludf.DUMMYFUNCTION("""COMPUTED_VALUE"""),"no")</f>
        <v>no</v>
      </c>
    </row>
    <row r="11" spans="1:7">
      <c r="A11" s="134" t="str">
        <f ca="1">IFERROR(__xludf.DUMMYFUNCTION("""COMPUTED_VALUE"""),"Miller'S Merry Manor (Hobart)")</f>
        <v>Miller'S Merry Manor (Hobart)</v>
      </c>
      <c r="B11" s="134" t="str">
        <f ca="1">IFERROR(__xludf.DUMMYFUNCTION("""COMPUTED_VALUE"""),"Millers")</f>
        <v>Millers</v>
      </c>
      <c r="C11" s="134">
        <f ca="1">IFERROR(__xludf.DUMMYFUNCTION("""COMPUTED_VALUE"""),75)</f>
        <v>75</v>
      </c>
      <c r="D11" s="134" t="str">
        <f ca="1">IFERROR(__xludf.DUMMYFUNCTION("""COMPUTED_VALUE"""),"   2901 W 37Th Ave")</f>
        <v xml:space="preserve">   2901 W 37Th Ave</v>
      </c>
      <c r="E11" s="134" t="str">
        <f ca="1">IFERROR(__xludf.DUMMYFUNCTION("""COMPUTED_VALUE"""),"   Hobart, In 46342")</f>
        <v xml:space="preserve">   Hobart, In 46342</v>
      </c>
      <c r="F11" s="134" t="str">
        <f ca="1">IFERROR(__xludf.DUMMYFUNCTION("""COMPUTED_VALUE"""),"Kit delivery and pickup")</f>
        <v>Kit delivery and pickup</v>
      </c>
      <c r="G11" s="134" t="str">
        <f ca="1">IFERROR(__xludf.DUMMYFUNCTION("""COMPUTED_VALUE"""),"no")</f>
        <v>no</v>
      </c>
    </row>
    <row r="12" spans="1:7">
      <c r="A12" s="134" t="str">
        <f ca="1">IFERROR(__xludf.DUMMYFUNCTION("""COMPUTED_VALUE"""),"Miller'S Merry Manor (Hope)")</f>
        <v>Miller'S Merry Manor (Hope)</v>
      </c>
      <c r="B12" s="134" t="str">
        <f ca="1">IFERROR(__xludf.DUMMYFUNCTION("""COMPUTED_VALUE"""),"Millers")</f>
        <v>Millers</v>
      </c>
      <c r="C12" s="134">
        <f ca="1">IFERROR(__xludf.DUMMYFUNCTION("""COMPUTED_VALUE"""),68)</f>
        <v>68</v>
      </c>
      <c r="D12" s="134" t="str">
        <f ca="1">IFERROR(__xludf.DUMMYFUNCTION("""COMPUTED_VALUE"""),"   7440 N County Road 825 E")</f>
        <v xml:space="preserve">   7440 N County Road 825 E</v>
      </c>
      <c r="E12" s="134" t="str">
        <f ca="1">IFERROR(__xludf.DUMMYFUNCTION("""COMPUTED_VALUE"""),"   Hope, In 47246")</f>
        <v xml:space="preserve">   Hope, In 47246</v>
      </c>
      <c r="F12" s="134" t="str">
        <f ca="1">IFERROR(__xludf.DUMMYFUNCTION("""COMPUTED_VALUE"""),"Kit delivery and pickup")</f>
        <v>Kit delivery and pickup</v>
      </c>
      <c r="G12" s="134" t="str">
        <f ca="1">IFERROR(__xludf.DUMMYFUNCTION("""COMPUTED_VALUE"""),"no")</f>
        <v>no</v>
      </c>
    </row>
    <row r="13" spans="1:7">
      <c r="A13" s="134" t="str">
        <f ca="1">IFERROR(__xludf.DUMMYFUNCTION("""COMPUTED_VALUE"""),"Miller'S Merry Manor (Huntington)")</f>
        <v>Miller'S Merry Manor (Huntington)</v>
      </c>
      <c r="B13" s="134" t="str">
        <f ca="1">IFERROR(__xludf.DUMMYFUNCTION("""COMPUTED_VALUE"""),"Millers")</f>
        <v>Millers</v>
      </c>
      <c r="C13" s="134">
        <f ca="1">IFERROR(__xludf.DUMMYFUNCTION("""COMPUTED_VALUE"""),92)</f>
        <v>92</v>
      </c>
      <c r="D13" s="134" t="str">
        <f ca="1">IFERROR(__xludf.DUMMYFUNCTION("""COMPUTED_VALUE"""),"   1500 Grant St")</f>
        <v xml:space="preserve">   1500 Grant St</v>
      </c>
      <c r="E13" s="134" t="str">
        <f ca="1">IFERROR(__xludf.DUMMYFUNCTION("""COMPUTED_VALUE"""),"   Huntington, In 46750")</f>
        <v xml:space="preserve">   Huntington, In 46750</v>
      </c>
      <c r="F13" s="134" t="str">
        <f ca="1">IFERROR(__xludf.DUMMYFUNCTION("""COMPUTED_VALUE"""),"Kit delivery and pickup")</f>
        <v>Kit delivery and pickup</v>
      </c>
      <c r="G13" s="134" t="str">
        <f ca="1">IFERROR(__xludf.DUMMYFUNCTION("""COMPUTED_VALUE"""),"no")</f>
        <v>no</v>
      </c>
    </row>
    <row r="14" spans="1:7">
      <c r="A14" s="134" t="str">
        <f ca="1">IFERROR(__xludf.DUMMYFUNCTION("""COMPUTED_VALUE"""),"Miller'S Merry Manor (Indianapolis East)")</f>
        <v>Miller'S Merry Manor (Indianapolis East)</v>
      </c>
      <c r="B14" s="134" t="str">
        <f ca="1">IFERROR(__xludf.DUMMYFUNCTION("""COMPUTED_VALUE"""),"Millers")</f>
        <v>Millers</v>
      </c>
      <c r="C14" s="134">
        <f ca="1">IFERROR(__xludf.DUMMYFUNCTION("""COMPUTED_VALUE"""),93)</f>
        <v>93</v>
      </c>
      <c r="D14" s="134" t="str">
        <f ca="1">IFERROR(__xludf.DUMMYFUNCTION("""COMPUTED_VALUE"""),"   1651 N Campbell St")</f>
        <v xml:space="preserve">   1651 N Campbell St</v>
      </c>
      <c r="E14" s="134" t="str">
        <f ca="1">IFERROR(__xludf.DUMMYFUNCTION("""COMPUTED_VALUE"""),"   Indianapolis, In 46218")</f>
        <v xml:space="preserve">   Indianapolis, In 46218</v>
      </c>
      <c r="F14" s="134" t="str">
        <f ca="1">IFERROR(__xludf.DUMMYFUNCTION("""COMPUTED_VALUE"""),"Kit delivery and pickup")</f>
        <v>Kit delivery and pickup</v>
      </c>
      <c r="G14" s="134" t="str">
        <f ca="1">IFERROR(__xludf.DUMMYFUNCTION("""COMPUTED_VALUE"""),"no")</f>
        <v>no</v>
      </c>
    </row>
    <row r="15" spans="1:7">
      <c r="A15" s="134" t="str">
        <f ca="1">IFERROR(__xludf.DUMMYFUNCTION("""COMPUTED_VALUE"""),"Miller'S Merry Manor (Lagrange)")</f>
        <v>Miller'S Merry Manor (Lagrange)</v>
      </c>
      <c r="B15" s="134" t="str">
        <f ca="1">IFERROR(__xludf.DUMMYFUNCTION("""COMPUTED_VALUE"""),"Millers")</f>
        <v>Millers</v>
      </c>
      <c r="C15" s="134">
        <f ca="1">IFERROR(__xludf.DUMMYFUNCTION("""COMPUTED_VALUE"""),97)</f>
        <v>97</v>
      </c>
      <c r="D15" s="134" t="str">
        <f ca="1">IFERROR(__xludf.DUMMYFUNCTION("""COMPUTED_VALUE"""),"   787 N Detroit St")</f>
        <v xml:space="preserve">   787 N Detroit St</v>
      </c>
      <c r="E15" s="134" t="str">
        <f ca="1">IFERROR(__xludf.DUMMYFUNCTION("""COMPUTED_VALUE"""),"   Lagrange, In 46761")</f>
        <v xml:space="preserve">   Lagrange, In 46761</v>
      </c>
      <c r="F15" s="134" t="str">
        <f ca="1">IFERROR(__xludf.DUMMYFUNCTION("""COMPUTED_VALUE"""),"Kit delivery and pickup")</f>
        <v>Kit delivery and pickup</v>
      </c>
      <c r="G15" s="134" t="str">
        <f ca="1">IFERROR(__xludf.DUMMYFUNCTION("""COMPUTED_VALUE"""),"no")</f>
        <v>no</v>
      </c>
    </row>
    <row r="16" spans="1:7">
      <c r="A16" s="134" t="str">
        <f ca="1">IFERROR(__xludf.DUMMYFUNCTION("""COMPUTED_VALUE"""),"Miller'S Merry Manor (Logansport)")</f>
        <v>Miller'S Merry Manor (Logansport)</v>
      </c>
      <c r="B16" s="134" t="str">
        <f ca="1">IFERROR(__xludf.DUMMYFUNCTION("""COMPUTED_VALUE"""),"Millers")</f>
        <v>Millers</v>
      </c>
      <c r="C16" s="134">
        <f ca="1">IFERROR(__xludf.DUMMYFUNCTION("""COMPUTED_VALUE"""),134)</f>
        <v>134</v>
      </c>
      <c r="D16" s="134" t="str">
        <f ca="1">IFERROR(__xludf.DUMMYFUNCTION("""COMPUTED_VALUE"""),"   200 26Th St")</f>
        <v xml:space="preserve">   200 26Th St</v>
      </c>
      <c r="E16" s="134" t="str">
        <f ca="1">IFERROR(__xludf.DUMMYFUNCTION("""COMPUTED_VALUE"""),"   Logansport, In 46947")</f>
        <v xml:space="preserve">   Logansport, In 46947</v>
      </c>
      <c r="F16" s="134" t="str">
        <f ca="1">IFERROR(__xludf.DUMMYFUNCTION("""COMPUTED_VALUE"""),"Kit delivery and pickup")</f>
        <v>Kit delivery and pickup</v>
      </c>
      <c r="G16" s="134" t="str">
        <f ca="1">IFERROR(__xludf.DUMMYFUNCTION("""COMPUTED_VALUE"""),"no")</f>
        <v>no</v>
      </c>
    </row>
    <row r="17" spans="1:7">
      <c r="A17" s="134" t="str">
        <f ca="1">IFERROR(__xludf.DUMMYFUNCTION("""COMPUTED_VALUE"""),"Miller'S Merry Manor (Marion)")</f>
        <v>Miller'S Merry Manor (Marion)</v>
      </c>
      <c r="B17" s="134" t="str">
        <f ca="1">IFERROR(__xludf.DUMMYFUNCTION("""COMPUTED_VALUE"""),"Millers")</f>
        <v>Millers</v>
      </c>
      <c r="C17" s="134">
        <f ca="1">IFERROR(__xludf.DUMMYFUNCTION("""COMPUTED_VALUE"""),95)</f>
        <v>95</v>
      </c>
      <c r="D17" s="134" t="str">
        <f ca="1">IFERROR(__xludf.DUMMYFUNCTION("""COMPUTED_VALUE"""),"   505 N Bradner Ave")</f>
        <v xml:space="preserve">   505 N Bradner Ave</v>
      </c>
      <c r="E17" s="134" t="str">
        <f ca="1">IFERROR(__xludf.DUMMYFUNCTION("""COMPUTED_VALUE"""),"   Marion, In 46952")</f>
        <v xml:space="preserve">   Marion, In 46952</v>
      </c>
      <c r="F17" s="134" t="str">
        <f ca="1">IFERROR(__xludf.DUMMYFUNCTION("""COMPUTED_VALUE"""),"Kit delivery and pickup")</f>
        <v>Kit delivery and pickup</v>
      </c>
      <c r="G17" s="134" t="str">
        <f ca="1">IFERROR(__xludf.DUMMYFUNCTION("""COMPUTED_VALUE"""),"no")</f>
        <v>no</v>
      </c>
    </row>
    <row r="18" spans="1:7">
      <c r="A18" s="134" t="str">
        <f ca="1">IFERROR(__xludf.DUMMYFUNCTION("""COMPUTED_VALUE"""),"Miller'S Merry Manor (Middletown)")</f>
        <v>Miller'S Merry Manor (Middletown)</v>
      </c>
      <c r="B18" s="134" t="str">
        <f ca="1">IFERROR(__xludf.DUMMYFUNCTION("""COMPUTED_VALUE"""),"Millers")</f>
        <v>Millers</v>
      </c>
      <c r="C18" s="134">
        <f ca="1">IFERROR(__xludf.DUMMYFUNCTION("""COMPUTED_VALUE"""),43)</f>
        <v>43</v>
      </c>
      <c r="D18" s="134" t="str">
        <f ca="1">IFERROR(__xludf.DUMMYFUNCTION("""COMPUTED_VALUE"""),"   981 Beechwood Ave")</f>
        <v xml:space="preserve">   981 Beechwood Ave</v>
      </c>
      <c r="E18" s="134" t="str">
        <f ca="1">IFERROR(__xludf.DUMMYFUNCTION("""COMPUTED_VALUE"""),"   Middletown, In 47356")</f>
        <v xml:space="preserve">   Middletown, In 47356</v>
      </c>
      <c r="F18" s="134" t="str">
        <f ca="1">IFERROR(__xludf.DUMMYFUNCTION("""COMPUTED_VALUE"""),"Kit delivery and pickup")</f>
        <v>Kit delivery and pickup</v>
      </c>
      <c r="G18" s="134" t="str">
        <f ca="1">IFERROR(__xludf.DUMMYFUNCTION("""COMPUTED_VALUE"""),"no")</f>
        <v>no</v>
      </c>
    </row>
    <row r="19" spans="1:7">
      <c r="A19" s="134" t="str">
        <f ca="1">IFERROR(__xludf.DUMMYFUNCTION("""COMPUTED_VALUE"""),"Miller'S Merry Manor (Mooresville)")</f>
        <v>Miller'S Merry Manor (Mooresville)</v>
      </c>
      <c r="B19" s="134" t="str">
        <f ca="1">IFERROR(__xludf.DUMMYFUNCTION("""COMPUTED_VALUE"""),"Millers")</f>
        <v>Millers</v>
      </c>
      <c r="C19" s="134">
        <f ca="1">IFERROR(__xludf.DUMMYFUNCTION("""COMPUTED_VALUE"""),90)</f>
        <v>90</v>
      </c>
      <c r="D19" s="134" t="str">
        <f ca="1">IFERROR(__xludf.DUMMYFUNCTION("""COMPUTED_VALUE"""),"   259 W Harrison St")</f>
        <v xml:space="preserve">   259 W Harrison St</v>
      </c>
      <c r="E19" s="134" t="str">
        <f ca="1">IFERROR(__xludf.DUMMYFUNCTION("""COMPUTED_VALUE"""),"   Mooresville, In 46158")</f>
        <v xml:space="preserve">   Mooresville, In 46158</v>
      </c>
      <c r="F19" s="134" t="str">
        <f ca="1">IFERROR(__xludf.DUMMYFUNCTION("""COMPUTED_VALUE"""),"Kit delivery and pickup")</f>
        <v>Kit delivery and pickup</v>
      </c>
      <c r="G19" s="134" t="str">
        <f ca="1">IFERROR(__xludf.DUMMYFUNCTION("""COMPUTED_VALUE"""),"no")</f>
        <v>no</v>
      </c>
    </row>
    <row r="20" spans="1:7">
      <c r="A20" s="134" t="str">
        <f ca="1">IFERROR(__xludf.DUMMYFUNCTION("""COMPUTED_VALUE"""),"Miller'S Merry Manor (New Carlisle)")</f>
        <v>Miller'S Merry Manor (New Carlisle)</v>
      </c>
      <c r="B20" s="134" t="str">
        <f ca="1">IFERROR(__xludf.DUMMYFUNCTION("""COMPUTED_VALUE"""),"Millers")</f>
        <v>Millers</v>
      </c>
      <c r="C20" s="134">
        <f ca="1">IFERROR(__xludf.DUMMYFUNCTION("""COMPUTED_VALUE"""),77)</f>
        <v>77</v>
      </c>
      <c r="D20" s="134" t="str">
        <f ca="1">IFERROR(__xludf.DUMMYFUNCTION("""COMPUTED_VALUE"""),"   220 E Dunn Rd")</f>
        <v xml:space="preserve">   220 E Dunn Rd</v>
      </c>
      <c r="E20" s="134" t="str">
        <f ca="1">IFERROR(__xludf.DUMMYFUNCTION("""COMPUTED_VALUE"""),"   New Carlisle, In 46552")</f>
        <v xml:space="preserve">   New Carlisle, In 46552</v>
      </c>
      <c r="F20" s="134" t="str">
        <f ca="1">IFERROR(__xludf.DUMMYFUNCTION("""COMPUTED_VALUE"""),"Kit delivery and pickup")</f>
        <v>Kit delivery and pickup</v>
      </c>
      <c r="G20" s="134" t="str">
        <f ca="1">IFERROR(__xludf.DUMMYFUNCTION("""COMPUTED_VALUE"""),"no")</f>
        <v>no</v>
      </c>
    </row>
    <row r="21" spans="1:7">
      <c r="A21" s="134" t="str">
        <f ca="1">IFERROR(__xludf.DUMMYFUNCTION("""COMPUTED_VALUE"""),"Miller'S Merry Manor (Peru)")</f>
        <v>Miller'S Merry Manor (Peru)</v>
      </c>
      <c r="B21" s="134" t="str">
        <f ca="1">IFERROR(__xludf.DUMMYFUNCTION("""COMPUTED_VALUE"""),"Millers")</f>
        <v>Millers</v>
      </c>
      <c r="C21" s="134">
        <f ca="1">IFERROR(__xludf.DUMMYFUNCTION("""COMPUTED_VALUE"""),95)</f>
        <v>95</v>
      </c>
      <c r="D21" s="134" t="str">
        <f ca="1">IFERROR(__xludf.DUMMYFUNCTION("""COMPUTED_VALUE"""),"   317 Blair Pike")</f>
        <v xml:space="preserve">   317 Blair Pike</v>
      </c>
      <c r="E21" s="134" t="str">
        <f ca="1">IFERROR(__xludf.DUMMYFUNCTION("""COMPUTED_VALUE"""),"   Peru, In 46970")</f>
        <v xml:space="preserve">   Peru, In 46970</v>
      </c>
      <c r="F21" s="134" t="str">
        <f ca="1">IFERROR(__xludf.DUMMYFUNCTION("""COMPUTED_VALUE"""),"Kit delivery and pickup")</f>
        <v>Kit delivery and pickup</v>
      </c>
      <c r="G21" s="134" t="str">
        <f ca="1">IFERROR(__xludf.DUMMYFUNCTION("""COMPUTED_VALUE"""),"no")</f>
        <v>no</v>
      </c>
    </row>
    <row r="22" spans="1:7">
      <c r="A22" s="134" t="str">
        <f ca="1">IFERROR(__xludf.DUMMYFUNCTION("""COMPUTED_VALUE"""),"Miller'S Merry Manor (Plymouth)")</f>
        <v>Miller'S Merry Manor (Plymouth)</v>
      </c>
      <c r="B22" s="134" t="str">
        <f ca="1">IFERROR(__xludf.DUMMYFUNCTION("""COMPUTED_VALUE"""),"Millers")</f>
        <v>Millers</v>
      </c>
      <c r="C22" s="134">
        <f ca="1">IFERROR(__xludf.DUMMYFUNCTION("""COMPUTED_VALUE"""),123)</f>
        <v>123</v>
      </c>
      <c r="D22" s="134" t="str">
        <f ca="1">IFERROR(__xludf.DUMMYFUNCTION("""COMPUTED_VALUE"""),"   635 Oakhill Ave")</f>
        <v xml:space="preserve">   635 Oakhill Ave</v>
      </c>
      <c r="E22" s="134" t="str">
        <f ca="1">IFERROR(__xludf.DUMMYFUNCTION("""COMPUTED_VALUE"""),"   Plymouth, In 46563")</f>
        <v xml:space="preserve">   Plymouth, In 46563</v>
      </c>
      <c r="F22" s="134" t="str">
        <f ca="1">IFERROR(__xludf.DUMMYFUNCTION("""COMPUTED_VALUE"""),"Kit delivery and pickup")</f>
        <v>Kit delivery and pickup</v>
      </c>
      <c r="G22" s="134" t="str">
        <f ca="1">IFERROR(__xludf.DUMMYFUNCTION("""COMPUTED_VALUE"""),"no")</f>
        <v>no</v>
      </c>
    </row>
    <row r="23" spans="1:7">
      <c r="A23" s="134" t="str">
        <f ca="1">IFERROR(__xludf.DUMMYFUNCTION("""COMPUTED_VALUE"""),"Miller'S Merry Manor (Portage)")</f>
        <v>Miller'S Merry Manor (Portage)</v>
      </c>
      <c r="B23" s="134" t="str">
        <f ca="1">IFERROR(__xludf.DUMMYFUNCTION("""COMPUTED_VALUE"""),"Millers")</f>
        <v>Millers</v>
      </c>
      <c r="C23" s="134">
        <f ca="1">IFERROR(__xludf.DUMMYFUNCTION("""COMPUTED_VALUE"""),95)</f>
        <v>95</v>
      </c>
      <c r="D23" s="134" t="str">
        <f ca="1">IFERROR(__xludf.DUMMYFUNCTION("""COMPUTED_VALUE"""),"   5909 Lute Rd")</f>
        <v xml:space="preserve">   5909 Lute Rd</v>
      </c>
      <c r="E23" s="134" t="str">
        <f ca="1">IFERROR(__xludf.DUMMYFUNCTION("""COMPUTED_VALUE"""),"   Portage, In 46368")</f>
        <v xml:space="preserve">   Portage, In 46368</v>
      </c>
      <c r="F23" s="134" t="str">
        <f ca="1">IFERROR(__xludf.DUMMYFUNCTION("""COMPUTED_VALUE"""),"Kit delivery and pickup")</f>
        <v>Kit delivery and pickup</v>
      </c>
      <c r="G23" s="134" t="str">
        <f ca="1">IFERROR(__xludf.DUMMYFUNCTION("""COMPUTED_VALUE"""),"no")</f>
        <v>no</v>
      </c>
    </row>
    <row r="24" spans="1:7">
      <c r="A24" s="134" t="str">
        <f ca="1">IFERROR(__xludf.DUMMYFUNCTION("""COMPUTED_VALUE"""),"Miller'S Merry Manor (Rockport)")</f>
        <v>Miller'S Merry Manor (Rockport)</v>
      </c>
      <c r="B24" s="134" t="str">
        <f ca="1">IFERROR(__xludf.DUMMYFUNCTION("""COMPUTED_VALUE"""),"Millers")</f>
        <v>Millers</v>
      </c>
      <c r="C24" s="134">
        <f ca="1">IFERROR(__xludf.DUMMYFUNCTION("""COMPUTED_VALUE"""),76)</f>
        <v>76</v>
      </c>
      <c r="D24" s="134" t="str">
        <f ca="1">IFERROR(__xludf.DUMMYFUNCTION("""COMPUTED_VALUE"""),"   815 W Washington St")</f>
        <v xml:space="preserve">   815 W Washington St</v>
      </c>
      <c r="E24" s="134" t="str">
        <f ca="1">IFERROR(__xludf.DUMMYFUNCTION("""COMPUTED_VALUE"""),"   Rockport, In 47635")</f>
        <v xml:space="preserve">   Rockport, In 47635</v>
      </c>
      <c r="F24" s="134" t="str">
        <f ca="1">IFERROR(__xludf.DUMMYFUNCTION("""COMPUTED_VALUE"""),"Kit delivery and pickup")</f>
        <v>Kit delivery and pickup</v>
      </c>
      <c r="G24" s="134" t="str">
        <f ca="1">IFERROR(__xludf.DUMMYFUNCTION("""COMPUTED_VALUE"""),"no")</f>
        <v>no</v>
      </c>
    </row>
    <row r="25" spans="1:7">
      <c r="A25" s="134" t="str">
        <f ca="1">IFERROR(__xludf.DUMMYFUNCTION("""COMPUTED_VALUE"""),"Miller'S Merry Manor (Rushville)")</f>
        <v>Miller'S Merry Manor (Rushville)</v>
      </c>
      <c r="B25" s="134" t="str">
        <f ca="1">IFERROR(__xludf.DUMMYFUNCTION("""COMPUTED_VALUE"""),"Millers")</f>
        <v>Millers</v>
      </c>
      <c r="C25" s="134">
        <f ca="1">IFERROR(__xludf.DUMMYFUNCTION("""COMPUTED_VALUE"""),82)</f>
        <v>82</v>
      </c>
      <c r="D25" s="134" t="str">
        <f ca="1">IFERROR(__xludf.DUMMYFUNCTION("""COMPUTED_VALUE"""),"   612 E 11Th St")</f>
        <v xml:space="preserve">   612 E 11Th St</v>
      </c>
      <c r="E25" s="134" t="str">
        <f ca="1">IFERROR(__xludf.DUMMYFUNCTION("""COMPUTED_VALUE"""),"   Rushville, In 46173")</f>
        <v xml:space="preserve">   Rushville, In 46173</v>
      </c>
      <c r="F25" s="134" t="str">
        <f ca="1">IFERROR(__xludf.DUMMYFUNCTION("""COMPUTED_VALUE"""),"Kit delivery and pickup")</f>
        <v>Kit delivery and pickup</v>
      </c>
      <c r="G25" s="134" t="str">
        <f ca="1">IFERROR(__xludf.DUMMYFUNCTION("""COMPUTED_VALUE"""),"no")</f>
        <v>no</v>
      </c>
    </row>
    <row r="26" spans="1:7">
      <c r="A26" s="134" t="str">
        <f ca="1">IFERROR(__xludf.DUMMYFUNCTION("""COMPUTED_VALUE"""),"Miller'S Merry Manor (Sullivan)")</f>
        <v>Miller'S Merry Manor (Sullivan)</v>
      </c>
      <c r="B26" s="134" t="str">
        <f ca="1">IFERROR(__xludf.DUMMYFUNCTION("""COMPUTED_VALUE"""),"Millers")</f>
        <v>Millers</v>
      </c>
      <c r="C26" s="134">
        <f ca="1">IFERROR(__xludf.DUMMYFUNCTION("""COMPUTED_VALUE"""),117)</f>
        <v>117</v>
      </c>
      <c r="D26" s="134" t="str">
        <f ca="1">IFERROR(__xludf.DUMMYFUNCTION("""COMPUTED_VALUE"""),"   505 W Wolfe St")</f>
        <v xml:space="preserve">   505 W Wolfe St</v>
      </c>
      <c r="E26" s="134" t="str">
        <f ca="1">IFERROR(__xludf.DUMMYFUNCTION("""COMPUTED_VALUE"""),"   Sullivan, In 47882")</f>
        <v xml:space="preserve">   Sullivan, In 47882</v>
      </c>
      <c r="F26" s="134" t="str">
        <f ca="1">IFERROR(__xludf.DUMMYFUNCTION("""COMPUTED_VALUE"""),"Kit delivery and pickup")</f>
        <v>Kit delivery and pickup</v>
      </c>
      <c r="G26" s="134" t="str">
        <f ca="1">IFERROR(__xludf.DUMMYFUNCTION("""COMPUTED_VALUE"""),"no")</f>
        <v>no</v>
      </c>
    </row>
    <row r="27" spans="1:7">
      <c r="A27" s="134" t="str">
        <f ca="1">IFERROR(__xludf.DUMMYFUNCTION("""COMPUTED_VALUE"""),"Miller'S Merry Manor (Syracuse)")</f>
        <v>Miller'S Merry Manor (Syracuse)</v>
      </c>
      <c r="B27" s="134" t="str">
        <f ca="1">IFERROR(__xludf.DUMMYFUNCTION("""COMPUTED_VALUE"""),"Millers")</f>
        <v>Millers</v>
      </c>
      <c r="C27" s="134">
        <f ca="1">IFERROR(__xludf.DUMMYFUNCTION("""COMPUTED_VALUE"""),80)</f>
        <v>80</v>
      </c>
      <c r="D27" s="134" t="str">
        <f ca="1">IFERROR(__xludf.DUMMYFUNCTION("""COMPUTED_VALUE"""),"   500 E Pickwick Dr")</f>
        <v xml:space="preserve">   500 E Pickwick Dr</v>
      </c>
      <c r="E27" s="134" t="str">
        <f ca="1">IFERROR(__xludf.DUMMYFUNCTION("""COMPUTED_VALUE"""),"   Syracuse, In 46567")</f>
        <v xml:space="preserve">   Syracuse, In 46567</v>
      </c>
      <c r="F27" s="134" t="str">
        <f ca="1">IFERROR(__xludf.DUMMYFUNCTION("""COMPUTED_VALUE"""),"Kit delivery and pickup")</f>
        <v>Kit delivery and pickup</v>
      </c>
      <c r="G27" s="134" t="str">
        <f ca="1">IFERROR(__xludf.DUMMYFUNCTION("""COMPUTED_VALUE"""),"no")</f>
        <v>no</v>
      </c>
    </row>
    <row r="28" spans="1:7">
      <c r="A28" s="134" t="str">
        <f ca="1">IFERROR(__xludf.DUMMYFUNCTION("""COMPUTED_VALUE"""),"Miller'S Merry Manor (Tipton)")</f>
        <v>Miller'S Merry Manor (Tipton)</v>
      </c>
      <c r="B28" s="134" t="str">
        <f ca="1">IFERROR(__xludf.DUMMYFUNCTION("""COMPUTED_VALUE"""),"Millers")</f>
        <v>Millers</v>
      </c>
      <c r="C28" s="134">
        <f ca="1">IFERROR(__xludf.DUMMYFUNCTION("""COMPUTED_VALUE"""),202)</f>
        <v>202</v>
      </c>
      <c r="D28" s="134" t="str">
        <f ca="1">IFERROR(__xludf.DUMMYFUNCTION("""COMPUTED_VALUE"""),"   300 Fairgrounds Rd")</f>
        <v xml:space="preserve">   300 Fairgrounds Rd</v>
      </c>
      <c r="E28" s="134" t="str">
        <f ca="1">IFERROR(__xludf.DUMMYFUNCTION("""COMPUTED_VALUE"""),"   Tipton, In 46072")</f>
        <v xml:space="preserve">   Tipton, In 46072</v>
      </c>
      <c r="F28" s="134" t="str">
        <f ca="1">IFERROR(__xludf.DUMMYFUNCTION("""COMPUTED_VALUE"""),"Kit delivery and pickup")</f>
        <v>Kit delivery and pickup</v>
      </c>
      <c r="G28" s="134" t="str">
        <f ca="1">IFERROR(__xludf.DUMMYFUNCTION("""COMPUTED_VALUE"""),"no")</f>
        <v>no</v>
      </c>
    </row>
    <row r="29" spans="1:7">
      <c r="A29" s="134" t="str">
        <f ca="1">IFERROR(__xludf.DUMMYFUNCTION("""COMPUTED_VALUE"""),"Miller'S Merry Manor (Wabash East)")</f>
        <v>Miller'S Merry Manor (Wabash East)</v>
      </c>
      <c r="B29" s="134" t="str">
        <f ca="1">IFERROR(__xludf.DUMMYFUNCTION("""COMPUTED_VALUE"""),"Millers")</f>
        <v>Millers</v>
      </c>
      <c r="C29" s="134">
        <f ca="1">IFERROR(__xludf.DUMMYFUNCTION("""COMPUTED_VALUE"""),96)</f>
        <v>96</v>
      </c>
      <c r="D29" s="134" t="str">
        <f ca="1">IFERROR(__xludf.DUMMYFUNCTION("""COMPUTED_VALUE"""),"   1720 Alber St")</f>
        <v xml:space="preserve">   1720 Alber St</v>
      </c>
      <c r="E29" s="134" t="str">
        <f ca="1">IFERROR(__xludf.DUMMYFUNCTION("""COMPUTED_VALUE"""),"   Wabash, In 46992")</f>
        <v xml:space="preserve">   Wabash, In 46992</v>
      </c>
      <c r="F29" s="134" t="str">
        <f ca="1">IFERROR(__xludf.DUMMYFUNCTION("""COMPUTED_VALUE"""),"Kit delivery and pickup")</f>
        <v>Kit delivery and pickup</v>
      </c>
      <c r="G29" s="134" t="str">
        <f ca="1">IFERROR(__xludf.DUMMYFUNCTION("""COMPUTED_VALUE"""),"no")</f>
        <v>no</v>
      </c>
    </row>
    <row r="30" spans="1:7">
      <c r="A30" s="134" t="str">
        <f ca="1">IFERROR(__xludf.DUMMYFUNCTION("""COMPUTED_VALUE"""),"Miller'S Merry Manor (Wabash West)")</f>
        <v>Miller'S Merry Manor (Wabash West)</v>
      </c>
      <c r="B30" s="134" t="str">
        <f ca="1">IFERROR(__xludf.DUMMYFUNCTION("""COMPUTED_VALUE"""),"Millers")</f>
        <v>Millers</v>
      </c>
      <c r="C30" s="134">
        <f ca="1">IFERROR(__xludf.DUMMYFUNCTION("""COMPUTED_VALUE"""),35)</f>
        <v>35</v>
      </c>
      <c r="D30" s="134" t="str">
        <f ca="1">IFERROR(__xludf.DUMMYFUNCTION("""COMPUTED_VALUE"""),"   1900  N  Alber St")</f>
        <v xml:space="preserve">   1900  N  Alber St</v>
      </c>
      <c r="E30" s="134" t="str">
        <f ca="1">IFERROR(__xludf.DUMMYFUNCTION("""COMPUTED_VALUE"""),"   Wabash, In 46992")</f>
        <v xml:space="preserve">   Wabash, In 46992</v>
      </c>
      <c r="F30" s="134" t="str">
        <f ca="1">IFERROR(__xludf.DUMMYFUNCTION("""COMPUTED_VALUE"""),"Kit delivery and pickup")</f>
        <v>Kit delivery and pickup</v>
      </c>
      <c r="G30" s="134" t="str">
        <f ca="1">IFERROR(__xludf.DUMMYFUNCTION("""COMPUTED_VALUE"""),"no")</f>
        <v>no</v>
      </c>
    </row>
    <row r="31" spans="1:7">
      <c r="A31" s="134" t="str">
        <f ca="1">IFERROR(__xludf.DUMMYFUNCTION("""COMPUTED_VALUE"""),"Miller'S Merry Manor (Wakarusa)")</f>
        <v>Miller'S Merry Manor (Wakarusa)</v>
      </c>
      <c r="B31" s="134" t="str">
        <f ca="1">IFERROR(__xludf.DUMMYFUNCTION("""COMPUTED_VALUE"""),"Millers")</f>
        <v>Millers</v>
      </c>
      <c r="C31" s="134">
        <f ca="1">IFERROR(__xludf.DUMMYFUNCTION("""COMPUTED_VALUE"""),164)</f>
        <v>164</v>
      </c>
      <c r="D31" s="134" t="str">
        <f ca="1">IFERROR(__xludf.DUMMYFUNCTION("""COMPUTED_VALUE"""),"   300 N Washington St")</f>
        <v xml:space="preserve">   300 N Washington St</v>
      </c>
      <c r="E31" s="134" t="str">
        <f ca="1">IFERROR(__xludf.DUMMYFUNCTION("""COMPUTED_VALUE"""),"   Wakarusa, In 46573")</f>
        <v xml:space="preserve">   Wakarusa, In 46573</v>
      </c>
      <c r="F31" s="134" t="str">
        <f ca="1">IFERROR(__xludf.DUMMYFUNCTION("""COMPUTED_VALUE"""),"Kit delivery and pickup")</f>
        <v>Kit delivery and pickup</v>
      </c>
      <c r="G31" s="134" t="str">
        <f ca="1">IFERROR(__xludf.DUMMYFUNCTION("""COMPUTED_VALUE"""),"no")</f>
        <v>no</v>
      </c>
    </row>
    <row r="32" spans="1:7">
      <c r="A32" s="134" t="str">
        <f ca="1">IFERROR(__xludf.DUMMYFUNCTION("""COMPUTED_VALUE"""),"Miller'S Merry Manor (Walkerton)")</f>
        <v>Miller'S Merry Manor (Walkerton)</v>
      </c>
      <c r="B32" s="134" t="str">
        <f ca="1">IFERROR(__xludf.DUMMYFUNCTION("""COMPUTED_VALUE"""),"Millers")</f>
        <v>Millers</v>
      </c>
      <c r="C32" s="134">
        <f ca="1">IFERROR(__xludf.DUMMYFUNCTION("""COMPUTED_VALUE"""),59)</f>
        <v>59</v>
      </c>
      <c r="D32" s="134" t="str">
        <f ca="1">IFERROR(__xludf.DUMMYFUNCTION("""COMPUTED_VALUE"""),"   500 Walkerton Tr")</f>
        <v xml:space="preserve">   500 Walkerton Tr</v>
      </c>
      <c r="E32" s="134" t="str">
        <f ca="1">IFERROR(__xludf.DUMMYFUNCTION("""COMPUTED_VALUE"""),"   Walkerton, In 46574")</f>
        <v xml:space="preserve">   Walkerton, In 46574</v>
      </c>
      <c r="F32" s="134" t="str">
        <f ca="1">IFERROR(__xludf.DUMMYFUNCTION("""COMPUTED_VALUE"""),"Kit delivery and pickup")</f>
        <v>Kit delivery and pickup</v>
      </c>
      <c r="G32" s="134" t="str">
        <f ca="1">IFERROR(__xludf.DUMMYFUNCTION("""COMPUTED_VALUE"""),"no")</f>
        <v>no</v>
      </c>
    </row>
    <row r="33" spans="1:7">
      <c r="A33" s="134" t="str">
        <f ca="1">IFERROR(__xludf.DUMMYFUNCTION("""COMPUTED_VALUE"""),"Miller'S Merry Manor (Warsaw)")</f>
        <v>Miller'S Merry Manor (Warsaw)</v>
      </c>
      <c r="B33" s="134" t="str">
        <f ca="1">IFERROR(__xludf.DUMMYFUNCTION("""COMPUTED_VALUE"""),"Millers")</f>
        <v>Millers</v>
      </c>
      <c r="C33" s="134">
        <f ca="1">IFERROR(__xludf.DUMMYFUNCTION("""COMPUTED_VALUE"""),144)</f>
        <v>144</v>
      </c>
      <c r="D33" s="134" t="str">
        <f ca="1">IFERROR(__xludf.DUMMYFUNCTION("""COMPUTED_VALUE"""),"   1630 S County Farm Rd")</f>
        <v xml:space="preserve">   1630 S County Farm Rd</v>
      </c>
      <c r="E33" s="134" t="str">
        <f ca="1">IFERROR(__xludf.DUMMYFUNCTION("""COMPUTED_VALUE"""),"   Warsaw, In 46580")</f>
        <v xml:space="preserve">   Warsaw, In 46580</v>
      </c>
      <c r="F33" s="134" t="str">
        <f ca="1">IFERROR(__xludf.DUMMYFUNCTION("""COMPUTED_VALUE"""),"Kit delivery and pickup")</f>
        <v>Kit delivery and pickup</v>
      </c>
      <c r="G33" s="134" t="str">
        <f ca="1">IFERROR(__xludf.DUMMYFUNCTION("""COMPUTED_VALUE"""),"no")</f>
        <v>no</v>
      </c>
    </row>
    <row r="34" spans="1:7">
      <c r="A34" s="134" t="str">
        <f ca="1">IFERROR(__xludf.DUMMYFUNCTION("""COMPUTED_VALUE"""),"Miller'S Senior Living Community")</f>
        <v>Miller'S Senior Living Community</v>
      </c>
      <c r="B34" s="134" t="str">
        <f ca="1">IFERROR(__xludf.DUMMYFUNCTION("""COMPUTED_VALUE"""),"Millers")</f>
        <v>Millers</v>
      </c>
      <c r="C34" s="134">
        <f ca="1">IFERROR(__xludf.DUMMYFUNCTION("""COMPUTED_VALUE"""),83)</f>
        <v>83</v>
      </c>
      <c r="D34" s="134" t="str">
        <f ca="1">IFERROR(__xludf.DUMMYFUNCTION("""COMPUTED_VALUE"""),"   8400 Clearvista Pl")</f>
        <v xml:space="preserve">   8400 Clearvista Pl</v>
      </c>
      <c r="E34" s="134" t="str">
        <f ca="1">IFERROR(__xludf.DUMMYFUNCTION("""COMPUTED_VALUE"""),"   Indianapolis, In 46256")</f>
        <v xml:space="preserve">   Indianapolis, In 46256</v>
      </c>
      <c r="F34" s="134" t="str">
        <f ca="1">IFERROR(__xludf.DUMMYFUNCTION("""COMPUTED_VALUE"""),"Kit delivery and pickup")</f>
        <v>Kit delivery and pickup</v>
      </c>
      <c r="G34" s="134" t="str">
        <f ca="1">IFERROR(__xludf.DUMMYFUNCTION("""COMPUTED_VALUE"""),"no")</f>
        <v>no</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FF"/>
    <outlinePr summaryBelow="0" summaryRight="0"/>
  </sheetPr>
  <dimension ref="A1:G18"/>
  <sheetViews>
    <sheetView workbookViewId="0"/>
  </sheetViews>
  <sheetFormatPr defaultColWidth="12.625" defaultRowHeight="15" customHeight="1"/>
  <cols>
    <col min="1" max="1" width="39.625" customWidth="1"/>
    <col min="3" max="3" width="12.5" customWidth="1"/>
    <col min="5" max="5" width="20" customWidth="1"/>
    <col min="6" max="6" width="17.375" customWidth="1"/>
    <col min="7" max="7" width="19.125" customWidth="1"/>
  </cols>
  <sheetData>
    <row r="1" spans="1:7">
      <c r="A1" s="134" t="str">
        <f ca="1">IFERROR(__xludf.DUMMYFUNCTION("query('Data Set'!1:99989, ""Select A,B,G,Y,Z,AA,AB Where B = 'CarDon'"",1)"),"Facility")</f>
        <v>Facility</v>
      </c>
      <c r="B1" s="134" t="str">
        <f ca="1">IFERROR(__xludf.DUMMYFUNCTION("""COMPUTED_VALUE"""),"Corporation")</f>
        <v>Corporation</v>
      </c>
      <c r="C1" s="134" t="str">
        <f ca="1">IFERROR(__xludf.DUMMYFUNCTION("""COMPUTED_VALUE"""),"Number of Staff")</f>
        <v>Number of Staff</v>
      </c>
      <c r="D1" s="134" t="str">
        <f ca="1">IFERROR(__xludf.DUMMYFUNCTION("""COMPUTED_VALUE"""),"Address 1")</f>
        <v>Address 1</v>
      </c>
      <c r="E1" s="134" t="str">
        <f ca="1">IFERROR(__xludf.DUMMYFUNCTION("""COMPUTED_VALUE"""),"Address 2")</f>
        <v>Address 2</v>
      </c>
      <c r="F1" s="134" t="str">
        <f ca="1">IFERROR(__xludf.DUMMYFUNCTION("""COMPUTED_VALUE"""),"Kit delivery and pickup")</f>
        <v>Kit delivery and pickup</v>
      </c>
      <c r="G1" s="134" t="str">
        <f ca="1">IFERROR(__xludf.DUMMYFUNCTION("""COMPUTED_VALUE"""),"Require Training of Staff?")</f>
        <v>Require Training of Staff?</v>
      </c>
    </row>
    <row r="2" spans="1:7">
      <c r="A2" s="134" t="str">
        <f ca="1">IFERROR(__xludf.DUMMYFUNCTION("""COMPUTED_VALUE"""),"Altenheim Health &amp; Living Community")</f>
        <v>Altenheim Health &amp; Living Community</v>
      </c>
      <c r="B2" s="134" t="str">
        <f ca="1">IFERROR(__xludf.DUMMYFUNCTION("""COMPUTED_VALUE"""),"CarDon")</f>
        <v>CarDon</v>
      </c>
      <c r="C2" s="134" t="str">
        <f ca="1">IFERROR(__xludf.DUMMYFUNCTION("""COMPUTED_VALUE"""),"")</f>
        <v/>
      </c>
      <c r="D2" s="134" t="str">
        <f ca="1">IFERROR(__xludf.DUMMYFUNCTION("""COMPUTED_VALUE"""),"3525 E Hanna Ave")</f>
        <v>3525 E Hanna Ave</v>
      </c>
      <c r="E2" s="134" t="str">
        <f ca="1">IFERROR(__xludf.DUMMYFUNCTION("""COMPUTED_VALUE"""),"")</f>
        <v/>
      </c>
      <c r="F2" s="134" t="str">
        <f ca="1">IFERROR(__xludf.DUMMYFUNCTION("""COMPUTED_VALUE"""),"Kit delivery and pickup")</f>
        <v>Kit delivery and pickup</v>
      </c>
      <c r="G2" s="134" t="str">
        <f ca="1">IFERROR(__xludf.DUMMYFUNCTION("""COMPUTED_VALUE"""),"no")</f>
        <v>no</v>
      </c>
    </row>
    <row r="3" spans="1:7">
      <c r="A3" s="134" t="str">
        <f ca="1">IFERROR(__xludf.DUMMYFUNCTION("""COMPUTED_VALUE"""),"Arbor Trace Health &amp; Living Community")</f>
        <v>Arbor Trace Health &amp; Living Community</v>
      </c>
      <c r="B3" s="134" t="str">
        <f ca="1">IFERROR(__xludf.DUMMYFUNCTION("""COMPUTED_VALUE"""),"CarDon")</f>
        <v>CarDon</v>
      </c>
      <c r="C3" s="134">
        <f ca="1">IFERROR(__xludf.DUMMYFUNCTION("""COMPUTED_VALUE"""),149)</f>
        <v>149</v>
      </c>
      <c r="D3" s="134" t="str">
        <f ca="1">IFERROR(__xludf.DUMMYFUNCTION("""COMPUTED_VALUE"""),"   3701 Hodgin Rd")</f>
        <v xml:space="preserve">   3701 Hodgin Rd</v>
      </c>
      <c r="E3" s="134" t="str">
        <f ca="1">IFERROR(__xludf.DUMMYFUNCTION("""COMPUTED_VALUE"""),"   Richmond, In 47374")</f>
        <v xml:space="preserve">   Richmond, In 47374</v>
      </c>
      <c r="F3" s="134" t="str">
        <f ca="1">IFERROR(__xludf.DUMMYFUNCTION("""COMPUTED_VALUE"""),"Kit delivery and pickup")</f>
        <v>Kit delivery and pickup</v>
      </c>
      <c r="G3" s="134" t="str">
        <f ca="1">IFERROR(__xludf.DUMMYFUNCTION("""COMPUTED_VALUE"""),"no")</f>
        <v>no</v>
      </c>
    </row>
    <row r="4" spans="1:7">
      <c r="A4" s="134" t="str">
        <f ca="1">IFERROR(__xludf.DUMMYFUNCTION("""COMPUTED_VALUE"""),"Aspen Trace Health &amp; Living Community")</f>
        <v>Aspen Trace Health &amp; Living Community</v>
      </c>
      <c r="B4" s="134" t="str">
        <f ca="1">IFERROR(__xludf.DUMMYFUNCTION("""COMPUTED_VALUE"""),"CarDon")</f>
        <v>CarDon</v>
      </c>
      <c r="C4" s="134" t="str">
        <f ca="1">IFERROR(__xludf.DUMMYFUNCTION("""COMPUTED_VALUE"""),"")</f>
        <v/>
      </c>
      <c r="D4" s="134" t="str">
        <f ca="1">IFERROR(__xludf.DUMMYFUNCTION("""COMPUTED_VALUE"""),"3154 South State Road 135")</f>
        <v>3154 South State Road 135</v>
      </c>
      <c r="E4" s="134" t="str">
        <f ca="1">IFERROR(__xludf.DUMMYFUNCTION("""COMPUTED_VALUE"""),"")</f>
        <v/>
      </c>
      <c r="F4" s="134" t="str">
        <f ca="1">IFERROR(__xludf.DUMMYFUNCTION("""COMPUTED_VALUE"""),"Kit delivery and pickup")</f>
        <v>Kit delivery and pickup</v>
      </c>
      <c r="G4" s="134" t="str">
        <f ca="1">IFERROR(__xludf.DUMMYFUNCTION("""COMPUTED_VALUE"""),"no")</f>
        <v>no</v>
      </c>
    </row>
    <row r="5" spans="1:7">
      <c r="A5" s="134" t="str">
        <f ca="1">IFERROR(__xludf.DUMMYFUNCTION("""COMPUTED_VALUE"""),"Bell Trace Health And Living Center")</f>
        <v>Bell Trace Health And Living Center</v>
      </c>
      <c r="B5" s="134" t="str">
        <f ca="1">IFERROR(__xludf.DUMMYFUNCTION("""COMPUTED_VALUE"""),"CarDon")</f>
        <v>CarDon</v>
      </c>
      <c r="C5" s="134" t="str">
        <f ca="1">IFERROR(__xludf.DUMMYFUNCTION("""COMPUTED_VALUE"""),"")</f>
        <v/>
      </c>
      <c r="D5" s="134" t="str">
        <f ca="1">IFERROR(__xludf.DUMMYFUNCTION("""COMPUTED_VALUE"""),"725 Bell Trace Circle")</f>
        <v>725 Bell Trace Circle</v>
      </c>
      <c r="E5" s="134" t="str">
        <f ca="1">IFERROR(__xludf.DUMMYFUNCTION("""COMPUTED_VALUE"""),"")</f>
        <v/>
      </c>
      <c r="F5" s="134" t="str">
        <f ca="1">IFERROR(__xludf.DUMMYFUNCTION("""COMPUTED_VALUE"""),"Kit delivery and pickup")</f>
        <v>Kit delivery and pickup</v>
      </c>
      <c r="G5" s="134" t="str">
        <f ca="1">IFERROR(__xludf.DUMMYFUNCTION("""COMPUTED_VALUE"""),"no")</f>
        <v>no</v>
      </c>
    </row>
    <row r="6" spans="1:7">
      <c r="A6" s="134" t="str">
        <f ca="1">IFERROR(__xludf.DUMMYFUNCTION("""COMPUTED_VALUE"""),"Brookside Village Inc")</f>
        <v>Brookside Village Inc</v>
      </c>
      <c r="B6" s="134" t="str">
        <f ca="1">IFERROR(__xludf.DUMMYFUNCTION("""COMPUTED_VALUE"""),"CarDon")</f>
        <v>CarDon</v>
      </c>
      <c r="C6" s="134" t="str">
        <f ca="1">IFERROR(__xludf.DUMMYFUNCTION("""COMPUTED_VALUE"""),"")</f>
        <v/>
      </c>
      <c r="D6" s="134" t="str">
        <f ca="1">IFERROR(__xludf.DUMMYFUNCTION("""COMPUTED_VALUE"""),"1111 Church Ave")</f>
        <v>1111 Church Ave</v>
      </c>
      <c r="E6" s="134" t="str">
        <f ca="1">IFERROR(__xludf.DUMMYFUNCTION("""COMPUTED_VALUE"""),"")</f>
        <v/>
      </c>
      <c r="F6" s="134" t="str">
        <f ca="1">IFERROR(__xludf.DUMMYFUNCTION("""COMPUTED_VALUE"""),"Kit delivery and pickup")</f>
        <v>Kit delivery and pickup</v>
      </c>
      <c r="G6" s="134" t="str">
        <f ca="1">IFERROR(__xludf.DUMMYFUNCTION("""COMPUTED_VALUE"""),"no")</f>
        <v>no</v>
      </c>
    </row>
    <row r="7" spans="1:7">
      <c r="A7" s="134" t="str">
        <f ca="1">IFERROR(__xludf.DUMMYFUNCTION("""COMPUTED_VALUE"""),"Brown County Health And Living Community")</f>
        <v>Brown County Health And Living Community</v>
      </c>
      <c r="B7" s="134" t="str">
        <f ca="1">IFERROR(__xludf.DUMMYFUNCTION("""COMPUTED_VALUE"""),"CarDon")</f>
        <v>CarDon</v>
      </c>
      <c r="C7" s="134">
        <f ca="1">IFERROR(__xludf.DUMMYFUNCTION("""COMPUTED_VALUE"""),125)</f>
        <v>125</v>
      </c>
      <c r="D7" s="134" t="str">
        <f ca="1">IFERROR(__xludf.DUMMYFUNCTION("""COMPUTED_VALUE"""),"   55 E Willow St")</f>
        <v xml:space="preserve">   55 E Willow St</v>
      </c>
      <c r="E7" s="134" t="str">
        <f ca="1">IFERROR(__xludf.DUMMYFUNCTION("""COMPUTED_VALUE"""),"   Nashville, In 47448")</f>
        <v xml:space="preserve">   Nashville, In 47448</v>
      </c>
      <c r="F7" s="134" t="str">
        <f ca="1">IFERROR(__xludf.DUMMYFUNCTION("""COMPUTED_VALUE"""),"Kit delivery and pickup")</f>
        <v>Kit delivery and pickup</v>
      </c>
      <c r="G7" s="134" t="str">
        <f ca="1">IFERROR(__xludf.DUMMYFUNCTION("""COMPUTED_VALUE"""),"no")</f>
        <v>no</v>
      </c>
    </row>
    <row r="8" spans="1:7">
      <c r="A8" s="134" t="str">
        <f ca="1">IFERROR(__xludf.DUMMYFUNCTION("""COMPUTED_VALUE"""),"Carmel Health &amp; Living Community")</f>
        <v>Carmel Health &amp; Living Community</v>
      </c>
      <c r="B8" s="134" t="str">
        <f ca="1">IFERROR(__xludf.DUMMYFUNCTION("""COMPUTED_VALUE"""),"CarDon")</f>
        <v>CarDon</v>
      </c>
      <c r="C8" s="134">
        <f ca="1">IFERROR(__xludf.DUMMYFUNCTION("""COMPUTED_VALUE"""),120)</f>
        <v>120</v>
      </c>
      <c r="D8" s="134" t="str">
        <f ca="1">IFERROR(__xludf.DUMMYFUNCTION("""COMPUTED_VALUE"""),"   118 Medical Dr")</f>
        <v xml:space="preserve">   118 Medical Dr</v>
      </c>
      <c r="E8" s="134" t="str">
        <f ca="1">IFERROR(__xludf.DUMMYFUNCTION("""COMPUTED_VALUE"""),"   Carmel, In 46032")</f>
        <v xml:space="preserve">   Carmel, In 46032</v>
      </c>
      <c r="F8" s="134" t="str">
        <f ca="1">IFERROR(__xludf.DUMMYFUNCTION("""COMPUTED_VALUE"""),"Kit delivery and pickup")</f>
        <v>Kit delivery and pickup</v>
      </c>
      <c r="G8" s="134" t="str">
        <f ca="1">IFERROR(__xludf.DUMMYFUNCTION("""COMPUTED_VALUE"""),"no")</f>
        <v>no</v>
      </c>
    </row>
    <row r="9" spans="1:7">
      <c r="A9" s="134" t="str">
        <f ca="1">IFERROR(__xludf.DUMMYFUNCTION("""COMPUTED_VALUE"""),"Copper Trace Health &amp; Living Community")</f>
        <v>Copper Trace Health &amp; Living Community</v>
      </c>
      <c r="B9" s="134" t="str">
        <f ca="1">IFERROR(__xludf.DUMMYFUNCTION("""COMPUTED_VALUE"""),"CarDon")</f>
        <v>CarDon</v>
      </c>
      <c r="C9" s="134" t="str">
        <f ca="1">IFERROR(__xludf.DUMMYFUNCTION("""COMPUTED_VALUE"""),"")</f>
        <v/>
      </c>
      <c r="D9" s="134" t="str">
        <f ca="1">IFERROR(__xludf.DUMMYFUNCTION("""COMPUTED_VALUE"""),"1250 W 146Th Street")</f>
        <v>1250 W 146Th Street</v>
      </c>
      <c r="E9" s="134" t="str">
        <f ca="1">IFERROR(__xludf.DUMMYFUNCTION("""COMPUTED_VALUE"""),"")</f>
        <v/>
      </c>
      <c r="F9" s="134" t="str">
        <f ca="1">IFERROR(__xludf.DUMMYFUNCTION("""COMPUTED_VALUE"""),"Kit delivery and pickup")</f>
        <v>Kit delivery and pickup</v>
      </c>
      <c r="G9" s="134" t="str">
        <f ca="1">IFERROR(__xludf.DUMMYFUNCTION("""COMPUTED_VALUE"""),"no")</f>
        <v>no</v>
      </c>
    </row>
    <row r="10" spans="1:7">
      <c r="A10" s="134" t="str">
        <f ca="1">IFERROR(__xludf.DUMMYFUNCTION("""COMPUTED_VALUE"""),"Countryside Manor Health &amp; Living Community")</f>
        <v>Countryside Manor Health &amp; Living Community</v>
      </c>
      <c r="B10" s="134" t="str">
        <f ca="1">IFERROR(__xludf.DUMMYFUNCTION("""COMPUTED_VALUE"""),"CarDon")</f>
        <v>CarDon</v>
      </c>
      <c r="C10" s="134" t="str">
        <f ca="1">IFERROR(__xludf.DUMMYFUNCTION("""COMPUTED_VALUE"""),"")</f>
        <v/>
      </c>
      <c r="D10" s="134" t="str">
        <f ca="1">IFERROR(__xludf.DUMMYFUNCTION("""COMPUTED_VALUE"""),"205 Marine Dr")</f>
        <v>205 Marine Dr</v>
      </c>
      <c r="E10" s="134" t="str">
        <f ca="1">IFERROR(__xludf.DUMMYFUNCTION("""COMPUTED_VALUE"""),"")</f>
        <v/>
      </c>
      <c r="F10" s="134" t="str">
        <f ca="1">IFERROR(__xludf.DUMMYFUNCTION("""COMPUTED_VALUE"""),"Kit delivery and pickup")</f>
        <v>Kit delivery and pickup</v>
      </c>
      <c r="G10" s="134" t="str">
        <f ca="1">IFERROR(__xludf.DUMMYFUNCTION("""COMPUTED_VALUE"""),"no")</f>
        <v>no</v>
      </c>
    </row>
    <row r="11" spans="1:7">
      <c r="A11" s="134" t="str">
        <f ca="1">IFERROR(__xludf.DUMMYFUNCTION("""COMPUTED_VALUE"""),"Cumberland Trace Health &amp; Living Community")</f>
        <v>Cumberland Trace Health &amp; Living Community</v>
      </c>
      <c r="B11" s="134" t="str">
        <f ca="1">IFERROR(__xludf.DUMMYFUNCTION("""COMPUTED_VALUE"""),"CarDon")</f>
        <v>CarDon</v>
      </c>
      <c r="C11" s="134" t="str">
        <f ca="1">IFERROR(__xludf.DUMMYFUNCTION("""COMPUTED_VALUE"""),"")</f>
        <v/>
      </c>
      <c r="D11" s="134" t="str">
        <f ca="1">IFERROR(__xludf.DUMMYFUNCTION("""COMPUTED_VALUE"""),"1925 Reeves Road")</f>
        <v>1925 Reeves Road</v>
      </c>
      <c r="E11" s="134" t="str">
        <f ca="1">IFERROR(__xludf.DUMMYFUNCTION("""COMPUTED_VALUE"""),"")</f>
        <v/>
      </c>
      <c r="F11" s="134" t="str">
        <f ca="1">IFERROR(__xludf.DUMMYFUNCTION("""COMPUTED_VALUE"""),"Kit delivery and pickup")</f>
        <v>Kit delivery and pickup</v>
      </c>
      <c r="G11" s="134" t="str">
        <f ca="1">IFERROR(__xludf.DUMMYFUNCTION("""COMPUTED_VALUE"""),"no")</f>
        <v>no</v>
      </c>
    </row>
    <row r="12" spans="1:7">
      <c r="A12" s="134" t="str">
        <f ca="1">IFERROR(__xludf.DUMMYFUNCTION("""COMPUTED_VALUE"""),"Greenwood Health And Living Community")</f>
        <v>Greenwood Health And Living Community</v>
      </c>
      <c r="B12" s="134" t="str">
        <f ca="1">IFERROR(__xludf.DUMMYFUNCTION("""COMPUTED_VALUE"""),"CarDon")</f>
        <v>CarDon</v>
      </c>
      <c r="C12" s="134">
        <f ca="1">IFERROR(__xludf.DUMMYFUNCTION("""COMPUTED_VALUE"""),110)</f>
        <v>110</v>
      </c>
      <c r="D12" s="134" t="str">
        <f ca="1">IFERROR(__xludf.DUMMYFUNCTION("""COMPUTED_VALUE"""),"   937 Fry Rd")</f>
        <v xml:space="preserve">   937 Fry Rd</v>
      </c>
      <c r="E12" s="134" t="str">
        <f ca="1">IFERROR(__xludf.DUMMYFUNCTION("""COMPUTED_VALUE"""),"   Greenwood, In 46142")</f>
        <v xml:space="preserve">   Greenwood, In 46142</v>
      </c>
      <c r="F12" s="134" t="str">
        <f ca="1">IFERROR(__xludf.DUMMYFUNCTION("""COMPUTED_VALUE"""),"Kit delivery and pickup")</f>
        <v>Kit delivery and pickup</v>
      </c>
      <c r="G12" s="134" t="str">
        <f ca="1">IFERROR(__xludf.DUMMYFUNCTION("""COMPUTED_VALUE"""),"no")</f>
        <v>no</v>
      </c>
    </row>
    <row r="13" spans="1:7">
      <c r="A13" s="134" t="str">
        <f ca="1">IFERROR(__xludf.DUMMYFUNCTION("""COMPUTED_VALUE"""),"Lincoln Hills")</f>
        <v>Lincoln Hills</v>
      </c>
      <c r="B13" s="134" t="str">
        <f ca="1">IFERROR(__xludf.DUMMYFUNCTION("""COMPUTED_VALUE"""),"CarDon")</f>
        <v>CarDon</v>
      </c>
      <c r="C13" s="134">
        <f ca="1">IFERROR(__xludf.DUMMYFUNCTION("""COMPUTED_VALUE"""),79)</f>
        <v>79</v>
      </c>
      <c r="D13" s="134" t="str">
        <f ca="1">IFERROR(__xludf.DUMMYFUNCTION("""COMPUTED_VALUE"""),"#N/A")</f>
        <v>#N/A</v>
      </c>
      <c r="E13" s="134" t="str">
        <f ca="1">IFERROR(__xludf.DUMMYFUNCTION("""COMPUTED_VALUE"""),"#N/A")</f>
        <v>#N/A</v>
      </c>
      <c r="F13" s="134" t="str">
        <f ca="1">IFERROR(__xludf.DUMMYFUNCTION("""COMPUTED_VALUE"""),"Kit delivery and pickup")</f>
        <v>Kit delivery and pickup</v>
      </c>
      <c r="G13" s="134" t="str">
        <f ca="1">IFERROR(__xludf.DUMMYFUNCTION("""COMPUTED_VALUE"""),"no")</f>
        <v>no</v>
      </c>
    </row>
    <row r="14" spans="1:7">
      <c r="A14" s="134" t="str">
        <f ca="1">IFERROR(__xludf.DUMMYFUNCTION("""COMPUTED_VALUE"""),"Morristown Manor")</f>
        <v>Morristown Manor</v>
      </c>
      <c r="B14" s="134" t="str">
        <f ca="1">IFERROR(__xludf.DUMMYFUNCTION("""COMPUTED_VALUE"""),"CarDon")</f>
        <v>CarDon</v>
      </c>
      <c r="C14" s="134" t="str">
        <f ca="1">IFERROR(__xludf.DUMMYFUNCTION("""COMPUTED_VALUE"""),"")</f>
        <v/>
      </c>
      <c r="D14" s="134" t="str">
        <f ca="1">IFERROR(__xludf.DUMMYFUNCTION("""COMPUTED_VALUE"""),"868 S Washington St")</f>
        <v>868 S Washington St</v>
      </c>
      <c r="E14" s="134" t="str">
        <f ca="1">IFERROR(__xludf.DUMMYFUNCTION("""COMPUTED_VALUE"""),"")</f>
        <v/>
      </c>
      <c r="F14" s="134" t="str">
        <f ca="1">IFERROR(__xludf.DUMMYFUNCTION("""COMPUTED_VALUE"""),"Kit delivery and pickup")</f>
        <v>Kit delivery and pickup</v>
      </c>
      <c r="G14" s="134" t="str">
        <f ca="1">IFERROR(__xludf.DUMMYFUNCTION("""COMPUTED_VALUE"""),"no")</f>
        <v>no</v>
      </c>
    </row>
    <row r="15" spans="1:7">
      <c r="A15" s="134" t="str">
        <f ca="1">IFERROR(__xludf.DUMMYFUNCTION("""COMPUTED_VALUE"""),"Paoli Health And Living Community")</f>
        <v>Paoli Health And Living Community</v>
      </c>
      <c r="B15" s="134" t="str">
        <f ca="1">IFERROR(__xludf.DUMMYFUNCTION("""COMPUTED_VALUE"""),"CarDon")</f>
        <v>CarDon</v>
      </c>
      <c r="C15" s="134">
        <f ca="1">IFERROR(__xludf.DUMMYFUNCTION("""COMPUTED_VALUE"""),73)</f>
        <v>73</v>
      </c>
      <c r="D15" s="134" t="str">
        <f ca="1">IFERROR(__xludf.DUMMYFUNCTION("""COMPUTED_VALUE"""),"   559 W Longest St")</f>
        <v xml:space="preserve">   559 W Longest St</v>
      </c>
      <c r="E15" s="134" t="str">
        <f ca="1">IFERROR(__xludf.DUMMYFUNCTION("""COMPUTED_VALUE"""),"   Paoli, In 47454")</f>
        <v xml:space="preserve">   Paoli, In 47454</v>
      </c>
      <c r="F15" s="134" t="str">
        <f ca="1">IFERROR(__xludf.DUMMYFUNCTION("""COMPUTED_VALUE"""),"Kit delivery and pickup")</f>
        <v>Kit delivery and pickup</v>
      </c>
      <c r="G15" s="134" t="str">
        <f ca="1">IFERROR(__xludf.DUMMYFUNCTION("""COMPUTED_VALUE"""),"no")</f>
        <v>no</v>
      </c>
    </row>
    <row r="16" spans="1:7">
      <c r="A16" s="134" t="str">
        <f ca="1">IFERROR(__xludf.DUMMYFUNCTION("""COMPUTED_VALUE"""),"Rawlins House Health &amp; Living Community")</f>
        <v>Rawlins House Health &amp; Living Community</v>
      </c>
      <c r="B16" s="134" t="str">
        <f ca="1">IFERROR(__xludf.DUMMYFUNCTION("""COMPUTED_VALUE"""),"CarDon")</f>
        <v>CarDon</v>
      </c>
      <c r="C16" s="134" t="str">
        <f ca="1">IFERROR(__xludf.DUMMYFUNCTION("""COMPUTED_VALUE"""),"")</f>
        <v/>
      </c>
      <c r="D16" s="134" t="str">
        <f ca="1">IFERROR(__xludf.DUMMYFUNCTION("""COMPUTED_VALUE"""),"300 J H Walker Dr")</f>
        <v>300 J H Walker Dr</v>
      </c>
      <c r="E16" s="134" t="str">
        <f ca="1">IFERROR(__xludf.DUMMYFUNCTION("""COMPUTED_VALUE"""),"")</f>
        <v/>
      </c>
      <c r="F16" s="134" t="str">
        <f ca="1">IFERROR(__xludf.DUMMYFUNCTION("""COMPUTED_VALUE"""),"Kit delivery and pickup")</f>
        <v>Kit delivery and pickup</v>
      </c>
      <c r="G16" s="134" t="str">
        <f ca="1">IFERROR(__xludf.DUMMYFUNCTION("""COMPUTED_VALUE"""),"no")</f>
        <v>no</v>
      </c>
    </row>
    <row r="17" spans="1:7">
      <c r="A17" s="134" t="str">
        <f ca="1">IFERROR(__xludf.DUMMYFUNCTION("""COMPUTED_VALUE"""),"Terrace At Solarbron The")</f>
        <v>Terrace At Solarbron The</v>
      </c>
      <c r="B17" s="134" t="str">
        <f ca="1">IFERROR(__xludf.DUMMYFUNCTION("""COMPUTED_VALUE"""),"CarDon")</f>
        <v>CarDon</v>
      </c>
      <c r="C17" s="134">
        <f ca="1">IFERROR(__xludf.DUMMYFUNCTION("""COMPUTED_VALUE"""),117)</f>
        <v>117</v>
      </c>
      <c r="D17" s="134" t="str">
        <f ca="1">IFERROR(__xludf.DUMMYFUNCTION("""COMPUTED_VALUE"""),"   1701 Mcdowell Rd")</f>
        <v xml:space="preserve">   1701 Mcdowell Rd</v>
      </c>
      <c r="E17" s="134" t="str">
        <f ca="1">IFERROR(__xludf.DUMMYFUNCTION("""COMPUTED_VALUE"""),"   Evansville, In 47712")</f>
        <v xml:space="preserve">   Evansville, In 47712</v>
      </c>
      <c r="F17" s="134" t="str">
        <f ca="1">IFERROR(__xludf.DUMMYFUNCTION("""COMPUTED_VALUE"""),"Kit delivery and pickup")</f>
        <v>Kit delivery and pickup</v>
      </c>
      <c r="G17" s="134" t="str">
        <f ca="1">IFERROR(__xludf.DUMMYFUNCTION("""COMPUTED_VALUE"""),"No")</f>
        <v>No</v>
      </c>
    </row>
    <row r="18" spans="1:7">
      <c r="A18" s="134" t="str">
        <f ca="1">IFERROR(__xludf.DUMMYFUNCTION("""COMPUTED_VALUE"""),"University Heights Health And Living Community")</f>
        <v>University Heights Health And Living Community</v>
      </c>
      <c r="B18" s="134" t="str">
        <f ca="1">IFERROR(__xludf.DUMMYFUNCTION("""COMPUTED_VALUE"""),"CarDon")</f>
        <v>CarDon</v>
      </c>
      <c r="C18" s="134">
        <f ca="1">IFERROR(__xludf.DUMMYFUNCTION("""COMPUTED_VALUE"""),165)</f>
        <v>165</v>
      </c>
      <c r="D18" s="134" t="str">
        <f ca="1">IFERROR(__xludf.DUMMYFUNCTION("""COMPUTED_VALUE"""),"   1380 E County Line Rd S")</f>
        <v xml:space="preserve">   1380 E County Line Rd S</v>
      </c>
      <c r="E18" s="134" t="str">
        <f ca="1">IFERROR(__xludf.DUMMYFUNCTION("""COMPUTED_VALUE"""),"   Indianapolis, In 46227")</f>
        <v xml:space="preserve">   Indianapolis, In 46227</v>
      </c>
      <c r="F18" s="134" t="str">
        <f ca="1">IFERROR(__xludf.DUMMYFUNCTION("""COMPUTED_VALUE"""),"Kit delivery and pickup")</f>
        <v>Kit delivery and pickup</v>
      </c>
      <c r="G18" s="134" t="str">
        <f ca="1">IFERROR(__xludf.DUMMYFUNCTION("""COMPUTED_VALUE"""),"no")</f>
        <v>no</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00FF"/>
    <outlinePr summaryBelow="0" summaryRight="0"/>
  </sheetPr>
  <dimension ref="A1:G20"/>
  <sheetViews>
    <sheetView workbookViewId="0"/>
  </sheetViews>
  <sheetFormatPr defaultColWidth="12.625" defaultRowHeight="15" customHeight="1"/>
  <cols>
    <col min="1" max="1" width="39.625" customWidth="1"/>
    <col min="3" max="3" width="12.5" customWidth="1"/>
    <col min="5" max="5" width="20" customWidth="1"/>
    <col min="6" max="6" width="17.375" customWidth="1"/>
    <col min="7" max="7" width="19.125" customWidth="1"/>
  </cols>
  <sheetData>
    <row r="1" spans="1:7">
      <c r="A1" s="134" t="str">
        <f ca="1">IFERROR(__xludf.DUMMYFUNCTION("query('Data Set'!1:99989, ""Select A,B,G,Y,Z,AA,AB Where B = 'Golden Living'"",1)"),"Facility")</f>
        <v>Facility</v>
      </c>
      <c r="B1" s="134" t="str">
        <f ca="1">IFERROR(__xludf.DUMMYFUNCTION("""COMPUTED_VALUE"""),"Corporation")</f>
        <v>Corporation</v>
      </c>
      <c r="C1" s="134" t="str">
        <f ca="1">IFERROR(__xludf.DUMMYFUNCTION("""COMPUTED_VALUE"""),"Number of Staff")</f>
        <v>Number of Staff</v>
      </c>
      <c r="D1" s="134" t="str">
        <f ca="1">IFERROR(__xludf.DUMMYFUNCTION("""COMPUTED_VALUE"""),"Address 1")</f>
        <v>Address 1</v>
      </c>
      <c r="E1" s="134" t="str">
        <f ca="1">IFERROR(__xludf.DUMMYFUNCTION("""COMPUTED_VALUE"""),"Address 2")</f>
        <v>Address 2</v>
      </c>
      <c r="F1" s="134" t="str">
        <f ca="1">IFERROR(__xludf.DUMMYFUNCTION("""COMPUTED_VALUE"""),"Kit delivery and pickup")</f>
        <v>Kit delivery and pickup</v>
      </c>
      <c r="G1" s="134" t="str">
        <f ca="1">IFERROR(__xludf.DUMMYFUNCTION("""COMPUTED_VALUE"""),"Require Training of Staff?")</f>
        <v>Require Training of Staff?</v>
      </c>
    </row>
    <row r="2" spans="1:7">
      <c r="A2" s="134" t="str">
        <f ca="1">IFERROR(__xludf.DUMMYFUNCTION("""COMPUTED_VALUE"""),"Golden Living Center - Willow Springs")</f>
        <v>Golden Living Center - Willow Springs</v>
      </c>
      <c r="B2" s="134" t="str">
        <f ca="1">IFERROR(__xludf.DUMMYFUNCTION("""COMPUTED_VALUE"""),"Golden Living")</f>
        <v>Golden Living</v>
      </c>
      <c r="C2" s="134">
        <f ca="1">IFERROR(__xludf.DUMMYFUNCTION("""COMPUTED_VALUE"""),110)</f>
        <v>110</v>
      </c>
      <c r="D2" s="134" t="str">
        <f ca="1">IFERROR(__xludf.DUMMYFUNCTION("""COMPUTED_VALUE"""),"   2002 West 86Th Street")</f>
        <v xml:space="preserve">   2002 West 86Th Street</v>
      </c>
      <c r="E2" s="134" t="str">
        <f ca="1">IFERROR(__xludf.DUMMYFUNCTION("""COMPUTED_VALUE"""),"   Indianapolis, In 46260")</f>
        <v xml:space="preserve">   Indianapolis, In 46260</v>
      </c>
      <c r="F2" s="134" t="str">
        <f ca="1">IFERROR(__xludf.DUMMYFUNCTION("""COMPUTED_VALUE"""),"Kit delivery and pickup")</f>
        <v>Kit delivery and pickup</v>
      </c>
      <c r="G2" s="134" t="str">
        <f ca="1">IFERROR(__xludf.DUMMYFUNCTION("""COMPUTED_VALUE"""),"no")</f>
        <v>no</v>
      </c>
    </row>
    <row r="3" spans="1:7">
      <c r="A3" s="134" t="str">
        <f ca="1">IFERROR(__xludf.DUMMYFUNCTION("""COMPUTED_VALUE"""),"Golden Living Center-Bloomington")</f>
        <v>Golden Living Center-Bloomington</v>
      </c>
      <c r="B3" s="134" t="str">
        <f ca="1">IFERROR(__xludf.DUMMYFUNCTION("""COMPUTED_VALUE"""),"Golden Living")</f>
        <v>Golden Living</v>
      </c>
      <c r="C3" s="134">
        <f ca="1">IFERROR(__xludf.DUMMYFUNCTION("""COMPUTED_VALUE"""),111)</f>
        <v>111</v>
      </c>
      <c r="D3" s="134" t="str">
        <f ca="1">IFERROR(__xludf.DUMMYFUNCTION("""COMPUTED_VALUE"""),"   155 E Burks Dr")</f>
        <v xml:space="preserve">   155 E Burks Dr</v>
      </c>
      <c r="E3" s="134" t="str">
        <f ca="1">IFERROR(__xludf.DUMMYFUNCTION("""COMPUTED_VALUE"""),"   Bloomington, In 47401")</f>
        <v xml:space="preserve">   Bloomington, In 47401</v>
      </c>
      <c r="F3" s="134" t="str">
        <f ca="1">IFERROR(__xludf.DUMMYFUNCTION("""COMPUTED_VALUE"""),"Kit delivery and pickup")</f>
        <v>Kit delivery and pickup</v>
      </c>
      <c r="G3" s="134" t="str">
        <f ca="1">IFERROR(__xludf.DUMMYFUNCTION("""COMPUTED_VALUE"""),"no")</f>
        <v>no</v>
      </c>
    </row>
    <row r="4" spans="1:7">
      <c r="A4" s="134" t="str">
        <f ca="1">IFERROR(__xludf.DUMMYFUNCTION("""COMPUTED_VALUE"""),"Golden Living Center-Brandywine")</f>
        <v>Golden Living Center-Brandywine</v>
      </c>
      <c r="B4" s="134" t="str">
        <f ca="1">IFERROR(__xludf.DUMMYFUNCTION("""COMPUTED_VALUE"""),"Golden Living")</f>
        <v>Golden Living</v>
      </c>
      <c r="C4" s="134">
        <f ca="1">IFERROR(__xludf.DUMMYFUNCTION("""COMPUTED_VALUE"""),128)</f>
        <v>128</v>
      </c>
      <c r="D4" s="134" t="str">
        <f ca="1">IFERROR(__xludf.DUMMYFUNCTION("""COMPUTED_VALUE"""),"   745 N Swope St")</f>
        <v xml:space="preserve">   745 N Swope St</v>
      </c>
      <c r="E4" s="134" t="str">
        <f ca="1">IFERROR(__xludf.DUMMYFUNCTION("""COMPUTED_VALUE"""),"   Greenfield, In 46140")</f>
        <v xml:space="preserve">   Greenfield, In 46140</v>
      </c>
      <c r="F4" s="134" t="str">
        <f ca="1">IFERROR(__xludf.DUMMYFUNCTION("""COMPUTED_VALUE"""),"Kit delivery and pickup")</f>
        <v>Kit delivery and pickup</v>
      </c>
      <c r="G4" s="134" t="str">
        <f ca="1">IFERROR(__xludf.DUMMYFUNCTION("""COMPUTED_VALUE"""),"no")</f>
        <v>no</v>
      </c>
    </row>
    <row r="5" spans="1:7">
      <c r="A5" s="134" t="str">
        <f ca="1">IFERROR(__xludf.DUMMYFUNCTION("""COMPUTED_VALUE"""),"Golden Living Center-Brentwood")</f>
        <v>Golden Living Center-Brentwood</v>
      </c>
      <c r="B5" s="134" t="str">
        <f ca="1">IFERROR(__xludf.DUMMYFUNCTION("""COMPUTED_VALUE"""),"Golden Living")</f>
        <v>Golden Living</v>
      </c>
      <c r="C5" s="134">
        <f ca="1">IFERROR(__xludf.DUMMYFUNCTION("""COMPUTED_VALUE"""),93)</f>
        <v>93</v>
      </c>
      <c r="D5" s="134" t="str">
        <f ca="1">IFERROR(__xludf.DUMMYFUNCTION("""COMPUTED_VALUE"""),"   30 E Chandler Ave")</f>
        <v xml:space="preserve">   30 E Chandler Ave</v>
      </c>
      <c r="E5" s="134" t="str">
        <f ca="1">IFERROR(__xludf.DUMMYFUNCTION("""COMPUTED_VALUE"""),"   Evansville, In 47713")</f>
        <v xml:space="preserve">   Evansville, In 47713</v>
      </c>
      <c r="F5" s="134" t="str">
        <f ca="1">IFERROR(__xludf.DUMMYFUNCTION("""COMPUTED_VALUE"""),"Kit delivery and pickup")</f>
        <v>Kit delivery and pickup</v>
      </c>
      <c r="G5" s="134" t="str">
        <f ca="1">IFERROR(__xludf.DUMMYFUNCTION("""COMPUTED_VALUE"""),"no")</f>
        <v>no</v>
      </c>
    </row>
    <row r="6" spans="1:7">
      <c r="A6" s="134" t="str">
        <f ca="1">IFERROR(__xludf.DUMMYFUNCTION("""COMPUTED_VALUE"""),"Golden Living Center-Brookview")</f>
        <v>Golden Living Center-Brookview</v>
      </c>
      <c r="B6" s="134" t="str">
        <f ca="1">IFERROR(__xludf.DUMMYFUNCTION("""COMPUTED_VALUE"""),"Golden Living")</f>
        <v>Golden Living</v>
      </c>
      <c r="C6" s="134">
        <f ca="1">IFERROR(__xludf.DUMMYFUNCTION("""COMPUTED_VALUE"""),87)</f>
        <v>87</v>
      </c>
      <c r="D6" s="134" t="str">
        <f ca="1">IFERROR(__xludf.DUMMYFUNCTION("""COMPUTED_VALUE"""),"   7145 E 21St Street")</f>
        <v xml:space="preserve">   7145 E 21St Street</v>
      </c>
      <c r="E6" s="134" t="str">
        <f ca="1">IFERROR(__xludf.DUMMYFUNCTION("""COMPUTED_VALUE"""),"   Indianapolis, In 46219")</f>
        <v xml:space="preserve">   Indianapolis, In 46219</v>
      </c>
      <c r="F6" s="134" t="str">
        <f ca="1">IFERROR(__xludf.DUMMYFUNCTION("""COMPUTED_VALUE"""),"Kit delivery and pickup")</f>
        <v>Kit delivery and pickup</v>
      </c>
      <c r="G6" s="134" t="str">
        <f ca="1">IFERROR(__xludf.DUMMYFUNCTION("""COMPUTED_VALUE"""),"No")</f>
        <v>No</v>
      </c>
    </row>
    <row r="7" spans="1:7">
      <c r="A7" s="134" t="str">
        <f ca="1">IFERROR(__xludf.DUMMYFUNCTION("""COMPUTED_VALUE"""),"Golden Living Center-Elkhart")</f>
        <v>Golden Living Center-Elkhart</v>
      </c>
      <c r="B7" s="134" t="str">
        <f ca="1">IFERROR(__xludf.DUMMYFUNCTION("""COMPUTED_VALUE"""),"Golden Living")</f>
        <v>Golden Living</v>
      </c>
      <c r="C7" s="134">
        <f ca="1">IFERROR(__xludf.DUMMYFUNCTION("""COMPUTED_VALUE"""),120)</f>
        <v>120</v>
      </c>
      <c r="D7" s="134" t="str">
        <f ca="1">IFERROR(__xludf.DUMMYFUNCTION("""COMPUTED_VALUE"""),"   1001 W Hively Ave")</f>
        <v xml:space="preserve">   1001 W Hively Ave</v>
      </c>
      <c r="E7" s="134" t="str">
        <f ca="1">IFERROR(__xludf.DUMMYFUNCTION("""COMPUTED_VALUE"""),"   Elkhart, In 46517")</f>
        <v xml:space="preserve">   Elkhart, In 46517</v>
      </c>
      <c r="F7" s="134" t="str">
        <f ca="1">IFERROR(__xludf.DUMMYFUNCTION("""COMPUTED_VALUE"""),"Kit delivery and pickup")</f>
        <v>Kit delivery and pickup</v>
      </c>
      <c r="G7" s="134" t="str">
        <f ca="1">IFERROR(__xludf.DUMMYFUNCTION("""COMPUTED_VALUE"""),"no")</f>
        <v>no</v>
      </c>
    </row>
    <row r="8" spans="1:7">
      <c r="A8" s="134" t="str">
        <f ca="1">IFERROR(__xludf.DUMMYFUNCTION("""COMPUTED_VALUE"""),"Golden Living Center-Fountainview Place")</f>
        <v>Golden Living Center-Fountainview Place</v>
      </c>
      <c r="B8" s="134" t="str">
        <f ca="1">IFERROR(__xludf.DUMMYFUNCTION("""COMPUTED_VALUE"""),"Golden Living")</f>
        <v>Golden Living</v>
      </c>
      <c r="C8" s="134">
        <f ca="1">IFERROR(__xludf.DUMMYFUNCTION("""COMPUTED_VALUE"""),138)</f>
        <v>138</v>
      </c>
      <c r="D8" s="134" t="str">
        <f ca="1">IFERROR(__xludf.DUMMYFUNCTION("""COMPUTED_VALUE"""),"   3175 Lancer St")</f>
        <v xml:space="preserve">   3175 Lancer St</v>
      </c>
      <c r="E8" s="134" t="str">
        <f ca="1">IFERROR(__xludf.DUMMYFUNCTION("""COMPUTED_VALUE"""),"   Portage, In 46368")</f>
        <v xml:space="preserve">   Portage, In 46368</v>
      </c>
      <c r="F8" s="134" t="str">
        <f ca="1">IFERROR(__xludf.DUMMYFUNCTION("""COMPUTED_VALUE"""),"Kit delivery and pickup")</f>
        <v>Kit delivery and pickup</v>
      </c>
      <c r="G8" s="134" t="str">
        <f ca="1">IFERROR(__xludf.DUMMYFUNCTION("""COMPUTED_VALUE"""),"no")</f>
        <v>no</v>
      </c>
    </row>
    <row r="9" spans="1:7">
      <c r="A9" s="134" t="str">
        <f ca="1">IFERROR(__xludf.DUMMYFUNCTION("""COMPUTED_VALUE"""),"Golden Living Center-Fountainview Terrace")</f>
        <v>Golden Living Center-Fountainview Terrace</v>
      </c>
      <c r="B9" s="134" t="str">
        <f ca="1">IFERROR(__xludf.DUMMYFUNCTION("""COMPUTED_VALUE"""),"Golden Living")</f>
        <v>Golden Living</v>
      </c>
      <c r="C9" s="134">
        <f ca="1">IFERROR(__xludf.DUMMYFUNCTION("""COMPUTED_VALUE"""),152)</f>
        <v>152</v>
      </c>
      <c r="D9" s="134" t="str">
        <f ca="1">IFERROR(__xludf.DUMMYFUNCTION("""COMPUTED_VALUE"""),"   1900 Andrew Ave")</f>
        <v xml:space="preserve">   1900 Andrew Ave</v>
      </c>
      <c r="E9" s="134" t="str">
        <f ca="1">IFERROR(__xludf.DUMMYFUNCTION("""COMPUTED_VALUE"""),"   La Porte, In 46350")</f>
        <v xml:space="preserve">   La Porte, In 46350</v>
      </c>
      <c r="F9" s="134" t="str">
        <f ca="1">IFERROR(__xludf.DUMMYFUNCTION("""COMPUTED_VALUE"""),"Kit delivery and pickup")</f>
        <v>Kit delivery and pickup</v>
      </c>
      <c r="G9" s="134" t="str">
        <f ca="1">IFERROR(__xludf.DUMMYFUNCTION("""COMPUTED_VALUE"""),"no")</f>
        <v>no</v>
      </c>
    </row>
    <row r="10" spans="1:7">
      <c r="A10" s="134" t="str">
        <f ca="1">IFERROR(__xludf.DUMMYFUNCTION("""COMPUTED_VALUE"""),"Golden Living Center-Knox")</f>
        <v>Golden Living Center-Knox</v>
      </c>
      <c r="B10" s="134" t="str">
        <f ca="1">IFERROR(__xludf.DUMMYFUNCTION("""COMPUTED_VALUE"""),"Golden Living")</f>
        <v>Golden Living</v>
      </c>
      <c r="C10" s="134">
        <f ca="1">IFERROR(__xludf.DUMMYFUNCTION("""COMPUTED_VALUE"""),66)</f>
        <v>66</v>
      </c>
      <c r="D10" s="134" t="str">
        <f ca="1">IFERROR(__xludf.DUMMYFUNCTION("""COMPUTED_VALUE"""),"   300 E Culver Rd")</f>
        <v xml:space="preserve">   300 E Culver Rd</v>
      </c>
      <c r="E10" s="134" t="str">
        <f ca="1">IFERROR(__xludf.DUMMYFUNCTION("""COMPUTED_VALUE"""),"   Knox, In 46534")</f>
        <v xml:space="preserve">   Knox, In 46534</v>
      </c>
      <c r="F10" s="134" t="str">
        <f ca="1">IFERROR(__xludf.DUMMYFUNCTION("""COMPUTED_VALUE"""),"Kit delivery and pickup")</f>
        <v>Kit delivery and pickup</v>
      </c>
      <c r="G10" s="134" t="str">
        <f ca="1">IFERROR(__xludf.DUMMYFUNCTION("""COMPUTED_VALUE"""),"no")</f>
        <v>no</v>
      </c>
    </row>
    <row r="11" spans="1:7">
      <c r="A11" s="134" t="str">
        <f ca="1">IFERROR(__xludf.DUMMYFUNCTION("""COMPUTED_VALUE"""),"Golden Living Center-Laporte")</f>
        <v>Golden Living Center-Laporte</v>
      </c>
      <c r="B11" s="134" t="str">
        <f ca="1">IFERROR(__xludf.DUMMYFUNCTION("""COMPUTED_VALUE"""),"Golden Living")</f>
        <v>Golden Living</v>
      </c>
      <c r="C11" s="134">
        <f ca="1">IFERROR(__xludf.DUMMYFUNCTION("""COMPUTED_VALUE"""),72)</f>
        <v>72</v>
      </c>
      <c r="D11" s="134" t="str">
        <f ca="1">IFERROR(__xludf.DUMMYFUNCTION("""COMPUTED_VALUE"""),"   1700 I Street")</f>
        <v xml:space="preserve">   1700 I Street</v>
      </c>
      <c r="E11" s="134" t="str">
        <f ca="1">IFERROR(__xludf.DUMMYFUNCTION("""COMPUTED_VALUE"""),"   La Porte, In 46350")</f>
        <v xml:space="preserve">   La Porte, In 46350</v>
      </c>
      <c r="F11" s="134" t="str">
        <f ca="1">IFERROR(__xludf.DUMMYFUNCTION("""COMPUTED_VALUE"""),"Kit delivery and pickup")</f>
        <v>Kit delivery and pickup</v>
      </c>
      <c r="G11" s="134" t="str">
        <f ca="1">IFERROR(__xludf.DUMMYFUNCTION("""COMPUTED_VALUE"""),"no")</f>
        <v>no</v>
      </c>
    </row>
    <row r="12" spans="1:7">
      <c r="A12" s="134" t="str">
        <f ca="1">IFERROR(__xludf.DUMMYFUNCTION("""COMPUTED_VALUE"""),"Golden Living Center-Merrillville")</f>
        <v>Golden Living Center-Merrillville</v>
      </c>
      <c r="B12" s="134" t="str">
        <f ca="1">IFERROR(__xludf.DUMMYFUNCTION("""COMPUTED_VALUE"""),"Golden Living")</f>
        <v>Golden Living</v>
      </c>
      <c r="C12" s="134">
        <f ca="1">IFERROR(__xludf.DUMMYFUNCTION("""COMPUTED_VALUE"""),125)</f>
        <v>125</v>
      </c>
      <c r="D12" s="134" t="str">
        <f ca="1">IFERROR(__xludf.DUMMYFUNCTION("""COMPUTED_VALUE"""),"   8800 Virginia Place")</f>
        <v xml:space="preserve">   8800 Virginia Place</v>
      </c>
      <c r="E12" s="134" t="str">
        <f ca="1">IFERROR(__xludf.DUMMYFUNCTION("""COMPUTED_VALUE"""),"   Merrillville, In 46410")</f>
        <v xml:space="preserve">   Merrillville, In 46410</v>
      </c>
      <c r="F12" s="134" t="str">
        <f ca="1">IFERROR(__xludf.DUMMYFUNCTION("""COMPUTED_VALUE"""),"Kit delivery and pickup")</f>
        <v>Kit delivery and pickup</v>
      </c>
      <c r="G12" s="134" t="str">
        <f ca="1">IFERROR(__xludf.DUMMYFUNCTION("""COMPUTED_VALUE"""),"no")</f>
        <v>no</v>
      </c>
    </row>
    <row r="13" spans="1:7">
      <c r="A13" s="134" t="str">
        <f ca="1">IFERROR(__xludf.DUMMYFUNCTION("""COMPUTED_VALUE"""),"Golden Living Center-Mishawaka")</f>
        <v>Golden Living Center-Mishawaka</v>
      </c>
      <c r="B13" s="134" t="str">
        <f ca="1">IFERROR(__xludf.DUMMYFUNCTION("""COMPUTED_VALUE"""),"Golden Living")</f>
        <v>Golden Living</v>
      </c>
      <c r="C13" s="134">
        <f ca="1">IFERROR(__xludf.DUMMYFUNCTION("""COMPUTED_VALUE"""),70)</f>
        <v>70</v>
      </c>
      <c r="D13" s="134" t="str">
        <f ca="1">IFERROR(__xludf.DUMMYFUNCTION("""COMPUTED_VALUE"""),"   811 E 12Th Street")</f>
        <v xml:space="preserve">   811 E 12Th Street</v>
      </c>
      <c r="E13" s="134" t="str">
        <f ca="1">IFERROR(__xludf.DUMMYFUNCTION("""COMPUTED_VALUE"""),"   Mishawaka, In 46544")</f>
        <v xml:space="preserve">   Mishawaka, In 46544</v>
      </c>
      <c r="F13" s="134" t="str">
        <f ca="1">IFERROR(__xludf.DUMMYFUNCTION("""COMPUTED_VALUE"""),"Kit delivery and pickup")</f>
        <v>Kit delivery and pickup</v>
      </c>
      <c r="G13" s="134" t="str">
        <f ca="1">IFERROR(__xludf.DUMMYFUNCTION("""COMPUTED_VALUE"""),"no")</f>
        <v>no</v>
      </c>
    </row>
    <row r="14" spans="1:7">
      <c r="A14" s="134" t="str">
        <f ca="1">IFERROR(__xludf.DUMMYFUNCTION("""COMPUTED_VALUE"""),"Golden Living Center-Muncie")</f>
        <v>Golden Living Center-Muncie</v>
      </c>
      <c r="B14" s="134" t="str">
        <f ca="1">IFERROR(__xludf.DUMMYFUNCTION("""COMPUTED_VALUE"""),"Golden Living")</f>
        <v>Golden Living</v>
      </c>
      <c r="C14" s="134">
        <f ca="1">IFERROR(__xludf.DUMMYFUNCTION("""COMPUTED_VALUE"""),117)</f>
        <v>117</v>
      </c>
      <c r="D14" s="134" t="str">
        <f ca="1">IFERROR(__xludf.DUMMYFUNCTION("""COMPUTED_VALUE"""),"   2701 Lyn-Mar Dr")</f>
        <v xml:space="preserve">   2701 Lyn-Mar Dr</v>
      </c>
      <c r="E14" s="134" t="str">
        <f ca="1">IFERROR(__xludf.DUMMYFUNCTION("""COMPUTED_VALUE"""),"   Muncie, In 47304")</f>
        <v xml:space="preserve">   Muncie, In 47304</v>
      </c>
      <c r="F14" s="134" t="str">
        <f ca="1">IFERROR(__xludf.DUMMYFUNCTION("""COMPUTED_VALUE"""),"Kit delivery and pickup")</f>
        <v>Kit delivery and pickup</v>
      </c>
      <c r="G14" s="134" t="str">
        <f ca="1">IFERROR(__xludf.DUMMYFUNCTION("""COMPUTED_VALUE"""),"no")</f>
        <v>no</v>
      </c>
    </row>
    <row r="15" spans="1:7">
      <c r="A15" s="134" t="str">
        <f ca="1">IFERROR(__xludf.DUMMYFUNCTION("""COMPUTED_VALUE"""),"Golden Living Center-Petersburg")</f>
        <v>Golden Living Center-Petersburg</v>
      </c>
      <c r="B15" s="134" t="str">
        <f ca="1">IFERROR(__xludf.DUMMYFUNCTION("""COMPUTED_VALUE"""),"Golden Living")</f>
        <v>Golden Living</v>
      </c>
      <c r="C15" s="134">
        <f ca="1">IFERROR(__xludf.DUMMYFUNCTION("""COMPUTED_VALUE"""),75)</f>
        <v>75</v>
      </c>
      <c r="D15" s="134" t="str">
        <f ca="1">IFERROR(__xludf.DUMMYFUNCTION("""COMPUTED_VALUE"""),"   309 W Pike Ave")</f>
        <v xml:space="preserve">   309 W Pike Ave</v>
      </c>
      <c r="E15" s="134" t="str">
        <f ca="1">IFERROR(__xludf.DUMMYFUNCTION("""COMPUTED_VALUE"""),"   Petersburg, In 47567")</f>
        <v xml:space="preserve">   Petersburg, In 47567</v>
      </c>
      <c r="F15" s="134" t="str">
        <f ca="1">IFERROR(__xludf.DUMMYFUNCTION("""COMPUTED_VALUE"""),"Kit delivery and pickup")</f>
        <v>Kit delivery and pickup</v>
      </c>
      <c r="G15" s="134" t="str">
        <f ca="1">IFERROR(__xludf.DUMMYFUNCTION("""COMPUTED_VALUE"""),"no")</f>
        <v>no</v>
      </c>
    </row>
    <row r="16" spans="1:7">
      <c r="A16" s="134" t="str">
        <f ca="1">IFERROR(__xludf.DUMMYFUNCTION("""COMPUTED_VALUE"""),"Golden Living Center-Richmond")</f>
        <v>Golden Living Center-Richmond</v>
      </c>
      <c r="B16" s="134" t="str">
        <f ca="1">IFERROR(__xludf.DUMMYFUNCTION("""COMPUTED_VALUE"""),"Golden Living")</f>
        <v>Golden Living</v>
      </c>
      <c r="C16" s="134">
        <f ca="1">IFERROR(__xludf.DUMMYFUNCTION("""COMPUTED_VALUE"""),100)</f>
        <v>100</v>
      </c>
      <c r="D16" s="134" t="str">
        <f ca="1">IFERROR(__xludf.DUMMYFUNCTION("""COMPUTED_VALUE"""),"   1042 Oak Dr")</f>
        <v xml:space="preserve">   1042 Oak Dr</v>
      </c>
      <c r="E16" s="134" t="str">
        <f ca="1">IFERROR(__xludf.DUMMYFUNCTION("""COMPUTED_VALUE"""),"   Richmond, In 47374")</f>
        <v xml:space="preserve">   Richmond, In 47374</v>
      </c>
      <c r="F16" s="134" t="str">
        <f ca="1">IFERROR(__xludf.DUMMYFUNCTION("""COMPUTED_VALUE"""),"Kit delivery and pickup")</f>
        <v>Kit delivery and pickup</v>
      </c>
      <c r="G16" s="134" t="str">
        <f ca="1">IFERROR(__xludf.DUMMYFUNCTION("""COMPUTED_VALUE"""),"no")</f>
        <v>no</v>
      </c>
    </row>
    <row r="17" spans="1:7">
      <c r="A17" s="134" t="str">
        <f ca="1">IFERROR(__xludf.DUMMYFUNCTION("""COMPUTED_VALUE"""),"Golden Living Center-Sycamore Village")</f>
        <v>Golden Living Center-Sycamore Village</v>
      </c>
      <c r="B17" s="134" t="str">
        <f ca="1">IFERROR(__xludf.DUMMYFUNCTION("""COMPUTED_VALUE"""),"Golden Living")</f>
        <v>Golden Living</v>
      </c>
      <c r="C17" s="134">
        <f ca="1">IFERROR(__xludf.DUMMYFUNCTION("""COMPUTED_VALUE"""),89)</f>
        <v>89</v>
      </c>
      <c r="D17" s="134" t="str">
        <f ca="1">IFERROR(__xludf.DUMMYFUNCTION("""COMPUTED_VALUE"""),"   2905 W Sycamore St")</f>
        <v xml:space="preserve">   2905 W Sycamore St</v>
      </c>
      <c r="E17" s="134" t="str">
        <f ca="1">IFERROR(__xludf.DUMMYFUNCTION("""COMPUTED_VALUE"""),"   Kokomo, In 46901")</f>
        <v xml:space="preserve">   Kokomo, In 46901</v>
      </c>
      <c r="F17" s="134" t="str">
        <f ca="1">IFERROR(__xludf.DUMMYFUNCTION("""COMPUTED_VALUE"""),"Kit delivery and pickup")</f>
        <v>Kit delivery and pickup</v>
      </c>
      <c r="G17" s="134" t="str">
        <f ca="1">IFERROR(__xludf.DUMMYFUNCTION("""COMPUTED_VALUE"""),"no")</f>
        <v>no</v>
      </c>
    </row>
    <row r="18" spans="1:7">
      <c r="A18" s="134" t="str">
        <f ca="1">IFERROR(__xludf.DUMMYFUNCTION("""COMPUTED_VALUE"""),"Golden Living Center-Valparaiso")</f>
        <v>Golden Living Center-Valparaiso</v>
      </c>
      <c r="B18" s="134" t="str">
        <f ca="1">IFERROR(__xludf.DUMMYFUNCTION("""COMPUTED_VALUE"""),"Golden Living")</f>
        <v>Golden Living</v>
      </c>
      <c r="C18" s="134">
        <f ca="1">IFERROR(__xludf.DUMMYFUNCTION("""COMPUTED_VALUE"""),100)</f>
        <v>100</v>
      </c>
      <c r="D18" s="134" t="str">
        <f ca="1">IFERROR(__xludf.DUMMYFUNCTION("""COMPUTED_VALUE"""),"   251 Sturdy Rd")</f>
        <v xml:space="preserve">   251 Sturdy Rd</v>
      </c>
      <c r="E18" s="134" t="str">
        <f ca="1">IFERROR(__xludf.DUMMYFUNCTION("""COMPUTED_VALUE"""),"   Valparaiso, In 46383")</f>
        <v xml:space="preserve">   Valparaiso, In 46383</v>
      </c>
      <c r="F18" s="134" t="str">
        <f ca="1">IFERROR(__xludf.DUMMYFUNCTION("""COMPUTED_VALUE"""),"Kit delivery and pickup")</f>
        <v>Kit delivery and pickup</v>
      </c>
      <c r="G18" s="134" t="str">
        <f ca="1">IFERROR(__xludf.DUMMYFUNCTION("""COMPUTED_VALUE"""),"no")</f>
        <v>no</v>
      </c>
    </row>
    <row r="19" spans="1:7">
      <c r="A19" s="134" t="str">
        <f ca="1">IFERROR(__xludf.DUMMYFUNCTION("""COMPUTED_VALUE"""),"Golden Living Center-Woodbridge")</f>
        <v>Golden Living Center-Woodbridge</v>
      </c>
      <c r="B19" s="134" t="str">
        <f ca="1">IFERROR(__xludf.DUMMYFUNCTION("""COMPUTED_VALUE"""),"Golden Living")</f>
        <v>Golden Living</v>
      </c>
      <c r="C19" s="134">
        <f ca="1">IFERROR(__xludf.DUMMYFUNCTION("""COMPUTED_VALUE"""),89)</f>
        <v>89</v>
      </c>
      <c r="D19" s="134" t="str">
        <f ca="1">IFERROR(__xludf.DUMMYFUNCTION("""COMPUTED_VALUE"""),"   816 N First Ave")</f>
        <v xml:space="preserve">   816 N First Ave</v>
      </c>
      <c r="E19" s="134" t="str">
        <f ca="1">IFERROR(__xludf.DUMMYFUNCTION("""COMPUTED_VALUE"""),"   Evansville, In 47710")</f>
        <v xml:space="preserve">   Evansville, In 47710</v>
      </c>
      <c r="F19" s="134" t="str">
        <f ca="1">IFERROR(__xludf.DUMMYFUNCTION("""COMPUTED_VALUE"""),"Kit delivery and pickup")</f>
        <v>Kit delivery and pickup</v>
      </c>
      <c r="G19" s="134" t="str">
        <f ca="1">IFERROR(__xludf.DUMMYFUNCTION("""COMPUTED_VALUE"""),"no")</f>
        <v>no</v>
      </c>
    </row>
    <row r="20" spans="1:7">
      <c r="A20" s="134" t="str">
        <f ca="1">IFERROR(__xludf.DUMMYFUNCTION("""COMPUTED_VALUE"""),"Golden Living Center-Woodlands")</f>
        <v>Golden Living Center-Woodlands</v>
      </c>
      <c r="B20" s="134" t="str">
        <f ca="1">IFERROR(__xludf.DUMMYFUNCTION("""COMPUTED_VALUE"""),"Golden Living")</f>
        <v>Golden Living</v>
      </c>
      <c r="C20" s="134">
        <f ca="1">IFERROR(__xludf.DUMMYFUNCTION("""COMPUTED_VALUE"""),128)</f>
        <v>128</v>
      </c>
      <c r="D20" s="134" t="str">
        <f ca="1">IFERROR(__xludf.DUMMYFUNCTION("""COMPUTED_VALUE"""),"   4088 Frame Rd")</f>
        <v xml:space="preserve">   4088 Frame Rd</v>
      </c>
      <c r="E20" s="134" t="str">
        <f ca="1">IFERROR(__xludf.DUMMYFUNCTION("""COMPUTED_VALUE"""),"   Newburgh, In 47630")</f>
        <v xml:space="preserve">   Newburgh, In 47630</v>
      </c>
      <c r="F20" s="134" t="str">
        <f ca="1">IFERROR(__xludf.DUMMYFUNCTION("""COMPUTED_VALUE"""),"Kit delivery and pickup")</f>
        <v>Kit delivery and pickup</v>
      </c>
      <c r="G20" s="134" t="str">
        <f ca="1">IFERROR(__xludf.DUMMYFUNCTION("""COMPUTED_VALUE"""),"no")</f>
        <v>no</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913"/>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25" defaultRowHeight="15" customHeight="1"/>
  <cols>
    <col min="1" max="1" width="49.5" customWidth="1"/>
    <col min="2" max="2" width="12.5" customWidth="1"/>
    <col min="3" max="3" width="16.375" customWidth="1"/>
    <col min="4" max="4" width="21.75" customWidth="1"/>
    <col min="5" max="5" width="12" customWidth="1"/>
    <col min="6" max="6" width="19" customWidth="1"/>
    <col min="7" max="7" width="16.25" customWidth="1"/>
    <col min="8" max="8" width="34.125" customWidth="1"/>
    <col min="9" max="9" width="14.875" customWidth="1"/>
    <col min="10" max="10" width="54.125" customWidth="1"/>
    <col min="11" max="11" width="17.375" customWidth="1"/>
    <col min="12" max="17" width="20.625" customWidth="1"/>
    <col min="18" max="18" width="106" customWidth="1"/>
    <col min="19" max="19" width="147" customWidth="1"/>
    <col min="20" max="20" width="8" customWidth="1"/>
    <col min="21" max="21" width="134" customWidth="1"/>
    <col min="22" max="22" width="9.125" customWidth="1"/>
    <col min="23" max="23" width="8" customWidth="1"/>
    <col min="24" max="24" width="15.75" customWidth="1"/>
    <col min="25" max="25" width="34" customWidth="1"/>
    <col min="26" max="26" width="25.75" customWidth="1"/>
    <col min="27" max="30" width="28.25" customWidth="1"/>
  </cols>
  <sheetData>
    <row r="1" spans="1:30" ht="19.5" customHeight="1">
      <c r="A1" s="1" t="s">
        <v>1224</v>
      </c>
      <c r="B1" s="1" t="s">
        <v>1225</v>
      </c>
      <c r="C1" s="2" t="s">
        <v>1226</v>
      </c>
      <c r="D1" s="2" t="s">
        <v>1227</v>
      </c>
      <c r="E1" s="2" t="s">
        <v>1228</v>
      </c>
      <c r="F1" s="1" t="s">
        <v>1229</v>
      </c>
      <c r="G1" s="2" t="s">
        <v>1230</v>
      </c>
      <c r="H1" s="2" t="s">
        <v>1231</v>
      </c>
      <c r="I1" s="1" t="s">
        <v>1232</v>
      </c>
      <c r="J1" s="1" t="s">
        <v>1233</v>
      </c>
      <c r="K1" s="2" t="s">
        <v>1234</v>
      </c>
      <c r="L1" s="2" t="s">
        <v>1235</v>
      </c>
      <c r="M1" s="2" t="s">
        <v>1236</v>
      </c>
      <c r="N1" s="2" t="s">
        <v>1237</v>
      </c>
      <c r="O1" s="2" t="s">
        <v>1238</v>
      </c>
      <c r="P1" s="2" t="s">
        <v>1239</v>
      </c>
      <c r="Q1" s="2" t="s">
        <v>289</v>
      </c>
      <c r="R1" s="2" t="s">
        <v>1240</v>
      </c>
      <c r="S1" s="2" t="s">
        <v>1241</v>
      </c>
      <c r="T1" s="2" t="s">
        <v>1242</v>
      </c>
      <c r="U1" s="2" t="s">
        <v>1243</v>
      </c>
      <c r="V1" s="2" t="s">
        <v>1244</v>
      </c>
      <c r="W1" s="1" t="s">
        <v>1245</v>
      </c>
      <c r="X1" s="2" t="s">
        <v>1246</v>
      </c>
      <c r="Y1" s="2" t="s">
        <v>1247</v>
      </c>
      <c r="Z1" s="1" t="s">
        <v>1248</v>
      </c>
      <c r="AA1" s="5" t="s">
        <v>18</v>
      </c>
      <c r="AB1" s="320" t="s">
        <v>1249</v>
      </c>
      <c r="AC1" s="320" t="s">
        <v>1250</v>
      </c>
      <c r="AD1" s="320" t="s">
        <v>10</v>
      </c>
    </row>
    <row r="2" spans="1:30" ht="19.5" customHeight="1">
      <c r="A2" s="135" t="s">
        <v>13</v>
      </c>
      <c r="B2" s="135"/>
      <c r="C2" s="135">
        <v>46773</v>
      </c>
      <c r="D2" s="135" t="s">
        <v>1251</v>
      </c>
      <c r="E2" s="135" t="s">
        <v>1252</v>
      </c>
      <c r="F2" s="135"/>
      <c r="G2" s="135">
        <v>100</v>
      </c>
      <c r="H2" s="135" t="s">
        <v>1253</v>
      </c>
      <c r="I2" s="135" t="str">
        <f>VLOOKUP(H2,list!$B$2:$C$14,2,FALSE)</f>
        <v>KITS</v>
      </c>
      <c r="J2" s="135"/>
      <c r="K2" s="135">
        <v>0</v>
      </c>
      <c r="L2" s="135">
        <v>0</v>
      </c>
      <c r="M2" s="135">
        <v>0</v>
      </c>
      <c r="N2" s="135">
        <v>0</v>
      </c>
      <c r="O2" s="135">
        <v>0</v>
      </c>
      <c r="P2" s="135"/>
      <c r="Q2" s="135">
        <v>0</v>
      </c>
      <c r="R2" s="135"/>
      <c r="S2" s="135"/>
      <c r="T2" s="135" t="s">
        <v>30</v>
      </c>
      <c r="U2" s="135" t="s">
        <v>1254</v>
      </c>
      <c r="V2" s="135" t="s">
        <v>1255</v>
      </c>
      <c r="W2" s="135">
        <v>6</v>
      </c>
      <c r="X2" s="135" t="s">
        <v>1256</v>
      </c>
      <c r="Y2" s="135" t="s">
        <v>1257</v>
      </c>
      <c r="Z2" s="135" t="s">
        <v>1258</v>
      </c>
      <c r="AA2" s="5" t="str">
        <f>VLOOKUP(A2,'Form Responses 1'!$C$2:$K$532,6,FALSE)</f>
        <v>Kit delivery and pickup</v>
      </c>
      <c r="AB2" s="5" t="str">
        <f>VLOOKUP(A2,'Form Responses 1'!$C$2:$K$219,7,FALSE)</f>
        <v>Yes</v>
      </c>
      <c r="AC2" s="6">
        <f>VLOOKUP(A2,'Form Responses 1'!$C$2:$K$219,8,FALSE)</f>
        <v>90</v>
      </c>
      <c r="AD2" s="6" t="str">
        <f>VLOOKUP(A2,'Form Responses 1'!$C$2:$K$219,9,FALSE)</f>
        <v>When will kits be delivered and please have them delivered directly to Maria (administrator)</v>
      </c>
    </row>
    <row r="3" spans="1:30" ht="19.5" customHeight="1">
      <c r="A3" s="135" t="s">
        <v>21</v>
      </c>
      <c r="B3" s="135"/>
      <c r="C3" s="135">
        <v>46733</v>
      </c>
      <c r="D3" s="135" t="s">
        <v>1259</v>
      </c>
      <c r="E3" s="135" t="s">
        <v>1260</v>
      </c>
      <c r="F3" s="135"/>
      <c r="G3" s="135">
        <v>171</v>
      </c>
      <c r="H3" s="135" t="s">
        <v>1253</v>
      </c>
      <c r="I3" s="135" t="str">
        <f>VLOOKUP(H3,list!$B$2:$C$14,2,FALSE)</f>
        <v>KITS</v>
      </c>
      <c r="J3" s="135"/>
      <c r="K3" s="135">
        <v>0</v>
      </c>
      <c r="L3" s="135">
        <v>0</v>
      </c>
      <c r="M3" s="135">
        <v>0</v>
      </c>
      <c r="N3" s="135">
        <v>0</v>
      </c>
      <c r="O3" s="135">
        <v>0</v>
      </c>
      <c r="P3" s="135"/>
      <c r="Q3" s="135">
        <v>0</v>
      </c>
      <c r="R3" s="135"/>
      <c r="S3" s="135"/>
      <c r="T3" s="135" t="s">
        <v>30</v>
      </c>
      <c r="U3" s="135" t="s">
        <v>1261</v>
      </c>
      <c r="V3" s="135" t="s">
        <v>1255</v>
      </c>
      <c r="W3" s="135">
        <v>6</v>
      </c>
      <c r="X3" s="135" t="s">
        <v>1262</v>
      </c>
      <c r="Y3" s="135" t="s">
        <v>1263</v>
      </c>
      <c r="Z3" s="135" t="s">
        <v>1264</v>
      </c>
      <c r="AA3" s="5" t="str">
        <f>VLOOKUP(A3,'Form Responses 1'!$C$2:$K$532,6,FALSE)</f>
        <v>Kit delivery and pickup</v>
      </c>
      <c r="AB3" s="5" t="str">
        <f>VLOOKUP(A3,'Form Responses 1'!$C$2:$K$219,7,FALSE)</f>
        <v>Yes</v>
      </c>
      <c r="AC3" s="6">
        <f>VLOOKUP(A3,'Form Responses 1'!$C$2:$K$219,8,FALSE)</f>
        <v>220</v>
      </c>
      <c r="AD3" s="6">
        <f>VLOOKUP(A3,'Form Responses 1'!$C$2:$K$219,9,FALSE)</f>
        <v>0</v>
      </c>
    </row>
    <row r="4" spans="1:30" ht="19.5" customHeight="1">
      <c r="A4" s="135" t="s">
        <v>26</v>
      </c>
      <c r="B4" s="135" t="s">
        <v>1265</v>
      </c>
      <c r="C4" s="135">
        <v>46304</v>
      </c>
      <c r="D4" s="135" t="s">
        <v>1266</v>
      </c>
      <c r="E4" s="135" t="s">
        <v>1267</v>
      </c>
      <c r="F4" s="135"/>
      <c r="G4" s="135">
        <v>130</v>
      </c>
      <c r="H4" s="135" t="s">
        <v>1268</v>
      </c>
      <c r="I4" s="135" t="str">
        <f>VLOOKUP(H4,list!$B$2:$C$14,2,FALSE)</f>
        <v>KITS</v>
      </c>
      <c r="J4" s="135"/>
      <c r="K4" s="135">
        <v>0</v>
      </c>
      <c r="L4" s="135">
        <v>0</v>
      </c>
      <c r="M4" s="135">
        <v>0</v>
      </c>
      <c r="N4" s="135">
        <v>0</v>
      </c>
      <c r="O4" s="135">
        <v>0</v>
      </c>
      <c r="P4" s="135"/>
      <c r="Q4" s="135">
        <v>0</v>
      </c>
      <c r="R4" s="135"/>
      <c r="S4" s="135" t="s">
        <v>1269</v>
      </c>
      <c r="T4" s="135" t="s">
        <v>19</v>
      </c>
      <c r="U4" s="135" t="s">
        <v>1270</v>
      </c>
      <c r="V4" s="135" t="s">
        <v>1255</v>
      </c>
      <c r="W4" s="135">
        <v>5</v>
      </c>
      <c r="X4" s="135" t="s">
        <v>1271</v>
      </c>
      <c r="Y4" s="135" t="s">
        <v>1272</v>
      </c>
      <c r="Z4" s="135" t="s">
        <v>1273</v>
      </c>
      <c r="AA4" s="5" t="str">
        <f>VLOOKUP(A4,'Form Responses 1'!$C$2:$K$532,6,FALSE)</f>
        <v>Kit delivery and pickup</v>
      </c>
      <c r="AB4" s="5" t="str">
        <f>VLOOKUP(A4,'Form Responses 1'!$C$2:$K$219,7,FALSE)</f>
        <v>No</v>
      </c>
      <c r="AC4" s="6">
        <f>VLOOKUP(A4,'Form Responses 1'!$C$2:$K$219,8,FALSE)</f>
        <v>100</v>
      </c>
      <c r="AD4" s="6">
        <f>VLOOKUP(A4,'Form Responses 1'!$C$2:$K$219,9,FALSE)</f>
        <v>0</v>
      </c>
    </row>
    <row r="5" spans="1:30" ht="19.5" customHeight="1">
      <c r="A5" s="135" t="s">
        <v>32</v>
      </c>
      <c r="B5" s="135" t="s">
        <v>1265</v>
      </c>
      <c r="C5" s="135">
        <v>47320</v>
      </c>
      <c r="D5" s="135" t="s">
        <v>1274</v>
      </c>
      <c r="E5" s="135" t="s">
        <v>1275</v>
      </c>
      <c r="F5" s="135"/>
      <c r="G5" s="135">
        <v>110</v>
      </c>
      <c r="H5" s="135" t="s">
        <v>1276</v>
      </c>
      <c r="I5" s="135" t="str">
        <f>VLOOKUP(H5,list!$B$2:$C$14,2,FALSE)</f>
        <v>GREEN</v>
      </c>
      <c r="J5" s="135"/>
      <c r="K5" s="135">
        <v>0</v>
      </c>
      <c r="L5" s="135">
        <v>0</v>
      </c>
      <c r="M5" s="135">
        <v>0</v>
      </c>
      <c r="N5" s="135">
        <v>0</v>
      </c>
      <c r="O5" s="135">
        <v>0</v>
      </c>
      <c r="P5" s="135"/>
      <c r="Q5" s="135">
        <v>0</v>
      </c>
      <c r="R5" s="135"/>
      <c r="S5" s="135"/>
      <c r="T5" s="135" t="s">
        <v>19</v>
      </c>
      <c r="U5" s="135"/>
      <c r="V5" s="135" t="s">
        <v>1255</v>
      </c>
      <c r="W5" s="135">
        <v>2</v>
      </c>
      <c r="X5" s="135" t="s">
        <v>1277</v>
      </c>
      <c r="Y5" s="135" t="s">
        <v>1278</v>
      </c>
      <c r="Z5" s="135" t="s">
        <v>1279</v>
      </c>
      <c r="AA5" s="5" t="str">
        <f>VLOOKUP(A5,'Form Responses 1'!$C$2:$K$532,6,FALSE)</f>
        <v>Kit delivery and pickup</v>
      </c>
      <c r="AB5" s="5" t="str">
        <f>VLOOKUP(A5,'Form Responses 1'!$C$2:$K$219,7,FALSE)</f>
        <v>Yes</v>
      </c>
      <c r="AC5" s="6">
        <f>VLOOKUP(A5,'Form Responses 1'!$C$2:$K$219,8,FALSE)</f>
        <v>130</v>
      </c>
      <c r="AD5" s="6">
        <f>VLOOKUP(A5,'Form Responses 1'!$C$2:$K$219,9,FALSE)</f>
        <v>0</v>
      </c>
    </row>
    <row r="6" spans="1:30" ht="19.5" customHeight="1">
      <c r="A6" s="135" t="s">
        <v>36</v>
      </c>
      <c r="B6" s="135"/>
      <c r="C6" s="135">
        <v>46070</v>
      </c>
      <c r="D6" s="135" t="s">
        <v>1280</v>
      </c>
      <c r="E6" s="135" t="s">
        <v>1281</v>
      </c>
      <c r="F6" s="135"/>
      <c r="G6" s="135">
        <v>73</v>
      </c>
      <c r="H6" s="135" t="s">
        <v>1282</v>
      </c>
      <c r="I6" s="135" t="str">
        <f>VLOOKUP(H6,list!$B$2:$C$14,2,FALSE)</f>
        <v>KITS</v>
      </c>
      <c r="J6" s="135"/>
      <c r="K6" s="135">
        <v>0</v>
      </c>
      <c r="L6" s="135">
        <v>0</v>
      </c>
      <c r="M6" s="135">
        <v>0</v>
      </c>
      <c r="N6" s="135">
        <v>0</v>
      </c>
      <c r="O6" s="135">
        <v>0</v>
      </c>
      <c r="P6" s="135"/>
      <c r="Q6" s="135">
        <v>0</v>
      </c>
      <c r="R6" s="135"/>
      <c r="S6" s="135"/>
      <c r="T6" s="135" t="s">
        <v>19</v>
      </c>
      <c r="U6" s="135" t="s">
        <v>1283</v>
      </c>
      <c r="V6" s="135" t="s">
        <v>1255</v>
      </c>
      <c r="W6" s="135">
        <v>3</v>
      </c>
      <c r="X6" s="135" t="s">
        <v>1284</v>
      </c>
      <c r="Y6" s="135" t="s">
        <v>1285</v>
      </c>
      <c r="Z6" s="135" t="s">
        <v>1286</v>
      </c>
      <c r="AA6" s="5" t="str">
        <f>VLOOKUP(A6,'Form Responses 1'!$C$2:$K$532,6,FALSE)</f>
        <v>Kit delivery and pickup</v>
      </c>
      <c r="AB6" s="5" t="str">
        <f>VLOOKUP(A6,'Form Responses 1'!$C$2:$K$219,7,FALSE)</f>
        <v>Yes</v>
      </c>
      <c r="AC6" s="6">
        <f>VLOOKUP(A6,'Form Responses 1'!$C$2:$K$219,8,FALSE)</f>
        <v>70</v>
      </c>
      <c r="AD6" s="6" t="str">
        <f>VLOOKUP(A6,'Form Responses 1'!$C$2:$K$219,9,FALSE)</f>
        <v>Will have firm # of staff when state calls to set up testing</v>
      </c>
    </row>
    <row r="7" spans="1:30" ht="19.5" customHeight="1">
      <c r="A7" s="135" t="s">
        <v>1287</v>
      </c>
      <c r="B7" s="135" t="s">
        <v>1288</v>
      </c>
      <c r="C7" s="135">
        <v>46250</v>
      </c>
      <c r="D7" s="135" t="s">
        <v>1289</v>
      </c>
      <c r="E7" s="135" t="s">
        <v>1290</v>
      </c>
      <c r="F7" s="135"/>
      <c r="G7" s="135"/>
      <c r="H7" s="135"/>
      <c r="I7" s="135"/>
      <c r="J7" s="135"/>
      <c r="K7" s="135"/>
      <c r="L7" s="135"/>
      <c r="M7" s="135"/>
      <c r="N7" s="135"/>
      <c r="O7" s="135"/>
      <c r="P7" s="135"/>
      <c r="Q7" s="135"/>
      <c r="R7" s="135"/>
      <c r="S7" s="135"/>
      <c r="T7" s="135"/>
      <c r="U7" s="135"/>
      <c r="V7" s="135"/>
      <c r="W7" s="135"/>
      <c r="X7" s="135">
        <v>3178426668</v>
      </c>
      <c r="Y7" s="135" t="s">
        <v>1291</v>
      </c>
      <c r="Z7" s="135"/>
      <c r="AA7" s="5" t="s">
        <v>91</v>
      </c>
      <c r="AB7" s="5" t="s">
        <v>30</v>
      </c>
      <c r="AC7" s="6"/>
      <c r="AD7" s="6" t="e">
        <f>VLOOKUP(A7,'Form Responses 1'!$C$2:$K$219,9,FALSE)</f>
        <v>#N/A</v>
      </c>
    </row>
    <row r="8" spans="1:30" ht="19.5" customHeight="1">
      <c r="A8" s="135" t="s">
        <v>1292</v>
      </c>
      <c r="B8" s="135" t="s">
        <v>343</v>
      </c>
      <c r="C8" s="135">
        <v>46038</v>
      </c>
      <c r="D8" s="135" t="s">
        <v>1293</v>
      </c>
      <c r="E8" s="135" t="s">
        <v>1294</v>
      </c>
      <c r="F8" s="135"/>
      <c r="G8" s="135">
        <v>140</v>
      </c>
      <c r="H8" s="135" t="s">
        <v>1282</v>
      </c>
      <c r="I8" s="135" t="str">
        <f>VLOOKUP(H8,list!$B$2:$C$14,2,FALSE)</f>
        <v>KITS</v>
      </c>
      <c r="J8" s="135"/>
      <c r="K8" s="135">
        <v>0</v>
      </c>
      <c r="L8" s="135">
        <v>0</v>
      </c>
      <c r="M8" s="135">
        <v>0</v>
      </c>
      <c r="N8" s="135">
        <v>0</v>
      </c>
      <c r="O8" s="135">
        <v>0</v>
      </c>
      <c r="P8" s="135"/>
      <c r="Q8" s="135">
        <v>0</v>
      </c>
      <c r="R8" s="135"/>
      <c r="S8" s="135"/>
      <c r="T8" s="135" t="s">
        <v>19</v>
      </c>
      <c r="U8" s="135"/>
      <c r="V8" s="135" t="s">
        <v>1255</v>
      </c>
      <c r="W8" s="135">
        <v>3</v>
      </c>
      <c r="X8" s="135" t="s">
        <v>1295</v>
      </c>
      <c r="Y8" s="135" t="s">
        <v>1296</v>
      </c>
      <c r="Z8" s="135" t="s">
        <v>1297</v>
      </c>
      <c r="AA8" s="5" t="s">
        <v>18</v>
      </c>
      <c r="AB8" s="5" t="s">
        <v>1298</v>
      </c>
      <c r="AC8" s="6">
        <f>G8</f>
        <v>140</v>
      </c>
      <c r="AD8" s="6"/>
    </row>
    <row r="9" spans="1:30" ht="19.5" customHeight="1">
      <c r="A9" s="135" t="s">
        <v>1299</v>
      </c>
      <c r="B9" s="135" t="s">
        <v>1300</v>
      </c>
      <c r="C9" s="135">
        <v>46222</v>
      </c>
      <c r="D9" s="135" t="s">
        <v>1289</v>
      </c>
      <c r="E9" s="135" t="s">
        <v>1290</v>
      </c>
      <c r="F9" s="135"/>
      <c r="G9" s="135"/>
      <c r="H9" s="135"/>
      <c r="I9" s="135"/>
      <c r="J9" s="135"/>
      <c r="K9" s="135"/>
      <c r="L9" s="135"/>
      <c r="M9" s="135"/>
      <c r="N9" s="135"/>
      <c r="O9" s="135"/>
      <c r="P9" s="135"/>
      <c r="Q9" s="135"/>
      <c r="R9" s="135"/>
      <c r="S9" s="135"/>
      <c r="T9" s="135"/>
      <c r="U9" s="135"/>
      <c r="V9" s="135"/>
      <c r="W9" s="135"/>
      <c r="X9" s="135">
        <v>3179231518</v>
      </c>
      <c r="Y9" s="135" t="s">
        <v>1301</v>
      </c>
      <c r="Z9" s="135"/>
      <c r="AA9" s="5" t="s">
        <v>18</v>
      </c>
      <c r="AB9" s="5" t="s">
        <v>30</v>
      </c>
      <c r="AC9" s="6" t="e">
        <f>VLOOKUP(A9,'Form Responses 1'!$C$2:$K$219,8,FALSE)</f>
        <v>#N/A</v>
      </c>
      <c r="AD9" s="6" t="e">
        <f>VLOOKUP(A9,'Form Responses 1'!$C$2:$K$219,9,FALSE)</f>
        <v>#N/A</v>
      </c>
    </row>
    <row r="10" spans="1:30" ht="19.5" customHeight="1">
      <c r="A10" s="135" t="s">
        <v>1302</v>
      </c>
      <c r="B10" s="135" t="s">
        <v>1303</v>
      </c>
      <c r="C10" s="135">
        <v>46237</v>
      </c>
      <c r="D10" s="135" t="s">
        <v>1289</v>
      </c>
      <c r="E10" s="135" t="s">
        <v>1290</v>
      </c>
      <c r="F10" s="135"/>
      <c r="G10" s="135"/>
      <c r="H10" s="135"/>
      <c r="I10" s="135"/>
      <c r="J10" s="135"/>
      <c r="K10" s="135"/>
      <c r="L10" s="135"/>
      <c r="M10" s="135"/>
      <c r="N10" s="135"/>
      <c r="O10" s="135"/>
      <c r="P10" s="135"/>
      <c r="Q10" s="135"/>
      <c r="R10" s="135"/>
      <c r="S10" s="135"/>
      <c r="T10" s="135"/>
      <c r="U10" s="135"/>
      <c r="V10" s="135"/>
      <c r="W10" s="135"/>
      <c r="X10" s="135">
        <v>3177884261</v>
      </c>
      <c r="Y10" s="135" t="s">
        <v>1304</v>
      </c>
      <c r="Z10" s="135"/>
      <c r="AA10" s="5" t="s">
        <v>18</v>
      </c>
      <c r="AB10" s="5" t="s">
        <v>1298</v>
      </c>
      <c r="AC10" s="6"/>
      <c r="AD10" s="6"/>
    </row>
    <row r="11" spans="1:30" ht="19.5" customHeight="1">
      <c r="A11" s="135" t="s">
        <v>41</v>
      </c>
      <c r="B11" s="135"/>
      <c r="C11" s="135">
        <v>47330</v>
      </c>
      <c r="D11" s="135" t="s">
        <v>1305</v>
      </c>
      <c r="E11" s="135" t="s">
        <v>1306</v>
      </c>
      <c r="F11" s="135"/>
      <c r="G11" s="135">
        <v>165</v>
      </c>
      <c r="H11" s="135" t="s">
        <v>1276</v>
      </c>
      <c r="I11" s="135" t="str">
        <f>VLOOKUP(H11,list!$B$2:$C$14,2,FALSE)</f>
        <v>GREEN</v>
      </c>
      <c r="J11" s="135"/>
      <c r="K11" s="135">
        <v>0</v>
      </c>
      <c r="L11" s="135">
        <v>0</v>
      </c>
      <c r="M11" s="135">
        <v>0</v>
      </c>
      <c r="N11" s="135">
        <v>0</v>
      </c>
      <c r="O11" s="135">
        <v>0</v>
      </c>
      <c r="P11" s="135"/>
      <c r="Q11" s="135">
        <v>0</v>
      </c>
      <c r="R11" s="135"/>
      <c r="S11" s="135"/>
      <c r="T11" s="135" t="s">
        <v>19</v>
      </c>
      <c r="U11" s="135" t="s">
        <v>1307</v>
      </c>
      <c r="V11" s="135" t="s">
        <v>1255</v>
      </c>
      <c r="W11" s="135">
        <v>2</v>
      </c>
      <c r="X11" s="135" t="s">
        <v>1308</v>
      </c>
      <c r="Y11" s="135" t="s">
        <v>1309</v>
      </c>
      <c r="Z11" s="135" t="s">
        <v>1310</v>
      </c>
      <c r="AA11" s="5" t="str">
        <f>VLOOKUP(A11,'Form Responses 1'!$C$2:$K$532,6,FALSE)</f>
        <v>Kit delivery and pickup</v>
      </c>
      <c r="AB11" s="5" t="str">
        <f>VLOOKUP(A11,'Form Responses 1'!$C$2:$K$219,7,FALSE)</f>
        <v>No</v>
      </c>
      <c r="AC11" s="6">
        <f>VLOOKUP(A11,'Form Responses 1'!$C$2:$K$219,8,FALSE)</f>
        <v>164</v>
      </c>
      <c r="AD11" s="6">
        <f>VLOOKUP(A11,'Form Responses 1'!$C$2:$K$219,9,FALSE)</f>
        <v>0</v>
      </c>
    </row>
    <row r="12" spans="1:30" ht="19.5" customHeight="1">
      <c r="A12" s="135" t="s">
        <v>1311</v>
      </c>
      <c r="B12" s="321" t="s">
        <v>1312</v>
      </c>
      <c r="C12" s="135">
        <v>47567</v>
      </c>
      <c r="D12" s="135" t="s">
        <v>1313</v>
      </c>
      <c r="E12" s="135" t="s">
        <v>1314</v>
      </c>
      <c r="F12" s="135" t="s">
        <v>30</v>
      </c>
      <c r="G12" s="135">
        <v>111</v>
      </c>
      <c r="H12" s="135" t="s">
        <v>1276</v>
      </c>
      <c r="I12" s="135" t="str">
        <f>VLOOKUP(H12,list!$B$2:$C$14,2,FALSE)</f>
        <v>GREEN</v>
      </c>
      <c r="J12" s="135"/>
      <c r="K12" s="135">
        <v>0</v>
      </c>
      <c r="L12" s="135">
        <v>0</v>
      </c>
      <c r="M12" s="135">
        <v>0</v>
      </c>
      <c r="N12" s="135">
        <v>0</v>
      </c>
      <c r="O12" s="135">
        <v>0</v>
      </c>
      <c r="P12" s="135"/>
      <c r="Q12" s="135">
        <v>0</v>
      </c>
      <c r="R12" s="135"/>
      <c r="S12" s="135"/>
      <c r="T12" s="135" t="s">
        <v>19</v>
      </c>
      <c r="U12" s="135" t="s">
        <v>1315</v>
      </c>
      <c r="V12" s="135" t="s">
        <v>1255</v>
      </c>
      <c r="W12" s="135">
        <v>2</v>
      </c>
      <c r="X12" s="135" t="s">
        <v>1316</v>
      </c>
      <c r="Y12" s="135" t="s">
        <v>1317</v>
      </c>
      <c r="Z12" s="135" t="s">
        <v>1318</v>
      </c>
      <c r="AA12" s="5" t="s">
        <v>18</v>
      </c>
      <c r="AB12" s="5" t="s">
        <v>1298</v>
      </c>
      <c r="AC12" s="6">
        <f t="shared" ref="AC12:AC13" si="0">G12</f>
        <v>111</v>
      </c>
      <c r="AD12" s="6"/>
    </row>
    <row r="13" spans="1:30" ht="19.5" customHeight="1">
      <c r="A13" s="135" t="s">
        <v>1319</v>
      </c>
      <c r="B13" s="135" t="s">
        <v>343</v>
      </c>
      <c r="C13" s="135">
        <v>46220</v>
      </c>
      <c r="D13" s="135" t="s">
        <v>1289</v>
      </c>
      <c r="E13" s="135" t="s">
        <v>1290</v>
      </c>
      <c r="F13" s="135"/>
      <c r="G13" s="135">
        <v>251</v>
      </c>
      <c r="H13" s="135" t="s">
        <v>1282</v>
      </c>
      <c r="I13" s="135" t="str">
        <f>VLOOKUP(H13,list!$B$2:$C$14,2,FALSE)</f>
        <v>KITS</v>
      </c>
      <c r="J13" s="135"/>
      <c r="K13" s="135">
        <v>0</v>
      </c>
      <c r="L13" s="135">
        <v>0</v>
      </c>
      <c r="M13" s="135">
        <v>0</v>
      </c>
      <c r="N13" s="135">
        <v>0</v>
      </c>
      <c r="O13" s="135">
        <v>0</v>
      </c>
      <c r="P13" s="135"/>
      <c r="Q13" s="135">
        <v>0</v>
      </c>
      <c r="R13" s="135"/>
      <c r="S13" s="135"/>
      <c r="T13" s="135" t="s">
        <v>19</v>
      </c>
      <c r="U13" s="135"/>
      <c r="V13" s="135" t="s">
        <v>1255</v>
      </c>
      <c r="W13" s="135">
        <v>3</v>
      </c>
      <c r="X13" s="135" t="s">
        <v>1320</v>
      </c>
      <c r="Y13" s="135" t="s">
        <v>1321</v>
      </c>
      <c r="Z13" s="135" t="s">
        <v>1322</v>
      </c>
      <c r="AA13" s="5" t="s">
        <v>18</v>
      </c>
      <c r="AB13" s="5" t="s">
        <v>1298</v>
      </c>
      <c r="AC13" s="6">
        <f t="shared" si="0"/>
        <v>251</v>
      </c>
      <c r="AD13" s="6"/>
    </row>
    <row r="14" spans="1:30" ht="19.5" customHeight="1">
      <c r="A14" s="135" t="s">
        <v>45</v>
      </c>
      <c r="B14" s="135" t="s">
        <v>1323</v>
      </c>
      <c r="C14" s="135">
        <v>46703</v>
      </c>
      <c r="D14" s="135" t="s">
        <v>1324</v>
      </c>
      <c r="E14" s="135" t="s">
        <v>1325</v>
      </c>
      <c r="F14" s="135"/>
      <c r="G14" s="135">
        <v>100</v>
      </c>
      <c r="H14" s="135" t="s">
        <v>1326</v>
      </c>
      <c r="I14" s="135" t="str">
        <f>VLOOKUP(H14,list!$B$2:$C$14,2,FALSE)</f>
        <v>ONSITE</v>
      </c>
      <c r="J14" s="135"/>
      <c r="K14" s="135">
        <v>0</v>
      </c>
      <c r="L14" s="135">
        <v>0</v>
      </c>
      <c r="M14" s="135">
        <v>0</v>
      </c>
      <c r="N14" s="135">
        <v>0</v>
      </c>
      <c r="O14" s="135">
        <v>0</v>
      </c>
      <c r="P14" s="135">
        <v>1</v>
      </c>
      <c r="Q14" s="135">
        <v>0</v>
      </c>
      <c r="R14" s="135"/>
      <c r="S14" s="135" t="s">
        <v>1327</v>
      </c>
      <c r="T14" s="135" t="s">
        <v>19</v>
      </c>
      <c r="U14" s="135" t="s">
        <v>1328</v>
      </c>
      <c r="V14" s="135" t="s">
        <v>1255</v>
      </c>
      <c r="W14" s="135">
        <v>1</v>
      </c>
      <c r="X14" s="135" t="s">
        <v>1329</v>
      </c>
      <c r="Y14" s="135" t="s">
        <v>1330</v>
      </c>
      <c r="Z14" s="135" t="s">
        <v>1331</v>
      </c>
      <c r="AA14" s="5" t="str">
        <f>VLOOKUP(A14,'Form Responses 1'!$C$2:$K$532,6,FALSE)</f>
        <v>Kit delivery and pickup</v>
      </c>
      <c r="AB14" s="5" t="str">
        <f>VLOOKUP(A14,'Form Responses 1'!$C$2:$K$219,7,FALSE)</f>
        <v>No</v>
      </c>
      <c r="AC14" s="6">
        <f>VLOOKUP(A14,'Form Responses 1'!$C$2:$K$219,8,FALSE)</f>
        <v>60</v>
      </c>
      <c r="AD14" s="6" t="str">
        <f>VLOOKUP(A14,'Form Responses 1'!$C$2:$K$219,9,FALSE)</f>
        <v>Facility started testing staff independently at the end of May.  Will these test results be accepted or do they all need to be re-tested?</v>
      </c>
    </row>
    <row r="15" spans="1:30" ht="19.5" customHeight="1">
      <c r="A15" s="135" t="s">
        <v>50</v>
      </c>
      <c r="B15" s="135" t="s">
        <v>1323</v>
      </c>
      <c r="C15" s="135">
        <v>46360</v>
      </c>
      <c r="D15" s="135" t="s">
        <v>1332</v>
      </c>
      <c r="E15" s="135" t="s">
        <v>1333</v>
      </c>
      <c r="F15" s="135"/>
      <c r="G15" s="135">
        <v>153</v>
      </c>
      <c r="H15" s="135" t="s">
        <v>1276</v>
      </c>
      <c r="I15" s="135" t="str">
        <f>VLOOKUP(H15,list!$B$2:$C$14,2,FALSE)</f>
        <v>GREEN</v>
      </c>
      <c r="J15" s="135"/>
      <c r="K15" s="135">
        <v>0</v>
      </c>
      <c r="L15" s="135">
        <v>0</v>
      </c>
      <c r="M15" s="135">
        <v>0</v>
      </c>
      <c r="N15" s="135">
        <v>0</v>
      </c>
      <c r="O15" s="135">
        <v>0</v>
      </c>
      <c r="P15" s="135"/>
      <c r="Q15" s="135">
        <v>0</v>
      </c>
      <c r="R15" s="135"/>
      <c r="S15" s="135"/>
      <c r="T15" s="135" t="s">
        <v>19</v>
      </c>
      <c r="U15" s="135"/>
      <c r="V15" s="135" t="s">
        <v>1255</v>
      </c>
      <c r="W15" s="135">
        <v>2</v>
      </c>
      <c r="X15" s="135" t="s">
        <v>1334</v>
      </c>
      <c r="Y15" s="135" t="s">
        <v>1335</v>
      </c>
      <c r="Z15" s="135" t="s">
        <v>1336</v>
      </c>
      <c r="AA15" s="5" t="str">
        <f>VLOOKUP(A15,'Form Responses 1'!$C$2:$K$532,6,FALSE)</f>
        <v>Prefer not to use ISDH resources for employee testing</v>
      </c>
      <c r="AB15" s="5" t="str">
        <f>VLOOKUP(A15,'Form Responses 1'!$C$2:$K$219,7,FALSE)</f>
        <v>No</v>
      </c>
      <c r="AC15" s="6">
        <f>VLOOKUP(A15,'Form Responses 1'!$C$2:$K$219,8,FALSE)</f>
        <v>0</v>
      </c>
      <c r="AD15" s="6" t="str">
        <f>VLOOKUP(A15,'Form Responses 1'!$C$2:$K$219,9,FALSE)</f>
        <v>As of June 1 have tested 124 staff members (11 left), including contact employees.  Kits dropped off by ISDH.  No response from ISDH to their calls, so facility dropped off samples at Life Scan Labs for testing.  They will complete testing on the 11 that are left and deliver them to Life Scan.</v>
      </c>
    </row>
    <row r="16" spans="1:30" ht="19.5" customHeight="1">
      <c r="A16" s="135" t="s">
        <v>56</v>
      </c>
      <c r="B16" s="135" t="s">
        <v>1323</v>
      </c>
      <c r="C16" s="135">
        <v>46310</v>
      </c>
      <c r="D16" s="135" t="s">
        <v>1337</v>
      </c>
      <c r="E16" s="135" t="s">
        <v>1338</v>
      </c>
      <c r="F16" s="135" t="s">
        <v>30</v>
      </c>
      <c r="G16" s="135">
        <v>88</v>
      </c>
      <c r="H16" s="135" t="s">
        <v>1276</v>
      </c>
      <c r="I16" s="135" t="str">
        <f>VLOOKUP(H16,list!$B$2:$C$14,2,FALSE)</f>
        <v>GREEN</v>
      </c>
      <c r="J16" s="135"/>
      <c r="K16" s="135">
        <v>0</v>
      </c>
      <c r="L16" s="135">
        <v>0</v>
      </c>
      <c r="M16" s="135">
        <v>0</v>
      </c>
      <c r="N16" s="135">
        <v>0</v>
      </c>
      <c r="O16" s="135">
        <v>0</v>
      </c>
      <c r="P16" s="135"/>
      <c r="Q16" s="135">
        <v>0</v>
      </c>
      <c r="R16" s="135"/>
      <c r="S16" s="135"/>
      <c r="T16" s="135" t="s">
        <v>19</v>
      </c>
      <c r="U16" s="135" t="s">
        <v>1339</v>
      </c>
      <c r="V16" s="135" t="s">
        <v>1255</v>
      </c>
      <c r="W16" s="135">
        <v>2</v>
      </c>
      <c r="X16" s="135" t="s">
        <v>1340</v>
      </c>
      <c r="Y16" s="135" t="s">
        <v>1341</v>
      </c>
      <c r="Z16" s="135" t="s">
        <v>1342</v>
      </c>
      <c r="AA16" s="5" t="str">
        <f>VLOOKUP(A16,'Form Responses 1'!$C$2:$K$532,6,FALSE)</f>
        <v>Kit delivery and pickup</v>
      </c>
      <c r="AB16" s="5" t="str">
        <f>VLOOKUP(A16,'Form Responses 1'!$C$2:$K$219,7,FALSE)</f>
        <v>No</v>
      </c>
      <c r="AC16" s="6">
        <f>VLOOKUP(A16,'Form Responses 1'!$C$2:$K$219,8,FALSE)</f>
        <v>85</v>
      </c>
      <c r="AD16" s="6" t="str">
        <f>VLOOKUP(A16,'Form Responses 1'!$C$2:$K$219,9,FALSE)</f>
        <v>Started testing staff at end of May.</v>
      </c>
    </row>
    <row r="17" spans="1:30" ht="19.5" customHeight="1">
      <c r="A17" s="135" t="s">
        <v>61</v>
      </c>
      <c r="B17" s="135" t="s">
        <v>1323</v>
      </c>
      <c r="C17" s="135">
        <v>46804</v>
      </c>
      <c r="D17" s="135" t="s">
        <v>1343</v>
      </c>
      <c r="E17" s="135" t="s">
        <v>1252</v>
      </c>
      <c r="F17" s="135"/>
      <c r="G17" s="135">
        <v>101</v>
      </c>
      <c r="H17" s="135" t="s">
        <v>1276</v>
      </c>
      <c r="I17" s="135" t="str">
        <f>VLOOKUP(H17,list!$B$2:$C$14,2,FALSE)</f>
        <v>GREEN</v>
      </c>
      <c r="J17" s="135"/>
      <c r="K17" s="135">
        <v>0</v>
      </c>
      <c r="L17" s="135">
        <v>0</v>
      </c>
      <c r="M17" s="135">
        <v>0</v>
      </c>
      <c r="N17" s="135">
        <v>0</v>
      </c>
      <c r="O17" s="135">
        <v>0</v>
      </c>
      <c r="P17" s="135"/>
      <c r="Q17" s="135">
        <v>0</v>
      </c>
      <c r="R17" s="135"/>
      <c r="S17" s="135"/>
      <c r="T17" s="135" t="s">
        <v>19</v>
      </c>
      <c r="U17" s="135" t="s">
        <v>1344</v>
      </c>
      <c r="V17" s="135" t="s">
        <v>1255</v>
      </c>
      <c r="W17" s="135">
        <v>2</v>
      </c>
      <c r="X17" s="135" t="s">
        <v>1345</v>
      </c>
      <c r="Y17" s="135" t="s">
        <v>1346</v>
      </c>
      <c r="Z17" s="135" t="s">
        <v>1347</v>
      </c>
      <c r="AA17" s="5" t="str">
        <f>VLOOKUP(A17,'Form Responses 1'!$C$2:$K$532,6,FALSE)</f>
        <v>Kit delivery and pickup</v>
      </c>
      <c r="AB17" s="5" t="str">
        <f>VLOOKUP(A17,'Form Responses 1'!$C$2:$K$219,7,FALSE)</f>
        <v>No</v>
      </c>
      <c r="AC17" s="6">
        <f>VLOOKUP(A17,'Form Responses 1'!$C$2:$K$219,8,FALSE)</f>
        <v>120</v>
      </c>
      <c r="AD17" s="6" t="str">
        <f>VLOOKUP(A17,'Form Responses 1'!$C$2:$K$219,9,FALSE)</f>
        <v>Already tested staff 5/10-5/19 but will retest again in June per mandate</v>
      </c>
    </row>
    <row r="18" spans="1:30" ht="19.5" customHeight="1">
      <c r="A18" s="135" t="s">
        <v>67</v>
      </c>
      <c r="B18" s="135" t="s">
        <v>1323</v>
      </c>
      <c r="C18" s="135">
        <v>46041</v>
      </c>
      <c r="D18" s="135" t="s">
        <v>1348</v>
      </c>
      <c r="E18" s="135" t="s">
        <v>1349</v>
      </c>
      <c r="F18" s="135"/>
      <c r="G18" s="135">
        <v>91</v>
      </c>
      <c r="H18" s="135" t="s">
        <v>1282</v>
      </c>
      <c r="I18" s="135" t="str">
        <f>VLOOKUP(H18,list!$B$2:$C$14,2,FALSE)</f>
        <v>KITS</v>
      </c>
      <c r="J18" s="135"/>
      <c r="K18" s="135">
        <v>0</v>
      </c>
      <c r="L18" s="135">
        <v>0</v>
      </c>
      <c r="M18" s="135">
        <v>0</v>
      </c>
      <c r="N18" s="135">
        <v>0</v>
      </c>
      <c r="O18" s="135">
        <v>0</v>
      </c>
      <c r="P18" s="135"/>
      <c r="Q18" s="135">
        <v>0</v>
      </c>
      <c r="R18" s="135"/>
      <c r="S18" s="135" t="s">
        <v>1350</v>
      </c>
      <c r="T18" s="135" t="s">
        <v>19</v>
      </c>
      <c r="U18" s="135" t="s">
        <v>1351</v>
      </c>
      <c r="V18" s="135" t="s">
        <v>1255</v>
      </c>
      <c r="W18" s="135">
        <v>3</v>
      </c>
      <c r="X18" s="135" t="s">
        <v>1352</v>
      </c>
      <c r="Y18" s="135" t="s">
        <v>1353</v>
      </c>
      <c r="Z18" s="135" t="s">
        <v>1354</v>
      </c>
      <c r="AA18" s="5" t="str">
        <f>VLOOKUP(A18,'Form Responses 1'!$C$2:$K$532,6,FALSE)</f>
        <v>Kit delivery and pickup</v>
      </c>
      <c r="AB18" s="5" t="str">
        <f>VLOOKUP(A18,'Form Responses 1'!$C$2:$K$219,7,FALSE)</f>
        <v>No</v>
      </c>
      <c r="AC18" s="6">
        <f>VLOOKUP(A18,'Form Responses 1'!$C$2:$K$219,8,FALSE)</f>
        <v>90</v>
      </c>
      <c r="AD18" s="6" t="str">
        <f>VLOOKUP(A18,'Form Responses 1'!$C$2:$K$219,9,FALSE)</f>
        <v>already did all the residents</v>
      </c>
    </row>
    <row r="19" spans="1:30" ht="19.5" customHeight="1">
      <c r="A19" s="135" t="s">
        <v>72</v>
      </c>
      <c r="B19" s="135" t="s">
        <v>1323</v>
      </c>
      <c r="C19" s="135">
        <v>46902</v>
      </c>
      <c r="D19" s="135" t="s">
        <v>1355</v>
      </c>
      <c r="E19" s="135" t="s">
        <v>1356</v>
      </c>
      <c r="F19" s="135"/>
      <c r="G19" s="135">
        <v>71</v>
      </c>
      <c r="H19" s="135" t="s">
        <v>1276</v>
      </c>
      <c r="I19" s="135" t="str">
        <f>VLOOKUP(H19,list!$B$2:$C$14,2,FALSE)</f>
        <v>GREEN</v>
      </c>
      <c r="J19" s="135"/>
      <c r="K19" s="135">
        <v>0</v>
      </c>
      <c r="L19" s="135">
        <v>0</v>
      </c>
      <c r="M19" s="135">
        <v>0</v>
      </c>
      <c r="N19" s="135">
        <v>0</v>
      </c>
      <c r="O19" s="135">
        <v>0</v>
      </c>
      <c r="P19" s="135"/>
      <c r="Q19" s="135">
        <v>0</v>
      </c>
      <c r="R19" s="135"/>
      <c r="S19" s="135"/>
      <c r="T19" s="135" t="s">
        <v>19</v>
      </c>
      <c r="U19" s="135" t="s">
        <v>30</v>
      </c>
      <c r="V19" s="135" t="s">
        <v>1255</v>
      </c>
      <c r="W19" s="135">
        <v>2</v>
      </c>
      <c r="X19" s="135" t="s">
        <v>1357</v>
      </c>
      <c r="Y19" s="135" t="s">
        <v>1358</v>
      </c>
      <c r="Z19" s="135" t="s">
        <v>1359</v>
      </c>
      <c r="AA19" s="5" t="str">
        <f>VLOOKUP(A19,'Form Responses 1'!$C$2:$K$532,6,FALSE)</f>
        <v>Kit delivery and pickup</v>
      </c>
      <c r="AB19" s="5" t="str">
        <f>VLOOKUP(A19,'Form Responses 1'!$C$2:$K$219,7,FALSE)</f>
        <v>Yes</v>
      </c>
      <c r="AC19" s="6">
        <f>VLOOKUP(A19,'Form Responses 1'!$C$2:$K$219,8,FALSE)</f>
        <v>67</v>
      </c>
      <c r="AD19" s="6" t="str">
        <f>VLOOKUP(A19,'Form Responses 1'!$C$2:$K$219,9,FALSE)</f>
        <v>New ED not available; DON prepared to take the call</v>
      </c>
    </row>
    <row r="20" spans="1:30" ht="19.5" customHeight="1">
      <c r="A20" s="135" t="s">
        <v>78</v>
      </c>
      <c r="B20" s="135" t="s">
        <v>1323</v>
      </c>
      <c r="C20" s="135">
        <v>46953</v>
      </c>
      <c r="D20" s="135" t="s">
        <v>1290</v>
      </c>
      <c r="E20" s="135" t="s">
        <v>1360</v>
      </c>
      <c r="F20" s="135"/>
      <c r="G20" s="135">
        <v>55</v>
      </c>
      <c r="H20" s="135" t="s">
        <v>1276</v>
      </c>
      <c r="I20" s="135" t="str">
        <f>VLOOKUP(H20,list!$B$2:$C$14,2,FALSE)</f>
        <v>GREEN</v>
      </c>
      <c r="J20" s="135"/>
      <c r="K20" s="135">
        <v>0</v>
      </c>
      <c r="L20" s="135">
        <v>0</v>
      </c>
      <c r="M20" s="135">
        <v>0</v>
      </c>
      <c r="N20" s="135">
        <v>0</v>
      </c>
      <c r="O20" s="135">
        <v>0</v>
      </c>
      <c r="P20" s="135"/>
      <c r="Q20" s="135">
        <v>0</v>
      </c>
      <c r="R20" s="135"/>
      <c r="S20" s="135"/>
      <c r="T20" s="135" t="s">
        <v>30</v>
      </c>
      <c r="U20" s="135"/>
      <c r="V20" s="135" t="s">
        <v>1255</v>
      </c>
      <c r="W20" s="135">
        <v>2</v>
      </c>
      <c r="X20" s="135" t="s">
        <v>1361</v>
      </c>
      <c r="Y20" s="135" t="s">
        <v>1362</v>
      </c>
      <c r="Z20" s="135" t="s">
        <v>1363</v>
      </c>
      <c r="AA20" s="5" t="str">
        <f>VLOOKUP(A20,'Form Responses 1'!$C$2:$K$532,6,FALSE)</f>
        <v>Kit delivery and pickup</v>
      </c>
      <c r="AB20" s="5" t="str">
        <f>VLOOKUP(A20,'Form Responses 1'!$C$2:$K$219,7,FALSE)</f>
        <v>Yes</v>
      </c>
      <c r="AC20" s="6">
        <f>VLOOKUP(A20,'Form Responses 1'!$C$2:$K$219,8,FALSE)</f>
        <v>15</v>
      </c>
      <c r="AD20" s="6" t="str">
        <f>VLOOKUP(A20,'Form Responses 1'!$C$2:$K$219,9,FALSE)</f>
        <v>Remainder of staff were tested June 1, 2, 3</v>
      </c>
    </row>
    <row r="21" spans="1:30" ht="19.5" customHeight="1">
      <c r="A21" s="135" t="s">
        <v>83</v>
      </c>
      <c r="B21" s="135" t="s">
        <v>1323</v>
      </c>
      <c r="C21" s="135">
        <v>46970</v>
      </c>
      <c r="D21" s="135" t="s">
        <v>1364</v>
      </c>
      <c r="E21" s="135" t="s">
        <v>1365</v>
      </c>
      <c r="F21" s="135"/>
      <c r="G21" s="135">
        <v>90</v>
      </c>
      <c r="H21" s="135" t="s">
        <v>1282</v>
      </c>
      <c r="I21" s="135" t="str">
        <f>VLOOKUP(H21,list!$B$2:$C$14,2,FALSE)</f>
        <v>KITS</v>
      </c>
      <c r="J21" s="135"/>
      <c r="K21" s="135">
        <v>0</v>
      </c>
      <c r="L21" s="135">
        <v>0</v>
      </c>
      <c r="M21" s="135">
        <v>0</v>
      </c>
      <c r="N21" s="135">
        <v>0</v>
      </c>
      <c r="O21" s="135">
        <v>0</v>
      </c>
      <c r="P21" s="135"/>
      <c r="Q21" s="135">
        <v>0</v>
      </c>
      <c r="R21" s="135"/>
      <c r="S21" s="135"/>
      <c r="T21" s="135" t="s">
        <v>30</v>
      </c>
      <c r="U21" s="135" t="s">
        <v>1366</v>
      </c>
      <c r="V21" s="135" t="s">
        <v>1255</v>
      </c>
      <c r="W21" s="135">
        <v>3</v>
      </c>
      <c r="X21" s="135" t="s">
        <v>1367</v>
      </c>
      <c r="Y21" s="135" t="s">
        <v>1368</v>
      </c>
      <c r="Z21" s="135" t="s">
        <v>1369</v>
      </c>
      <c r="AA21" s="5" t="str">
        <f>VLOOKUP(A21,'Form Responses 1'!$C$2:$K$532,6,FALSE)</f>
        <v>Kit delivery and pickup</v>
      </c>
      <c r="AB21" s="5">
        <f>VLOOKUP(A21,'Form Responses 1'!$C$2:$K$219,7,FALSE)</f>
        <v>0</v>
      </c>
      <c r="AC21" s="6">
        <f>VLOOKUP(A21,'Form Responses 1'!$C$2:$K$219,8,FALSE)</f>
        <v>30</v>
      </c>
      <c r="AD21" s="6">
        <f>VLOOKUP(A21,'Form Responses 1'!$C$2:$K$219,9,FALSE)</f>
        <v>0</v>
      </c>
    </row>
    <row r="22" spans="1:30" ht="19.5" customHeight="1">
      <c r="A22" s="135" t="s">
        <v>1370</v>
      </c>
      <c r="B22" s="135" t="s">
        <v>1323</v>
      </c>
      <c r="C22" s="135">
        <v>47460</v>
      </c>
      <c r="D22" s="135" t="s">
        <v>1371</v>
      </c>
      <c r="E22" s="135" t="s">
        <v>1372</v>
      </c>
      <c r="F22" s="135"/>
      <c r="G22" s="135"/>
      <c r="H22" s="135"/>
      <c r="I22" s="135"/>
      <c r="J22" s="135"/>
      <c r="K22" s="135"/>
      <c r="L22" s="135"/>
      <c r="M22" s="135"/>
      <c r="N22" s="135"/>
      <c r="O22" s="135"/>
      <c r="P22" s="135"/>
      <c r="Q22" s="135"/>
      <c r="R22" s="135"/>
      <c r="S22" s="135"/>
      <c r="T22" s="135"/>
      <c r="U22" s="135"/>
      <c r="V22" s="135"/>
      <c r="W22" s="135"/>
      <c r="X22" s="135">
        <v>8128293444</v>
      </c>
      <c r="Y22" s="135" t="s">
        <v>1373</v>
      </c>
      <c r="Z22" s="135"/>
      <c r="AA22" s="5" t="str">
        <f>VLOOKUP(A22,'Form Responses 1'!$C$2:$K$532,6,FALSE)</f>
        <v>Onsite sample collection by ISDH team</v>
      </c>
      <c r="AB22" s="5" t="str">
        <f>VLOOKUP(A22,'Form Responses 1'!$C$2:$K$219,7,FALSE)</f>
        <v>No</v>
      </c>
      <c r="AC22" s="6">
        <f>VLOOKUP(A22,'Form Responses 1'!$C$2:$K$219,8,FALSE)</f>
        <v>80</v>
      </c>
      <c r="AD22" s="6" t="str">
        <f>VLOOKUP(A22,'Form Responses 1'!$C$2:$K$219,9,FALSE)</f>
        <v>full testing in May, will have to retest</v>
      </c>
    </row>
    <row r="23" spans="1:30" ht="19.5" customHeight="1">
      <c r="A23" s="135" t="s">
        <v>1178</v>
      </c>
      <c r="B23" s="135" t="s">
        <v>1323</v>
      </c>
      <c r="C23" s="135">
        <v>46404</v>
      </c>
      <c r="D23" s="135" t="s">
        <v>1374</v>
      </c>
      <c r="E23" s="135" t="s">
        <v>1375</v>
      </c>
      <c r="F23" s="135"/>
      <c r="G23" s="135"/>
      <c r="H23" s="135"/>
      <c r="I23" s="135"/>
      <c r="J23" s="135"/>
      <c r="K23" s="135"/>
      <c r="L23" s="135"/>
      <c r="M23" s="135"/>
      <c r="N23" s="135"/>
      <c r="O23" s="135"/>
      <c r="P23" s="135"/>
      <c r="Q23" s="135"/>
      <c r="R23" s="135"/>
      <c r="S23" s="135"/>
      <c r="T23" s="135"/>
      <c r="U23" s="135"/>
      <c r="V23" s="135"/>
      <c r="W23" s="135"/>
      <c r="X23" s="135">
        <v>2199772600</v>
      </c>
      <c r="Y23" s="135" t="s">
        <v>1376</v>
      </c>
      <c r="Z23" s="135"/>
      <c r="AA23" s="5" t="str">
        <f>VLOOKUP(A23,'Form Responses 1'!$C$2:$K$532,6,FALSE)</f>
        <v>Kit delivery and pickup</v>
      </c>
      <c r="AB23" s="5" t="e">
        <f>VLOOKUP(A23,'Form Responses 1'!$C$2:$K$219,7,FALSE)</f>
        <v>#N/A</v>
      </c>
      <c r="AC23" s="6" t="e">
        <f>VLOOKUP(A23,'Form Responses 1'!$C$2:$K$219,8,FALSE)</f>
        <v>#N/A</v>
      </c>
      <c r="AD23" s="6" t="e">
        <f>VLOOKUP(A23,'Form Responses 1'!$C$2:$K$219,9,FALSE)</f>
        <v>#N/A</v>
      </c>
    </row>
    <row r="24" spans="1:30" ht="19.5" customHeight="1">
      <c r="A24" s="135" t="s">
        <v>93</v>
      </c>
      <c r="B24" s="135" t="s">
        <v>1323</v>
      </c>
      <c r="C24" s="135">
        <v>46825</v>
      </c>
      <c r="D24" s="135" t="s">
        <v>1343</v>
      </c>
      <c r="E24" s="135" t="s">
        <v>1252</v>
      </c>
      <c r="F24" s="135"/>
      <c r="G24" s="135">
        <v>60</v>
      </c>
      <c r="H24" s="135" t="s">
        <v>1268</v>
      </c>
      <c r="I24" s="135" t="str">
        <f>VLOOKUP(H24,list!$B$2:$C$14,2,FALSE)</f>
        <v>KITS</v>
      </c>
      <c r="J24" s="135"/>
      <c r="K24" s="135">
        <v>0</v>
      </c>
      <c r="L24" s="135">
        <v>0</v>
      </c>
      <c r="M24" s="135">
        <v>0</v>
      </c>
      <c r="N24" s="135">
        <v>0</v>
      </c>
      <c r="O24" s="135">
        <v>0</v>
      </c>
      <c r="P24" s="135"/>
      <c r="Q24" s="135">
        <v>0</v>
      </c>
      <c r="R24" s="135"/>
      <c r="S24" s="135"/>
      <c r="T24" s="135" t="s">
        <v>19</v>
      </c>
      <c r="U24" s="135"/>
      <c r="V24" s="135" t="s">
        <v>1255</v>
      </c>
      <c r="W24" s="135">
        <v>5</v>
      </c>
      <c r="X24" s="135" t="s">
        <v>1377</v>
      </c>
      <c r="Y24" s="135" t="s">
        <v>1378</v>
      </c>
      <c r="Z24" s="135" t="s">
        <v>1379</v>
      </c>
      <c r="AA24" s="5" t="str">
        <f>VLOOKUP(A24,'Form Responses 1'!$C$2:$K$532,6,FALSE)</f>
        <v>Prefer not to use ISDH resources for employee testing</v>
      </c>
      <c r="AB24" s="5" t="str">
        <f>VLOOKUP(A24,'Form Responses 1'!$C$2:$K$219,7,FALSE)</f>
        <v>No</v>
      </c>
      <c r="AC24" s="6">
        <f>VLOOKUP(A24,'Form Responses 1'!$C$2:$K$219,8,FALSE)</f>
        <v>20</v>
      </c>
      <c r="AD24" s="6" t="str">
        <f>VLOOKUP(A24,'Form Responses 1'!$C$2:$K$219,9,FALSE)</f>
        <v>Started testing staff independently on June 1.  Have 20 more staff to test and will do this themselves</v>
      </c>
    </row>
    <row r="25" spans="1:30" ht="19.5" customHeight="1">
      <c r="A25" s="135" t="s">
        <v>98</v>
      </c>
      <c r="B25" s="135" t="s">
        <v>1323</v>
      </c>
      <c r="C25" s="135">
        <v>46182</v>
      </c>
      <c r="D25" s="135" t="s">
        <v>1380</v>
      </c>
      <c r="E25" s="135" t="s">
        <v>1381</v>
      </c>
      <c r="F25" s="135"/>
      <c r="G25" s="135"/>
      <c r="H25" s="135"/>
      <c r="I25" s="135"/>
      <c r="J25" s="135"/>
      <c r="K25" s="135"/>
      <c r="L25" s="135"/>
      <c r="M25" s="135"/>
      <c r="N25" s="135"/>
      <c r="O25" s="135"/>
      <c r="P25" s="135"/>
      <c r="Q25" s="135"/>
      <c r="R25" s="135"/>
      <c r="S25" s="135"/>
      <c r="T25" s="135"/>
      <c r="U25" s="135"/>
      <c r="V25" s="135"/>
      <c r="W25" s="135"/>
      <c r="X25" s="135">
        <v>7655254371</v>
      </c>
      <c r="Y25" s="135" t="s">
        <v>1382</v>
      </c>
      <c r="Z25" s="135"/>
      <c r="AA25" s="5" t="str">
        <f>VLOOKUP(A25,'Form Responses 1'!$C$2:$K$532,6,FALSE)</f>
        <v>Kit delivery and pickup</v>
      </c>
      <c r="AB25" s="5" t="str">
        <f>VLOOKUP(A25,'Form Responses 1'!$C$2:$K$219,7,FALSE)</f>
        <v>No</v>
      </c>
      <c r="AC25" s="6">
        <f>VLOOKUP(A25,'Form Responses 1'!$C$2:$K$219,8,FALSE)</f>
        <v>68</v>
      </c>
      <c r="AD25" s="6">
        <f>VLOOKUP(A25,'Form Responses 1'!$C$2:$K$219,9,FALSE)</f>
        <v>0</v>
      </c>
    </row>
    <row r="26" spans="1:30" ht="19.5" customHeight="1">
      <c r="A26" s="135" t="s">
        <v>1383</v>
      </c>
      <c r="B26" s="135" t="s">
        <v>1323</v>
      </c>
      <c r="C26" s="135">
        <v>46970</v>
      </c>
      <c r="D26" s="135" t="s">
        <v>1364</v>
      </c>
      <c r="E26" s="135" t="s">
        <v>1365</v>
      </c>
      <c r="F26" s="135"/>
      <c r="G26" s="135">
        <v>16</v>
      </c>
      <c r="H26" s="135" t="s">
        <v>1282</v>
      </c>
      <c r="I26" s="135" t="str">
        <f>VLOOKUP(H26,list!$B$2:$C$14,2,FALSE)</f>
        <v>KITS</v>
      </c>
      <c r="J26" s="135"/>
      <c r="K26" s="135">
        <v>0</v>
      </c>
      <c r="L26" s="135">
        <v>0</v>
      </c>
      <c r="M26" s="135">
        <v>0</v>
      </c>
      <c r="N26" s="135">
        <v>0</v>
      </c>
      <c r="O26" s="135">
        <v>0</v>
      </c>
      <c r="P26" s="135"/>
      <c r="Q26" s="135">
        <v>0</v>
      </c>
      <c r="R26" s="135"/>
      <c r="S26" s="135"/>
      <c r="T26" s="135" t="s">
        <v>19</v>
      </c>
      <c r="U26" s="135" t="s">
        <v>1384</v>
      </c>
      <c r="V26" s="135" t="s">
        <v>1255</v>
      </c>
      <c r="W26" s="135">
        <v>3</v>
      </c>
      <c r="X26" s="135" t="s">
        <v>1385</v>
      </c>
      <c r="Y26" s="135" t="s">
        <v>1386</v>
      </c>
      <c r="Z26" s="135" t="s">
        <v>1369</v>
      </c>
      <c r="AA26" s="5" t="e">
        <f>VLOOKUP(A26,'Form Responses 1'!$C$2:$K$532,6,FALSE)</f>
        <v>#N/A</v>
      </c>
      <c r="AB26" s="5" t="e">
        <f>VLOOKUP(A26,'Form Responses 1'!$C$2:$K$219,7,FALSE)</f>
        <v>#N/A</v>
      </c>
      <c r="AC26" s="6" t="e">
        <f>VLOOKUP(A26,'Form Responses 1'!$C$2:$K$219,8,FALSE)</f>
        <v>#N/A</v>
      </c>
      <c r="AD26" s="6" t="e">
        <f>VLOOKUP(A26,'Form Responses 1'!$C$2:$K$219,9,FALSE)</f>
        <v>#N/A</v>
      </c>
    </row>
    <row r="27" spans="1:30" ht="19.5" customHeight="1">
      <c r="A27" s="135" t="s">
        <v>1387</v>
      </c>
      <c r="B27" s="135" t="s">
        <v>343</v>
      </c>
      <c r="C27" s="135">
        <v>47240</v>
      </c>
      <c r="D27" s="135" t="s">
        <v>1388</v>
      </c>
      <c r="E27" s="135" t="s">
        <v>1259</v>
      </c>
      <c r="F27" s="135"/>
      <c r="G27" s="135">
        <v>99</v>
      </c>
      <c r="H27" s="135" t="s">
        <v>1276</v>
      </c>
      <c r="I27" s="135" t="str">
        <f>VLOOKUP(H27,list!$B$2:$C$14,2,FALSE)</f>
        <v>GREEN</v>
      </c>
      <c r="J27" s="135"/>
      <c r="K27" s="135">
        <v>0</v>
      </c>
      <c r="L27" s="135">
        <v>0</v>
      </c>
      <c r="M27" s="135">
        <v>0</v>
      </c>
      <c r="N27" s="135">
        <v>0</v>
      </c>
      <c r="O27" s="135">
        <v>0</v>
      </c>
      <c r="P27" s="135"/>
      <c r="Q27" s="135">
        <v>0</v>
      </c>
      <c r="R27" s="135"/>
      <c r="S27" s="135"/>
      <c r="T27" s="135" t="s">
        <v>30</v>
      </c>
      <c r="U27" s="135" t="s">
        <v>1389</v>
      </c>
      <c r="V27" s="135" t="s">
        <v>1255</v>
      </c>
      <c r="W27" s="135">
        <v>2</v>
      </c>
      <c r="X27" s="135" t="s">
        <v>1390</v>
      </c>
      <c r="Y27" s="135" t="s">
        <v>1391</v>
      </c>
      <c r="Z27" s="135" t="s">
        <v>1392</v>
      </c>
      <c r="AA27" s="5" t="s">
        <v>18</v>
      </c>
      <c r="AB27" s="5" t="s">
        <v>1298</v>
      </c>
      <c r="AC27" s="6">
        <f t="shared" ref="AC27:AC29" si="1">G27</f>
        <v>99</v>
      </c>
      <c r="AD27" s="6"/>
    </row>
    <row r="28" spans="1:30" ht="19.5" customHeight="1">
      <c r="A28" s="135" t="s">
        <v>1393</v>
      </c>
      <c r="B28" s="135" t="s">
        <v>1303</v>
      </c>
      <c r="C28" s="135">
        <v>47374</v>
      </c>
      <c r="D28" s="135" t="s">
        <v>1394</v>
      </c>
      <c r="E28" s="135" t="s">
        <v>1306</v>
      </c>
      <c r="F28" s="135"/>
      <c r="G28" s="135">
        <v>149</v>
      </c>
      <c r="H28" s="135" t="s">
        <v>1282</v>
      </c>
      <c r="I28" s="135" t="str">
        <f>VLOOKUP(H28,list!$B$2:$C$14,2,FALSE)</f>
        <v>KITS</v>
      </c>
      <c r="J28" s="135"/>
      <c r="K28" s="135">
        <v>0</v>
      </c>
      <c r="L28" s="135">
        <v>0</v>
      </c>
      <c r="M28" s="135">
        <v>0</v>
      </c>
      <c r="N28" s="135">
        <v>0</v>
      </c>
      <c r="O28" s="135">
        <v>0</v>
      </c>
      <c r="P28" s="135"/>
      <c r="Q28" s="135">
        <v>0</v>
      </c>
      <c r="R28" s="135"/>
      <c r="S28" s="135"/>
      <c r="T28" s="135" t="s">
        <v>30</v>
      </c>
      <c r="U28" s="135" t="s">
        <v>1395</v>
      </c>
      <c r="V28" s="135" t="s">
        <v>1255</v>
      </c>
      <c r="W28" s="135">
        <v>3</v>
      </c>
      <c r="X28" s="135" t="s">
        <v>1396</v>
      </c>
      <c r="Y28" s="135" t="s">
        <v>1397</v>
      </c>
      <c r="Z28" s="135" t="s">
        <v>1398</v>
      </c>
      <c r="AA28" s="5" t="s">
        <v>18</v>
      </c>
      <c r="AB28" s="5" t="s">
        <v>1298</v>
      </c>
      <c r="AC28" s="6">
        <f t="shared" si="1"/>
        <v>149</v>
      </c>
      <c r="AD28" s="6"/>
    </row>
    <row r="29" spans="1:30" ht="19.5" customHeight="1">
      <c r="A29" s="135" t="s">
        <v>1399</v>
      </c>
      <c r="B29" s="135" t="s">
        <v>1312</v>
      </c>
      <c r="C29" s="135">
        <v>46256</v>
      </c>
      <c r="D29" s="135" t="s">
        <v>1289</v>
      </c>
      <c r="E29" s="135" t="s">
        <v>1290</v>
      </c>
      <c r="F29" s="135"/>
      <c r="G29" s="135">
        <v>100</v>
      </c>
      <c r="H29" s="135" t="s">
        <v>1276</v>
      </c>
      <c r="I29" s="135" t="str">
        <f>VLOOKUP(H29,list!$B$2:$C$14,2,FALSE)</f>
        <v>GREEN</v>
      </c>
      <c r="J29" s="135"/>
      <c r="K29" s="135">
        <v>0</v>
      </c>
      <c r="L29" s="135">
        <v>0</v>
      </c>
      <c r="M29" s="135">
        <v>0</v>
      </c>
      <c r="N29" s="135">
        <v>0</v>
      </c>
      <c r="O29" s="135">
        <v>0</v>
      </c>
      <c r="P29" s="135"/>
      <c r="Q29" s="135">
        <v>0</v>
      </c>
      <c r="R29" s="135"/>
      <c r="S29" s="135"/>
      <c r="T29" s="135" t="s">
        <v>19</v>
      </c>
      <c r="U29" s="135" t="s">
        <v>1315</v>
      </c>
      <c r="V29" s="135" t="s">
        <v>1255</v>
      </c>
      <c r="W29" s="135">
        <v>2</v>
      </c>
      <c r="X29" s="135" t="s">
        <v>1400</v>
      </c>
      <c r="Y29" s="135" t="s">
        <v>1401</v>
      </c>
      <c r="Z29" s="135" t="s">
        <v>1402</v>
      </c>
      <c r="AA29" s="5" t="s">
        <v>18</v>
      </c>
      <c r="AB29" s="5" t="s">
        <v>1298</v>
      </c>
      <c r="AC29" s="6">
        <f t="shared" si="1"/>
        <v>100</v>
      </c>
      <c r="AD29" s="6"/>
    </row>
    <row r="30" spans="1:30" ht="19.5" customHeight="1">
      <c r="A30" s="135" t="s">
        <v>103</v>
      </c>
      <c r="B30" s="135"/>
      <c r="C30" s="135">
        <v>46135</v>
      </c>
      <c r="D30" s="135" t="s">
        <v>1403</v>
      </c>
      <c r="E30" s="135" t="s">
        <v>1404</v>
      </c>
      <c r="F30" s="135"/>
      <c r="G30" s="135">
        <v>130</v>
      </c>
      <c r="H30" s="135" t="s">
        <v>1276</v>
      </c>
      <c r="I30" s="135" t="str">
        <f>VLOOKUP(H30,list!$B$2:$C$14,2,FALSE)</f>
        <v>GREEN</v>
      </c>
      <c r="J30" s="135"/>
      <c r="K30" s="135">
        <v>0</v>
      </c>
      <c r="L30" s="135">
        <v>0</v>
      </c>
      <c r="M30" s="135">
        <v>0</v>
      </c>
      <c r="N30" s="135">
        <v>0</v>
      </c>
      <c r="O30" s="135">
        <v>0</v>
      </c>
      <c r="P30" s="135"/>
      <c r="Q30" s="135">
        <v>0</v>
      </c>
      <c r="R30" s="135"/>
      <c r="S30" s="135"/>
      <c r="T30" s="135" t="s">
        <v>19</v>
      </c>
      <c r="U30" s="135" t="s">
        <v>1405</v>
      </c>
      <c r="V30" s="135" t="s">
        <v>1255</v>
      </c>
      <c r="W30" s="135">
        <v>2</v>
      </c>
      <c r="X30" s="135" t="s">
        <v>1406</v>
      </c>
      <c r="Y30" s="135" t="s">
        <v>1407</v>
      </c>
      <c r="Z30" s="135" t="s">
        <v>1408</v>
      </c>
      <c r="AA30" s="5" t="str">
        <f>VLOOKUP(A30,'Form Responses 1'!$C$2:$K$532,6,FALSE)</f>
        <v>Kit delivery and pickup</v>
      </c>
      <c r="AB30" s="5" t="str">
        <f>VLOOKUP(A30,'Form Responses 1'!$C$2:$K$219,7,FALSE)</f>
        <v>No</v>
      </c>
      <c r="AC30" s="6">
        <f>VLOOKUP(A30,'Form Responses 1'!$C$2:$K$219,8,FALSE)</f>
        <v>135</v>
      </c>
      <c r="AD30" s="6">
        <f>VLOOKUP(A30,'Form Responses 1'!$C$2:$K$219,9,FALSE)</f>
        <v>0</v>
      </c>
    </row>
    <row r="31" spans="1:30" ht="19.5" customHeight="1">
      <c r="A31" s="135" t="s">
        <v>1409</v>
      </c>
      <c r="B31" s="321" t="s">
        <v>1312</v>
      </c>
      <c r="C31" s="135">
        <v>46176</v>
      </c>
      <c r="D31" s="135" t="s">
        <v>1410</v>
      </c>
      <c r="E31" s="135" t="s">
        <v>1381</v>
      </c>
      <c r="F31" s="135"/>
      <c r="G31" s="135">
        <v>122</v>
      </c>
      <c r="H31" s="135" t="s">
        <v>1276</v>
      </c>
      <c r="I31" s="135" t="str">
        <f>VLOOKUP(H31,list!$B$2:$C$14,2,FALSE)</f>
        <v>GREEN</v>
      </c>
      <c r="J31" s="135"/>
      <c r="K31" s="135">
        <v>0</v>
      </c>
      <c r="L31" s="135">
        <v>0</v>
      </c>
      <c r="M31" s="135">
        <v>0</v>
      </c>
      <c r="N31" s="135">
        <v>0</v>
      </c>
      <c r="O31" s="135">
        <v>0</v>
      </c>
      <c r="P31" s="135"/>
      <c r="Q31" s="135">
        <v>0</v>
      </c>
      <c r="R31" s="135"/>
      <c r="S31" s="135"/>
      <c r="T31" s="135" t="s">
        <v>19</v>
      </c>
      <c r="U31" s="135" t="s">
        <v>1315</v>
      </c>
      <c r="V31" s="135" t="s">
        <v>1255</v>
      </c>
      <c r="W31" s="135">
        <v>2</v>
      </c>
      <c r="X31" s="135" t="s">
        <v>1411</v>
      </c>
      <c r="Y31" s="135" t="s">
        <v>1412</v>
      </c>
      <c r="Z31" s="135" t="s">
        <v>1413</v>
      </c>
      <c r="AA31" s="5" t="s">
        <v>18</v>
      </c>
      <c r="AB31" s="5" t="s">
        <v>1298</v>
      </c>
      <c r="AC31" s="6">
        <f>G31</f>
        <v>122</v>
      </c>
      <c r="AD31" s="6"/>
    </row>
    <row r="32" spans="1:30" ht="19.5" customHeight="1">
      <c r="A32" s="135" t="s">
        <v>107</v>
      </c>
      <c r="B32" s="135"/>
      <c r="C32" s="135">
        <v>46845</v>
      </c>
      <c r="D32" s="135" t="s">
        <v>1343</v>
      </c>
      <c r="E32" s="135" t="s">
        <v>1252</v>
      </c>
      <c r="F32" s="135"/>
      <c r="G32" s="135"/>
      <c r="H32" s="135"/>
      <c r="I32" s="135"/>
      <c r="J32" s="135"/>
      <c r="K32" s="135"/>
      <c r="L32" s="135"/>
      <c r="M32" s="135"/>
      <c r="N32" s="135"/>
      <c r="O32" s="135"/>
      <c r="P32" s="135"/>
      <c r="Q32" s="135"/>
      <c r="R32" s="135"/>
      <c r="S32" s="135"/>
      <c r="T32" s="135"/>
      <c r="U32" s="135"/>
      <c r="V32" s="135"/>
      <c r="W32" s="135"/>
      <c r="X32" s="135">
        <v>2603732111</v>
      </c>
      <c r="Y32" s="135" t="s">
        <v>1414</v>
      </c>
      <c r="Z32" s="135"/>
      <c r="AA32" s="5" t="str">
        <f>VLOOKUP(A32,'Form Responses 1'!$C$2:$K$532,6,FALSE)</f>
        <v>Kit delivery and pickup</v>
      </c>
      <c r="AB32" s="5" t="str">
        <f>VLOOKUP(A32,'Form Responses 1'!$C$2:$K$219,7,FALSE)</f>
        <v>No</v>
      </c>
      <c r="AC32" s="6">
        <f>VLOOKUP(A32,'Form Responses 1'!$C$2:$K$219,8,FALSE)</f>
        <v>200</v>
      </c>
      <c r="AD32" s="6" t="str">
        <f>VLOOKUP(A32,'Form Responses 1'!$C$2:$K$219,9,FALSE)</f>
        <v>would like to stagger tests</v>
      </c>
    </row>
    <row r="33" spans="1:30" ht="19.5" customHeight="1">
      <c r="A33" s="135" t="s">
        <v>1415</v>
      </c>
      <c r="B33" s="321" t="s">
        <v>1312</v>
      </c>
      <c r="C33" s="135">
        <v>47240</v>
      </c>
      <c r="D33" s="135" t="s">
        <v>1388</v>
      </c>
      <c r="E33" s="135" t="s">
        <v>1259</v>
      </c>
      <c r="F33" s="135"/>
      <c r="G33" s="135">
        <v>111</v>
      </c>
      <c r="H33" s="135" t="s">
        <v>1276</v>
      </c>
      <c r="I33" s="135" t="str">
        <f>VLOOKUP(H33,list!$B$2:$C$14,2,FALSE)</f>
        <v>GREEN</v>
      </c>
      <c r="J33" s="135"/>
      <c r="K33" s="135">
        <v>0</v>
      </c>
      <c r="L33" s="135">
        <v>0</v>
      </c>
      <c r="M33" s="135">
        <v>0</v>
      </c>
      <c r="N33" s="135">
        <v>0</v>
      </c>
      <c r="O33" s="135">
        <v>0</v>
      </c>
      <c r="P33" s="135"/>
      <c r="Q33" s="135">
        <v>0</v>
      </c>
      <c r="R33" s="135"/>
      <c r="S33" s="135"/>
      <c r="T33" s="135" t="s">
        <v>19</v>
      </c>
      <c r="U33" s="135" t="s">
        <v>1315</v>
      </c>
      <c r="V33" s="135" t="s">
        <v>1255</v>
      </c>
      <c r="W33" s="135">
        <v>2</v>
      </c>
      <c r="X33" s="135" t="s">
        <v>1416</v>
      </c>
      <c r="Y33" s="135" t="s">
        <v>1417</v>
      </c>
      <c r="Z33" s="135" t="s">
        <v>1392</v>
      </c>
      <c r="AA33" s="5" t="s">
        <v>18</v>
      </c>
      <c r="AB33" s="5" t="s">
        <v>1298</v>
      </c>
      <c r="AC33" s="6">
        <f>G33</f>
        <v>111</v>
      </c>
      <c r="AD33" s="6"/>
    </row>
    <row r="34" spans="1:30" ht="19.5" customHeight="1">
      <c r="A34" s="135" t="s">
        <v>1418</v>
      </c>
      <c r="B34" s="135" t="s">
        <v>1303</v>
      </c>
      <c r="C34" s="135">
        <v>46143</v>
      </c>
      <c r="D34" s="135" t="s">
        <v>1419</v>
      </c>
      <c r="E34" s="135" t="s">
        <v>1420</v>
      </c>
      <c r="F34" s="135"/>
      <c r="G34" s="135"/>
      <c r="H34" s="135"/>
      <c r="I34" s="135"/>
      <c r="J34" s="135"/>
      <c r="K34" s="135"/>
      <c r="L34" s="135"/>
      <c r="M34" s="135"/>
      <c r="N34" s="135"/>
      <c r="O34" s="135"/>
      <c r="P34" s="135"/>
      <c r="Q34" s="135"/>
      <c r="R34" s="135"/>
      <c r="S34" s="135"/>
      <c r="T34" s="135"/>
      <c r="U34" s="135"/>
      <c r="V34" s="135"/>
      <c r="W34" s="135"/>
      <c r="X34" s="135">
        <v>3175353344</v>
      </c>
      <c r="Y34" s="135" t="s">
        <v>1421</v>
      </c>
      <c r="Z34" s="135"/>
      <c r="AA34" s="5" t="s">
        <v>18</v>
      </c>
      <c r="AB34" s="5" t="s">
        <v>1298</v>
      </c>
      <c r="AC34" s="6"/>
      <c r="AD34" s="6"/>
    </row>
    <row r="35" spans="1:30" ht="19.5" customHeight="1">
      <c r="A35" s="135" t="s">
        <v>1422</v>
      </c>
      <c r="B35" s="135" t="s">
        <v>343</v>
      </c>
      <c r="C35" s="135">
        <v>47905</v>
      </c>
      <c r="D35" s="135" t="s">
        <v>1423</v>
      </c>
      <c r="E35" s="135" t="s">
        <v>1424</v>
      </c>
      <c r="F35" s="135"/>
      <c r="G35" s="135">
        <v>70</v>
      </c>
      <c r="H35" s="135" t="s">
        <v>1425</v>
      </c>
      <c r="I35" s="135" t="str">
        <f>VLOOKUP(H35,list!$B$2:$C$14,2,FALSE)</f>
        <v>ONSITE</v>
      </c>
      <c r="J35" s="135"/>
      <c r="K35" s="135">
        <v>1</v>
      </c>
      <c r="L35" s="135">
        <v>0</v>
      </c>
      <c r="M35" s="135">
        <v>0</v>
      </c>
      <c r="N35" s="135">
        <v>0</v>
      </c>
      <c r="O35" s="135">
        <v>0</v>
      </c>
      <c r="P35" s="135"/>
      <c r="Q35" s="135">
        <v>0</v>
      </c>
      <c r="R35" s="135"/>
      <c r="S35" s="135"/>
      <c r="T35" s="135" t="s">
        <v>19</v>
      </c>
      <c r="U35" s="135"/>
      <c r="V35" s="135" t="s">
        <v>1255</v>
      </c>
      <c r="W35" s="135">
        <v>7</v>
      </c>
      <c r="X35" s="135" t="s">
        <v>1426</v>
      </c>
      <c r="Y35" s="135" t="s">
        <v>1427</v>
      </c>
      <c r="Z35" s="135" t="s">
        <v>1428</v>
      </c>
      <c r="AA35" s="5" t="s">
        <v>18</v>
      </c>
      <c r="AB35" s="5" t="s">
        <v>1298</v>
      </c>
      <c r="AC35" s="6">
        <f>G35</f>
        <v>70</v>
      </c>
      <c r="AD35" s="6"/>
    </row>
    <row r="36" spans="1:30" ht="19.5" customHeight="1">
      <c r="A36" s="135" t="s">
        <v>112</v>
      </c>
      <c r="B36" s="135"/>
      <c r="C36" s="135">
        <v>46706</v>
      </c>
      <c r="D36" s="135" t="s">
        <v>1429</v>
      </c>
      <c r="E36" s="135" t="s">
        <v>1430</v>
      </c>
      <c r="F36" s="135"/>
      <c r="G36" s="135">
        <v>115</v>
      </c>
      <c r="H36" s="135" t="s">
        <v>1276</v>
      </c>
      <c r="I36" s="135" t="str">
        <f>VLOOKUP(H36,list!$B$2:$C$14,2,FALSE)</f>
        <v>GREEN</v>
      </c>
      <c r="J36" s="135"/>
      <c r="K36" s="135">
        <v>0</v>
      </c>
      <c r="L36" s="135">
        <v>0</v>
      </c>
      <c r="M36" s="135">
        <v>0</v>
      </c>
      <c r="N36" s="135">
        <v>0</v>
      </c>
      <c r="O36" s="135">
        <v>0</v>
      </c>
      <c r="P36" s="135"/>
      <c r="Q36" s="135">
        <v>0</v>
      </c>
      <c r="R36" s="135"/>
      <c r="S36" s="135"/>
      <c r="T36" s="135" t="s">
        <v>30</v>
      </c>
      <c r="U36" s="135" t="s">
        <v>1431</v>
      </c>
      <c r="V36" s="135" t="s">
        <v>1255</v>
      </c>
      <c r="W36" s="135">
        <v>2</v>
      </c>
      <c r="X36" s="135" t="s">
        <v>1432</v>
      </c>
      <c r="Y36" s="135" t="s">
        <v>1433</v>
      </c>
      <c r="Z36" s="135" t="s">
        <v>1434</v>
      </c>
      <c r="AA36" s="5" t="str">
        <f>VLOOKUP(A36,'Form Responses 1'!$C$2:$K$532,6,FALSE)</f>
        <v>Kit delivery and pickup</v>
      </c>
      <c r="AB36" s="5" t="str">
        <f>VLOOKUP(A36,'Form Responses 1'!$C$2:$K$219,7,FALSE)</f>
        <v>No</v>
      </c>
      <c r="AC36" s="6">
        <f>VLOOKUP(A36,'Form Responses 1'!$C$2:$K$219,8,FALSE)</f>
        <v>150</v>
      </c>
      <c r="AD36" s="6" t="str">
        <f>VLOOKUP(A36,'Form Responses 1'!$C$2:$K$219,9,FALSE)</f>
        <v>May have to change number of kits needed but 150 is an estimate</v>
      </c>
    </row>
    <row r="37" spans="1:30" ht="19.5" customHeight="1">
      <c r="A37" s="135" t="s">
        <v>1435</v>
      </c>
      <c r="B37" s="135" t="s">
        <v>343</v>
      </c>
      <c r="C37" s="135">
        <v>46992</v>
      </c>
      <c r="D37" s="135" t="s">
        <v>1436</v>
      </c>
      <c r="E37" s="135" t="s">
        <v>1436</v>
      </c>
      <c r="F37" s="135"/>
      <c r="G37" s="135">
        <v>72</v>
      </c>
      <c r="H37" s="135" t="s">
        <v>1282</v>
      </c>
      <c r="I37" s="135" t="str">
        <f>VLOOKUP(H37,list!$B$2:$C$14,2,FALSE)</f>
        <v>KITS</v>
      </c>
      <c r="J37" s="135"/>
      <c r="K37" s="135">
        <v>0</v>
      </c>
      <c r="L37" s="135">
        <v>0</v>
      </c>
      <c r="M37" s="135">
        <v>0</v>
      </c>
      <c r="N37" s="135">
        <v>0</v>
      </c>
      <c r="O37" s="135">
        <v>0</v>
      </c>
      <c r="P37" s="135"/>
      <c r="Q37" s="135">
        <v>0</v>
      </c>
      <c r="R37" s="135"/>
      <c r="S37" s="135"/>
      <c r="T37" s="135" t="s">
        <v>19</v>
      </c>
      <c r="U37" s="135"/>
      <c r="V37" s="135" t="s">
        <v>1255</v>
      </c>
      <c r="W37" s="135">
        <v>3</v>
      </c>
      <c r="X37" s="135" t="s">
        <v>1437</v>
      </c>
      <c r="Y37" s="135" t="s">
        <v>1438</v>
      </c>
      <c r="Z37" s="135" t="s">
        <v>1439</v>
      </c>
      <c r="AA37" s="5" t="s">
        <v>18</v>
      </c>
      <c r="AB37" s="5" t="s">
        <v>1298</v>
      </c>
      <c r="AC37" s="6">
        <f t="shared" ref="AC37:AC40" si="2">G37</f>
        <v>72</v>
      </c>
      <c r="AD37" s="6"/>
    </row>
    <row r="38" spans="1:30" ht="19.5" customHeight="1">
      <c r="A38" s="135" t="s">
        <v>1440</v>
      </c>
      <c r="B38" s="321" t="s">
        <v>1312</v>
      </c>
      <c r="C38" s="135">
        <v>47150</v>
      </c>
      <c r="D38" s="135" t="s">
        <v>1441</v>
      </c>
      <c r="E38" s="135" t="s">
        <v>1442</v>
      </c>
      <c r="F38" s="135"/>
      <c r="G38" s="135">
        <v>137</v>
      </c>
      <c r="H38" s="135" t="s">
        <v>1276</v>
      </c>
      <c r="I38" s="135" t="str">
        <f>VLOOKUP(H38,list!$B$2:$C$14,2,FALSE)</f>
        <v>GREEN</v>
      </c>
      <c r="J38" s="135"/>
      <c r="K38" s="135">
        <v>0</v>
      </c>
      <c r="L38" s="135">
        <v>0</v>
      </c>
      <c r="M38" s="135">
        <v>0</v>
      </c>
      <c r="N38" s="135">
        <v>0</v>
      </c>
      <c r="O38" s="135">
        <v>0</v>
      </c>
      <c r="P38" s="135"/>
      <c r="Q38" s="135">
        <v>0</v>
      </c>
      <c r="R38" s="135"/>
      <c r="S38" s="135"/>
      <c r="T38" s="135" t="s">
        <v>19</v>
      </c>
      <c r="U38" s="135" t="s">
        <v>1315</v>
      </c>
      <c r="V38" s="135" t="s">
        <v>1255</v>
      </c>
      <c r="W38" s="135">
        <v>2</v>
      </c>
      <c r="X38" s="135" t="s">
        <v>1443</v>
      </c>
      <c r="Y38" s="135" t="s">
        <v>1444</v>
      </c>
      <c r="Z38" s="135" t="s">
        <v>1445</v>
      </c>
      <c r="AA38" s="5" t="s">
        <v>18</v>
      </c>
      <c r="AB38" s="5" t="s">
        <v>1298</v>
      </c>
      <c r="AC38" s="6">
        <f t="shared" si="2"/>
        <v>137</v>
      </c>
      <c r="AD38" s="6"/>
    </row>
    <row r="39" spans="1:30" ht="19.5" customHeight="1">
      <c r="A39" s="135" t="s">
        <v>1446</v>
      </c>
      <c r="B39" s="321" t="s">
        <v>1312</v>
      </c>
      <c r="C39" s="135">
        <v>46383</v>
      </c>
      <c r="D39" s="135" t="s">
        <v>1447</v>
      </c>
      <c r="E39" s="135" t="s">
        <v>1267</v>
      </c>
      <c r="F39" s="135"/>
      <c r="G39" s="135">
        <v>161</v>
      </c>
      <c r="H39" s="135" t="s">
        <v>1276</v>
      </c>
      <c r="I39" s="135" t="str">
        <f>VLOOKUP(H39,list!$B$2:$C$14,2,FALSE)</f>
        <v>GREEN</v>
      </c>
      <c r="J39" s="135"/>
      <c r="K39" s="135">
        <v>0</v>
      </c>
      <c r="L39" s="135">
        <v>0</v>
      </c>
      <c r="M39" s="135">
        <v>0</v>
      </c>
      <c r="N39" s="135">
        <v>0</v>
      </c>
      <c r="O39" s="135">
        <v>0</v>
      </c>
      <c r="P39" s="135"/>
      <c r="Q39" s="135">
        <v>0</v>
      </c>
      <c r="R39" s="135"/>
      <c r="S39" s="135"/>
      <c r="T39" s="135" t="s">
        <v>19</v>
      </c>
      <c r="U39" s="135" t="s">
        <v>1315</v>
      </c>
      <c r="V39" s="135" t="s">
        <v>1255</v>
      </c>
      <c r="W39" s="135">
        <v>2</v>
      </c>
      <c r="X39" s="135" t="s">
        <v>1448</v>
      </c>
      <c r="Y39" s="135" t="s">
        <v>1449</v>
      </c>
      <c r="Z39" s="135" t="s">
        <v>1450</v>
      </c>
      <c r="AA39" s="5" t="s">
        <v>18</v>
      </c>
      <c r="AB39" s="5" t="s">
        <v>1298</v>
      </c>
      <c r="AC39" s="6">
        <f t="shared" si="2"/>
        <v>161</v>
      </c>
      <c r="AD39" s="6"/>
    </row>
    <row r="40" spans="1:30" ht="19.5" customHeight="1">
      <c r="A40" s="135" t="s">
        <v>1451</v>
      </c>
      <c r="B40" s="135" t="s">
        <v>343</v>
      </c>
      <c r="C40" s="135">
        <v>46767</v>
      </c>
      <c r="D40" s="135" t="s">
        <v>1452</v>
      </c>
      <c r="E40" s="135" t="s">
        <v>1453</v>
      </c>
      <c r="F40" s="135"/>
      <c r="G40" s="135">
        <v>80</v>
      </c>
      <c r="H40" s="135" t="s">
        <v>1282</v>
      </c>
      <c r="I40" s="135" t="str">
        <f>VLOOKUP(H40,list!$B$2:$C$14,2,FALSE)</f>
        <v>KITS</v>
      </c>
      <c r="J40" s="135"/>
      <c r="K40" s="135">
        <v>0</v>
      </c>
      <c r="L40" s="135">
        <v>0</v>
      </c>
      <c r="M40" s="135">
        <v>0</v>
      </c>
      <c r="N40" s="135">
        <v>0</v>
      </c>
      <c r="O40" s="135">
        <v>0</v>
      </c>
      <c r="P40" s="135"/>
      <c r="Q40" s="135">
        <v>0</v>
      </c>
      <c r="R40" s="135"/>
      <c r="S40" s="135"/>
      <c r="T40" s="135" t="s">
        <v>19</v>
      </c>
      <c r="U40" s="135"/>
      <c r="V40" s="135" t="s">
        <v>1255</v>
      </c>
      <c r="W40" s="135">
        <v>3</v>
      </c>
      <c r="X40" s="135" t="s">
        <v>1454</v>
      </c>
      <c r="Y40" s="135" t="s">
        <v>1455</v>
      </c>
      <c r="Z40" s="135" t="s">
        <v>1456</v>
      </c>
      <c r="AA40" s="5" t="s">
        <v>18</v>
      </c>
      <c r="AB40" s="5" t="s">
        <v>1298</v>
      </c>
      <c r="AC40" s="6">
        <f t="shared" si="2"/>
        <v>80</v>
      </c>
      <c r="AD40" s="6"/>
    </row>
    <row r="41" spans="1:30" ht="19.5" customHeight="1">
      <c r="A41" s="135" t="s">
        <v>118</v>
      </c>
      <c r="B41" s="135" t="s">
        <v>1265</v>
      </c>
      <c r="C41" s="135">
        <v>46123</v>
      </c>
      <c r="D41" s="135" t="s">
        <v>1457</v>
      </c>
      <c r="E41" s="135" t="s">
        <v>1458</v>
      </c>
      <c r="F41" s="135"/>
      <c r="G41" s="135">
        <v>135</v>
      </c>
      <c r="H41" s="135" t="s">
        <v>1276</v>
      </c>
      <c r="I41" s="135" t="str">
        <f>VLOOKUP(H41,list!$B$2:$C$14,2,FALSE)</f>
        <v>GREEN</v>
      </c>
      <c r="J41" s="135"/>
      <c r="K41" s="135">
        <v>0</v>
      </c>
      <c r="L41" s="135">
        <v>0</v>
      </c>
      <c r="M41" s="135">
        <v>0</v>
      </c>
      <c r="N41" s="135">
        <v>0</v>
      </c>
      <c r="O41" s="135">
        <v>0</v>
      </c>
      <c r="P41" s="135"/>
      <c r="Q41" s="135">
        <v>0</v>
      </c>
      <c r="R41" s="135"/>
      <c r="S41" s="135"/>
      <c r="T41" s="135" t="s">
        <v>19</v>
      </c>
      <c r="U41" s="135"/>
      <c r="V41" s="135" t="s">
        <v>1255</v>
      </c>
      <c r="W41" s="135">
        <v>2</v>
      </c>
      <c r="X41" s="135" t="s">
        <v>1459</v>
      </c>
      <c r="Y41" s="135" t="s">
        <v>1460</v>
      </c>
      <c r="Z41" s="135" t="s">
        <v>1461</v>
      </c>
      <c r="AA41" s="5" t="str">
        <f>VLOOKUP(A41,'Form Responses 1'!$C$2:$K$532,6,FALSE)</f>
        <v>Kit delivery and pickup</v>
      </c>
      <c r="AB41" s="5" t="str">
        <f>VLOOKUP(A41,'Form Responses 1'!$C$2:$K$219,7,FALSE)</f>
        <v>No</v>
      </c>
      <c r="AC41" s="6">
        <f>VLOOKUP(A41,'Form Responses 1'!$C$2:$K$219,8,FALSE)</f>
        <v>150</v>
      </c>
      <c r="AD41" s="6">
        <f>VLOOKUP(A41,'Form Responses 1'!$C$2:$K$219,9,FALSE)</f>
        <v>0</v>
      </c>
    </row>
    <row r="42" spans="1:30" ht="19.5" customHeight="1">
      <c r="A42" s="135" t="s">
        <v>1462</v>
      </c>
      <c r="B42" s="135" t="s">
        <v>1463</v>
      </c>
      <c r="C42" s="135">
        <v>46032</v>
      </c>
      <c r="D42" s="135" t="s">
        <v>1464</v>
      </c>
      <c r="E42" s="135" t="s">
        <v>1294</v>
      </c>
      <c r="F42" s="135"/>
      <c r="G42" s="135">
        <v>173</v>
      </c>
      <c r="H42" s="135" t="s">
        <v>1465</v>
      </c>
      <c r="I42" s="135" t="str">
        <f>VLOOKUP(H42,list!$B$2:$C$14,2,FALSE)</f>
        <v>GREEN</v>
      </c>
      <c r="J42" s="135"/>
      <c r="K42" s="135">
        <v>0</v>
      </c>
      <c r="L42" s="135">
        <v>0</v>
      </c>
      <c r="M42" s="135">
        <v>0</v>
      </c>
      <c r="N42" s="135">
        <v>0</v>
      </c>
      <c r="O42" s="135">
        <v>0</v>
      </c>
      <c r="P42" s="135"/>
      <c r="Q42" s="135">
        <v>0</v>
      </c>
      <c r="R42" s="135"/>
      <c r="S42" s="135"/>
      <c r="T42" s="135" t="s">
        <v>19</v>
      </c>
      <c r="U42" s="135" t="s">
        <v>1466</v>
      </c>
      <c r="V42" s="135" t="s">
        <v>1255</v>
      </c>
      <c r="W42" s="135">
        <v>4</v>
      </c>
      <c r="X42" s="135" t="s">
        <v>1467</v>
      </c>
      <c r="Y42" s="135" t="s">
        <v>1468</v>
      </c>
      <c r="Z42" s="135" t="s">
        <v>1469</v>
      </c>
      <c r="AA42" s="5" t="str">
        <f>VLOOKUP(A42,'Form Responses 1'!$C$2:$K$532,6,FALSE)</f>
        <v>Kit delivery and pickup</v>
      </c>
      <c r="AB42" s="5" t="str">
        <f>VLOOKUP(A42,'Form Responses 1'!$C$2:$K$219,7,FALSE)</f>
        <v>No</v>
      </c>
      <c r="AC42" s="6">
        <f>VLOOKUP(A42,'Form Responses 1'!$C$2:$K$219,8,FALSE)</f>
        <v>170</v>
      </c>
      <c r="AD42" s="6">
        <f>VLOOKUP(A42,'Form Responses 1'!$C$2:$K$219,9,FALSE)</f>
        <v>0</v>
      </c>
    </row>
    <row r="43" spans="1:30" ht="19.5" customHeight="1">
      <c r="A43" s="135" t="s">
        <v>1470</v>
      </c>
      <c r="B43" s="135" t="s">
        <v>343</v>
      </c>
      <c r="C43" s="135">
        <v>46107</v>
      </c>
      <c r="D43" s="135" t="s">
        <v>1471</v>
      </c>
      <c r="E43" s="135" t="s">
        <v>1290</v>
      </c>
      <c r="F43" s="135"/>
      <c r="G43" s="135">
        <v>155</v>
      </c>
      <c r="H43" s="135" t="s">
        <v>1282</v>
      </c>
      <c r="I43" s="135" t="str">
        <f>VLOOKUP(H43,list!$B$2:$C$14,2,FALSE)</f>
        <v>KITS</v>
      </c>
      <c r="J43" s="135"/>
      <c r="K43" s="135">
        <v>0</v>
      </c>
      <c r="L43" s="135">
        <v>0</v>
      </c>
      <c r="M43" s="135">
        <v>0</v>
      </c>
      <c r="N43" s="135">
        <v>0</v>
      </c>
      <c r="O43" s="135">
        <v>0</v>
      </c>
      <c r="P43" s="135"/>
      <c r="Q43" s="135">
        <v>0</v>
      </c>
      <c r="R43" s="135"/>
      <c r="S43" s="135"/>
      <c r="T43" s="135" t="s">
        <v>19</v>
      </c>
      <c r="U43" s="135"/>
      <c r="V43" s="135" t="s">
        <v>1255</v>
      </c>
      <c r="W43" s="135">
        <v>3</v>
      </c>
      <c r="X43" s="135" t="s">
        <v>1472</v>
      </c>
      <c r="Y43" s="135" t="s">
        <v>1473</v>
      </c>
      <c r="Z43" s="135" t="s">
        <v>1474</v>
      </c>
      <c r="AA43" s="5" t="s">
        <v>18</v>
      </c>
      <c r="AB43" s="5" t="s">
        <v>1298</v>
      </c>
      <c r="AC43" s="6">
        <f>G43</f>
        <v>155</v>
      </c>
      <c r="AD43" s="6"/>
    </row>
    <row r="44" spans="1:30" ht="19.5" customHeight="1">
      <c r="A44" s="135" t="s">
        <v>1475</v>
      </c>
      <c r="B44" s="135" t="s">
        <v>1303</v>
      </c>
      <c r="C44" s="135">
        <v>47408</v>
      </c>
      <c r="D44" s="135" t="s">
        <v>1476</v>
      </c>
      <c r="E44" s="135" t="s">
        <v>1477</v>
      </c>
      <c r="F44" s="135"/>
      <c r="G44" s="135"/>
      <c r="H44" s="135"/>
      <c r="I44" s="135"/>
      <c r="J44" s="135"/>
      <c r="K44" s="135"/>
      <c r="L44" s="135"/>
      <c r="M44" s="135"/>
      <c r="N44" s="135"/>
      <c r="O44" s="135"/>
      <c r="P44" s="135"/>
      <c r="Q44" s="135"/>
      <c r="R44" s="135"/>
      <c r="S44" s="135"/>
      <c r="T44" s="135"/>
      <c r="U44" s="135"/>
      <c r="V44" s="135"/>
      <c r="W44" s="135"/>
      <c r="X44" s="135">
        <v>8123232858</v>
      </c>
      <c r="Y44" s="135" t="s">
        <v>1478</v>
      </c>
      <c r="Z44" s="135"/>
      <c r="AA44" s="5" t="s">
        <v>18</v>
      </c>
      <c r="AB44" s="5" t="s">
        <v>1298</v>
      </c>
      <c r="AC44" s="6"/>
      <c r="AD44" s="6"/>
    </row>
    <row r="45" spans="1:30" ht="19.5" customHeight="1">
      <c r="A45" s="135" t="s">
        <v>132</v>
      </c>
      <c r="B45" s="135"/>
      <c r="C45" s="135">
        <v>46530</v>
      </c>
      <c r="D45" s="135" t="s">
        <v>1479</v>
      </c>
      <c r="E45" s="135" t="s">
        <v>1480</v>
      </c>
      <c r="F45" s="135"/>
      <c r="G45" s="135">
        <v>100</v>
      </c>
      <c r="H45" s="135" t="s">
        <v>1276</v>
      </c>
      <c r="I45" s="135" t="str">
        <f>VLOOKUP(H45,list!$B$2:$C$14,2,FALSE)</f>
        <v>GREEN</v>
      </c>
      <c r="J45" s="135"/>
      <c r="K45" s="135">
        <v>0</v>
      </c>
      <c r="L45" s="135">
        <v>0</v>
      </c>
      <c r="M45" s="135">
        <v>0</v>
      </c>
      <c r="N45" s="135">
        <v>0</v>
      </c>
      <c r="O45" s="135">
        <v>0</v>
      </c>
      <c r="P45" s="135"/>
      <c r="Q45" s="135">
        <v>0</v>
      </c>
      <c r="R45" s="135"/>
      <c r="S45" s="135"/>
      <c r="T45" s="135" t="s">
        <v>30</v>
      </c>
      <c r="U45" s="135" t="s">
        <v>1481</v>
      </c>
      <c r="V45" s="135" t="s">
        <v>1255</v>
      </c>
      <c r="W45" s="135">
        <v>2</v>
      </c>
      <c r="X45" s="135" t="s">
        <v>1482</v>
      </c>
      <c r="Y45" s="135" t="s">
        <v>1483</v>
      </c>
      <c r="Z45" s="135" t="s">
        <v>1484</v>
      </c>
      <c r="AA45" s="5" t="str">
        <f>VLOOKUP(A45,'Form Responses 1'!$C$2:$K$532,6,FALSE)</f>
        <v>Kit delivery and pickup</v>
      </c>
      <c r="AB45" s="5" t="str">
        <f>VLOOKUP(A45,'Form Responses 1'!$C$2:$K$219,7,FALSE)</f>
        <v>No</v>
      </c>
      <c r="AC45" s="6">
        <f>VLOOKUP(A45,'Form Responses 1'!$C$2:$K$219,8,FALSE)</f>
        <v>100</v>
      </c>
      <c r="AD45" s="6">
        <f>VLOOKUP(A45,'Form Responses 1'!$C$2:$K$219,9,FALSE)</f>
        <v>0</v>
      </c>
    </row>
    <row r="46" spans="1:30" ht="19.5" customHeight="1">
      <c r="A46" s="135" t="s">
        <v>1485</v>
      </c>
      <c r="B46" s="135" t="s">
        <v>343</v>
      </c>
      <c r="C46" s="135">
        <v>47933</v>
      </c>
      <c r="D46" s="135" t="s">
        <v>1486</v>
      </c>
      <c r="E46" s="135" t="s">
        <v>1487</v>
      </c>
      <c r="F46" s="135"/>
      <c r="G46" s="135">
        <v>114</v>
      </c>
      <c r="H46" s="135" t="s">
        <v>1282</v>
      </c>
      <c r="I46" s="135" t="str">
        <f>VLOOKUP(H46,list!$B$2:$C$14,2,FALSE)</f>
        <v>KITS</v>
      </c>
      <c r="J46" s="135"/>
      <c r="K46" s="135">
        <v>0</v>
      </c>
      <c r="L46" s="135">
        <v>0</v>
      </c>
      <c r="M46" s="135">
        <v>0</v>
      </c>
      <c r="N46" s="135">
        <v>0</v>
      </c>
      <c r="O46" s="135">
        <v>0</v>
      </c>
      <c r="P46" s="135"/>
      <c r="Q46" s="135">
        <v>0</v>
      </c>
      <c r="R46" s="135"/>
      <c r="S46" s="135"/>
      <c r="T46" s="135" t="s">
        <v>19</v>
      </c>
      <c r="U46" s="135"/>
      <c r="V46" s="135" t="s">
        <v>1255</v>
      </c>
      <c r="W46" s="135">
        <v>3</v>
      </c>
      <c r="X46" s="135" t="s">
        <v>1488</v>
      </c>
      <c r="Y46" s="135" t="s">
        <v>1489</v>
      </c>
      <c r="Z46" s="135" t="s">
        <v>1490</v>
      </c>
      <c r="AA46" s="5" t="s">
        <v>18</v>
      </c>
      <c r="AB46" s="5" t="s">
        <v>1298</v>
      </c>
      <c r="AC46" s="6">
        <f>G46</f>
        <v>114</v>
      </c>
      <c r="AD46" s="6"/>
    </row>
    <row r="47" spans="1:30" ht="19.5" customHeight="1">
      <c r="A47" s="135" t="s">
        <v>137</v>
      </c>
      <c r="B47" s="135"/>
      <c r="C47" s="135">
        <v>47562</v>
      </c>
      <c r="D47" s="135" t="s">
        <v>1491</v>
      </c>
      <c r="E47" s="135" t="s">
        <v>1492</v>
      </c>
      <c r="F47" s="135" t="s">
        <v>30</v>
      </c>
      <c r="G47" s="135">
        <v>90</v>
      </c>
      <c r="H47" s="135" t="s">
        <v>1282</v>
      </c>
      <c r="I47" s="135" t="str">
        <f>VLOOKUP(H47,list!$B$2:$C$14,2,FALSE)</f>
        <v>KITS</v>
      </c>
      <c r="J47" s="135"/>
      <c r="K47" s="135">
        <v>0</v>
      </c>
      <c r="L47" s="135">
        <v>0</v>
      </c>
      <c r="M47" s="135">
        <v>0</v>
      </c>
      <c r="N47" s="135">
        <v>0</v>
      </c>
      <c r="O47" s="135">
        <v>0</v>
      </c>
      <c r="P47" s="135"/>
      <c r="Q47" s="135">
        <v>0</v>
      </c>
      <c r="R47" s="135"/>
      <c r="S47" s="135"/>
      <c r="T47" s="135" t="s">
        <v>30</v>
      </c>
      <c r="U47" s="135" t="s">
        <v>1493</v>
      </c>
      <c r="V47" s="135" t="s">
        <v>1255</v>
      </c>
      <c r="W47" s="135">
        <v>3</v>
      </c>
      <c r="X47" s="135" t="s">
        <v>1494</v>
      </c>
      <c r="Y47" s="135" t="s">
        <v>1495</v>
      </c>
      <c r="Z47" s="135" t="s">
        <v>1496</v>
      </c>
      <c r="AA47" s="5" t="str">
        <f>VLOOKUP(A47,'Form Responses 1'!$C$2:$K$532,6,FALSE)</f>
        <v>Kit delivery and pickup</v>
      </c>
      <c r="AB47" s="5" t="str">
        <f>VLOOKUP(A47,'Form Responses 1'!$C$2:$K$219,7,FALSE)</f>
        <v>Yes</v>
      </c>
      <c r="AC47" s="6">
        <f>VLOOKUP(A47,'Form Responses 1'!$C$2:$K$219,8,FALSE)</f>
        <v>99</v>
      </c>
      <c r="AD47" s="6" t="str">
        <f>VLOOKUP(A47,'Form Responses 1'!$C$2:$K$219,9,FALSE)</f>
        <v>Had 24 staff tested pos in April and May. Do they need to be retested for June?</v>
      </c>
    </row>
    <row r="48" spans="1:30" ht="19.5" customHeight="1">
      <c r="A48" s="135" t="s">
        <v>1497</v>
      </c>
      <c r="B48" s="135" t="s">
        <v>1312</v>
      </c>
      <c r="C48" s="135">
        <v>46012</v>
      </c>
      <c r="D48" s="135" t="s">
        <v>1498</v>
      </c>
      <c r="E48" s="135" t="s">
        <v>1281</v>
      </c>
      <c r="F48" s="135"/>
      <c r="G48" s="135">
        <v>65</v>
      </c>
      <c r="H48" s="135" t="s">
        <v>1276</v>
      </c>
      <c r="I48" s="135" t="str">
        <f>VLOOKUP(H48,list!$B$2:$C$14,2,FALSE)</f>
        <v>GREEN</v>
      </c>
      <c r="J48" s="135"/>
      <c r="K48" s="135">
        <v>0</v>
      </c>
      <c r="L48" s="135">
        <v>0</v>
      </c>
      <c r="M48" s="135">
        <v>0</v>
      </c>
      <c r="N48" s="135">
        <v>0</v>
      </c>
      <c r="O48" s="135">
        <v>0</v>
      </c>
      <c r="P48" s="135"/>
      <c r="Q48" s="135">
        <v>0</v>
      </c>
      <c r="R48" s="135"/>
      <c r="S48" s="135"/>
      <c r="T48" s="135" t="s">
        <v>19</v>
      </c>
      <c r="U48" s="135" t="s">
        <v>1315</v>
      </c>
      <c r="V48" s="135" t="s">
        <v>1255</v>
      </c>
      <c r="W48" s="135">
        <v>2</v>
      </c>
      <c r="X48" s="135" t="s">
        <v>1499</v>
      </c>
      <c r="Y48" s="135" t="s">
        <v>1500</v>
      </c>
      <c r="Z48" s="135" t="s">
        <v>1501</v>
      </c>
      <c r="AA48" s="5" t="s">
        <v>18</v>
      </c>
      <c r="AB48" s="5" t="s">
        <v>1298</v>
      </c>
      <c r="AC48" s="6">
        <f t="shared" ref="AC48:AC49" si="3">G48</f>
        <v>65</v>
      </c>
      <c r="AD48" s="6"/>
    </row>
    <row r="49" spans="1:30" ht="19.5" customHeight="1">
      <c r="A49" s="135" t="s">
        <v>1502</v>
      </c>
      <c r="B49" s="135" t="s">
        <v>343</v>
      </c>
      <c r="C49" s="135">
        <v>46227</v>
      </c>
      <c r="D49" s="135" t="s">
        <v>1289</v>
      </c>
      <c r="E49" s="135" t="s">
        <v>1290</v>
      </c>
      <c r="F49" s="135"/>
      <c r="G49" s="135">
        <v>100</v>
      </c>
      <c r="H49" s="135" t="s">
        <v>1282</v>
      </c>
      <c r="I49" s="135" t="str">
        <f>VLOOKUP(H49,list!$B$2:$C$14,2,FALSE)</f>
        <v>KITS</v>
      </c>
      <c r="J49" s="135"/>
      <c r="K49" s="135">
        <v>0</v>
      </c>
      <c r="L49" s="135">
        <v>0</v>
      </c>
      <c r="M49" s="135">
        <v>0</v>
      </c>
      <c r="N49" s="135">
        <v>0</v>
      </c>
      <c r="O49" s="135">
        <v>0</v>
      </c>
      <c r="P49" s="135"/>
      <c r="Q49" s="135">
        <v>0</v>
      </c>
      <c r="R49" s="135"/>
      <c r="S49" s="135"/>
      <c r="T49" s="135" t="s">
        <v>19</v>
      </c>
      <c r="U49" s="135"/>
      <c r="V49" s="135" t="s">
        <v>1255</v>
      </c>
      <c r="W49" s="135">
        <v>3</v>
      </c>
      <c r="X49" s="135" t="s">
        <v>1503</v>
      </c>
      <c r="Y49" s="135" t="s">
        <v>1504</v>
      </c>
      <c r="Z49" s="135" t="s">
        <v>1505</v>
      </c>
      <c r="AA49" s="5" t="s">
        <v>18</v>
      </c>
      <c r="AB49" s="5" t="s">
        <v>1298</v>
      </c>
      <c r="AC49" s="6">
        <f t="shared" si="3"/>
        <v>100</v>
      </c>
      <c r="AD49" s="6"/>
    </row>
    <row r="50" spans="1:30" ht="19.5" customHeight="1">
      <c r="A50" s="135" t="s">
        <v>142</v>
      </c>
      <c r="B50" s="135"/>
      <c r="C50" s="135">
        <v>47710</v>
      </c>
      <c r="D50" s="135" t="s">
        <v>1506</v>
      </c>
      <c r="E50" s="135" t="s">
        <v>1507</v>
      </c>
      <c r="F50" s="135"/>
      <c r="G50" s="135">
        <v>100</v>
      </c>
      <c r="H50" s="135" t="s">
        <v>1326</v>
      </c>
      <c r="I50" s="135" t="str">
        <f>VLOOKUP(H50,list!$B$2:$C$14,2,FALSE)</f>
        <v>ONSITE</v>
      </c>
      <c r="J50" s="135"/>
      <c r="K50" s="135">
        <v>1</v>
      </c>
      <c r="L50" s="135">
        <v>0</v>
      </c>
      <c r="M50" s="135">
        <v>0</v>
      </c>
      <c r="N50" s="135">
        <v>0</v>
      </c>
      <c r="O50" s="135">
        <v>0</v>
      </c>
      <c r="P50" s="135"/>
      <c r="Q50" s="135">
        <v>0</v>
      </c>
      <c r="R50" s="135"/>
      <c r="S50" s="135" t="s">
        <v>1508</v>
      </c>
      <c r="T50" s="135" t="s">
        <v>19</v>
      </c>
      <c r="U50" s="135" t="s">
        <v>1509</v>
      </c>
      <c r="V50" s="135" t="s">
        <v>1255</v>
      </c>
      <c r="W50" s="135">
        <v>1</v>
      </c>
      <c r="X50" s="135" t="s">
        <v>1510</v>
      </c>
      <c r="Y50" s="135" t="s">
        <v>1511</v>
      </c>
      <c r="Z50" s="135" t="s">
        <v>1512</v>
      </c>
      <c r="AA50" s="5" t="str">
        <f>VLOOKUP(A50,'Form Responses 1'!$C$2:$K$532,6,FALSE)</f>
        <v>Kit delivery and pickup</v>
      </c>
      <c r="AB50" s="5" t="str">
        <f>VLOOKUP(A50,'Form Responses 1'!$C$2:$K$219,7,FALSE)</f>
        <v>Yes</v>
      </c>
      <c r="AC50" s="6">
        <f>VLOOKUP(A50,'Form Responses 1'!$C$2:$K$219,8,FALSE)</f>
        <v>114</v>
      </c>
      <c r="AD50" s="6" t="str">
        <f>VLOOKUP(A50,'Form Responses 1'!$C$2:$K$219,9,FALSE)</f>
        <v>direct cell# added and email verified. (Majority of time was waiting on hold for ED)</v>
      </c>
    </row>
    <row r="51" spans="1:30" ht="19.5" customHeight="1">
      <c r="A51" s="135" t="s">
        <v>147</v>
      </c>
      <c r="B51" s="135" t="s">
        <v>1265</v>
      </c>
      <c r="C51" s="135">
        <v>47304</v>
      </c>
      <c r="D51" s="135" t="s">
        <v>1513</v>
      </c>
      <c r="E51" s="135" t="s">
        <v>1275</v>
      </c>
      <c r="F51" s="135"/>
      <c r="G51" s="135">
        <v>150</v>
      </c>
      <c r="H51" s="135" t="s">
        <v>1268</v>
      </c>
      <c r="I51" s="135" t="str">
        <f>VLOOKUP(H51,list!$B$2:$C$14,2,FALSE)</f>
        <v>KITS</v>
      </c>
      <c r="J51" s="135"/>
      <c r="K51" s="135">
        <v>0</v>
      </c>
      <c r="L51" s="135">
        <v>0</v>
      </c>
      <c r="M51" s="135">
        <v>0</v>
      </c>
      <c r="N51" s="135">
        <v>0</v>
      </c>
      <c r="O51" s="135">
        <v>0</v>
      </c>
      <c r="P51" s="135"/>
      <c r="Q51" s="135">
        <v>0</v>
      </c>
      <c r="R51" s="135"/>
      <c r="S51" s="135"/>
      <c r="T51" s="135" t="s">
        <v>30</v>
      </c>
      <c r="U51" s="135"/>
      <c r="V51" s="135" t="s">
        <v>1255</v>
      </c>
      <c r="W51" s="135">
        <v>5</v>
      </c>
      <c r="X51" s="135" t="s">
        <v>1514</v>
      </c>
      <c r="Y51" s="135" t="s">
        <v>1515</v>
      </c>
      <c r="Z51" s="135" t="s">
        <v>1516</v>
      </c>
      <c r="AA51" s="5" t="str">
        <f>VLOOKUP(A51,'Form Responses 1'!$C$2:$K$532,6,FALSE)</f>
        <v>Kit delivery and pickup</v>
      </c>
      <c r="AB51" s="5" t="str">
        <f>VLOOKUP(A51,'Form Responses 1'!$C$2:$K$219,7,FALSE)</f>
        <v>No</v>
      </c>
      <c r="AC51" s="6">
        <f>VLOOKUP(A51,'Form Responses 1'!$C$2:$K$219,8,FALSE)</f>
        <v>160</v>
      </c>
      <c r="AD51" s="6">
        <f>VLOOKUP(A51,'Form Responses 1'!$C$2:$K$219,9,FALSE)</f>
        <v>0</v>
      </c>
    </row>
    <row r="52" spans="1:30" ht="19.5" customHeight="1">
      <c r="A52" s="135" t="s">
        <v>1517</v>
      </c>
      <c r="B52" s="135" t="s">
        <v>343</v>
      </c>
      <c r="C52" s="135">
        <v>46835</v>
      </c>
      <c r="D52" s="135" t="s">
        <v>1343</v>
      </c>
      <c r="E52" s="135" t="s">
        <v>1252</v>
      </c>
      <c r="F52" s="135"/>
      <c r="G52" s="135">
        <v>99</v>
      </c>
      <c r="H52" s="135" t="s">
        <v>1282</v>
      </c>
      <c r="I52" s="135" t="str">
        <f>VLOOKUP(H52,list!$B$2:$C$14,2,FALSE)</f>
        <v>KITS</v>
      </c>
      <c r="J52" s="135"/>
      <c r="K52" s="135">
        <v>0</v>
      </c>
      <c r="L52" s="135">
        <v>0</v>
      </c>
      <c r="M52" s="135">
        <v>0</v>
      </c>
      <c r="N52" s="135">
        <v>0</v>
      </c>
      <c r="O52" s="135">
        <v>0</v>
      </c>
      <c r="P52" s="135"/>
      <c r="Q52" s="135">
        <v>0</v>
      </c>
      <c r="R52" s="135"/>
      <c r="S52" s="135"/>
      <c r="T52" s="135" t="s">
        <v>19</v>
      </c>
      <c r="U52" s="135"/>
      <c r="V52" s="135" t="s">
        <v>1255</v>
      </c>
      <c r="W52" s="135">
        <v>3</v>
      </c>
      <c r="X52" s="135" t="s">
        <v>1518</v>
      </c>
      <c r="Y52" s="135" t="s">
        <v>1519</v>
      </c>
      <c r="Z52" s="135" t="s">
        <v>1520</v>
      </c>
      <c r="AA52" s="5" t="s">
        <v>18</v>
      </c>
      <c r="AB52" s="5" t="s">
        <v>1298</v>
      </c>
      <c r="AC52" s="6">
        <f t="shared" ref="AC52:AC54" si="4">G52</f>
        <v>99</v>
      </c>
      <c r="AD52" s="6"/>
    </row>
    <row r="53" spans="1:30" ht="19.5" customHeight="1">
      <c r="A53" s="135" t="s">
        <v>1521</v>
      </c>
      <c r="B53" s="135" t="s">
        <v>343</v>
      </c>
      <c r="C53" s="135">
        <v>46706</v>
      </c>
      <c r="D53" s="135" t="s">
        <v>1429</v>
      </c>
      <c r="E53" s="135" t="s">
        <v>1430</v>
      </c>
      <c r="F53" s="135"/>
      <c r="G53" s="135">
        <v>125</v>
      </c>
      <c r="H53" s="135" t="s">
        <v>1282</v>
      </c>
      <c r="I53" s="135" t="str">
        <f>VLOOKUP(H53,list!$B$2:$C$14,2,FALSE)</f>
        <v>KITS</v>
      </c>
      <c r="J53" s="135"/>
      <c r="K53" s="135">
        <v>0</v>
      </c>
      <c r="L53" s="135">
        <v>0</v>
      </c>
      <c r="M53" s="135">
        <v>0</v>
      </c>
      <c r="N53" s="135">
        <v>0</v>
      </c>
      <c r="O53" s="135">
        <v>0</v>
      </c>
      <c r="P53" s="135"/>
      <c r="Q53" s="135">
        <v>0</v>
      </c>
      <c r="R53" s="135"/>
      <c r="S53" s="135"/>
      <c r="T53" s="135" t="s">
        <v>19</v>
      </c>
      <c r="U53" s="135"/>
      <c r="V53" s="135" t="s">
        <v>1255</v>
      </c>
      <c r="W53" s="135">
        <v>3</v>
      </c>
      <c r="X53" s="135" t="s">
        <v>1522</v>
      </c>
      <c r="Y53" s="135" t="s">
        <v>1523</v>
      </c>
      <c r="Z53" s="135" t="s">
        <v>1434</v>
      </c>
      <c r="AA53" s="5" t="s">
        <v>18</v>
      </c>
      <c r="AB53" s="5" t="s">
        <v>1298</v>
      </c>
      <c r="AC53" s="6">
        <f t="shared" si="4"/>
        <v>125</v>
      </c>
      <c r="AD53" s="6"/>
    </row>
    <row r="54" spans="1:30" ht="19.5" customHeight="1">
      <c r="A54" s="135" t="s">
        <v>1524</v>
      </c>
      <c r="B54" s="321" t="s">
        <v>1312</v>
      </c>
      <c r="C54" s="135">
        <v>46970</v>
      </c>
      <c r="D54" s="135" t="s">
        <v>1364</v>
      </c>
      <c r="E54" s="135" t="s">
        <v>1365</v>
      </c>
      <c r="F54" s="135"/>
      <c r="G54" s="135">
        <v>117</v>
      </c>
      <c r="H54" s="135" t="s">
        <v>1276</v>
      </c>
      <c r="I54" s="135" t="str">
        <f>VLOOKUP(H54,list!$B$2:$C$14,2,FALSE)</f>
        <v>GREEN</v>
      </c>
      <c r="J54" s="135"/>
      <c r="K54" s="135">
        <v>0</v>
      </c>
      <c r="L54" s="135">
        <v>0</v>
      </c>
      <c r="M54" s="135">
        <v>0</v>
      </c>
      <c r="N54" s="135">
        <v>0</v>
      </c>
      <c r="O54" s="135">
        <v>0</v>
      </c>
      <c r="P54" s="135"/>
      <c r="Q54" s="135">
        <v>0</v>
      </c>
      <c r="R54" s="135"/>
      <c r="S54" s="135"/>
      <c r="T54" s="135" t="s">
        <v>19</v>
      </c>
      <c r="U54" s="135" t="s">
        <v>1315</v>
      </c>
      <c r="V54" s="135" t="s">
        <v>1255</v>
      </c>
      <c r="W54" s="135">
        <v>2</v>
      </c>
      <c r="X54" s="135" t="s">
        <v>1525</v>
      </c>
      <c r="Y54" s="135" t="s">
        <v>1526</v>
      </c>
      <c r="Z54" s="135" t="s">
        <v>1369</v>
      </c>
      <c r="AA54" s="5" t="s">
        <v>18</v>
      </c>
      <c r="AB54" s="5" t="s">
        <v>1298</v>
      </c>
      <c r="AC54" s="6">
        <f t="shared" si="4"/>
        <v>117</v>
      </c>
      <c r="AD54" s="6"/>
    </row>
    <row r="55" spans="1:30" ht="19.5" customHeight="1">
      <c r="A55" s="135" t="s">
        <v>152</v>
      </c>
      <c r="B55" s="135" t="s">
        <v>1527</v>
      </c>
      <c r="C55" s="135">
        <v>47401</v>
      </c>
      <c r="D55" s="135" t="s">
        <v>1476</v>
      </c>
      <c r="E55" s="135" t="s">
        <v>1477</v>
      </c>
      <c r="F55" s="135"/>
      <c r="G55" s="135">
        <v>36</v>
      </c>
      <c r="H55" s="135" t="s">
        <v>1425</v>
      </c>
      <c r="I55" s="135" t="str">
        <f>VLOOKUP(H55,list!$B$2:$C$14,2,FALSE)</f>
        <v>ONSITE</v>
      </c>
      <c r="J55" s="135"/>
      <c r="K55" s="135">
        <v>1</v>
      </c>
      <c r="L55" s="135">
        <v>0</v>
      </c>
      <c r="M55" s="135">
        <v>0</v>
      </c>
      <c r="N55" s="135">
        <v>0</v>
      </c>
      <c r="O55" s="135">
        <v>0</v>
      </c>
      <c r="P55" s="135"/>
      <c r="Q55" s="135">
        <v>1</v>
      </c>
      <c r="R55" s="135" t="s">
        <v>1528</v>
      </c>
      <c r="S55" s="135"/>
      <c r="T55" s="135" t="s">
        <v>30</v>
      </c>
      <c r="U55" s="135"/>
      <c r="V55" s="135" t="s">
        <v>1255</v>
      </c>
      <c r="W55" s="135">
        <v>7</v>
      </c>
      <c r="X55" s="135" t="s">
        <v>1529</v>
      </c>
      <c r="Y55" s="135" t="s">
        <v>1530</v>
      </c>
      <c r="Z55" s="135" t="s">
        <v>1531</v>
      </c>
      <c r="AA55" s="5" t="str">
        <f>VLOOKUP(A55,'Form Responses 1'!$C$2:$K$532,6,FALSE)</f>
        <v>Kit delivery and pickup</v>
      </c>
      <c r="AB55" s="5" t="str">
        <f>VLOOKUP(A55,'Form Responses 1'!$C$2:$K$219,7,FALSE)</f>
        <v>No</v>
      </c>
      <c r="AC55" s="6">
        <f>VLOOKUP(A55,'Form Responses 1'!$C$2:$K$219,8,FALSE)</f>
        <v>50</v>
      </c>
      <c r="AD55" s="6" t="str">
        <f>VLOOKUP(A55,'Form Responses 1'!$C$2:$K$219,9,FALSE)</f>
        <v>The DON &amp; MDS were tested at the Armory on June 1st and were negative. Do they need to retest?</v>
      </c>
    </row>
    <row r="56" spans="1:30" ht="19.5" customHeight="1">
      <c r="A56" s="135" t="s">
        <v>1532</v>
      </c>
      <c r="B56" s="135"/>
      <c r="C56" s="135">
        <v>46714</v>
      </c>
      <c r="D56" s="135" t="s">
        <v>1533</v>
      </c>
      <c r="E56" s="135" t="s">
        <v>1534</v>
      </c>
      <c r="F56" s="135"/>
      <c r="G56" s="135">
        <v>50</v>
      </c>
      <c r="H56" s="135" t="s">
        <v>1253</v>
      </c>
      <c r="I56" s="135" t="str">
        <f>VLOOKUP(H56,list!$B$2:$C$14,2,FALSE)</f>
        <v>KITS</v>
      </c>
      <c r="J56" s="135"/>
      <c r="K56" s="135">
        <v>0</v>
      </c>
      <c r="L56" s="135">
        <v>0</v>
      </c>
      <c r="M56" s="135">
        <v>0</v>
      </c>
      <c r="N56" s="135">
        <v>0</v>
      </c>
      <c r="O56" s="135">
        <v>0</v>
      </c>
      <c r="P56" s="135"/>
      <c r="Q56" s="135">
        <v>0</v>
      </c>
      <c r="R56" s="135"/>
      <c r="S56" s="135"/>
      <c r="T56" s="135" t="s">
        <v>30</v>
      </c>
      <c r="U56" s="135" t="s">
        <v>1535</v>
      </c>
      <c r="V56" s="135" t="s">
        <v>1255</v>
      </c>
      <c r="W56" s="135">
        <v>6</v>
      </c>
      <c r="X56" s="135" t="s">
        <v>1536</v>
      </c>
      <c r="Y56" s="135" t="s">
        <v>1537</v>
      </c>
      <c r="Z56" s="135" t="s">
        <v>1538</v>
      </c>
      <c r="AA56" s="5" t="e">
        <f>VLOOKUP(A56,'Form Responses 1'!$C$2:$K$532,6,FALSE)</f>
        <v>#N/A</v>
      </c>
      <c r="AB56" s="5" t="e">
        <f>VLOOKUP(A56,'Form Responses 1'!$C$2:$K$219,7,FALSE)</f>
        <v>#N/A</v>
      </c>
      <c r="AC56" s="6" t="e">
        <f>VLOOKUP(A56,'Form Responses 1'!$C$2:$K$219,8,FALSE)</f>
        <v>#N/A</v>
      </c>
      <c r="AD56" s="6" t="e">
        <f>VLOOKUP(A56,'Form Responses 1'!$C$2:$K$219,9,FALSE)</f>
        <v>#N/A</v>
      </c>
    </row>
    <row r="57" spans="1:30" ht="19.5" customHeight="1">
      <c r="A57" s="135" t="s">
        <v>157</v>
      </c>
      <c r="B57" s="135"/>
      <c r="C57" s="135">
        <v>47710</v>
      </c>
      <c r="D57" s="135" t="s">
        <v>1506</v>
      </c>
      <c r="E57" s="135" t="s">
        <v>1507</v>
      </c>
      <c r="F57" s="135"/>
      <c r="G57" s="135">
        <v>60</v>
      </c>
      <c r="H57" s="135" t="s">
        <v>1276</v>
      </c>
      <c r="I57" s="135" t="str">
        <f>VLOOKUP(H57,list!$B$2:$C$14,2,FALSE)</f>
        <v>GREEN</v>
      </c>
      <c r="J57" s="135"/>
      <c r="K57" s="135">
        <v>0</v>
      </c>
      <c r="L57" s="135">
        <v>0</v>
      </c>
      <c r="M57" s="135">
        <v>0</v>
      </c>
      <c r="N57" s="135">
        <v>0</v>
      </c>
      <c r="O57" s="135">
        <v>0</v>
      </c>
      <c r="P57" s="135"/>
      <c r="Q57" s="135">
        <v>0</v>
      </c>
      <c r="R57" s="135"/>
      <c r="S57" s="135"/>
      <c r="T57" s="135" t="s">
        <v>30</v>
      </c>
      <c r="U57" s="135" t="s">
        <v>1539</v>
      </c>
      <c r="V57" s="135" t="s">
        <v>1255</v>
      </c>
      <c r="W57" s="135">
        <v>2</v>
      </c>
      <c r="X57" s="135" t="s">
        <v>1540</v>
      </c>
      <c r="Y57" s="135" t="s">
        <v>1541</v>
      </c>
      <c r="Z57" s="135" t="s">
        <v>1512</v>
      </c>
      <c r="AA57" s="5" t="str">
        <f>VLOOKUP(A57,'Form Responses 1'!$C$2:$K$532,6,FALSE)</f>
        <v>Onsite sample collection by ISDH team</v>
      </c>
      <c r="AB57" s="5">
        <f>VLOOKUP(A57,'Form Responses 1'!$C$2:$K$219,7,FALSE)</f>
        <v>0</v>
      </c>
      <c r="AC57" s="6">
        <f>VLOOKUP(A57,'Form Responses 1'!$C$2:$K$219,8,FALSE)</f>
        <v>60</v>
      </c>
      <c r="AD57" s="6" t="str">
        <f>VLOOKUP(A57,'Form Responses 1'!$C$2:$K$219,9,FALSE)</f>
        <v>ED is in a study with ISDH and will have NP swab and serum test both today. Independently owned and will need ISDH to come into facility to test staff. Reviewed time frame. Added ED's cell#.</v>
      </c>
    </row>
    <row r="58" spans="1:30" ht="19.5" customHeight="1">
      <c r="A58" s="135" t="s">
        <v>162</v>
      </c>
      <c r="B58" s="135"/>
      <c r="C58" s="135">
        <v>47882</v>
      </c>
      <c r="D58" s="135" t="s">
        <v>1542</v>
      </c>
      <c r="E58" s="135" t="s">
        <v>1542</v>
      </c>
      <c r="F58" s="135"/>
      <c r="G58" s="135">
        <v>60</v>
      </c>
      <c r="H58" s="135" t="s">
        <v>1282</v>
      </c>
      <c r="I58" s="135" t="str">
        <f>VLOOKUP(H58,list!$B$2:$C$14,2,FALSE)</f>
        <v>KITS</v>
      </c>
      <c r="J58" s="135"/>
      <c r="K58" s="135">
        <v>0</v>
      </c>
      <c r="L58" s="135">
        <v>0</v>
      </c>
      <c r="M58" s="135">
        <v>0</v>
      </c>
      <c r="N58" s="135">
        <v>0</v>
      </c>
      <c r="O58" s="135">
        <v>0</v>
      </c>
      <c r="P58" s="135"/>
      <c r="Q58" s="135">
        <v>0</v>
      </c>
      <c r="R58" s="135"/>
      <c r="S58" s="135"/>
      <c r="T58" s="135" t="s">
        <v>19</v>
      </c>
      <c r="U58" s="135" t="s">
        <v>1543</v>
      </c>
      <c r="V58" s="135" t="s">
        <v>1255</v>
      </c>
      <c r="W58" s="135">
        <v>3</v>
      </c>
      <c r="X58" s="135" t="s">
        <v>1544</v>
      </c>
      <c r="Y58" s="135" t="s">
        <v>1545</v>
      </c>
      <c r="Z58" s="135" t="s">
        <v>1546</v>
      </c>
      <c r="AA58" s="5" t="str">
        <f>VLOOKUP(A58,'Form Responses 1'!$C$2:$K$532,6,FALSE)</f>
        <v>Kit delivery and pickup</v>
      </c>
      <c r="AB58" s="5" t="str">
        <f>VLOOKUP(A58,'Form Responses 1'!$C$2:$K$219,7,FALSE)</f>
        <v>No</v>
      </c>
      <c r="AC58" s="6">
        <f>VLOOKUP(A58,'Form Responses 1'!$C$2:$K$219,8,FALSE)</f>
        <v>70</v>
      </c>
      <c r="AD58" s="6">
        <f>VLOOKUP(A58,'Form Responses 1'!$C$2:$K$219,9,FALSE)</f>
        <v>0</v>
      </c>
    </row>
    <row r="59" spans="1:30" ht="19.5" customHeight="1">
      <c r="A59" s="135" t="s">
        <v>166</v>
      </c>
      <c r="B59" s="135"/>
      <c r="C59" s="135">
        <v>46619</v>
      </c>
      <c r="D59" s="135" t="s">
        <v>1547</v>
      </c>
      <c r="E59" s="135" t="s">
        <v>1480</v>
      </c>
      <c r="F59" s="135"/>
      <c r="G59" s="135">
        <v>100</v>
      </c>
      <c r="H59" s="135" t="s">
        <v>1276</v>
      </c>
      <c r="I59" s="135" t="str">
        <f>VLOOKUP(H59,list!$B$2:$C$14,2,FALSE)</f>
        <v>GREEN</v>
      </c>
      <c r="J59" s="135"/>
      <c r="K59" s="135">
        <v>0</v>
      </c>
      <c r="L59" s="135">
        <v>0</v>
      </c>
      <c r="M59" s="135">
        <v>0</v>
      </c>
      <c r="N59" s="135">
        <v>0</v>
      </c>
      <c r="O59" s="135">
        <v>0</v>
      </c>
      <c r="P59" s="135"/>
      <c r="Q59" s="135">
        <v>0</v>
      </c>
      <c r="R59" s="135"/>
      <c r="S59" s="135"/>
      <c r="T59" s="135" t="s">
        <v>30</v>
      </c>
      <c r="U59" s="135"/>
      <c r="V59" s="135" t="s">
        <v>1255</v>
      </c>
      <c r="W59" s="135">
        <v>2</v>
      </c>
      <c r="X59" s="135" t="s">
        <v>1548</v>
      </c>
      <c r="Y59" s="135" t="s">
        <v>1549</v>
      </c>
      <c r="Z59" s="135" t="s">
        <v>1550</v>
      </c>
      <c r="AA59" s="5" t="str">
        <f>VLOOKUP(A59,'Form Responses 1'!$C$2:$K$532,6,FALSE)</f>
        <v>Kit delivery and pickup</v>
      </c>
      <c r="AB59" s="5" t="str">
        <f>VLOOKUP(A59,'Form Responses 1'!$C$2:$K$219,7,FALSE)</f>
        <v>No</v>
      </c>
      <c r="AC59" s="6">
        <f>VLOOKUP(A59,'Form Responses 1'!$C$2:$K$219,8,FALSE)</f>
        <v>100</v>
      </c>
      <c r="AD59" s="6">
        <f>VLOOKUP(A59,'Form Responses 1'!$C$2:$K$219,9,FALSE)</f>
        <v>0</v>
      </c>
    </row>
    <row r="60" spans="1:30" ht="19.5" customHeight="1">
      <c r="A60" s="135" t="s">
        <v>1551</v>
      </c>
      <c r="B60" s="321" t="s">
        <v>1312</v>
      </c>
      <c r="C60" s="135">
        <v>47591</v>
      </c>
      <c r="D60" s="135" t="s">
        <v>1552</v>
      </c>
      <c r="E60" s="135" t="s">
        <v>1553</v>
      </c>
      <c r="F60" s="135"/>
      <c r="G60" s="135">
        <v>110</v>
      </c>
      <c r="H60" s="135" t="s">
        <v>1276</v>
      </c>
      <c r="I60" s="135" t="str">
        <f>VLOOKUP(H60,list!$B$2:$C$14,2,FALSE)</f>
        <v>GREEN</v>
      </c>
      <c r="J60" s="135"/>
      <c r="K60" s="135">
        <v>0</v>
      </c>
      <c r="L60" s="135">
        <v>0</v>
      </c>
      <c r="M60" s="135">
        <v>0</v>
      </c>
      <c r="N60" s="135">
        <v>0</v>
      </c>
      <c r="O60" s="135">
        <v>0</v>
      </c>
      <c r="P60" s="135"/>
      <c r="Q60" s="135">
        <v>0</v>
      </c>
      <c r="R60" s="135"/>
      <c r="S60" s="135"/>
      <c r="T60" s="135" t="s">
        <v>19</v>
      </c>
      <c r="U60" s="135" t="s">
        <v>1315</v>
      </c>
      <c r="V60" s="135" t="s">
        <v>1255</v>
      </c>
      <c r="W60" s="135">
        <v>2</v>
      </c>
      <c r="X60" s="135" t="s">
        <v>1554</v>
      </c>
      <c r="Y60" s="135" t="s">
        <v>1555</v>
      </c>
      <c r="Z60" s="135" t="s">
        <v>1556</v>
      </c>
      <c r="AA60" s="5" t="s">
        <v>18</v>
      </c>
      <c r="AB60" s="5" t="s">
        <v>1298</v>
      </c>
      <c r="AC60" s="6">
        <f t="shared" ref="AC60:AC61" si="5">G60</f>
        <v>110</v>
      </c>
      <c r="AD60" s="6"/>
    </row>
    <row r="61" spans="1:30" ht="19.5" customHeight="1">
      <c r="A61" s="135" t="s">
        <v>170</v>
      </c>
      <c r="B61" s="135" t="s">
        <v>1288</v>
      </c>
      <c r="C61" s="135">
        <v>46033</v>
      </c>
      <c r="D61" s="135" t="s">
        <v>1464</v>
      </c>
      <c r="E61" s="135" t="s">
        <v>1294</v>
      </c>
      <c r="F61" s="135"/>
      <c r="G61" s="135">
        <v>160</v>
      </c>
      <c r="H61" s="135" t="s">
        <v>1425</v>
      </c>
      <c r="I61" s="135" t="str">
        <f>VLOOKUP(H61,list!$B$2:$C$14,2,FALSE)</f>
        <v>ONSITE</v>
      </c>
      <c r="J61" s="135"/>
      <c r="K61" s="135">
        <v>1</v>
      </c>
      <c r="L61" s="135">
        <v>0</v>
      </c>
      <c r="M61" s="135">
        <v>0</v>
      </c>
      <c r="N61" s="135">
        <v>0</v>
      </c>
      <c r="O61" s="135">
        <v>0</v>
      </c>
      <c r="P61" s="135"/>
      <c r="Q61" s="135">
        <v>0</v>
      </c>
      <c r="R61" s="135"/>
      <c r="S61" s="135"/>
      <c r="T61" s="135" t="s">
        <v>30</v>
      </c>
      <c r="U61" s="135" t="s">
        <v>1557</v>
      </c>
      <c r="V61" s="135" t="s">
        <v>1255</v>
      </c>
      <c r="W61" s="135">
        <v>7</v>
      </c>
      <c r="X61" s="135" t="s">
        <v>1558</v>
      </c>
      <c r="Y61" s="135" t="s">
        <v>1559</v>
      </c>
      <c r="Z61" s="135" t="s">
        <v>1560</v>
      </c>
      <c r="AA61" s="5" t="s">
        <v>91</v>
      </c>
      <c r="AB61" s="5" t="s">
        <v>30</v>
      </c>
      <c r="AC61" s="6">
        <f t="shared" si="5"/>
        <v>160</v>
      </c>
      <c r="AD61" s="6"/>
    </row>
    <row r="62" spans="1:30" ht="19.5" customHeight="1">
      <c r="A62" s="135" t="s">
        <v>1124</v>
      </c>
      <c r="B62" s="135" t="s">
        <v>1561</v>
      </c>
      <c r="C62" s="135">
        <v>47348</v>
      </c>
      <c r="D62" s="135" t="s">
        <v>1562</v>
      </c>
      <c r="E62" s="135" t="s">
        <v>1563</v>
      </c>
      <c r="F62" s="135"/>
      <c r="G62" s="135">
        <v>50</v>
      </c>
      <c r="H62" s="135" t="s">
        <v>1282</v>
      </c>
      <c r="I62" s="135" t="str">
        <f>VLOOKUP(H62,list!$B$2:$C$14,2,FALSE)</f>
        <v>KITS</v>
      </c>
      <c r="J62" s="135"/>
      <c r="K62" s="135">
        <v>0</v>
      </c>
      <c r="L62" s="135">
        <v>0</v>
      </c>
      <c r="M62" s="135">
        <v>0</v>
      </c>
      <c r="N62" s="135">
        <v>0</v>
      </c>
      <c r="O62" s="135">
        <v>0</v>
      </c>
      <c r="P62" s="135"/>
      <c r="Q62" s="135">
        <v>0</v>
      </c>
      <c r="R62" s="135"/>
      <c r="S62" s="135"/>
      <c r="T62" s="135" t="s">
        <v>19</v>
      </c>
      <c r="U62" s="135" t="s">
        <v>1564</v>
      </c>
      <c r="V62" s="135" t="s">
        <v>1255</v>
      </c>
      <c r="W62" s="135">
        <v>3</v>
      </c>
      <c r="X62" s="135" t="s">
        <v>1565</v>
      </c>
      <c r="Y62" s="135" t="s">
        <v>1566</v>
      </c>
      <c r="Z62" s="135" t="s">
        <v>1567</v>
      </c>
      <c r="AA62" s="5" t="str">
        <f>VLOOKUP(A62,'Form Responses 1'!$C$2:$K$532,6,FALSE)</f>
        <v>Kit delivery and pickup</v>
      </c>
      <c r="AB62" s="5"/>
      <c r="AC62" s="9">
        <v>50</v>
      </c>
      <c r="AD62" s="6" t="e">
        <f>VLOOKUP(A62,'Form Responses 1'!$C$2:$K$219,9,FALSE)</f>
        <v>#N/A</v>
      </c>
    </row>
    <row r="63" spans="1:30" ht="19.5" customHeight="1">
      <c r="A63" s="135" t="s">
        <v>178</v>
      </c>
      <c r="B63" s="135"/>
      <c r="C63" s="135">
        <v>46123</v>
      </c>
      <c r="D63" s="135" t="s">
        <v>1457</v>
      </c>
      <c r="E63" s="135" t="s">
        <v>1458</v>
      </c>
      <c r="F63" s="135"/>
      <c r="G63" s="135">
        <v>48</v>
      </c>
      <c r="H63" s="135" t="s">
        <v>1282</v>
      </c>
      <c r="I63" s="135" t="str">
        <f>VLOOKUP(H63,list!$B$2:$C$14,2,FALSE)</f>
        <v>KITS</v>
      </c>
      <c r="J63" s="135"/>
      <c r="K63" s="135">
        <v>0</v>
      </c>
      <c r="L63" s="135">
        <v>0</v>
      </c>
      <c r="M63" s="135">
        <v>0</v>
      </c>
      <c r="N63" s="135">
        <v>0</v>
      </c>
      <c r="O63" s="135">
        <v>0</v>
      </c>
      <c r="P63" s="135"/>
      <c r="Q63" s="135">
        <v>0</v>
      </c>
      <c r="R63" s="135"/>
      <c r="S63" s="135"/>
      <c r="T63" s="135" t="s">
        <v>19</v>
      </c>
      <c r="U63" s="135" t="s">
        <v>1283</v>
      </c>
      <c r="V63" s="135" t="s">
        <v>1255</v>
      </c>
      <c r="W63" s="135">
        <v>3</v>
      </c>
      <c r="X63" s="135" t="s">
        <v>1568</v>
      </c>
      <c r="Y63" s="135" t="s">
        <v>1569</v>
      </c>
      <c r="Z63" s="135" t="s">
        <v>1461</v>
      </c>
      <c r="AA63" s="5" t="str">
        <f>VLOOKUP(A63,'Form Responses 1'!$C$2:$K$532,6,FALSE)</f>
        <v>Kit delivery and pickup</v>
      </c>
      <c r="AB63" s="5" t="str">
        <f>VLOOKUP(A63,'Form Responses 1'!$C$2:$K$219,7,FALSE)</f>
        <v>No</v>
      </c>
      <c r="AC63" s="6">
        <f>VLOOKUP(A63,'Form Responses 1'!$C$2:$K$219,8,FALSE)</f>
        <v>80</v>
      </c>
      <c r="AD63" s="6">
        <f>VLOOKUP(A63,'Form Responses 1'!$C$2:$K$219,9,FALSE)</f>
        <v>0</v>
      </c>
    </row>
    <row r="64" spans="1:30" ht="19.5" customHeight="1">
      <c r="A64" s="135" t="s">
        <v>182</v>
      </c>
      <c r="B64" s="135"/>
      <c r="C64" s="135">
        <v>47303</v>
      </c>
      <c r="D64" s="135" t="s">
        <v>1513</v>
      </c>
      <c r="E64" s="135" t="s">
        <v>1275</v>
      </c>
      <c r="F64" s="135"/>
      <c r="G64" s="135">
        <v>55</v>
      </c>
      <c r="H64" s="135" t="s">
        <v>1282</v>
      </c>
      <c r="I64" s="135" t="str">
        <f>VLOOKUP(H64,list!$B$2:$C$14,2,FALSE)</f>
        <v>KITS</v>
      </c>
      <c r="J64" s="135"/>
      <c r="K64" s="135">
        <v>0</v>
      </c>
      <c r="L64" s="135">
        <v>0</v>
      </c>
      <c r="M64" s="135">
        <v>0</v>
      </c>
      <c r="N64" s="135">
        <v>0</v>
      </c>
      <c r="O64" s="135">
        <v>0</v>
      </c>
      <c r="P64" s="135"/>
      <c r="Q64" s="135">
        <v>0</v>
      </c>
      <c r="R64" s="135"/>
      <c r="S64" s="135"/>
      <c r="T64" s="135" t="s">
        <v>19</v>
      </c>
      <c r="U64" s="135"/>
      <c r="V64" s="135" t="s">
        <v>1255</v>
      </c>
      <c r="W64" s="135">
        <v>3</v>
      </c>
      <c r="X64" s="135" t="s">
        <v>1570</v>
      </c>
      <c r="Y64" s="135" t="s">
        <v>1571</v>
      </c>
      <c r="Z64" s="135" t="s">
        <v>1572</v>
      </c>
      <c r="AA64" s="5" t="str">
        <f>VLOOKUP(A64,'Form Responses 1'!$C$2:$K$532,6,FALSE)</f>
        <v>Kit delivery and pickup</v>
      </c>
      <c r="AB64" s="5" t="str">
        <f>VLOOKUP(A64,'Form Responses 1'!$C$2:$K$219,7,FALSE)</f>
        <v>No</v>
      </c>
      <c r="AC64" s="6">
        <f>VLOOKUP(A64,'Form Responses 1'!$C$2:$K$219,8,FALSE)</f>
        <v>50</v>
      </c>
      <c r="AD64" s="6">
        <f>VLOOKUP(A64,'Form Responses 1'!$C$2:$K$219,9,FALSE)</f>
        <v>0</v>
      </c>
    </row>
    <row r="65" spans="1:30" ht="19.5" customHeight="1">
      <c r="A65" s="135" t="s">
        <v>1573</v>
      </c>
      <c r="B65" s="135" t="s">
        <v>1303</v>
      </c>
      <c r="C65" s="135">
        <v>47546</v>
      </c>
      <c r="D65" s="135" t="s">
        <v>1338</v>
      </c>
      <c r="E65" s="135" t="s">
        <v>1574</v>
      </c>
      <c r="F65" s="135"/>
      <c r="G65" s="135"/>
      <c r="H65" s="135"/>
      <c r="I65" s="135"/>
      <c r="J65" s="135"/>
      <c r="K65" s="135"/>
      <c r="L65" s="135"/>
      <c r="M65" s="135"/>
      <c r="N65" s="135"/>
      <c r="O65" s="135"/>
      <c r="P65" s="135"/>
      <c r="Q65" s="135"/>
      <c r="R65" s="135"/>
      <c r="S65" s="135"/>
      <c r="T65" s="135"/>
      <c r="U65" s="135"/>
      <c r="V65" s="135"/>
      <c r="W65" s="135"/>
      <c r="X65" s="135">
        <v>8126347750</v>
      </c>
      <c r="Y65" s="135" t="s">
        <v>1575</v>
      </c>
      <c r="Z65" s="135"/>
      <c r="AA65" s="5" t="s">
        <v>18</v>
      </c>
      <c r="AB65" s="5" t="s">
        <v>1298</v>
      </c>
      <c r="AC65" s="6"/>
      <c r="AD65" s="6"/>
    </row>
    <row r="66" spans="1:30" ht="19.5" customHeight="1">
      <c r="A66" s="135" t="s">
        <v>186</v>
      </c>
      <c r="B66" s="135" t="s">
        <v>1561</v>
      </c>
      <c r="C66" s="135">
        <v>47012</v>
      </c>
      <c r="D66" s="135" t="s">
        <v>1576</v>
      </c>
      <c r="E66" s="135" t="s">
        <v>1577</v>
      </c>
      <c r="F66" s="135" t="s">
        <v>30</v>
      </c>
      <c r="G66" s="135">
        <v>70</v>
      </c>
      <c r="H66" s="135" t="s">
        <v>1282</v>
      </c>
      <c r="I66" s="135" t="str">
        <f>VLOOKUP(H66,list!$B$2:$C$14,2,FALSE)</f>
        <v>KITS</v>
      </c>
      <c r="J66" s="135"/>
      <c r="K66" s="135">
        <v>0</v>
      </c>
      <c r="L66" s="135">
        <v>0</v>
      </c>
      <c r="M66" s="135">
        <v>0</v>
      </c>
      <c r="N66" s="135">
        <v>0</v>
      </c>
      <c r="O66" s="135">
        <v>0</v>
      </c>
      <c r="P66" s="135"/>
      <c r="Q66" s="135">
        <v>0</v>
      </c>
      <c r="R66" s="135"/>
      <c r="S66" s="135"/>
      <c r="T66" s="135" t="s">
        <v>19</v>
      </c>
      <c r="U66" s="135" t="s">
        <v>1578</v>
      </c>
      <c r="V66" s="135" t="s">
        <v>1255</v>
      </c>
      <c r="W66" s="135">
        <v>3</v>
      </c>
      <c r="X66" s="135" t="s">
        <v>1579</v>
      </c>
      <c r="Y66" s="135" t="s">
        <v>1580</v>
      </c>
      <c r="Z66" s="135" t="s">
        <v>1581</v>
      </c>
      <c r="AA66" s="5" t="str">
        <f>VLOOKUP(A66,'Form Responses 1'!$C$2:$K$532,6,FALSE)</f>
        <v>Kit delivery and pickup</v>
      </c>
      <c r="AB66" s="5" t="str">
        <f>VLOOKUP(A66,'Form Responses 1'!$C$2:$K$219,7,FALSE)</f>
        <v>No</v>
      </c>
      <c r="AC66" s="6">
        <f>VLOOKUP(A66,'Form Responses 1'!$C$2:$K$219,8,FALSE)</f>
        <v>70</v>
      </c>
      <c r="AD66" s="6" t="str">
        <f>VLOOKUP(A66,'Form Responses 1'!$C$2:$K$219,9,FALSE)</f>
        <v>will have corporate do the training on sample collection</v>
      </c>
    </row>
    <row r="67" spans="1:30" ht="19.5" customHeight="1">
      <c r="A67" s="135" t="s">
        <v>1582</v>
      </c>
      <c r="B67" s="135" t="s">
        <v>1303</v>
      </c>
      <c r="C67" s="135">
        <v>47448</v>
      </c>
      <c r="D67" s="135" t="s">
        <v>1583</v>
      </c>
      <c r="E67" s="135" t="s">
        <v>1584</v>
      </c>
      <c r="F67" s="135" t="s">
        <v>30</v>
      </c>
      <c r="G67" s="135">
        <v>125</v>
      </c>
      <c r="H67" s="135" t="s">
        <v>1585</v>
      </c>
      <c r="I67" s="135" t="str">
        <f>VLOOKUP(H67,list!$B$2:$C$14,2,FALSE)</f>
        <v>KITS</v>
      </c>
      <c r="J67" s="135"/>
      <c r="K67" s="135">
        <v>1</v>
      </c>
      <c r="L67" s="135">
        <v>0</v>
      </c>
      <c r="M67" s="135">
        <v>0</v>
      </c>
      <c r="N67" s="135">
        <v>0</v>
      </c>
      <c r="O67" s="135">
        <v>0</v>
      </c>
      <c r="P67" s="135"/>
      <c r="Q67" s="135">
        <v>0</v>
      </c>
      <c r="R67" s="135"/>
      <c r="S67" s="135"/>
      <c r="T67" s="135" t="s">
        <v>19</v>
      </c>
      <c r="U67" s="135"/>
      <c r="V67" s="135" t="s">
        <v>1255</v>
      </c>
      <c r="W67" s="135">
        <v>7</v>
      </c>
      <c r="X67" s="135" t="s">
        <v>1586</v>
      </c>
      <c r="Y67" s="135" t="s">
        <v>1587</v>
      </c>
      <c r="Z67" s="135" t="s">
        <v>1588</v>
      </c>
      <c r="AA67" s="5" t="s">
        <v>18</v>
      </c>
      <c r="AB67" s="5" t="s">
        <v>1298</v>
      </c>
      <c r="AC67" s="6">
        <f>G67</f>
        <v>125</v>
      </c>
      <c r="AD67" s="6"/>
    </row>
    <row r="68" spans="1:30" ht="19.5" customHeight="1">
      <c r="A68" s="135" t="s">
        <v>191</v>
      </c>
      <c r="B68" s="135"/>
      <c r="C68" s="135">
        <v>46112</v>
      </c>
      <c r="D68" s="135" t="s">
        <v>1589</v>
      </c>
      <c r="E68" s="135" t="s">
        <v>1458</v>
      </c>
      <c r="F68" s="135"/>
      <c r="G68" s="135">
        <v>100</v>
      </c>
      <c r="H68" s="135" t="s">
        <v>1425</v>
      </c>
      <c r="I68" s="135" t="str">
        <f>VLOOKUP(H68,list!$B$2:$C$14,2,FALSE)</f>
        <v>ONSITE</v>
      </c>
      <c r="J68" s="135"/>
      <c r="K68" s="135">
        <v>1</v>
      </c>
      <c r="L68" s="135">
        <v>1</v>
      </c>
      <c r="M68" s="135">
        <v>0</v>
      </c>
      <c r="N68" s="135">
        <v>1</v>
      </c>
      <c r="O68" s="135">
        <v>1</v>
      </c>
      <c r="P68" s="135"/>
      <c r="Q68" s="135">
        <v>0</v>
      </c>
      <c r="R68" s="135"/>
      <c r="S68" s="135"/>
      <c r="T68" s="135" t="s">
        <v>30</v>
      </c>
      <c r="U68" s="135"/>
      <c r="V68" s="135" t="s">
        <v>1255</v>
      </c>
      <c r="W68" s="135">
        <v>7</v>
      </c>
      <c r="X68" s="135" t="s">
        <v>1590</v>
      </c>
      <c r="Y68" s="135" t="s">
        <v>1591</v>
      </c>
      <c r="Z68" s="135" t="s">
        <v>1592</v>
      </c>
      <c r="AA68" s="5" t="str">
        <f>VLOOKUP(A68,'Form Responses 1'!$C$2:$K$532,6,FALSE)</f>
        <v>Kit delivery and pickup</v>
      </c>
      <c r="AB68" s="5" t="str">
        <f>VLOOKUP(A68,'Form Responses 1'!$C$2:$K$219,7,FALSE)</f>
        <v>Yes</v>
      </c>
      <c r="AC68" s="6">
        <f>VLOOKUP(A68,'Form Responses 1'!$C$2:$K$219,8,FALSE)</f>
        <v>130</v>
      </c>
      <c r="AD68" s="6">
        <f>VLOOKUP(A68,'Form Responses 1'!$C$2:$K$219,9,FALSE)</f>
        <v>0</v>
      </c>
    </row>
    <row r="69" spans="1:30" ht="19.5" customHeight="1">
      <c r="A69" s="135" t="s">
        <v>1593</v>
      </c>
      <c r="B69" s="135" t="s">
        <v>343</v>
      </c>
      <c r="C69" s="135">
        <v>46112</v>
      </c>
      <c r="D69" s="135" t="s">
        <v>1589</v>
      </c>
      <c r="E69" s="135" t="s">
        <v>1458</v>
      </c>
      <c r="F69" s="135"/>
      <c r="G69" s="135">
        <v>180</v>
      </c>
      <c r="H69" s="135" t="s">
        <v>1282</v>
      </c>
      <c r="I69" s="135" t="str">
        <f>VLOOKUP(H69,list!$B$2:$C$14,2,FALSE)</f>
        <v>KITS</v>
      </c>
      <c r="J69" s="135"/>
      <c r="K69" s="135">
        <v>0</v>
      </c>
      <c r="L69" s="135">
        <v>0</v>
      </c>
      <c r="M69" s="135">
        <v>0</v>
      </c>
      <c r="N69" s="135">
        <v>0</v>
      </c>
      <c r="O69" s="135">
        <v>0</v>
      </c>
      <c r="P69" s="135"/>
      <c r="Q69" s="135">
        <v>0</v>
      </c>
      <c r="R69" s="135"/>
      <c r="S69" s="135"/>
      <c r="T69" s="135" t="s">
        <v>19</v>
      </c>
      <c r="U69" s="135"/>
      <c r="V69" s="135" t="s">
        <v>1255</v>
      </c>
      <c r="W69" s="135">
        <v>3</v>
      </c>
      <c r="X69" s="135" t="s">
        <v>1594</v>
      </c>
      <c r="Y69" s="135" t="s">
        <v>1595</v>
      </c>
      <c r="Z69" s="135" t="s">
        <v>1592</v>
      </c>
      <c r="AA69" s="5" t="s">
        <v>18</v>
      </c>
      <c r="AB69" s="5" t="s">
        <v>1298</v>
      </c>
      <c r="AC69" s="6">
        <f>G69</f>
        <v>180</v>
      </c>
      <c r="AD69" s="6"/>
    </row>
    <row r="70" spans="1:30" ht="19.5" customHeight="1">
      <c r="A70" s="135" t="s">
        <v>195</v>
      </c>
      <c r="B70" s="135"/>
      <c r="C70" s="135">
        <v>46818</v>
      </c>
      <c r="D70" s="135" t="s">
        <v>1343</v>
      </c>
      <c r="E70" s="135" t="s">
        <v>1252</v>
      </c>
      <c r="F70" s="135"/>
      <c r="G70" s="135">
        <v>140</v>
      </c>
      <c r="H70" s="135" t="s">
        <v>1425</v>
      </c>
      <c r="I70" s="135" t="str">
        <f>VLOOKUP(H70,list!$B$2:$C$14,2,FALSE)</f>
        <v>ONSITE</v>
      </c>
      <c r="J70" s="135"/>
      <c r="K70" s="135">
        <v>1</v>
      </c>
      <c r="L70" s="135">
        <v>1</v>
      </c>
      <c r="M70" s="135">
        <v>1</v>
      </c>
      <c r="N70" s="135">
        <v>1</v>
      </c>
      <c r="O70" s="135">
        <v>0</v>
      </c>
      <c r="P70" s="135"/>
      <c r="Q70" s="135">
        <v>0</v>
      </c>
      <c r="R70" s="135"/>
      <c r="S70" s="135"/>
      <c r="T70" s="135" t="s">
        <v>30</v>
      </c>
      <c r="U70" s="135" t="s">
        <v>1596</v>
      </c>
      <c r="V70" s="135" t="s">
        <v>1255</v>
      </c>
      <c r="W70" s="135">
        <v>7</v>
      </c>
      <c r="X70" s="135" t="s">
        <v>1597</v>
      </c>
      <c r="Y70" s="135" t="s">
        <v>1598</v>
      </c>
      <c r="Z70" s="135" t="s">
        <v>1599</v>
      </c>
      <c r="AA70" s="5" t="str">
        <f>VLOOKUP(A70,'Form Responses 1'!$C$2:$K$532,6,FALSE)</f>
        <v>Onsite sample collection by ISDH team</v>
      </c>
      <c r="AB70" s="5">
        <f>VLOOKUP(A70,'Form Responses 1'!$C$2:$K$219,7,FALSE)</f>
        <v>0</v>
      </c>
      <c r="AC70" s="6">
        <f>VLOOKUP(A70,'Form Responses 1'!$C$2:$K$219,8,FALSE)</f>
        <v>140</v>
      </c>
      <c r="AD70" s="6">
        <f>VLOOKUP(A70,'Form Responses 1'!$C$2:$K$219,9,FALSE)</f>
        <v>0</v>
      </c>
    </row>
    <row r="71" spans="1:30" ht="19.5" customHeight="1">
      <c r="A71" s="135" t="s">
        <v>199</v>
      </c>
      <c r="B71" s="135"/>
      <c r="C71" s="135">
        <v>46947</v>
      </c>
      <c r="D71" s="135" t="s">
        <v>1600</v>
      </c>
      <c r="E71" s="135" t="s">
        <v>1601</v>
      </c>
      <c r="F71" s="135"/>
      <c r="G71" s="135">
        <v>116</v>
      </c>
      <c r="H71" s="135" t="s">
        <v>1282</v>
      </c>
      <c r="I71" s="135" t="str">
        <f>VLOOKUP(H71,list!$B$2:$C$14,2,FALSE)</f>
        <v>KITS</v>
      </c>
      <c r="J71" s="135"/>
      <c r="K71" s="135">
        <v>0</v>
      </c>
      <c r="L71" s="135">
        <v>0</v>
      </c>
      <c r="M71" s="135">
        <v>0</v>
      </c>
      <c r="N71" s="135">
        <v>0</v>
      </c>
      <c r="O71" s="135">
        <v>0</v>
      </c>
      <c r="P71" s="135"/>
      <c r="Q71" s="135">
        <v>0</v>
      </c>
      <c r="R71" s="135"/>
      <c r="S71" s="135"/>
      <c r="T71" s="135" t="s">
        <v>19</v>
      </c>
      <c r="U71" s="135" t="s">
        <v>1602</v>
      </c>
      <c r="V71" s="135" t="s">
        <v>1255</v>
      </c>
      <c r="W71" s="135">
        <v>3</v>
      </c>
      <c r="X71" s="135" t="s">
        <v>1603</v>
      </c>
      <c r="Y71" s="135" t="s">
        <v>1604</v>
      </c>
      <c r="Z71" s="135" t="s">
        <v>1605</v>
      </c>
      <c r="AA71" s="5" t="str">
        <f>VLOOKUP(A71,'Form Responses 1'!$C$2:$K$532,6,FALSE)</f>
        <v>Kit delivery and pickup</v>
      </c>
      <c r="AB71" s="5" t="str">
        <f>VLOOKUP(A71,'Form Responses 1'!$C$2:$K$219,7,FALSE)</f>
        <v>No</v>
      </c>
      <c r="AC71" s="6">
        <f>VLOOKUP(A71,'Form Responses 1'!$C$2:$K$219,8,FALSE)</f>
        <v>116</v>
      </c>
      <c r="AD71" s="6">
        <f>VLOOKUP(A71,'Form Responses 1'!$C$2:$K$219,9,FALSE)</f>
        <v>0</v>
      </c>
    </row>
    <row r="72" spans="1:30" ht="19.5" customHeight="1">
      <c r="A72" s="135" t="s">
        <v>1606</v>
      </c>
      <c r="B72" s="135" t="s">
        <v>343</v>
      </c>
      <c r="C72" s="135">
        <v>46835</v>
      </c>
      <c r="D72" s="135" t="s">
        <v>1343</v>
      </c>
      <c r="E72" s="135" t="s">
        <v>1252</v>
      </c>
      <c r="F72" s="135"/>
      <c r="G72" s="135">
        <v>150</v>
      </c>
      <c r="H72" s="135" t="s">
        <v>1282</v>
      </c>
      <c r="I72" s="135" t="str">
        <f>VLOOKUP(H72,list!$B$2:$C$14,2,FALSE)</f>
        <v>KITS</v>
      </c>
      <c r="J72" s="135"/>
      <c r="K72" s="135">
        <v>0</v>
      </c>
      <c r="L72" s="135">
        <v>0</v>
      </c>
      <c r="M72" s="135">
        <v>0</v>
      </c>
      <c r="N72" s="135">
        <v>0</v>
      </c>
      <c r="O72" s="135">
        <v>0</v>
      </c>
      <c r="P72" s="135"/>
      <c r="Q72" s="135">
        <v>0</v>
      </c>
      <c r="R72" s="135"/>
      <c r="S72" s="135"/>
      <c r="T72" s="135" t="s">
        <v>19</v>
      </c>
      <c r="U72" s="135" t="s">
        <v>1298</v>
      </c>
      <c r="V72" s="135" t="s">
        <v>1255</v>
      </c>
      <c r="W72" s="135">
        <v>3</v>
      </c>
      <c r="X72" s="135" t="s">
        <v>1607</v>
      </c>
      <c r="Y72" s="135" t="s">
        <v>1608</v>
      </c>
      <c r="Z72" s="135" t="s">
        <v>1520</v>
      </c>
      <c r="AA72" s="5" t="s">
        <v>18</v>
      </c>
      <c r="AB72" s="5" t="s">
        <v>1298</v>
      </c>
      <c r="AC72" s="6">
        <f t="shared" ref="AC72:AC75" si="6">G72</f>
        <v>150</v>
      </c>
      <c r="AD72" s="6"/>
    </row>
    <row r="73" spans="1:30" ht="19.5" customHeight="1">
      <c r="A73" s="135" t="s">
        <v>1609</v>
      </c>
      <c r="B73" s="135" t="s">
        <v>343</v>
      </c>
      <c r="C73" s="135">
        <v>46617</v>
      </c>
      <c r="D73" s="135" t="s">
        <v>1547</v>
      </c>
      <c r="E73" s="135" t="s">
        <v>1480</v>
      </c>
      <c r="F73" s="135"/>
      <c r="G73" s="135">
        <v>100</v>
      </c>
      <c r="H73" s="135" t="s">
        <v>1282</v>
      </c>
      <c r="I73" s="135" t="str">
        <f>VLOOKUP(H73,list!$B$2:$C$14,2,FALSE)</f>
        <v>KITS</v>
      </c>
      <c r="J73" s="135"/>
      <c r="K73" s="135">
        <v>0</v>
      </c>
      <c r="L73" s="135">
        <v>0</v>
      </c>
      <c r="M73" s="135">
        <v>0</v>
      </c>
      <c r="N73" s="135">
        <v>0</v>
      </c>
      <c r="O73" s="135">
        <v>0</v>
      </c>
      <c r="P73" s="135"/>
      <c r="Q73" s="135">
        <v>0</v>
      </c>
      <c r="R73" s="135"/>
      <c r="S73" s="135"/>
      <c r="T73" s="135" t="s">
        <v>19</v>
      </c>
      <c r="U73" s="135"/>
      <c r="V73" s="135" t="s">
        <v>1255</v>
      </c>
      <c r="W73" s="135">
        <v>3</v>
      </c>
      <c r="X73" s="135" t="s">
        <v>1610</v>
      </c>
      <c r="Y73" s="135" t="s">
        <v>1611</v>
      </c>
      <c r="Z73" s="135" t="s">
        <v>1612</v>
      </c>
      <c r="AA73" s="5" t="s">
        <v>18</v>
      </c>
      <c r="AB73" s="5" t="s">
        <v>1298</v>
      </c>
      <c r="AC73" s="6">
        <f t="shared" si="6"/>
        <v>100</v>
      </c>
      <c r="AD73" s="6"/>
    </row>
    <row r="74" spans="1:30" ht="19.5" customHeight="1">
      <c r="A74" s="135" t="s">
        <v>1613</v>
      </c>
      <c r="B74" s="135" t="s">
        <v>1303</v>
      </c>
      <c r="C74" s="135">
        <v>46032</v>
      </c>
      <c r="D74" s="135" t="s">
        <v>1464</v>
      </c>
      <c r="E74" s="135" t="s">
        <v>1294</v>
      </c>
      <c r="F74" s="135"/>
      <c r="G74" s="135">
        <v>120</v>
      </c>
      <c r="H74" s="135" t="s">
        <v>1282</v>
      </c>
      <c r="I74" s="135" t="str">
        <f>VLOOKUP(H74,list!$B$2:$C$14,2,FALSE)</f>
        <v>KITS</v>
      </c>
      <c r="J74" s="135"/>
      <c r="K74" s="135">
        <v>0</v>
      </c>
      <c r="L74" s="135">
        <v>0</v>
      </c>
      <c r="M74" s="135">
        <v>0</v>
      </c>
      <c r="N74" s="135">
        <v>0</v>
      </c>
      <c r="O74" s="135">
        <v>0</v>
      </c>
      <c r="P74" s="135"/>
      <c r="Q74" s="135">
        <v>0</v>
      </c>
      <c r="R74" s="135"/>
      <c r="S74" s="135"/>
      <c r="T74" s="135" t="s">
        <v>30</v>
      </c>
      <c r="U74" s="135"/>
      <c r="V74" s="135" t="s">
        <v>1255</v>
      </c>
      <c r="W74" s="135">
        <v>3</v>
      </c>
      <c r="X74" s="135" t="s">
        <v>1614</v>
      </c>
      <c r="Y74" s="135" t="s">
        <v>1615</v>
      </c>
      <c r="Z74" s="135" t="s">
        <v>1469</v>
      </c>
      <c r="AA74" s="5" t="s">
        <v>18</v>
      </c>
      <c r="AB74" s="5" t="s">
        <v>1298</v>
      </c>
      <c r="AC74" s="6">
        <f t="shared" si="6"/>
        <v>120</v>
      </c>
      <c r="AD74" s="6"/>
    </row>
    <row r="75" spans="1:30" ht="19.5" customHeight="1">
      <c r="A75" s="135" t="s">
        <v>202</v>
      </c>
      <c r="B75" s="135" t="s">
        <v>1288</v>
      </c>
      <c r="C75" s="135">
        <v>47331</v>
      </c>
      <c r="D75" s="135" t="s">
        <v>1616</v>
      </c>
      <c r="E75" s="135" t="s">
        <v>1617</v>
      </c>
      <c r="F75" s="135"/>
      <c r="G75" s="135">
        <v>68</v>
      </c>
      <c r="H75" s="135" t="s">
        <v>1253</v>
      </c>
      <c r="I75" s="135" t="str">
        <f>VLOOKUP(H75,list!$B$2:$C$14,2,FALSE)</f>
        <v>KITS</v>
      </c>
      <c r="J75" s="135"/>
      <c r="K75" s="135">
        <v>0</v>
      </c>
      <c r="L75" s="135">
        <v>0</v>
      </c>
      <c r="M75" s="135">
        <v>0</v>
      </c>
      <c r="N75" s="135">
        <v>0</v>
      </c>
      <c r="O75" s="135">
        <v>0</v>
      </c>
      <c r="P75" s="135"/>
      <c r="Q75" s="135">
        <v>0</v>
      </c>
      <c r="R75" s="135"/>
      <c r="S75" s="135"/>
      <c r="T75" s="135" t="s">
        <v>30</v>
      </c>
      <c r="U75" s="135"/>
      <c r="V75" s="135" t="s">
        <v>1255</v>
      </c>
      <c r="W75" s="135">
        <v>6</v>
      </c>
      <c r="X75" s="135" t="s">
        <v>1618</v>
      </c>
      <c r="Y75" s="135" t="s">
        <v>1619</v>
      </c>
      <c r="Z75" s="135" t="s">
        <v>1620</v>
      </c>
      <c r="AA75" s="5" t="s">
        <v>91</v>
      </c>
      <c r="AB75" s="5" t="s">
        <v>30</v>
      </c>
      <c r="AC75" s="6">
        <f t="shared" si="6"/>
        <v>68</v>
      </c>
      <c r="AD75" s="6"/>
    </row>
    <row r="76" spans="1:30" ht="19.5" customHeight="1">
      <c r="A76" s="135" t="s">
        <v>206</v>
      </c>
      <c r="B76" s="135"/>
      <c r="C76" s="135">
        <v>46256</v>
      </c>
      <c r="D76" s="135" t="s">
        <v>1289</v>
      </c>
      <c r="E76" s="135" t="s">
        <v>1290</v>
      </c>
      <c r="F76" s="135"/>
      <c r="G76" s="135">
        <v>57</v>
      </c>
      <c r="H76" s="135" t="s">
        <v>1425</v>
      </c>
      <c r="I76" s="135" t="str">
        <f>VLOOKUP(H76,list!$B$2:$C$14,2,FALSE)</f>
        <v>ONSITE</v>
      </c>
      <c r="J76" s="135"/>
      <c r="K76" s="135">
        <v>1</v>
      </c>
      <c r="L76" s="135">
        <v>1</v>
      </c>
      <c r="M76" s="135">
        <v>0</v>
      </c>
      <c r="N76" s="135">
        <v>1</v>
      </c>
      <c r="O76" s="135">
        <v>1</v>
      </c>
      <c r="P76" s="135"/>
      <c r="Q76" s="135">
        <v>0</v>
      </c>
      <c r="R76" s="135"/>
      <c r="S76" s="135"/>
      <c r="T76" s="135" t="s">
        <v>30</v>
      </c>
      <c r="U76" s="135"/>
      <c r="V76" s="135" t="s">
        <v>1255</v>
      </c>
      <c r="W76" s="135">
        <v>7</v>
      </c>
      <c r="X76" s="135" t="s">
        <v>1621</v>
      </c>
      <c r="Y76" s="135" t="s">
        <v>1622</v>
      </c>
      <c r="Z76" s="135" t="s">
        <v>1623</v>
      </c>
      <c r="AA76" s="5" t="str">
        <f>VLOOKUP(A76,'Form Responses 1'!$C$2:$K$532,6,FALSE)</f>
        <v>Kit delivery and pickup</v>
      </c>
      <c r="AB76" s="5" t="str">
        <f>VLOOKUP(A76,'Form Responses 1'!$C$2:$K$219,7,FALSE)</f>
        <v>Yes</v>
      </c>
      <c r="AC76" s="6">
        <f>VLOOKUP(A76,'Form Responses 1'!$C$2:$K$219,8,FALSE)</f>
        <v>60</v>
      </c>
      <c r="AD76" s="6">
        <f>VLOOKUP(A76,'Form Responses 1'!$C$2:$K$219,9,FALSE)</f>
        <v>0</v>
      </c>
    </row>
    <row r="77" spans="1:30" ht="19.5" customHeight="1">
      <c r="A77" s="135" t="s">
        <v>210</v>
      </c>
      <c r="B77" s="135" t="s">
        <v>1624</v>
      </c>
      <c r="C77" s="135">
        <v>47546</v>
      </c>
      <c r="D77" s="135" t="s">
        <v>1338</v>
      </c>
      <c r="E77" s="135" t="s">
        <v>1574</v>
      </c>
      <c r="F77" s="135"/>
      <c r="G77" s="135">
        <v>69</v>
      </c>
      <c r="H77" s="135" t="s">
        <v>1282</v>
      </c>
      <c r="I77" s="135" t="str">
        <f>VLOOKUP(H77,list!$B$2:$C$14,2,FALSE)</f>
        <v>KITS</v>
      </c>
      <c r="J77" s="135"/>
      <c r="K77" s="135">
        <v>0</v>
      </c>
      <c r="L77" s="135">
        <v>0</v>
      </c>
      <c r="M77" s="135">
        <v>0</v>
      </c>
      <c r="N77" s="135">
        <v>0</v>
      </c>
      <c r="O77" s="135">
        <v>0</v>
      </c>
      <c r="P77" s="135"/>
      <c r="Q77" s="135">
        <v>0</v>
      </c>
      <c r="R77" s="135"/>
      <c r="S77" s="135"/>
      <c r="T77" s="135" t="s">
        <v>19</v>
      </c>
      <c r="U77" s="135" t="s">
        <v>1625</v>
      </c>
      <c r="V77" s="135" t="s">
        <v>1255</v>
      </c>
      <c r="W77" s="135">
        <v>3</v>
      </c>
      <c r="X77" s="135" t="s">
        <v>1626</v>
      </c>
      <c r="Y77" s="135" t="s">
        <v>1627</v>
      </c>
      <c r="Z77" s="135" t="s">
        <v>1628</v>
      </c>
      <c r="AA77" s="5" t="str">
        <f>VLOOKUP(A77,'Form Responses 1'!$C$2:$K$532,6,FALSE)</f>
        <v>Onsite sample collection by ISDH team</v>
      </c>
      <c r="AB77" s="5">
        <f>VLOOKUP(A77,'Form Responses 1'!$C$2:$K$219,7,FALSE)</f>
        <v>0</v>
      </c>
      <c r="AC77" s="6">
        <f>VLOOKUP(A77,'Form Responses 1'!$C$2:$K$219,8,FALSE)</f>
        <v>60</v>
      </c>
      <c r="AD77" s="6">
        <f>VLOOKUP(A77,'Form Responses 1'!$C$2:$K$219,9,FALSE)</f>
        <v>0</v>
      </c>
    </row>
    <row r="78" spans="1:30" ht="19.5" customHeight="1">
      <c r="A78" s="135" t="s">
        <v>214</v>
      </c>
      <c r="B78" s="135"/>
      <c r="C78" s="135">
        <v>46513</v>
      </c>
      <c r="D78" s="135" t="s">
        <v>1629</v>
      </c>
      <c r="E78" s="135" t="s">
        <v>1630</v>
      </c>
      <c r="F78" s="135"/>
      <c r="G78" s="135">
        <v>110</v>
      </c>
      <c r="H78" s="135" t="s">
        <v>1268</v>
      </c>
      <c r="I78" s="135" t="str">
        <f>VLOOKUP(H78,list!$B$2:$C$14,2,FALSE)</f>
        <v>KITS</v>
      </c>
      <c r="J78" s="135"/>
      <c r="K78" s="135">
        <v>0</v>
      </c>
      <c r="L78" s="135">
        <v>0</v>
      </c>
      <c r="M78" s="135">
        <v>0</v>
      </c>
      <c r="N78" s="135">
        <v>0</v>
      </c>
      <c r="O78" s="135">
        <v>0</v>
      </c>
      <c r="P78" s="135"/>
      <c r="Q78" s="135">
        <v>0</v>
      </c>
      <c r="R78" s="135"/>
      <c r="S78" s="135"/>
      <c r="T78" s="135" t="s">
        <v>19</v>
      </c>
      <c r="U78" s="135" t="s">
        <v>1557</v>
      </c>
      <c r="V78" s="135" t="s">
        <v>1255</v>
      </c>
      <c r="W78" s="135">
        <v>5</v>
      </c>
      <c r="X78" s="135" t="s">
        <v>1631</v>
      </c>
      <c r="Y78" s="135" t="s">
        <v>1632</v>
      </c>
      <c r="Z78" s="135" t="s">
        <v>1633</v>
      </c>
      <c r="AA78" s="5" t="str">
        <f>VLOOKUP(A78,'Form Responses 1'!$C$2:$K$532,6,FALSE)</f>
        <v>Onsite sample collection by ISDH team</v>
      </c>
      <c r="AB78" s="5" t="str">
        <f>VLOOKUP(A78,'Form Responses 1'!$C$2:$K$219,7,FALSE)</f>
        <v>No</v>
      </c>
      <c r="AC78" s="6">
        <f>VLOOKUP(A78,'Form Responses 1'!$C$2:$K$219,8,FALSE)</f>
        <v>110</v>
      </c>
      <c r="AD78" s="6">
        <f>VLOOKUP(A78,'Form Responses 1'!$C$2:$K$219,9,FALSE)</f>
        <v>0</v>
      </c>
    </row>
    <row r="79" spans="1:30" ht="19.5" customHeight="1">
      <c r="A79" s="135" t="s">
        <v>1634</v>
      </c>
      <c r="B79" s="321" t="s">
        <v>1312</v>
      </c>
      <c r="C79" s="135">
        <v>46356</v>
      </c>
      <c r="D79" s="135" t="s">
        <v>1635</v>
      </c>
      <c r="E79" s="135" t="s">
        <v>1375</v>
      </c>
      <c r="F79" s="135" t="s">
        <v>30</v>
      </c>
      <c r="G79" s="135">
        <v>136</v>
      </c>
      <c r="H79" s="135" t="s">
        <v>1276</v>
      </c>
      <c r="I79" s="135" t="str">
        <f>VLOOKUP(H79,list!$B$2:$C$14,2,FALSE)</f>
        <v>GREEN</v>
      </c>
      <c r="J79" s="135"/>
      <c r="K79" s="135">
        <v>0</v>
      </c>
      <c r="L79" s="135">
        <v>0</v>
      </c>
      <c r="M79" s="135">
        <v>0</v>
      </c>
      <c r="N79" s="135">
        <v>0</v>
      </c>
      <c r="O79" s="135">
        <v>0</v>
      </c>
      <c r="P79" s="135"/>
      <c r="Q79" s="135">
        <v>0</v>
      </c>
      <c r="R79" s="135"/>
      <c r="S79" s="135"/>
      <c r="T79" s="135" t="s">
        <v>19</v>
      </c>
      <c r="U79" s="135" t="s">
        <v>1636</v>
      </c>
      <c r="V79" s="135" t="s">
        <v>1255</v>
      </c>
      <c r="W79" s="135">
        <v>2</v>
      </c>
      <c r="X79" s="135" t="s">
        <v>1637</v>
      </c>
      <c r="Y79" s="135" t="s">
        <v>1638</v>
      </c>
      <c r="Z79" s="135" t="s">
        <v>1639</v>
      </c>
      <c r="AA79" s="5" t="s">
        <v>18</v>
      </c>
      <c r="AB79" s="5" t="s">
        <v>1298</v>
      </c>
      <c r="AC79" s="6">
        <f>G79</f>
        <v>136</v>
      </c>
      <c r="AD79" s="6"/>
    </row>
    <row r="80" spans="1:30" ht="19.5" customHeight="1">
      <c r="A80" s="135" t="s">
        <v>1640</v>
      </c>
      <c r="B80" s="135"/>
      <c r="C80" s="135">
        <v>46765</v>
      </c>
      <c r="D80" s="135" t="s">
        <v>1641</v>
      </c>
      <c r="E80" s="135" t="s">
        <v>1252</v>
      </c>
      <c r="F80" s="135"/>
      <c r="G80" s="135">
        <v>135</v>
      </c>
      <c r="H80" s="135" t="s">
        <v>1282</v>
      </c>
      <c r="I80" s="135" t="str">
        <f>VLOOKUP(H80,list!$B$2:$C$14,2,FALSE)</f>
        <v>KITS</v>
      </c>
      <c r="J80" s="135"/>
      <c r="K80" s="135">
        <v>0</v>
      </c>
      <c r="L80" s="135">
        <v>0</v>
      </c>
      <c r="M80" s="135">
        <v>0</v>
      </c>
      <c r="N80" s="135">
        <v>0</v>
      </c>
      <c r="O80" s="135">
        <v>0</v>
      </c>
      <c r="P80" s="135"/>
      <c r="Q80" s="135">
        <v>0</v>
      </c>
      <c r="R80" s="135"/>
      <c r="S80" s="135"/>
      <c r="T80" s="135" t="s">
        <v>30</v>
      </c>
      <c r="U80" s="135" t="s">
        <v>1642</v>
      </c>
      <c r="V80" s="135" t="s">
        <v>1255</v>
      </c>
      <c r="W80" s="135">
        <v>3</v>
      </c>
      <c r="X80" s="135" t="s">
        <v>1643</v>
      </c>
      <c r="Y80" s="135" t="s">
        <v>1644</v>
      </c>
      <c r="Z80" s="135" t="s">
        <v>1645</v>
      </c>
      <c r="AA80" s="5" t="e">
        <f>VLOOKUP(A80,'Form Responses 1'!$C$2:$K$532,6,FALSE)</f>
        <v>#N/A</v>
      </c>
      <c r="AB80" s="5" t="e">
        <f>VLOOKUP(A80,'Form Responses 1'!$C$2:$K$219,7,FALSE)</f>
        <v>#N/A</v>
      </c>
      <c r="AC80" s="6" t="e">
        <f>VLOOKUP(A80,'Form Responses 1'!$C$2:$K$219,8,FALSE)</f>
        <v>#N/A</v>
      </c>
      <c r="AD80" s="6" t="e">
        <f>VLOOKUP(A80,'Form Responses 1'!$C$2:$K$219,9,FALSE)</f>
        <v>#N/A</v>
      </c>
    </row>
    <row r="81" spans="1:30" ht="19.5" customHeight="1">
      <c r="A81" s="135" t="s">
        <v>218</v>
      </c>
      <c r="B81" s="135" t="s">
        <v>1646</v>
      </c>
      <c r="C81" s="135">
        <v>46936</v>
      </c>
      <c r="D81" s="135" t="s">
        <v>1647</v>
      </c>
      <c r="E81" s="135" t="s">
        <v>1356</v>
      </c>
      <c r="F81" s="135"/>
      <c r="G81" s="135"/>
      <c r="H81" s="135"/>
      <c r="I81" s="135"/>
      <c r="J81" s="135"/>
      <c r="K81" s="135"/>
      <c r="L81" s="135"/>
      <c r="M81" s="135"/>
      <c r="N81" s="135"/>
      <c r="O81" s="135"/>
      <c r="P81" s="135"/>
      <c r="Q81" s="135"/>
      <c r="R81" s="135"/>
      <c r="S81" s="135"/>
      <c r="T81" s="135"/>
      <c r="U81" s="135"/>
      <c r="V81" s="135"/>
      <c r="W81" s="135"/>
      <c r="X81" s="135">
        <v>7656283377</v>
      </c>
      <c r="Y81" s="135" t="s">
        <v>1648</v>
      </c>
      <c r="Z81" s="135"/>
      <c r="AA81" s="5" t="str">
        <f>VLOOKUP(A81,'Form Responses 1'!$C$2:$K$532,6,FALSE)</f>
        <v>Kit delivery and pickup</v>
      </c>
      <c r="AB81" s="5">
        <f>VLOOKUP(A81,'Form Responses 1'!$C$2:$K$219,7,FALSE)</f>
        <v>0</v>
      </c>
      <c r="AC81" s="6">
        <f>VLOOKUP(A81,'Form Responses 1'!$C$2:$K$219,8,FALSE)</f>
        <v>112</v>
      </c>
      <c r="AD81" s="6">
        <f>VLOOKUP(A81,'Form Responses 1'!$C$2:$K$219,9,FALSE)</f>
        <v>0</v>
      </c>
    </row>
    <row r="82" spans="1:30" ht="19.5" customHeight="1">
      <c r="A82" s="135" t="s">
        <v>222</v>
      </c>
      <c r="B82" s="135"/>
      <c r="C82" s="135">
        <v>46711</v>
      </c>
      <c r="D82" s="135" t="s">
        <v>1649</v>
      </c>
      <c r="E82" s="135" t="s">
        <v>1260</v>
      </c>
      <c r="F82" s="135" t="s">
        <v>30</v>
      </c>
      <c r="G82" s="135">
        <v>57</v>
      </c>
      <c r="H82" s="135" t="s">
        <v>1282</v>
      </c>
      <c r="I82" s="135" t="str">
        <f>VLOOKUP(H82,list!$B$2:$C$14,2,FALSE)</f>
        <v>KITS</v>
      </c>
      <c r="J82" s="135"/>
      <c r="K82" s="135">
        <v>0</v>
      </c>
      <c r="L82" s="135">
        <v>0</v>
      </c>
      <c r="M82" s="135">
        <v>0</v>
      </c>
      <c r="N82" s="135">
        <v>0</v>
      </c>
      <c r="O82" s="135">
        <v>0</v>
      </c>
      <c r="P82" s="135"/>
      <c r="Q82" s="135">
        <v>0</v>
      </c>
      <c r="R82" s="135"/>
      <c r="S82" s="135"/>
      <c r="T82" s="135" t="s">
        <v>30</v>
      </c>
      <c r="U82" s="135" t="s">
        <v>1564</v>
      </c>
      <c r="V82" s="135" t="s">
        <v>1255</v>
      </c>
      <c r="W82" s="135">
        <v>3</v>
      </c>
      <c r="X82" s="135" t="s">
        <v>1650</v>
      </c>
      <c r="Y82" s="135" t="s">
        <v>1651</v>
      </c>
      <c r="Z82" s="135" t="s">
        <v>1652</v>
      </c>
      <c r="AA82" s="5" t="str">
        <f>VLOOKUP(A82,'Form Responses 1'!$C$2:$K$532,6,FALSE)</f>
        <v>Kit delivery and pickup</v>
      </c>
      <c r="AB82" s="5" t="str">
        <f>VLOOKUP(A82,'Form Responses 1'!$C$2:$K$219,7,FALSE)</f>
        <v>Yes</v>
      </c>
      <c r="AC82" s="6">
        <f>VLOOKUP(A82,'Form Responses 1'!$C$2:$K$219,8,FALSE)</f>
        <v>60</v>
      </c>
      <c r="AD82" s="6">
        <f>VLOOKUP(A82,'Form Responses 1'!$C$2:$K$219,9,FALSE)</f>
        <v>0</v>
      </c>
    </row>
    <row r="83" spans="1:30" ht="19.5" customHeight="1">
      <c r="A83" s="135" t="s">
        <v>226</v>
      </c>
      <c r="B83" s="135"/>
      <c r="C83" s="135">
        <v>46947</v>
      </c>
      <c r="D83" s="135" t="s">
        <v>1600</v>
      </c>
      <c r="E83" s="135" t="s">
        <v>1601</v>
      </c>
      <c r="F83" s="135"/>
      <c r="G83" s="135">
        <v>90</v>
      </c>
      <c r="H83" s="135" t="s">
        <v>1326</v>
      </c>
      <c r="I83" s="135" t="str">
        <f>VLOOKUP(H83,list!$B$2:$C$14,2,FALSE)</f>
        <v>ONSITE</v>
      </c>
      <c r="J83" s="135"/>
      <c r="K83" s="135">
        <v>0</v>
      </c>
      <c r="L83" s="135">
        <v>0</v>
      </c>
      <c r="M83" s="135">
        <v>0</v>
      </c>
      <c r="N83" s="135">
        <v>0</v>
      </c>
      <c r="O83" s="135">
        <v>0</v>
      </c>
      <c r="P83" s="135"/>
      <c r="Q83" s="135">
        <v>1</v>
      </c>
      <c r="R83" s="135"/>
      <c r="S83" s="135" t="s">
        <v>1653</v>
      </c>
      <c r="T83" s="135" t="s">
        <v>30</v>
      </c>
      <c r="U83" s="135" t="s">
        <v>1654</v>
      </c>
      <c r="V83" s="135" t="s">
        <v>1255</v>
      </c>
      <c r="W83" s="135">
        <v>1</v>
      </c>
      <c r="X83" s="135" t="s">
        <v>1655</v>
      </c>
      <c r="Y83" s="135" t="s">
        <v>1656</v>
      </c>
      <c r="Z83" s="135" t="s">
        <v>1605</v>
      </c>
      <c r="AA83" s="5" t="str">
        <f>VLOOKUP(A83,'Form Responses 1'!$C$2:$K$532,6,FALSE)</f>
        <v>Onsite sample collection by ISDH team</v>
      </c>
      <c r="AB83" s="5">
        <f>VLOOKUP(A83,'Form Responses 1'!$C$2:$K$219,7,FALSE)</f>
        <v>0</v>
      </c>
      <c r="AC83" s="6">
        <f>VLOOKUP(A83,'Form Responses 1'!$C$2:$K$219,8,FALSE)</f>
        <v>0</v>
      </c>
      <c r="AD83" s="6">
        <f>VLOOKUP(A83,'Form Responses 1'!$C$2:$K$219,9,FALSE)</f>
        <v>0</v>
      </c>
    </row>
    <row r="84" spans="1:30" ht="19.5" customHeight="1">
      <c r="A84" s="135" t="s">
        <v>230</v>
      </c>
      <c r="B84" s="135" t="s">
        <v>1624</v>
      </c>
      <c r="C84" s="135">
        <v>46304</v>
      </c>
      <c r="D84" s="135" t="s">
        <v>1266</v>
      </c>
      <c r="E84" s="135" t="s">
        <v>1267</v>
      </c>
      <c r="F84" s="135"/>
      <c r="G84" s="135">
        <v>85</v>
      </c>
      <c r="H84" s="135" t="s">
        <v>1282</v>
      </c>
      <c r="I84" s="135" t="str">
        <f>VLOOKUP(H84,list!$B$2:$C$14,2,FALSE)</f>
        <v>KITS</v>
      </c>
      <c r="J84" s="135"/>
      <c r="K84" s="135">
        <v>0</v>
      </c>
      <c r="L84" s="135">
        <v>0</v>
      </c>
      <c r="M84" s="135">
        <v>0</v>
      </c>
      <c r="N84" s="135">
        <v>0</v>
      </c>
      <c r="O84" s="135">
        <v>0</v>
      </c>
      <c r="P84" s="135"/>
      <c r="Q84" s="135">
        <v>0</v>
      </c>
      <c r="R84" s="135"/>
      <c r="S84" s="135"/>
      <c r="T84" s="135" t="s">
        <v>19</v>
      </c>
      <c r="U84" s="135" t="s">
        <v>1657</v>
      </c>
      <c r="V84" s="135" t="s">
        <v>1255</v>
      </c>
      <c r="W84" s="135">
        <v>3</v>
      </c>
      <c r="X84" s="135" t="s">
        <v>1658</v>
      </c>
      <c r="Y84" s="135" t="s">
        <v>1659</v>
      </c>
      <c r="Z84" s="135" t="s">
        <v>1273</v>
      </c>
      <c r="AA84" s="5" t="str">
        <f>VLOOKUP(A84,'Form Responses 1'!$C$2:$K$532,6,FALSE)</f>
        <v>Kit delivery and pickup</v>
      </c>
      <c r="AB84" s="5" t="str">
        <f>VLOOKUP(A84,'Form Responses 1'!$C$2:$K$219,7,FALSE)</f>
        <v>Yes</v>
      </c>
      <c r="AC84" s="6">
        <f>VLOOKUP(A84,'Form Responses 1'!$C$2:$K$219,8,FALSE)</f>
        <v>50</v>
      </c>
      <c r="AD84" s="6">
        <f>VLOOKUP(A84,'Form Responses 1'!$C$2:$K$219,9,FALSE)</f>
        <v>0</v>
      </c>
    </row>
    <row r="85" spans="1:30" ht="19.5" customHeight="1">
      <c r="A85" s="135" t="s">
        <v>1129</v>
      </c>
      <c r="B85" s="135"/>
      <c r="C85" s="135">
        <v>46714</v>
      </c>
      <c r="D85" s="135" t="s">
        <v>1533</v>
      </c>
      <c r="E85" s="135" t="s">
        <v>1534</v>
      </c>
      <c r="F85" s="135"/>
      <c r="G85" s="135">
        <v>175</v>
      </c>
      <c r="H85" s="135" t="s">
        <v>1282</v>
      </c>
      <c r="I85" s="135" t="str">
        <f>VLOOKUP(H85,list!$B$2:$C$14,2,FALSE)</f>
        <v>KITS</v>
      </c>
      <c r="J85" s="135"/>
      <c r="K85" s="135">
        <v>0</v>
      </c>
      <c r="L85" s="135">
        <v>0</v>
      </c>
      <c r="M85" s="135">
        <v>0</v>
      </c>
      <c r="N85" s="135">
        <v>0</v>
      </c>
      <c r="O85" s="135">
        <v>0</v>
      </c>
      <c r="P85" s="135"/>
      <c r="Q85" s="135">
        <v>0</v>
      </c>
      <c r="R85" s="135"/>
      <c r="S85" s="135"/>
      <c r="T85" s="135" t="s">
        <v>30</v>
      </c>
      <c r="U85" s="135" t="s">
        <v>1660</v>
      </c>
      <c r="V85" s="135" t="s">
        <v>1255</v>
      </c>
      <c r="W85" s="135">
        <v>3</v>
      </c>
      <c r="X85" s="135" t="s">
        <v>1661</v>
      </c>
      <c r="Y85" s="135" t="s">
        <v>1662</v>
      </c>
      <c r="Z85" s="135" t="s">
        <v>1538</v>
      </c>
      <c r="AA85" s="5" t="str">
        <f>VLOOKUP(A85,'Form Responses 1'!$C$2:$K$532,6,FALSE)</f>
        <v>Onsite sample collection by ISDH team</v>
      </c>
      <c r="AB85" s="5" t="e">
        <f>VLOOKUP(A85,'Form Responses 1'!$C$2:$K$219,7,FALSE)</f>
        <v>#N/A</v>
      </c>
      <c r="AC85" s="6" t="e">
        <f>VLOOKUP(A85,'Form Responses 1'!$C$2:$K$219,8,FALSE)</f>
        <v>#N/A</v>
      </c>
      <c r="AD85" s="6" t="e">
        <f>VLOOKUP(A85,'Form Responses 1'!$C$2:$K$219,9,FALSE)</f>
        <v>#N/A</v>
      </c>
    </row>
    <row r="86" spans="1:30" ht="19.5" customHeight="1">
      <c r="A86" s="135" t="s">
        <v>1663</v>
      </c>
      <c r="B86" s="135" t="s">
        <v>343</v>
      </c>
      <c r="C86" s="135">
        <v>47129</v>
      </c>
      <c r="D86" s="135" t="s">
        <v>1664</v>
      </c>
      <c r="E86" s="135" t="s">
        <v>1665</v>
      </c>
      <c r="F86" s="135"/>
      <c r="G86" s="135">
        <v>80</v>
      </c>
      <c r="H86" s="135" t="s">
        <v>1282</v>
      </c>
      <c r="I86" s="135" t="str">
        <f>VLOOKUP(H86,list!$B$2:$C$14,2,FALSE)</f>
        <v>KITS</v>
      </c>
      <c r="J86" s="135"/>
      <c r="K86" s="135">
        <v>0</v>
      </c>
      <c r="L86" s="135">
        <v>0</v>
      </c>
      <c r="M86" s="135">
        <v>0</v>
      </c>
      <c r="N86" s="135">
        <v>0</v>
      </c>
      <c r="O86" s="135">
        <v>0</v>
      </c>
      <c r="P86" s="135"/>
      <c r="Q86" s="135">
        <v>0</v>
      </c>
      <c r="R86" s="135"/>
      <c r="S86" s="135" t="s">
        <v>1666</v>
      </c>
      <c r="T86" s="135" t="s">
        <v>19</v>
      </c>
      <c r="U86" s="135" t="s">
        <v>1344</v>
      </c>
      <c r="V86" s="135" t="s">
        <v>1255</v>
      </c>
      <c r="W86" s="135">
        <v>3</v>
      </c>
      <c r="X86" s="135" t="s">
        <v>1667</v>
      </c>
      <c r="Y86" s="135" t="s">
        <v>1668</v>
      </c>
      <c r="Z86" s="135" t="s">
        <v>1669</v>
      </c>
      <c r="AA86" s="5" t="s">
        <v>18</v>
      </c>
      <c r="AB86" s="5" t="s">
        <v>1298</v>
      </c>
      <c r="AC86" s="6">
        <f t="shared" ref="AC86:AC88" si="7">G86</f>
        <v>80</v>
      </c>
      <c r="AD86" s="6"/>
    </row>
    <row r="87" spans="1:30" ht="19.5" customHeight="1">
      <c r="A87" s="135" t="s">
        <v>1670</v>
      </c>
      <c r="B87" s="321" t="s">
        <v>1312</v>
      </c>
      <c r="C87" s="135">
        <v>46256</v>
      </c>
      <c r="D87" s="135" t="s">
        <v>1289</v>
      </c>
      <c r="E87" s="135" t="s">
        <v>1290</v>
      </c>
      <c r="F87" s="135"/>
      <c r="G87" s="135">
        <v>101</v>
      </c>
      <c r="H87" s="135" t="s">
        <v>1276</v>
      </c>
      <c r="I87" s="135" t="str">
        <f>VLOOKUP(H87,list!$B$2:$C$14,2,FALSE)</f>
        <v>GREEN</v>
      </c>
      <c r="J87" s="135"/>
      <c r="K87" s="135">
        <v>0</v>
      </c>
      <c r="L87" s="135">
        <v>0</v>
      </c>
      <c r="M87" s="135">
        <v>0</v>
      </c>
      <c r="N87" s="135">
        <v>0</v>
      </c>
      <c r="O87" s="135">
        <v>0</v>
      </c>
      <c r="P87" s="135"/>
      <c r="Q87" s="135">
        <v>0</v>
      </c>
      <c r="R87" s="135"/>
      <c r="S87" s="135"/>
      <c r="T87" s="135" t="s">
        <v>19</v>
      </c>
      <c r="U87" s="135" t="s">
        <v>1315</v>
      </c>
      <c r="V87" s="135" t="s">
        <v>1255</v>
      </c>
      <c r="W87" s="135">
        <v>2</v>
      </c>
      <c r="X87" s="135" t="s">
        <v>1671</v>
      </c>
      <c r="Y87" s="135" t="s">
        <v>1672</v>
      </c>
      <c r="Z87" s="135" t="s">
        <v>1623</v>
      </c>
      <c r="AA87" s="5" t="s">
        <v>18</v>
      </c>
      <c r="AB87" s="5" t="s">
        <v>1298</v>
      </c>
      <c r="AC87" s="6">
        <f t="shared" si="7"/>
        <v>101</v>
      </c>
      <c r="AD87" s="6"/>
    </row>
    <row r="88" spans="1:30" ht="19.5" customHeight="1">
      <c r="A88" s="135" t="s">
        <v>1673</v>
      </c>
      <c r="B88" s="135" t="s">
        <v>343</v>
      </c>
      <c r="C88" s="135">
        <v>47842</v>
      </c>
      <c r="D88" s="135" t="s">
        <v>1349</v>
      </c>
      <c r="E88" s="135" t="s">
        <v>1674</v>
      </c>
      <c r="F88" s="135"/>
      <c r="G88" s="135">
        <v>138</v>
      </c>
      <c r="H88" s="135" t="s">
        <v>1282</v>
      </c>
      <c r="I88" s="135" t="str">
        <f>VLOOKUP(H88,list!$B$2:$C$14,2,FALSE)</f>
        <v>KITS</v>
      </c>
      <c r="J88" s="135"/>
      <c r="K88" s="135">
        <v>0</v>
      </c>
      <c r="L88" s="135">
        <v>0</v>
      </c>
      <c r="M88" s="135">
        <v>0</v>
      </c>
      <c r="N88" s="135">
        <v>0</v>
      </c>
      <c r="O88" s="135">
        <v>0</v>
      </c>
      <c r="P88" s="135"/>
      <c r="Q88" s="135">
        <v>0</v>
      </c>
      <c r="R88" s="135"/>
      <c r="S88" s="135"/>
      <c r="T88" s="135"/>
      <c r="U88" s="135"/>
      <c r="V88" s="135" t="s">
        <v>1255</v>
      </c>
      <c r="W88" s="135">
        <v>3</v>
      </c>
      <c r="X88" s="135" t="s">
        <v>1675</v>
      </c>
      <c r="Y88" s="135" t="s">
        <v>1676</v>
      </c>
      <c r="Z88" s="135" t="s">
        <v>1677</v>
      </c>
      <c r="AA88" s="5" t="s">
        <v>18</v>
      </c>
      <c r="AB88" s="5" t="s">
        <v>1298</v>
      </c>
      <c r="AC88" s="6">
        <f t="shared" si="7"/>
        <v>138</v>
      </c>
      <c r="AD88" s="6"/>
    </row>
    <row r="89" spans="1:30" ht="19.5" customHeight="1">
      <c r="A89" s="135" t="s">
        <v>234</v>
      </c>
      <c r="B89" s="135" t="s">
        <v>1624</v>
      </c>
      <c r="C89" s="135">
        <v>47857</v>
      </c>
      <c r="D89" s="135" t="s">
        <v>1678</v>
      </c>
      <c r="E89" s="135" t="s">
        <v>1679</v>
      </c>
      <c r="F89" s="135" t="s">
        <v>30</v>
      </c>
      <c r="G89" s="135">
        <v>125</v>
      </c>
      <c r="H89" s="135" t="s">
        <v>1282</v>
      </c>
      <c r="I89" s="135" t="str">
        <f>VLOOKUP(H89,list!$B$2:$C$14,2,FALSE)</f>
        <v>KITS</v>
      </c>
      <c r="J89" s="135"/>
      <c r="K89" s="135">
        <v>0</v>
      </c>
      <c r="L89" s="135">
        <v>0</v>
      </c>
      <c r="M89" s="135">
        <v>0</v>
      </c>
      <c r="N89" s="135">
        <v>0</v>
      </c>
      <c r="O89" s="135">
        <v>0</v>
      </c>
      <c r="P89" s="135"/>
      <c r="Q89" s="135">
        <v>0</v>
      </c>
      <c r="R89" s="135"/>
      <c r="S89" s="135"/>
      <c r="T89" s="135" t="s">
        <v>19</v>
      </c>
      <c r="U89" s="135" t="s">
        <v>1657</v>
      </c>
      <c r="V89" s="135" t="s">
        <v>1255</v>
      </c>
      <c r="W89" s="135">
        <v>3</v>
      </c>
      <c r="X89" s="135" t="s">
        <v>1680</v>
      </c>
      <c r="Y89" s="135" t="s">
        <v>1681</v>
      </c>
      <c r="Z89" s="135" t="s">
        <v>1682</v>
      </c>
      <c r="AA89" s="5" t="str">
        <f>VLOOKUP(A89,'Form Responses 1'!$C$2:$K$532,6,FALSE)</f>
        <v>Onsite sample collection by ISDH team</v>
      </c>
      <c r="AB89" s="5">
        <f>VLOOKUP(A89,'Form Responses 1'!$C$2:$K$219,7,FALSE)</f>
        <v>0</v>
      </c>
      <c r="AC89" s="6">
        <f>VLOOKUP(A89,'Form Responses 1'!$C$2:$K$219,8,FALSE)</f>
        <v>125</v>
      </c>
      <c r="AD89" s="6" t="str">
        <f>VLOOKUP(A89,'Form Responses 1'!$C$2:$K$219,9,FALSE)</f>
        <v xml:space="preserve">If all employees unable to make the 4 hr mark, would he be able to have them tested at a later time? I advised him that he would want to speak with ISDH about that and if there was a possibility the facility could collect the sample and send to the lab. </v>
      </c>
    </row>
    <row r="90" spans="1:30" ht="19.5" customHeight="1">
      <c r="A90" s="135" t="s">
        <v>1683</v>
      </c>
      <c r="B90" s="135" t="s">
        <v>1312</v>
      </c>
      <c r="C90" s="135">
        <v>47802</v>
      </c>
      <c r="D90" s="135" t="s">
        <v>1684</v>
      </c>
      <c r="E90" s="135" t="s">
        <v>1685</v>
      </c>
      <c r="F90" s="135"/>
      <c r="G90" s="135">
        <v>137</v>
      </c>
      <c r="H90" s="135" t="s">
        <v>1276</v>
      </c>
      <c r="I90" s="135" t="str">
        <f>VLOOKUP(H90,list!$B$2:$C$14,2,FALSE)</f>
        <v>GREEN</v>
      </c>
      <c r="J90" s="135"/>
      <c r="K90" s="135">
        <v>0</v>
      </c>
      <c r="L90" s="135">
        <v>0</v>
      </c>
      <c r="M90" s="135">
        <v>0</v>
      </c>
      <c r="N90" s="135">
        <v>0</v>
      </c>
      <c r="O90" s="135">
        <v>0</v>
      </c>
      <c r="P90" s="135"/>
      <c r="Q90" s="135">
        <v>0</v>
      </c>
      <c r="R90" s="135"/>
      <c r="S90" s="135"/>
      <c r="T90" s="135" t="s">
        <v>19</v>
      </c>
      <c r="U90" s="135" t="s">
        <v>1315</v>
      </c>
      <c r="V90" s="135" t="s">
        <v>1255</v>
      </c>
      <c r="W90" s="135">
        <v>2</v>
      </c>
      <c r="X90" s="135" t="s">
        <v>1686</v>
      </c>
      <c r="Y90" s="135" t="s">
        <v>1687</v>
      </c>
      <c r="Z90" s="135" t="s">
        <v>1688</v>
      </c>
      <c r="AA90" s="5" t="e">
        <f>VLOOKUP(A90,'Form Responses 1'!$C$2:$K$219,6,FALSE)</f>
        <v>#N/A</v>
      </c>
      <c r="AB90" s="5" t="e">
        <f>VLOOKUP(A90,'Form Responses 1'!$C$2:$K$219,7,FALSE)</f>
        <v>#N/A</v>
      </c>
      <c r="AC90" s="6" t="e">
        <f>VLOOKUP(A90,'Form Responses 1'!$C$2:$K$219,8,FALSE)</f>
        <v>#N/A</v>
      </c>
      <c r="AD90" s="6" t="e">
        <f>VLOOKUP(A90,'Form Responses 1'!$C$2:$K$219,9,FALSE)</f>
        <v>#N/A</v>
      </c>
    </row>
    <row r="91" spans="1:30" ht="19.5" customHeight="1">
      <c r="A91" s="135" t="s">
        <v>239</v>
      </c>
      <c r="B91" s="135" t="s">
        <v>1624</v>
      </c>
      <c r="C91" s="135">
        <v>46307</v>
      </c>
      <c r="D91" s="135" t="s">
        <v>1689</v>
      </c>
      <c r="E91" s="135" t="s">
        <v>1375</v>
      </c>
      <c r="F91" s="135"/>
      <c r="G91" s="135">
        <v>48</v>
      </c>
      <c r="H91" s="135" t="s">
        <v>1282</v>
      </c>
      <c r="I91" s="135" t="str">
        <f>VLOOKUP(H91,list!$B$2:$C$14,2,FALSE)</f>
        <v>KITS</v>
      </c>
      <c r="J91" s="135"/>
      <c r="K91" s="135">
        <v>0</v>
      </c>
      <c r="L91" s="135">
        <v>0</v>
      </c>
      <c r="M91" s="135">
        <v>0</v>
      </c>
      <c r="N91" s="135">
        <v>0</v>
      </c>
      <c r="O91" s="135">
        <v>0</v>
      </c>
      <c r="P91" s="135"/>
      <c r="Q91" s="135">
        <v>0</v>
      </c>
      <c r="R91" s="135"/>
      <c r="S91" s="135"/>
      <c r="T91" s="135" t="s">
        <v>19</v>
      </c>
      <c r="U91" s="135" t="s">
        <v>1657</v>
      </c>
      <c r="V91" s="135" t="s">
        <v>1255</v>
      </c>
      <c r="W91" s="135">
        <v>3</v>
      </c>
      <c r="X91" s="135" t="s">
        <v>1690</v>
      </c>
      <c r="Y91" s="135" t="s">
        <v>1691</v>
      </c>
      <c r="Z91" s="135" t="s">
        <v>1692</v>
      </c>
      <c r="AA91" s="5" t="str">
        <f>VLOOKUP(A91,'Form Responses 1'!$C$2:$K$532,6,FALSE)</f>
        <v>Kit delivery and pickup</v>
      </c>
      <c r="AB91" s="5" t="str">
        <f>VLOOKUP(A91,'Form Responses 1'!$C$2:$K$219,7,FALSE)</f>
        <v>No</v>
      </c>
      <c r="AC91" s="6">
        <f>VLOOKUP(A91,'Form Responses 1'!$C$2:$K$219,8,FALSE)</f>
        <v>10</v>
      </c>
      <c r="AD91" s="6" t="str">
        <f>VLOOKUP(A91,'Form Responses 1'!$C$2:$K$219,9,FALSE)</f>
        <v>Have begun testing their staff at Optum. One done in May, rest in June</v>
      </c>
    </row>
    <row r="92" spans="1:30" ht="19.5" customHeight="1">
      <c r="A92" s="135" t="s">
        <v>244</v>
      </c>
      <c r="B92" s="135" t="s">
        <v>1265</v>
      </c>
      <c r="C92" s="135">
        <v>46953</v>
      </c>
      <c r="D92" s="135" t="s">
        <v>1290</v>
      </c>
      <c r="E92" s="135" t="s">
        <v>1360</v>
      </c>
      <c r="F92" s="135"/>
      <c r="G92" s="135">
        <v>150</v>
      </c>
      <c r="H92" s="135" t="s">
        <v>1465</v>
      </c>
      <c r="I92" s="135" t="str">
        <f>VLOOKUP(H92,list!$B$2:$C$14,2,FALSE)</f>
        <v>GREEN</v>
      </c>
      <c r="J92" s="135"/>
      <c r="K92" s="135">
        <v>0</v>
      </c>
      <c r="L92" s="135">
        <v>0</v>
      </c>
      <c r="M92" s="135">
        <v>0</v>
      </c>
      <c r="N92" s="135">
        <v>0</v>
      </c>
      <c r="O92" s="135">
        <v>0</v>
      </c>
      <c r="P92" s="135"/>
      <c r="Q92" s="135">
        <v>0</v>
      </c>
      <c r="R92" s="135"/>
      <c r="S92" s="135"/>
      <c r="T92" s="135" t="s">
        <v>19</v>
      </c>
      <c r="U92" s="135"/>
      <c r="V92" s="135" t="s">
        <v>1255</v>
      </c>
      <c r="W92" s="135">
        <v>4</v>
      </c>
      <c r="X92" s="135" t="s">
        <v>1693</v>
      </c>
      <c r="Y92" s="135" t="s">
        <v>1694</v>
      </c>
      <c r="Z92" s="135" t="s">
        <v>1363</v>
      </c>
      <c r="AA92" s="5" t="str">
        <f>VLOOKUP(A92,'Form Responses 1'!$C$2:$K$532,6,FALSE)</f>
        <v>Kit delivery and pickup</v>
      </c>
      <c r="AB92" s="5" t="str">
        <f>VLOOKUP(A92,'Form Responses 1'!$C$2:$K$219,7,FALSE)</f>
        <v>Yes</v>
      </c>
      <c r="AC92" s="6">
        <f>VLOOKUP(A92,'Form Responses 1'!$C$2:$K$219,8,FALSE)</f>
        <v>120</v>
      </c>
      <c r="AD92" s="6">
        <f>VLOOKUP(A92,'Form Responses 1'!$C$2:$K$219,9,FALSE)</f>
        <v>0</v>
      </c>
    </row>
    <row r="93" spans="1:30" ht="19.5" customHeight="1">
      <c r="A93" s="135" t="s">
        <v>1695</v>
      </c>
      <c r="B93" s="135" t="s">
        <v>343</v>
      </c>
      <c r="C93" s="135">
        <v>47710</v>
      </c>
      <c r="D93" s="135" t="s">
        <v>1506</v>
      </c>
      <c r="E93" s="135" t="s">
        <v>1507</v>
      </c>
      <c r="F93" s="135"/>
      <c r="G93" s="135">
        <v>139</v>
      </c>
      <c r="H93" s="135" t="s">
        <v>1282</v>
      </c>
      <c r="I93" s="135" t="str">
        <f>VLOOKUP(H93,list!$B$2:$C$14,2,FALSE)</f>
        <v>KITS</v>
      </c>
      <c r="J93" s="135"/>
      <c r="K93" s="135">
        <v>0</v>
      </c>
      <c r="L93" s="135">
        <v>0</v>
      </c>
      <c r="M93" s="135">
        <v>0</v>
      </c>
      <c r="N93" s="135">
        <v>0</v>
      </c>
      <c r="O93" s="135">
        <v>0</v>
      </c>
      <c r="P93" s="135"/>
      <c r="Q93" s="135">
        <v>0</v>
      </c>
      <c r="R93" s="135"/>
      <c r="S93" s="135"/>
      <c r="T93" s="135" t="s">
        <v>19</v>
      </c>
      <c r="U93" s="135"/>
      <c r="V93" s="135" t="s">
        <v>1255</v>
      </c>
      <c r="W93" s="135">
        <v>3</v>
      </c>
      <c r="X93" s="135" t="s">
        <v>1696</v>
      </c>
      <c r="Y93" s="135" t="s">
        <v>1697</v>
      </c>
      <c r="Z93" s="135" t="s">
        <v>1512</v>
      </c>
      <c r="AA93" s="5" t="s">
        <v>18</v>
      </c>
      <c r="AB93" s="5" t="s">
        <v>1298</v>
      </c>
      <c r="AC93" s="6">
        <f>G93</f>
        <v>139</v>
      </c>
      <c r="AD93" s="6"/>
    </row>
    <row r="94" spans="1:30" ht="19.5" customHeight="1">
      <c r="A94" s="135" t="s">
        <v>1017</v>
      </c>
      <c r="B94" s="135"/>
      <c r="C94" s="135">
        <v>47201</v>
      </c>
      <c r="D94" s="135" t="s">
        <v>1698</v>
      </c>
      <c r="E94" s="135" t="s">
        <v>1699</v>
      </c>
      <c r="F94" s="135"/>
      <c r="G94" s="135">
        <v>125</v>
      </c>
      <c r="H94" s="135" t="s">
        <v>1282</v>
      </c>
      <c r="I94" s="135" t="str">
        <f>VLOOKUP(H94,list!$B$2:$C$14,2,FALSE)</f>
        <v>KITS</v>
      </c>
      <c r="J94" s="135"/>
      <c r="K94" s="135">
        <v>0</v>
      </c>
      <c r="L94" s="135">
        <v>0</v>
      </c>
      <c r="M94" s="135">
        <v>0</v>
      </c>
      <c r="N94" s="135">
        <v>0</v>
      </c>
      <c r="O94" s="135">
        <v>0</v>
      </c>
      <c r="P94" s="135"/>
      <c r="Q94" s="135">
        <v>0</v>
      </c>
      <c r="R94" s="135"/>
      <c r="S94" s="135"/>
      <c r="T94" s="135" t="s">
        <v>19</v>
      </c>
      <c r="U94" s="135" t="s">
        <v>1564</v>
      </c>
      <c r="V94" s="135" t="s">
        <v>1255</v>
      </c>
      <c r="W94" s="135">
        <v>3</v>
      </c>
      <c r="X94" s="135" t="s">
        <v>1700</v>
      </c>
      <c r="Y94" s="135" t="s">
        <v>1701</v>
      </c>
      <c r="Z94" s="135" t="s">
        <v>1702</v>
      </c>
      <c r="AA94" s="5" t="str">
        <f>VLOOKUP(A94,'Form Responses 1'!$C$2:$K$532,6,FALSE)</f>
        <v>Kit delivery and pickup</v>
      </c>
      <c r="AB94" s="5" t="e">
        <f>VLOOKUP(A94,'Form Responses 1'!$C$2:$K$219,7,FALSE)</f>
        <v>#N/A</v>
      </c>
      <c r="AC94" s="6" t="e">
        <f>VLOOKUP(A94,'Form Responses 1'!$C$2:$K$219,8,FALSE)</f>
        <v>#N/A</v>
      </c>
      <c r="AD94" s="6" t="e">
        <f>VLOOKUP(A94,'Form Responses 1'!$C$2:$K$219,9,FALSE)</f>
        <v>#N/A</v>
      </c>
    </row>
    <row r="95" spans="1:30" ht="19.5" customHeight="1">
      <c r="A95" s="135" t="s">
        <v>1703</v>
      </c>
      <c r="B95" s="135" t="s">
        <v>343</v>
      </c>
      <c r="C95" s="135">
        <v>46218</v>
      </c>
      <c r="D95" s="135" t="s">
        <v>1289</v>
      </c>
      <c r="E95" s="135" t="s">
        <v>1290</v>
      </c>
      <c r="F95" s="135"/>
      <c r="G95" s="135">
        <v>116</v>
      </c>
      <c r="H95" s="135" t="s">
        <v>1282</v>
      </c>
      <c r="I95" s="135" t="str">
        <f>VLOOKUP(H95,list!$B$2:$C$14,2,FALSE)</f>
        <v>KITS</v>
      </c>
      <c r="J95" s="135"/>
      <c r="K95" s="135">
        <v>0</v>
      </c>
      <c r="L95" s="135">
        <v>0</v>
      </c>
      <c r="M95" s="135">
        <v>0</v>
      </c>
      <c r="N95" s="135">
        <v>0</v>
      </c>
      <c r="O95" s="135">
        <v>0</v>
      </c>
      <c r="P95" s="135"/>
      <c r="Q95" s="135">
        <v>0</v>
      </c>
      <c r="R95" s="135"/>
      <c r="S95" s="135"/>
      <c r="T95" s="135" t="s">
        <v>19</v>
      </c>
      <c r="U95" s="135"/>
      <c r="V95" s="135" t="s">
        <v>1255</v>
      </c>
      <c r="W95" s="135">
        <v>3</v>
      </c>
      <c r="X95" s="135" t="s">
        <v>1704</v>
      </c>
      <c r="Y95" s="135" t="s">
        <v>1705</v>
      </c>
      <c r="Z95" s="135" t="s">
        <v>1402</v>
      </c>
      <c r="AA95" s="5" t="s">
        <v>18</v>
      </c>
      <c r="AB95" s="5" t="s">
        <v>1298</v>
      </c>
      <c r="AC95" s="6"/>
      <c r="AD95" s="6"/>
    </row>
    <row r="96" spans="1:30" ht="19.5" customHeight="1">
      <c r="A96" s="135" t="s">
        <v>1706</v>
      </c>
      <c r="B96" s="135" t="s">
        <v>1303</v>
      </c>
      <c r="C96" s="135">
        <v>46074</v>
      </c>
      <c r="D96" s="135" t="s">
        <v>1707</v>
      </c>
      <c r="E96" s="135" t="s">
        <v>1294</v>
      </c>
      <c r="F96" s="135"/>
      <c r="G96" s="135"/>
      <c r="H96" s="135"/>
      <c r="I96" s="135"/>
      <c r="J96" s="135"/>
      <c r="K96" s="135"/>
      <c r="L96" s="135"/>
      <c r="M96" s="135"/>
      <c r="N96" s="135"/>
      <c r="O96" s="135"/>
      <c r="P96" s="135"/>
      <c r="Q96" s="135"/>
      <c r="R96" s="135"/>
      <c r="S96" s="135"/>
      <c r="T96" s="135"/>
      <c r="U96" s="135"/>
      <c r="V96" s="135"/>
      <c r="W96" s="135"/>
      <c r="X96" s="135">
        <v>3178445050</v>
      </c>
      <c r="Y96" s="135" t="s">
        <v>1708</v>
      </c>
      <c r="Z96" s="135"/>
      <c r="AA96" s="5" t="s">
        <v>18</v>
      </c>
      <c r="AB96" s="5" t="s">
        <v>1298</v>
      </c>
      <c r="AC96" s="6"/>
      <c r="AD96" s="6"/>
    </row>
    <row r="97" spans="1:30" ht="19.5" customHeight="1">
      <c r="A97" s="135" t="s">
        <v>1709</v>
      </c>
      <c r="B97" s="135"/>
      <c r="C97" s="135">
        <v>47421</v>
      </c>
      <c r="D97" s="135" t="s">
        <v>1710</v>
      </c>
      <c r="E97" s="135" t="s">
        <v>1711</v>
      </c>
      <c r="F97" s="135"/>
      <c r="G97" s="135"/>
      <c r="H97" s="135"/>
      <c r="I97" s="135"/>
      <c r="J97" s="135"/>
      <c r="K97" s="135"/>
      <c r="L97" s="135"/>
      <c r="M97" s="135"/>
      <c r="N97" s="135"/>
      <c r="O97" s="135"/>
      <c r="P97" s="135"/>
      <c r="Q97" s="135"/>
      <c r="R97" s="135"/>
      <c r="S97" s="135"/>
      <c r="T97" s="135"/>
      <c r="U97" s="135"/>
      <c r="V97" s="135"/>
      <c r="W97" s="135"/>
      <c r="X97" s="135">
        <v>8122792001</v>
      </c>
      <c r="Y97" s="135" t="s">
        <v>1712</v>
      </c>
      <c r="Z97" s="135"/>
      <c r="AA97" s="5" t="str">
        <f>VLOOKUP(A97,'Form Responses 1'!$C$2:$K$532,6,FALSE)</f>
        <v>Kit delivery and pickup</v>
      </c>
      <c r="AB97" s="5" t="e">
        <f>VLOOKUP(A97,'Form Responses 1'!$C$2:$K$219,7,FALSE)</f>
        <v>#N/A</v>
      </c>
      <c r="AC97" s="6" t="e">
        <f>VLOOKUP(A97,'Form Responses 1'!$C$2:$K$219,8,FALSE)</f>
        <v>#N/A</v>
      </c>
      <c r="AD97" s="6" t="e">
        <f>VLOOKUP(A97,'Form Responses 1'!$C$2:$K$219,9,FALSE)</f>
        <v>#N/A</v>
      </c>
    </row>
    <row r="98" spans="1:30" ht="19.5" customHeight="1">
      <c r="A98" s="135" t="s">
        <v>248</v>
      </c>
      <c r="B98" s="135"/>
      <c r="C98" s="135">
        <v>47523</v>
      </c>
      <c r="D98" s="135" t="s">
        <v>1713</v>
      </c>
      <c r="E98" s="135" t="s">
        <v>1371</v>
      </c>
      <c r="F98" s="135" t="s">
        <v>30</v>
      </c>
      <c r="G98" s="135">
        <v>56</v>
      </c>
      <c r="H98" s="135" t="s">
        <v>1282</v>
      </c>
      <c r="I98" s="135" t="str">
        <f>VLOOKUP(H98,list!$B$2:$C$14,2,FALSE)</f>
        <v>KITS</v>
      </c>
      <c r="J98" s="135"/>
      <c r="K98" s="135">
        <v>0</v>
      </c>
      <c r="L98" s="135">
        <v>0</v>
      </c>
      <c r="M98" s="135">
        <v>0</v>
      </c>
      <c r="N98" s="135">
        <v>0</v>
      </c>
      <c r="O98" s="135">
        <v>0</v>
      </c>
      <c r="P98" s="135"/>
      <c r="Q98" s="135">
        <v>0</v>
      </c>
      <c r="R98" s="135"/>
      <c r="S98" s="135"/>
      <c r="T98" s="135" t="s">
        <v>19</v>
      </c>
      <c r="U98" s="135"/>
      <c r="V98" s="135" t="s">
        <v>1255</v>
      </c>
      <c r="W98" s="135">
        <v>3</v>
      </c>
      <c r="X98" s="135" t="s">
        <v>1714</v>
      </c>
      <c r="Y98" s="135" t="s">
        <v>1715</v>
      </c>
      <c r="Z98" s="135" t="s">
        <v>1716</v>
      </c>
      <c r="AA98" s="5" t="str">
        <f>VLOOKUP(A98,'Form Responses 1'!$C$2:$K$532,6,FALSE)</f>
        <v>Kit delivery and pickup</v>
      </c>
      <c r="AB98" s="5" t="str">
        <f>VLOOKUP(A98,'Form Responses 1'!$C$2:$K$219,7,FALSE)</f>
        <v>Yes</v>
      </c>
      <c r="AC98" s="6">
        <f>VLOOKUP(A98,'Form Responses 1'!$C$2:$K$219,8,FALSE)</f>
        <v>60</v>
      </c>
      <c r="AD98" s="6" t="str">
        <f>VLOOKUP(A98,'Form Responses 1'!$C$2:$K$219,9,FALSE)</f>
        <v>On speaker with ED-new and DON. They did not see email and discussed best process.</v>
      </c>
    </row>
    <row r="99" spans="1:30" ht="19.5" customHeight="1">
      <c r="A99" s="135" t="s">
        <v>1717</v>
      </c>
      <c r="B99" s="135" t="s">
        <v>1303</v>
      </c>
      <c r="C99" s="135">
        <v>46016</v>
      </c>
      <c r="D99" s="135" t="s">
        <v>1498</v>
      </c>
      <c r="E99" s="135" t="s">
        <v>1281</v>
      </c>
      <c r="F99" s="135"/>
      <c r="G99" s="135"/>
      <c r="H99" s="135"/>
      <c r="I99" s="135"/>
      <c r="J99" s="135"/>
      <c r="K99" s="135"/>
      <c r="L99" s="135"/>
      <c r="M99" s="135"/>
      <c r="N99" s="135"/>
      <c r="O99" s="135"/>
      <c r="P99" s="135"/>
      <c r="Q99" s="135"/>
      <c r="R99" s="135"/>
      <c r="S99" s="135"/>
      <c r="T99" s="135"/>
      <c r="U99" s="135"/>
      <c r="V99" s="135"/>
      <c r="W99" s="135"/>
      <c r="X99" s="135">
        <v>7656494558</v>
      </c>
      <c r="Y99" s="135" t="s">
        <v>1718</v>
      </c>
      <c r="Z99" s="135"/>
      <c r="AA99" s="5" t="s">
        <v>18</v>
      </c>
      <c r="AB99" s="5" t="s">
        <v>1298</v>
      </c>
      <c r="AC99" s="6"/>
      <c r="AD99" s="6"/>
    </row>
    <row r="100" spans="1:30" ht="19.5" customHeight="1">
      <c r="A100" s="135" t="s">
        <v>1719</v>
      </c>
      <c r="B100" s="135" t="s">
        <v>343</v>
      </c>
      <c r="C100" s="135">
        <v>46123</v>
      </c>
      <c r="D100" s="135" t="s">
        <v>1457</v>
      </c>
      <c r="E100" s="135" t="s">
        <v>1458</v>
      </c>
      <c r="F100" s="135"/>
      <c r="G100" s="135">
        <v>150</v>
      </c>
      <c r="H100" s="135" t="s">
        <v>1282</v>
      </c>
      <c r="I100" s="135" t="str">
        <f>VLOOKUP(H100,list!$B$2:$C$14,2,FALSE)</f>
        <v>KITS</v>
      </c>
      <c r="J100" s="135"/>
      <c r="K100" s="135">
        <v>0</v>
      </c>
      <c r="L100" s="135">
        <v>0</v>
      </c>
      <c r="M100" s="135">
        <v>0</v>
      </c>
      <c r="N100" s="135">
        <v>0</v>
      </c>
      <c r="O100" s="135">
        <v>0</v>
      </c>
      <c r="P100" s="135"/>
      <c r="Q100" s="135">
        <v>0</v>
      </c>
      <c r="R100" s="135"/>
      <c r="S100" s="135"/>
      <c r="T100" s="135" t="s">
        <v>19</v>
      </c>
      <c r="U100" s="135"/>
      <c r="V100" s="135" t="s">
        <v>1255</v>
      </c>
      <c r="W100" s="135">
        <v>3</v>
      </c>
      <c r="X100" s="135" t="s">
        <v>1720</v>
      </c>
      <c r="Y100" s="135" t="s">
        <v>1721</v>
      </c>
      <c r="Z100" s="135" t="s">
        <v>1461</v>
      </c>
      <c r="AA100" s="5" t="s">
        <v>18</v>
      </c>
      <c r="AB100" s="5" t="s">
        <v>1298</v>
      </c>
      <c r="AC100" s="6">
        <f>G100</f>
        <v>150</v>
      </c>
      <c r="AD100" s="6"/>
    </row>
    <row r="101" spans="1:30" ht="19.5" customHeight="1">
      <c r="A101" s="135" t="s">
        <v>253</v>
      </c>
      <c r="B101" s="135"/>
      <c r="C101" s="135">
        <v>46528</v>
      </c>
      <c r="D101" s="135" t="s">
        <v>1722</v>
      </c>
      <c r="E101" s="135" t="s">
        <v>1723</v>
      </c>
      <c r="F101" s="135"/>
      <c r="G101" s="135">
        <v>250</v>
      </c>
      <c r="H101" s="135" t="s">
        <v>1253</v>
      </c>
      <c r="I101" s="135" t="str">
        <f>VLOOKUP(H101,list!$B$2:$C$14,2,FALSE)</f>
        <v>KITS</v>
      </c>
      <c r="J101" s="135"/>
      <c r="K101" s="135">
        <v>0</v>
      </c>
      <c r="L101" s="135">
        <v>0</v>
      </c>
      <c r="M101" s="135">
        <v>0</v>
      </c>
      <c r="N101" s="135">
        <v>0</v>
      </c>
      <c r="O101" s="135">
        <v>0</v>
      </c>
      <c r="P101" s="135"/>
      <c r="Q101" s="135">
        <v>0</v>
      </c>
      <c r="R101" s="135"/>
      <c r="S101" s="135"/>
      <c r="T101" s="135" t="s">
        <v>19</v>
      </c>
      <c r="U101" s="135"/>
      <c r="V101" s="135" t="s">
        <v>1255</v>
      </c>
      <c r="W101" s="135">
        <v>6</v>
      </c>
      <c r="X101" s="135" t="s">
        <v>1724</v>
      </c>
      <c r="Y101" s="135" t="s">
        <v>1725</v>
      </c>
      <c r="Z101" s="135" t="s">
        <v>1726</v>
      </c>
      <c r="AA101" s="5" t="str">
        <f>VLOOKUP(A101,'Form Responses 1'!$C$2:$K$532,6,FALSE)</f>
        <v>Kit delivery and pickup</v>
      </c>
      <c r="AB101" s="5" t="str">
        <f>VLOOKUP(A101,'Form Responses 1'!$C$2:$K$219,7,FALSE)</f>
        <v>No</v>
      </c>
      <c r="AC101" s="6">
        <f>VLOOKUP(A101,'Form Responses 1'!$C$2:$K$219,8,FALSE)</f>
        <v>240</v>
      </c>
      <c r="AD101" s="6">
        <f>VLOOKUP(A101,'Form Responses 1'!$C$2:$K$219,9,FALSE)</f>
        <v>0</v>
      </c>
    </row>
    <row r="102" spans="1:30" ht="19.5" customHeight="1">
      <c r="A102" s="135" t="s">
        <v>1727</v>
      </c>
      <c r="B102" s="135" t="s">
        <v>343</v>
      </c>
      <c r="C102" s="135">
        <v>46804</v>
      </c>
      <c r="D102" s="135" t="s">
        <v>1343</v>
      </c>
      <c r="E102" s="135" t="s">
        <v>1252</v>
      </c>
      <c r="F102" s="135"/>
      <c r="G102" s="135">
        <v>180</v>
      </c>
      <c r="H102" s="135" t="s">
        <v>1282</v>
      </c>
      <c r="I102" s="135" t="str">
        <f>VLOOKUP(H102,list!$B$2:$C$14,2,FALSE)</f>
        <v>KITS</v>
      </c>
      <c r="J102" s="135"/>
      <c r="K102" s="135">
        <v>0</v>
      </c>
      <c r="L102" s="135">
        <v>0</v>
      </c>
      <c r="M102" s="135">
        <v>0</v>
      </c>
      <c r="N102" s="135">
        <v>0</v>
      </c>
      <c r="O102" s="135">
        <v>0</v>
      </c>
      <c r="P102" s="135"/>
      <c r="Q102" s="135">
        <v>0</v>
      </c>
      <c r="R102" s="135"/>
      <c r="S102" s="135"/>
      <c r="T102" s="135" t="s">
        <v>19</v>
      </c>
      <c r="U102" s="135"/>
      <c r="V102" s="135" t="s">
        <v>1255</v>
      </c>
      <c r="W102" s="135">
        <v>3</v>
      </c>
      <c r="X102" s="135" t="s">
        <v>1728</v>
      </c>
      <c r="Y102" s="135" t="s">
        <v>1729</v>
      </c>
      <c r="Z102" s="135" t="s">
        <v>1347</v>
      </c>
      <c r="AA102" s="5" t="s">
        <v>18</v>
      </c>
      <c r="AB102" s="5" t="s">
        <v>1298</v>
      </c>
      <c r="AC102" s="6">
        <f t="shared" ref="AC102:AC104" si="8">G102</f>
        <v>180</v>
      </c>
      <c r="AD102" s="6"/>
    </row>
    <row r="103" spans="1:30" ht="19.5" customHeight="1">
      <c r="A103" s="135" t="s">
        <v>1730</v>
      </c>
      <c r="B103" s="321" t="s">
        <v>1312</v>
      </c>
      <c r="C103" s="135">
        <v>47274</v>
      </c>
      <c r="D103" s="135" t="s">
        <v>1731</v>
      </c>
      <c r="E103" s="135" t="s">
        <v>1732</v>
      </c>
      <c r="F103" s="135"/>
      <c r="G103" s="135">
        <v>109</v>
      </c>
      <c r="H103" s="135" t="s">
        <v>1276</v>
      </c>
      <c r="I103" s="135" t="str">
        <f>VLOOKUP(H103,list!$B$2:$C$14,2,FALSE)</f>
        <v>GREEN</v>
      </c>
      <c r="J103" s="135"/>
      <c r="K103" s="135">
        <v>0</v>
      </c>
      <c r="L103" s="135">
        <v>0</v>
      </c>
      <c r="M103" s="135">
        <v>0</v>
      </c>
      <c r="N103" s="135">
        <v>0</v>
      </c>
      <c r="O103" s="135">
        <v>0</v>
      </c>
      <c r="P103" s="135"/>
      <c r="Q103" s="135">
        <v>0</v>
      </c>
      <c r="R103" s="135"/>
      <c r="S103" s="135"/>
      <c r="T103" s="135" t="s">
        <v>19</v>
      </c>
      <c r="U103" s="135" t="s">
        <v>1315</v>
      </c>
      <c r="V103" s="135" t="s">
        <v>1255</v>
      </c>
      <c r="W103" s="135">
        <v>2</v>
      </c>
      <c r="X103" s="135" t="s">
        <v>1733</v>
      </c>
      <c r="Y103" s="135" t="s">
        <v>1734</v>
      </c>
      <c r="Z103" s="135" t="s">
        <v>1735</v>
      </c>
      <c r="AA103" s="5" t="s">
        <v>18</v>
      </c>
      <c r="AB103" s="5" t="s">
        <v>1298</v>
      </c>
      <c r="AC103" s="6">
        <f t="shared" si="8"/>
        <v>109</v>
      </c>
      <c r="AD103" s="6"/>
    </row>
    <row r="104" spans="1:30" ht="19.5" customHeight="1">
      <c r="A104" s="135" t="s">
        <v>1736</v>
      </c>
      <c r="B104" s="321" t="s">
        <v>1312</v>
      </c>
      <c r="C104" s="135">
        <v>47905</v>
      </c>
      <c r="D104" s="135" t="s">
        <v>1423</v>
      </c>
      <c r="E104" s="135" t="s">
        <v>1424</v>
      </c>
      <c r="F104" s="135"/>
      <c r="G104" s="135">
        <v>125</v>
      </c>
      <c r="H104" s="135" t="s">
        <v>1276</v>
      </c>
      <c r="I104" s="135" t="str">
        <f>VLOOKUP(H104,list!$B$2:$C$14,2,FALSE)</f>
        <v>GREEN</v>
      </c>
      <c r="J104" s="135"/>
      <c r="K104" s="135">
        <v>0</v>
      </c>
      <c r="L104" s="135">
        <v>0</v>
      </c>
      <c r="M104" s="135">
        <v>0</v>
      </c>
      <c r="N104" s="135">
        <v>0</v>
      </c>
      <c r="O104" s="135">
        <v>0</v>
      </c>
      <c r="P104" s="135"/>
      <c r="Q104" s="135">
        <v>0</v>
      </c>
      <c r="R104" s="135"/>
      <c r="S104" s="135"/>
      <c r="T104" s="135" t="s">
        <v>19</v>
      </c>
      <c r="U104" s="135" t="s">
        <v>1315</v>
      </c>
      <c r="V104" s="135" t="s">
        <v>1255</v>
      </c>
      <c r="W104" s="135">
        <v>2</v>
      </c>
      <c r="X104" s="135" t="s">
        <v>1737</v>
      </c>
      <c r="Y104" s="135" t="s">
        <v>1738</v>
      </c>
      <c r="Z104" s="135" t="s">
        <v>1739</v>
      </c>
      <c r="AA104" s="5" t="s">
        <v>18</v>
      </c>
      <c r="AB104" s="5" t="s">
        <v>1298</v>
      </c>
      <c r="AC104" s="6">
        <f t="shared" si="8"/>
        <v>125</v>
      </c>
      <c r="AD104" s="6"/>
    </row>
    <row r="105" spans="1:30" ht="19.5" customHeight="1">
      <c r="A105" s="135" t="s">
        <v>257</v>
      </c>
      <c r="B105" s="135" t="s">
        <v>1265</v>
      </c>
      <c r="C105" s="135">
        <v>46205</v>
      </c>
      <c r="D105" s="135" t="s">
        <v>1289</v>
      </c>
      <c r="E105" s="135" t="s">
        <v>1290</v>
      </c>
      <c r="F105" s="135"/>
      <c r="G105" s="135">
        <v>180</v>
      </c>
      <c r="H105" s="135" t="s">
        <v>1276</v>
      </c>
      <c r="I105" s="135" t="str">
        <f>VLOOKUP(H105,list!$B$2:$C$14,2,FALSE)</f>
        <v>GREEN</v>
      </c>
      <c r="J105" s="135"/>
      <c r="K105" s="135">
        <v>0</v>
      </c>
      <c r="L105" s="135">
        <v>0</v>
      </c>
      <c r="M105" s="135">
        <v>0</v>
      </c>
      <c r="N105" s="135">
        <v>0</v>
      </c>
      <c r="O105" s="135">
        <v>0</v>
      </c>
      <c r="P105" s="135"/>
      <c r="Q105" s="135">
        <v>0</v>
      </c>
      <c r="R105" s="135"/>
      <c r="S105" s="135"/>
      <c r="T105" s="135" t="s">
        <v>19</v>
      </c>
      <c r="U105" s="135"/>
      <c r="V105" s="135" t="s">
        <v>1255</v>
      </c>
      <c r="W105" s="135">
        <v>2</v>
      </c>
      <c r="X105" s="135" t="s">
        <v>1740</v>
      </c>
      <c r="Y105" s="135" t="s">
        <v>1741</v>
      </c>
      <c r="Z105" s="135" t="s">
        <v>1742</v>
      </c>
      <c r="AA105" s="5" t="str">
        <f>VLOOKUP(A105,'Form Responses 1'!$C$2:$K$532,6,FALSE)</f>
        <v>Kit delivery and pickup</v>
      </c>
      <c r="AB105" s="5" t="str">
        <f>VLOOKUP(A105,'Form Responses 1'!$C$2:$K$219,7,FALSE)</f>
        <v>No</v>
      </c>
      <c r="AC105" s="6">
        <f>VLOOKUP(A105,'Form Responses 1'!$C$2:$K$219,8,FALSE)</f>
        <v>200</v>
      </c>
      <c r="AD105" s="6">
        <f>VLOOKUP(A105,'Form Responses 1'!$C$2:$K$219,9,FALSE)</f>
        <v>0</v>
      </c>
    </row>
    <row r="106" spans="1:30" ht="19.5" customHeight="1">
      <c r="A106" s="135" t="s">
        <v>1743</v>
      </c>
      <c r="B106" s="135" t="s">
        <v>343</v>
      </c>
      <c r="C106" s="135">
        <v>46545</v>
      </c>
      <c r="D106" s="135" t="s">
        <v>1744</v>
      </c>
      <c r="E106" s="135" t="s">
        <v>1480</v>
      </c>
      <c r="F106" s="135"/>
      <c r="G106" s="135">
        <v>142</v>
      </c>
      <c r="H106" s="135" t="s">
        <v>1282</v>
      </c>
      <c r="I106" s="135" t="str">
        <f>VLOOKUP(H106,list!$B$2:$C$14,2,FALSE)</f>
        <v>KITS</v>
      </c>
      <c r="J106" s="135"/>
      <c r="K106" s="135">
        <v>0</v>
      </c>
      <c r="L106" s="135">
        <v>0</v>
      </c>
      <c r="M106" s="135">
        <v>0</v>
      </c>
      <c r="N106" s="135">
        <v>0</v>
      </c>
      <c r="O106" s="135">
        <v>0</v>
      </c>
      <c r="P106" s="135"/>
      <c r="Q106" s="135">
        <v>0</v>
      </c>
      <c r="R106" s="135"/>
      <c r="S106" s="135"/>
      <c r="T106" s="135" t="s">
        <v>19</v>
      </c>
      <c r="U106" s="135"/>
      <c r="V106" s="135" t="s">
        <v>1255</v>
      </c>
      <c r="W106" s="135">
        <v>3</v>
      </c>
      <c r="X106" s="135" t="s">
        <v>1745</v>
      </c>
      <c r="Y106" s="135" t="s">
        <v>1746</v>
      </c>
      <c r="Z106" s="135" t="s">
        <v>1747</v>
      </c>
      <c r="AA106" s="5" t="s">
        <v>18</v>
      </c>
      <c r="AB106" s="5" t="s">
        <v>1298</v>
      </c>
      <c r="AC106" s="6">
        <f>G106</f>
        <v>142</v>
      </c>
      <c r="AD106" s="6"/>
    </row>
    <row r="107" spans="1:30" ht="19.5" customHeight="1">
      <c r="A107" s="135" t="s">
        <v>1075</v>
      </c>
      <c r="B107" s="135"/>
      <c r="C107" s="135">
        <v>46307</v>
      </c>
      <c r="D107" s="135" t="s">
        <v>1689</v>
      </c>
      <c r="E107" s="135" t="s">
        <v>1375</v>
      </c>
      <c r="F107" s="135"/>
      <c r="G107" s="135">
        <v>169</v>
      </c>
      <c r="H107" s="135" t="s">
        <v>1326</v>
      </c>
      <c r="I107" s="135" t="str">
        <f>VLOOKUP(H107,list!$B$2:$C$14,2,FALSE)</f>
        <v>ONSITE</v>
      </c>
      <c r="J107" s="135"/>
      <c r="K107" s="135">
        <v>1</v>
      </c>
      <c r="L107" s="135">
        <v>0</v>
      </c>
      <c r="M107" s="135">
        <v>0</v>
      </c>
      <c r="N107" s="135">
        <v>0</v>
      </c>
      <c r="O107" s="135">
        <v>0</v>
      </c>
      <c r="P107" s="135"/>
      <c r="Q107" s="135">
        <v>0</v>
      </c>
      <c r="R107" s="135"/>
      <c r="S107" s="135" t="s">
        <v>1748</v>
      </c>
      <c r="T107" s="135"/>
      <c r="U107" s="135" t="s">
        <v>1749</v>
      </c>
      <c r="V107" s="135" t="s">
        <v>1255</v>
      </c>
      <c r="W107" s="135">
        <v>1</v>
      </c>
      <c r="X107" s="135" t="s">
        <v>1750</v>
      </c>
      <c r="Y107" s="135" t="s">
        <v>1751</v>
      </c>
      <c r="Z107" s="135" t="s">
        <v>1692</v>
      </c>
      <c r="AA107" s="5" t="str">
        <f>VLOOKUP(A107,'Form Responses 1'!$C$2:$K$532,6,FALSE)</f>
        <v>Kit delivery and pickup</v>
      </c>
      <c r="AB107" s="5" t="e">
        <f>VLOOKUP(A107,'Form Responses 1'!$C$2:$K$219,7,FALSE)</f>
        <v>#N/A</v>
      </c>
      <c r="AC107" s="6" t="e">
        <f>VLOOKUP(A107,'Form Responses 1'!$C$2:$K$219,8,FALSE)</f>
        <v>#N/A</v>
      </c>
      <c r="AD107" s="6" t="e">
        <f>VLOOKUP(A107,'Form Responses 1'!$C$2:$K$219,9,FALSE)</f>
        <v>#N/A</v>
      </c>
    </row>
    <row r="108" spans="1:30" ht="19.5" customHeight="1">
      <c r="A108" s="135" t="s">
        <v>1752</v>
      </c>
      <c r="B108" s="321" t="s">
        <v>1312</v>
      </c>
      <c r="C108" s="135">
        <v>47906</v>
      </c>
      <c r="D108" s="135" t="s">
        <v>1753</v>
      </c>
      <c r="E108" s="135" t="s">
        <v>1424</v>
      </c>
      <c r="F108" s="135"/>
      <c r="G108" s="135">
        <v>130</v>
      </c>
      <c r="H108" s="135" t="s">
        <v>1276</v>
      </c>
      <c r="I108" s="135" t="str">
        <f>VLOOKUP(H108,list!$B$2:$C$14,2,FALSE)</f>
        <v>GREEN</v>
      </c>
      <c r="J108" s="135"/>
      <c r="K108" s="135">
        <v>0</v>
      </c>
      <c r="L108" s="135">
        <v>0</v>
      </c>
      <c r="M108" s="135">
        <v>0</v>
      </c>
      <c r="N108" s="135">
        <v>0</v>
      </c>
      <c r="O108" s="135">
        <v>0</v>
      </c>
      <c r="P108" s="135"/>
      <c r="Q108" s="135">
        <v>0</v>
      </c>
      <c r="R108" s="135"/>
      <c r="S108" s="135"/>
      <c r="T108" s="135" t="s">
        <v>19</v>
      </c>
      <c r="U108" s="135" t="s">
        <v>1315</v>
      </c>
      <c r="V108" s="135" t="s">
        <v>1255</v>
      </c>
      <c r="W108" s="135">
        <v>2</v>
      </c>
      <c r="X108" s="135" t="s">
        <v>1754</v>
      </c>
      <c r="Y108" s="135" t="s">
        <v>1755</v>
      </c>
      <c r="Z108" s="135" t="s">
        <v>1756</v>
      </c>
      <c r="AA108" s="5" t="s">
        <v>18</v>
      </c>
      <c r="AB108" s="5" t="s">
        <v>1298</v>
      </c>
      <c r="AC108" s="6">
        <f>G108</f>
        <v>130</v>
      </c>
      <c r="AD108" s="6"/>
    </row>
    <row r="109" spans="1:30" ht="19.5" customHeight="1">
      <c r="A109" s="135" t="s">
        <v>1757</v>
      </c>
      <c r="B109" s="135" t="s">
        <v>1303</v>
      </c>
      <c r="C109" s="135">
        <v>46168</v>
      </c>
      <c r="D109" s="135" t="s">
        <v>1758</v>
      </c>
      <c r="E109" s="135" t="s">
        <v>1458</v>
      </c>
      <c r="F109" s="135"/>
      <c r="G109" s="135"/>
      <c r="H109" s="135"/>
      <c r="I109" s="135"/>
      <c r="J109" s="135"/>
      <c r="K109" s="135"/>
      <c r="L109" s="135"/>
      <c r="M109" s="135"/>
      <c r="N109" s="135"/>
      <c r="O109" s="135"/>
      <c r="P109" s="135"/>
      <c r="Q109" s="135"/>
      <c r="R109" s="135"/>
      <c r="S109" s="135"/>
      <c r="T109" s="135"/>
      <c r="U109" s="135"/>
      <c r="V109" s="135"/>
      <c r="W109" s="135"/>
      <c r="X109" s="135">
        <v>3178387070</v>
      </c>
      <c r="Y109" s="135" t="s">
        <v>1759</v>
      </c>
      <c r="Z109" s="135"/>
      <c r="AA109" s="5" t="s">
        <v>18</v>
      </c>
      <c r="AB109" s="5" t="s">
        <v>1298</v>
      </c>
      <c r="AC109" s="6"/>
      <c r="AD109" s="6"/>
    </row>
    <row r="110" spans="1:30" ht="19.5" customHeight="1">
      <c r="A110" s="135" t="s">
        <v>1760</v>
      </c>
      <c r="B110" s="135" t="s">
        <v>343</v>
      </c>
      <c r="C110" s="135">
        <v>47630</v>
      </c>
      <c r="D110" s="135" t="s">
        <v>1761</v>
      </c>
      <c r="E110" s="135" t="s">
        <v>1762</v>
      </c>
      <c r="F110" s="135"/>
      <c r="G110" s="135">
        <v>100</v>
      </c>
      <c r="H110" s="135" t="s">
        <v>1282</v>
      </c>
      <c r="I110" s="135" t="str">
        <f>VLOOKUP(H110,list!$B$2:$C$14,2,FALSE)</f>
        <v>KITS</v>
      </c>
      <c r="J110" s="135"/>
      <c r="K110" s="135">
        <v>0</v>
      </c>
      <c r="L110" s="135">
        <v>0</v>
      </c>
      <c r="M110" s="135">
        <v>0</v>
      </c>
      <c r="N110" s="135">
        <v>0</v>
      </c>
      <c r="O110" s="135">
        <v>0</v>
      </c>
      <c r="P110" s="135"/>
      <c r="Q110" s="135">
        <v>0</v>
      </c>
      <c r="R110" s="135"/>
      <c r="S110" s="135"/>
      <c r="T110" s="135" t="s">
        <v>19</v>
      </c>
      <c r="U110" s="135"/>
      <c r="V110" s="135" t="s">
        <v>1255</v>
      </c>
      <c r="W110" s="135">
        <v>3</v>
      </c>
      <c r="X110" s="135" t="s">
        <v>1763</v>
      </c>
      <c r="Y110" s="135" t="s">
        <v>1764</v>
      </c>
      <c r="Z110" s="135" t="s">
        <v>1765</v>
      </c>
      <c r="AA110" s="5" t="s">
        <v>18</v>
      </c>
      <c r="AB110" s="5" t="s">
        <v>1298</v>
      </c>
      <c r="AC110" s="6">
        <f t="shared" ref="AC110:AC111" si="9">G110</f>
        <v>100</v>
      </c>
      <c r="AD110" s="6"/>
    </row>
    <row r="111" spans="1:30" ht="19.5" customHeight="1">
      <c r="A111" s="135" t="s">
        <v>1766</v>
      </c>
      <c r="B111" s="135" t="s">
        <v>343</v>
      </c>
      <c r="C111" s="135">
        <v>46122</v>
      </c>
      <c r="D111" s="135" t="s">
        <v>1767</v>
      </c>
      <c r="E111" s="135" t="s">
        <v>1458</v>
      </c>
      <c r="F111" s="135"/>
      <c r="G111" s="135">
        <v>124</v>
      </c>
      <c r="H111" s="135" t="s">
        <v>1282</v>
      </c>
      <c r="I111" s="135" t="str">
        <f>VLOOKUP(H111,list!$B$2:$C$14,2,FALSE)</f>
        <v>KITS</v>
      </c>
      <c r="J111" s="135"/>
      <c r="K111" s="135">
        <v>0</v>
      </c>
      <c r="L111" s="135">
        <v>0</v>
      </c>
      <c r="M111" s="135">
        <v>0</v>
      </c>
      <c r="N111" s="135">
        <v>0</v>
      </c>
      <c r="O111" s="135">
        <v>0</v>
      </c>
      <c r="P111" s="135"/>
      <c r="Q111" s="135">
        <v>0</v>
      </c>
      <c r="R111" s="135"/>
      <c r="S111" s="135"/>
      <c r="T111" s="135" t="s">
        <v>19</v>
      </c>
      <c r="U111" s="135"/>
      <c r="V111" s="135" t="s">
        <v>1255</v>
      </c>
      <c r="W111" s="135">
        <v>3</v>
      </c>
      <c r="X111" s="135" t="s">
        <v>1768</v>
      </c>
      <c r="Y111" s="135" t="s">
        <v>1769</v>
      </c>
      <c r="Z111" s="135" t="s">
        <v>1770</v>
      </c>
      <c r="AA111" s="5" t="s">
        <v>18</v>
      </c>
      <c r="AB111" s="5" t="s">
        <v>1298</v>
      </c>
      <c r="AC111" s="6">
        <f t="shared" si="9"/>
        <v>124</v>
      </c>
      <c r="AD111" s="6"/>
    </row>
    <row r="112" spans="1:30" ht="19.5" customHeight="1">
      <c r="A112" s="135" t="s">
        <v>266</v>
      </c>
      <c r="B112" s="135"/>
      <c r="C112" s="135">
        <v>46221</v>
      </c>
      <c r="D112" s="135" t="s">
        <v>1289</v>
      </c>
      <c r="E112" s="135" t="s">
        <v>1290</v>
      </c>
      <c r="F112" s="135"/>
      <c r="G112" s="135">
        <v>50</v>
      </c>
      <c r="H112" s="135" t="s">
        <v>1276</v>
      </c>
      <c r="I112" s="135" t="str">
        <f>VLOOKUP(H112,list!$B$2:$C$14,2,FALSE)</f>
        <v>GREEN</v>
      </c>
      <c r="J112" s="135"/>
      <c r="K112" s="135">
        <v>0</v>
      </c>
      <c r="L112" s="135">
        <v>0</v>
      </c>
      <c r="M112" s="135">
        <v>0</v>
      </c>
      <c r="N112" s="135">
        <v>0</v>
      </c>
      <c r="O112" s="135">
        <v>0</v>
      </c>
      <c r="P112" s="135"/>
      <c r="Q112" s="135">
        <v>0</v>
      </c>
      <c r="R112" s="135"/>
      <c r="S112" s="135"/>
      <c r="T112" s="135" t="s">
        <v>19</v>
      </c>
      <c r="U112" s="135"/>
      <c r="V112" s="135" t="s">
        <v>1255</v>
      </c>
      <c r="W112" s="135">
        <v>2</v>
      </c>
      <c r="X112" s="135" t="s">
        <v>1771</v>
      </c>
      <c r="Y112" s="135" t="s">
        <v>1772</v>
      </c>
      <c r="Z112" s="135" t="s">
        <v>1773</v>
      </c>
      <c r="AA112" s="5" t="str">
        <f>VLOOKUP(A112,'Form Responses 1'!$C$2:$K$532,6,FALSE)</f>
        <v>Onsite sample collection by ISDH team</v>
      </c>
      <c r="AB112" s="5" t="str">
        <f>VLOOKUP(A112,'Form Responses 1'!$C$2:$K$219,7,FALSE)</f>
        <v>No</v>
      </c>
      <c r="AC112" s="6">
        <f>VLOOKUP(A112,'Form Responses 1'!$C$2:$K$219,8,FALSE)</f>
        <v>60</v>
      </c>
      <c r="AD112" s="6">
        <f>VLOOKUP(A112,'Form Responses 1'!$C$2:$K$219,9,FALSE)</f>
        <v>0</v>
      </c>
    </row>
    <row r="113" spans="1:30" ht="19.5" customHeight="1">
      <c r="A113" s="135" t="s">
        <v>1086</v>
      </c>
      <c r="B113" s="135"/>
      <c r="C113" s="135">
        <v>47150</v>
      </c>
      <c r="D113" s="135" t="s">
        <v>1441</v>
      </c>
      <c r="E113" s="135" t="s">
        <v>1442</v>
      </c>
      <c r="F113" s="135"/>
      <c r="G113" s="135">
        <v>140</v>
      </c>
      <c r="H113" s="135" t="s">
        <v>1465</v>
      </c>
      <c r="I113" s="135" t="str">
        <f>VLOOKUP(H113,list!$B$2:$C$14,2,FALSE)</f>
        <v>GREEN</v>
      </c>
      <c r="J113" s="135"/>
      <c r="K113" s="135">
        <v>0</v>
      </c>
      <c r="L113" s="135">
        <v>0</v>
      </c>
      <c r="M113" s="135">
        <v>0</v>
      </c>
      <c r="N113" s="135">
        <v>0</v>
      </c>
      <c r="O113" s="135">
        <v>0</v>
      </c>
      <c r="P113" s="135"/>
      <c r="Q113" s="135">
        <v>0</v>
      </c>
      <c r="R113" s="135"/>
      <c r="S113" s="135"/>
      <c r="T113" s="135" t="s">
        <v>19</v>
      </c>
      <c r="U113" s="135"/>
      <c r="V113" s="135" t="s">
        <v>1255</v>
      </c>
      <c r="W113" s="135">
        <v>4</v>
      </c>
      <c r="X113" s="135" t="s">
        <v>1774</v>
      </c>
      <c r="Y113" s="135" t="s">
        <v>1775</v>
      </c>
      <c r="Z113" s="135" t="s">
        <v>1445</v>
      </c>
      <c r="AA113" s="5" t="str">
        <f>VLOOKUP(A113,'Form Responses 1'!$C$2:$K$532,6,FALSE)</f>
        <v>Kit delivery and pickup</v>
      </c>
      <c r="AB113" s="5" t="e">
        <f>VLOOKUP(A113,'Form Responses 1'!$C$2:$K$219,7,FALSE)</f>
        <v>#N/A</v>
      </c>
      <c r="AC113" s="6" t="e">
        <f>VLOOKUP(A113,'Form Responses 1'!$C$2:$K$219,8,FALSE)</f>
        <v>#N/A</v>
      </c>
      <c r="AD113" s="6" t="e">
        <f>VLOOKUP(A113,'Form Responses 1'!$C$2:$K$219,9,FALSE)</f>
        <v>#N/A</v>
      </c>
    </row>
    <row r="114" spans="1:30" ht="19.5" customHeight="1">
      <c r="A114" s="135" t="s">
        <v>270</v>
      </c>
      <c r="B114" s="135"/>
      <c r="C114" s="135">
        <v>46311</v>
      </c>
      <c r="D114" s="135" t="s">
        <v>1776</v>
      </c>
      <c r="E114" s="135" t="s">
        <v>1375</v>
      </c>
      <c r="F114" s="135"/>
      <c r="G114" s="135">
        <v>80</v>
      </c>
      <c r="H114" s="135" t="s">
        <v>1276</v>
      </c>
      <c r="I114" s="135" t="str">
        <f>VLOOKUP(H114,list!$B$2:$C$14,2,FALSE)</f>
        <v>GREEN</v>
      </c>
      <c r="J114" s="135"/>
      <c r="K114" s="135">
        <v>0</v>
      </c>
      <c r="L114" s="135">
        <v>0</v>
      </c>
      <c r="M114" s="135">
        <v>0</v>
      </c>
      <c r="N114" s="135">
        <v>0</v>
      </c>
      <c r="O114" s="135">
        <v>0</v>
      </c>
      <c r="P114" s="135"/>
      <c r="Q114" s="135">
        <v>0</v>
      </c>
      <c r="R114" s="135"/>
      <c r="S114" s="135"/>
      <c r="T114" s="135" t="s">
        <v>19</v>
      </c>
      <c r="U114" s="135" t="s">
        <v>1777</v>
      </c>
      <c r="V114" s="135" t="s">
        <v>1255</v>
      </c>
      <c r="W114" s="135">
        <v>2</v>
      </c>
      <c r="X114" s="135" t="s">
        <v>1778</v>
      </c>
      <c r="Y114" s="135" t="s">
        <v>1779</v>
      </c>
      <c r="Z114" s="135" t="s">
        <v>1780</v>
      </c>
      <c r="AA114" s="5" t="str">
        <f>VLOOKUP(A114,'Form Responses 1'!$C$2:$K$532,6,FALSE)</f>
        <v>Kit delivery and pickup</v>
      </c>
      <c r="AB114" s="5" t="str">
        <f>VLOOKUP(A114,'Form Responses 1'!$C$2:$K$219,7,FALSE)</f>
        <v>No</v>
      </c>
      <c r="AC114" s="6">
        <f>VLOOKUP(A114,'Form Responses 1'!$C$2:$K$219,8,FALSE)</f>
        <v>80</v>
      </c>
      <c r="AD114" s="6">
        <f>VLOOKUP(A114,'Form Responses 1'!$C$2:$K$219,9,FALSE)</f>
        <v>0</v>
      </c>
    </row>
    <row r="115" spans="1:30" ht="19.5" customHeight="1">
      <c r="A115" s="135" t="s">
        <v>1781</v>
      </c>
      <c r="B115" s="135" t="s">
        <v>1288</v>
      </c>
      <c r="C115" s="135">
        <v>46254</v>
      </c>
      <c r="D115" s="135" t="s">
        <v>1289</v>
      </c>
      <c r="E115" s="135" t="s">
        <v>1290</v>
      </c>
      <c r="F115" s="135"/>
      <c r="G115" s="135">
        <v>200</v>
      </c>
      <c r="H115" s="135" t="s">
        <v>1326</v>
      </c>
      <c r="I115" s="135" t="str">
        <f>VLOOKUP(H115,list!$B$2:$C$14,2,FALSE)</f>
        <v>ONSITE</v>
      </c>
      <c r="J115" s="135"/>
      <c r="K115" s="135">
        <v>0</v>
      </c>
      <c r="L115" s="135">
        <v>0</v>
      </c>
      <c r="M115" s="135">
        <v>0</v>
      </c>
      <c r="N115" s="135">
        <v>0</v>
      </c>
      <c r="O115" s="135">
        <v>0</v>
      </c>
      <c r="P115" s="135"/>
      <c r="Q115" s="135">
        <v>1</v>
      </c>
      <c r="R115" s="135"/>
      <c r="S115" s="135" t="s">
        <v>1782</v>
      </c>
      <c r="T115" s="135" t="s">
        <v>30</v>
      </c>
      <c r="U115" s="135" t="s">
        <v>1782</v>
      </c>
      <c r="V115" s="135" t="s">
        <v>1255</v>
      </c>
      <c r="W115" s="135">
        <v>1</v>
      </c>
      <c r="X115" s="135" t="s">
        <v>1783</v>
      </c>
      <c r="Y115" s="135" t="s">
        <v>1784</v>
      </c>
      <c r="Z115" s="135" t="s">
        <v>1785</v>
      </c>
      <c r="AA115" s="5" t="s">
        <v>91</v>
      </c>
      <c r="AB115" s="5" t="s">
        <v>30</v>
      </c>
      <c r="AC115" s="6">
        <f t="shared" ref="AC115:AC120" si="10">G115</f>
        <v>200</v>
      </c>
      <c r="AD115" s="6"/>
    </row>
    <row r="116" spans="1:30" ht="19.5" customHeight="1">
      <c r="A116" s="135" t="s">
        <v>1786</v>
      </c>
      <c r="B116" s="135" t="s">
        <v>343</v>
      </c>
      <c r="C116" s="135">
        <v>46214</v>
      </c>
      <c r="D116" s="135" t="s">
        <v>1289</v>
      </c>
      <c r="E116" s="135" t="s">
        <v>1290</v>
      </c>
      <c r="F116" s="135"/>
      <c r="G116" s="135">
        <v>92</v>
      </c>
      <c r="H116" s="135" t="s">
        <v>1282</v>
      </c>
      <c r="I116" s="135" t="str">
        <f>VLOOKUP(H116,list!$B$2:$C$14,2,FALSE)</f>
        <v>KITS</v>
      </c>
      <c r="J116" s="135"/>
      <c r="K116" s="135">
        <v>0</v>
      </c>
      <c r="L116" s="135">
        <v>0</v>
      </c>
      <c r="M116" s="135">
        <v>0</v>
      </c>
      <c r="N116" s="135">
        <v>0</v>
      </c>
      <c r="O116" s="135">
        <v>0</v>
      </c>
      <c r="P116" s="135"/>
      <c r="Q116" s="135">
        <v>0</v>
      </c>
      <c r="R116" s="135"/>
      <c r="S116" s="135"/>
      <c r="T116" s="135" t="s">
        <v>19</v>
      </c>
      <c r="U116" s="135"/>
      <c r="V116" s="135" t="s">
        <v>1255</v>
      </c>
      <c r="W116" s="135">
        <v>3</v>
      </c>
      <c r="X116" s="135" t="s">
        <v>1787</v>
      </c>
      <c r="Y116" s="135" t="s">
        <v>1788</v>
      </c>
      <c r="Z116" s="135" t="s">
        <v>1789</v>
      </c>
      <c r="AA116" s="5" t="s">
        <v>18</v>
      </c>
      <c r="AB116" s="5" t="s">
        <v>1298</v>
      </c>
      <c r="AC116" s="6">
        <f t="shared" si="10"/>
        <v>92</v>
      </c>
      <c r="AD116" s="6"/>
    </row>
    <row r="117" spans="1:30" ht="19.5" customHeight="1">
      <c r="A117" s="135" t="s">
        <v>1790</v>
      </c>
      <c r="B117" s="135" t="s">
        <v>343</v>
      </c>
      <c r="C117" s="135">
        <v>46514</v>
      </c>
      <c r="D117" s="135" t="s">
        <v>1723</v>
      </c>
      <c r="E117" s="135" t="s">
        <v>1723</v>
      </c>
      <c r="F117" s="135"/>
      <c r="G117" s="135">
        <v>112</v>
      </c>
      <c r="H117" s="135" t="s">
        <v>1282</v>
      </c>
      <c r="I117" s="135" t="str">
        <f>VLOOKUP(H117,list!$B$2:$C$14,2,FALSE)</f>
        <v>KITS</v>
      </c>
      <c r="J117" s="135"/>
      <c r="K117" s="135">
        <v>0</v>
      </c>
      <c r="L117" s="135">
        <v>0</v>
      </c>
      <c r="M117" s="135">
        <v>0</v>
      </c>
      <c r="N117" s="135">
        <v>0</v>
      </c>
      <c r="O117" s="135">
        <v>0</v>
      </c>
      <c r="P117" s="135"/>
      <c r="Q117" s="135">
        <v>0</v>
      </c>
      <c r="R117" s="135"/>
      <c r="S117" s="135"/>
      <c r="T117" s="135" t="s">
        <v>19</v>
      </c>
      <c r="U117" s="135"/>
      <c r="V117" s="135" t="s">
        <v>1255</v>
      </c>
      <c r="W117" s="135">
        <v>3</v>
      </c>
      <c r="X117" s="135" t="s">
        <v>1791</v>
      </c>
      <c r="Y117" s="135" t="s">
        <v>1792</v>
      </c>
      <c r="Z117" s="135" t="s">
        <v>1793</v>
      </c>
      <c r="AA117" s="5" t="s">
        <v>18</v>
      </c>
      <c r="AB117" s="5" t="s">
        <v>1298</v>
      </c>
      <c r="AC117" s="6">
        <f t="shared" si="10"/>
        <v>112</v>
      </c>
      <c r="AD117" s="6"/>
    </row>
    <row r="118" spans="1:30" ht="19.5" customHeight="1">
      <c r="A118" s="135" t="s">
        <v>1794</v>
      </c>
      <c r="B118" s="135" t="s">
        <v>343</v>
      </c>
      <c r="C118" s="135">
        <v>47501</v>
      </c>
      <c r="D118" s="135" t="s">
        <v>1795</v>
      </c>
      <c r="E118" s="135" t="s">
        <v>1492</v>
      </c>
      <c r="F118" s="135" t="s">
        <v>30</v>
      </c>
      <c r="G118" s="135">
        <v>67</v>
      </c>
      <c r="H118" s="135" t="s">
        <v>1282</v>
      </c>
      <c r="I118" s="135" t="str">
        <f>VLOOKUP(H118,list!$B$2:$C$14,2,FALSE)</f>
        <v>KITS</v>
      </c>
      <c r="J118" s="135"/>
      <c r="K118" s="135">
        <v>0</v>
      </c>
      <c r="L118" s="135">
        <v>0</v>
      </c>
      <c r="M118" s="135">
        <v>0</v>
      </c>
      <c r="N118" s="135">
        <v>0</v>
      </c>
      <c r="O118" s="135">
        <v>0</v>
      </c>
      <c r="P118" s="135"/>
      <c r="Q118" s="135">
        <v>0</v>
      </c>
      <c r="R118" s="135"/>
      <c r="S118" s="135"/>
      <c r="T118" s="135" t="s">
        <v>19</v>
      </c>
      <c r="U118" s="135"/>
      <c r="V118" s="135" t="s">
        <v>1255</v>
      </c>
      <c r="W118" s="135">
        <v>3</v>
      </c>
      <c r="X118" s="135" t="s">
        <v>1796</v>
      </c>
      <c r="Y118" s="135" t="s">
        <v>1797</v>
      </c>
      <c r="Z118" s="135" t="s">
        <v>1798</v>
      </c>
      <c r="AA118" s="5" t="s">
        <v>18</v>
      </c>
      <c r="AB118" s="5" t="s">
        <v>1298</v>
      </c>
      <c r="AC118" s="6">
        <f t="shared" si="10"/>
        <v>67</v>
      </c>
      <c r="AD118" s="6"/>
    </row>
    <row r="119" spans="1:30" ht="19.5" customHeight="1">
      <c r="A119" s="135" t="s">
        <v>1799</v>
      </c>
      <c r="B119" s="135" t="s">
        <v>343</v>
      </c>
      <c r="C119" s="135">
        <v>46011</v>
      </c>
      <c r="D119" s="135" t="s">
        <v>1498</v>
      </c>
      <c r="E119" s="135" t="s">
        <v>1281</v>
      </c>
      <c r="F119" s="135"/>
      <c r="G119" s="135">
        <v>80</v>
      </c>
      <c r="H119" s="135" t="s">
        <v>1282</v>
      </c>
      <c r="I119" s="135" t="str">
        <f>VLOOKUP(H119,list!$B$2:$C$14,2,FALSE)</f>
        <v>KITS</v>
      </c>
      <c r="J119" s="135"/>
      <c r="K119" s="135">
        <v>0</v>
      </c>
      <c r="L119" s="135">
        <v>0</v>
      </c>
      <c r="M119" s="135">
        <v>0</v>
      </c>
      <c r="N119" s="135">
        <v>0</v>
      </c>
      <c r="O119" s="135">
        <v>0</v>
      </c>
      <c r="P119" s="135"/>
      <c r="Q119" s="135">
        <v>0</v>
      </c>
      <c r="R119" s="135"/>
      <c r="S119" s="135"/>
      <c r="T119" s="135" t="s">
        <v>19</v>
      </c>
      <c r="U119" s="135"/>
      <c r="V119" s="135" t="s">
        <v>1255</v>
      </c>
      <c r="W119" s="135">
        <v>3</v>
      </c>
      <c r="X119" s="135" t="s">
        <v>1800</v>
      </c>
      <c r="Y119" s="135" t="s">
        <v>1801</v>
      </c>
      <c r="Z119" s="135" t="s">
        <v>1802</v>
      </c>
      <c r="AA119" s="5" t="s">
        <v>18</v>
      </c>
      <c r="AB119" s="5" t="s">
        <v>1298</v>
      </c>
      <c r="AC119" s="6">
        <f t="shared" si="10"/>
        <v>80</v>
      </c>
      <c r="AD119" s="6"/>
    </row>
    <row r="120" spans="1:30" ht="19.5" customHeight="1">
      <c r="A120" s="135" t="s">
        <v>1803</v>
      </c>
      <c r="B120" s="135" t="s">
        <v>343</v>
      </c>
      <c r="C120" s="135">
        <v>46517</v>
      </c>
      <c r="D120" s="135" t="s">
        <v>1723</v>
      </c>
      <c r="E120" s="135" t="s">
        <v>1723</v>
      </c>
      <c r="F120" s="135"/>
      <c r="G120" s="135">
        <v>90</v>
      </c>
      <c r="H120" s="135" t="s">
        <v>1282</v>
      </c>
      <c r="I120" s="135" t="str">
        <f>VLOOKUP(H120,list!$B$2:$C$14,2,FALSE)</f>
        <v>KITS</v>
      </c>
      <c r="J120" s="135"/>
      <c r="K120" s="135">
        <v>0</v>
      </c>
      <c r="L120" s="135">
        <v>0</v>
      </c>
      <c r="M120" s="135">
        <v>0</v>
      </c>
      <c r="N120" s="135">
        <v>0</v>
      </c>
      <c r="O120" s="135">
        <v>0</v>
      </c>
      <c r="P120" s="135"/>
      <c r="Q120" s="135">
        <v>0</v>
      </c>
      <c r="R120" s="135"/>
      <c r="S120" s="135"/>
      <c r="T120" s="135" t="s">
        <v>19</v>
      </c>
      <c r="U120" s="135"/>
      <c r="V120" s="135" t="s">
        <v>1255</v>
      </c>
      <c r="W120" s="135">
        <v>3</v>
      </c>
      <c r="X120" s="135" t="s">
        <v>1804</v>
      </c>
      <c r="Y120" s="135" t="s">
        <v>1805</v>
      </c>
      <c r="Z120" s="135" t="s">
        <v>1806</v>
      </c>
      <c r="AA120" s="5" t="s">
        <v>18</v>
      </c>
      <c r="AB120" s="5" t="s">
        <v>1298</v>
      </c>
      <c r="AC120" s="6">
        <f t="shared" si="10"/>
        <v>90</v>
      </c>
      <c r="AD120" s="6"/>
    </row>
    <row r="121" spans="1:30" ht="19.5" customHeight="1">
      <c r="A121" s="135" t="s">
        <v>279</v>
      </c>
      <c r="B121" s="135"/>
      <c r="C121" s="135">
        <v>46036</v>
      </c>
      <c r="D121" s="135" t="s">
        <v>1807</v>
      </c>
      <c r="E121" s="135" t="s">
        <v>1281</v>
      </c>
      <c r="F121" s="135"/>
      <c r="G121" s="135">
        <v>86</v>
      </c>
      <c r="H121" s="135" t="s">
        <v>1268</v>
      </c>
      <c r="I121" s="135" t="str">
        <f>VLOOKUP(H121,list!$B$2:$C$14,2,FALSE)</f>
        <v>KITS</v>
      </c>
      <c r="J121" s="135"/>
      <c r="K121" s="135">
        <v>0</v>
      </c>
      <c r="L121" s="135">
        <v>0</v>
      </c>
      <c r="M121" s="135">
        <v>0</v>
      </c>
      <c r="N121" s="135">
        <v>0</v>
      </c>
      <c r="O121" s="135">
        <v>0</v>
      </c>
      <c r="P121" s="135"/>
      <c r="Q121" s="135">
        <v>0</v>
      </c>
      <c r="R121" s="135"/>
      <c r="S121" s="135" t="s">
        <v>1808</v>
      </c>
      <c r="T121" s="135" t="s">
        <v>30</v>
      </c>
      <c r="U121" s="135" t="s">
        <v>1809</v>
      </c>
      <c r="V121" s="135" t="s">
        <v>1255</v>
      </c>
      <c r="W121" s="135">
        <v>5</v>
      </c>
      <c r="X121" s="135" t="s">
        <v>1810</v>
      </c>
      <c r="Y121" s="135" t="s">
        <v>1811</v>
      </c>
      <c r="Z121" s="135" t="s">
        <v>1812</v>
      </c>
      <c r="AA121" s="5" t="str">
        <f>VLOOKUP(A121,'Form Responses 1'!$C$2:$K$532,6,FALSE)</f>
        <v>Onsite sample collection by ISDH team</v>
      </c>
      <c r="AB121" s="5">
        <f>VLOOKUP(A121,'Form Responses 1'!$C$2:$K$219,7,FALSE)</f>
        <v>0</v>
      </c>
      <c r="AC121" s="6">
        <f>VLOOKUP(A121,'Form Responses 1'!$C$2:$K$219,8,FALSE)</f>
        <v>87</v>
      </c>
      <c r="AD121" s="6">
        <f>VLOOKUP(A121,'Form Responses 1'!$C$2:$K$219,9,FALSE)</f>
        <v>0</v>
      </c>
    </row>
    <row r="122" spans="1:30" ht="19.5" customHeight="1">
      <c r="A122" s="135" t="s">
        <v>283</v>
      </c>
      <c r="B122" s="135"/>
      <c r="C122" s="135">
        <v>46122</v>
      </c>
      <c r="D122" s="135" t="s">
        <v>1767</v>
      </c>
      <c r="E122" s="135" t="s">
        <v>1458</v>
      </c>
      <c r="F122" s="135"/>
      <c r="G122" s="135">
        <v>25</v>
      </c>
      <c r="H122" s="135" t="s">
        <v>1276</v>
      </c>
      <c r="I122" s="135" t="str">
        <f>VLOOKUP(H122,list!$B$2:$C$14,2,FALSE)</f>
        <v>GREEN</v>
      </c>
      <c r="J122" s="135"/>
      <c r="K122" s="135">
        <v>0</v>
      </c>
      <c r="L122" s="135">
        <v>0</v>
      </c>
      <c r="M122" s="135">
        <v>0</v>
      </c>
      <c r="N122" s="135">
        <v>0</v>
      </c>
      <c r="O122" s="135">
        <v>0</v>
      </c>
      <c r="P122" s="135"/>
      <c r="Q122" s="135">
        <v>0</v>
      </c>
      <c r="R122" s="135"/>
      <c r="S122" s="135"/>
      <c r="T122" s="135" t="s">
        <v>19</v>
      </c>
      <c r="U122" s="135"/>
      <c r="V122" s="135" t="s">
        <v>1255</v>
      </c>
      <c r="W122" s="135">
        <v>2</v>
      </c>
      <c r="X122" s="135" t="s">
        <v>1813</v>
      </c>
      <c r="Y122" s="135" t="s">
        <v>1814</v>
      </c>
      <c r="Z122" s="135" t="s">
        <v>1770</v>
      </c>
      <c r="AA122" s="5" t="str">
        <f>VLOOKUP(A122,'Form Responses 1'!$C$2:$K$532,6,FALSE)</f>
        <v>Kit delivery and pickup</v>
      </c>
      <c r="AB122" s="5" t="str">
        <f>VLOOKUP(A122,'Form Responses 1'!$C$2:$K$219,7,FALSE)</f>
        <v>No</v>
      </c>
      <c r="AC122" s="6">
        <f>VLOOKUP(A122,'Form Responses 1'!$C$2:$K$219,8,FALSE)</f>
        <v>75</v>
      </c>
      <c r="AD122" s="6">
        <f>VLOOKUP(A122,'Form Responses 1'!$C$2:$K$219,9,FALSE)</f>
        <v>0</v>
      </c>
    </row>
    <row r="123" spans="1:30" ht="19.5" customHeight="1">
      <c r="A123" s="135" t="s">
        <v>1815</v>
      </c>
      <c r="B123" s="135" t="s">
        <v>1561</v>
      </c>
      <c r="C123" s="135">
        <v>46176</v>
      </c>
      <c r="D123" s="135" t="s">
        <v>1410</v>
      </c>
      <c r="E123" s="135" t="s">
        <v>1381</v>
      </c>
      <c r="F123" s="135"/>
      <c r="G123" s="135"/>
      <c r="H123" s="135"/>
      <c r="I123" s="135"/>
      <c r="J123" s="135"/>
      <c r="K123" s="135"/>
      <c r="L123" s="135"/>
      <c r="M123" s="135"/>
      <c r="N123" s="135"/>
      <c r="O123" s="135"/>
      <c r="P123" s="135"/>
      <c r="Q123" s="135"/>
      <c r="R123" s="135"/>
      <c r="S123" s="135"/>
      <c r="T123" s="135"/>
      <c r="U123" s="135"/>
      <c r="V123" s="135"/>
      <c r="W123" s="135"/>
      <c r="X123" s="135">
        <v>3173923287</v>
      </c>
      <c r="Y123" s="135" t="s">
        <v>1816</v>
      </c>
      <c r="Z123" s="135"/>
      <c r="AA123" s="5" t="e">
        <f>VLOOKUP(A123,'Form Responses 1'!$C$2:$K$532,6,FALSE)</f>
        <v>#N/A</v>
      </c>
      <c r="AB123" s="5" t="e">
        <f>VLOOKUP(A123,'Form Responses 1'!$C$2:$K$219,7,FALSE)</f>
        <v>#N/A</v>
      </c>
      <c r="AC123" s="6" t="e">
        <f>VLOOKUP(A123,'Form Responses 1'!$C$2:$K$219,8,FALSE)</f>
        <v>#N/A</v>
      </c>
      <c r="AD123" s="6" t="e">
        <f>VLOOKUP(A123,'Form Responses 1'!$C$2:$K$219,9,FALSE)</f>
        <v>#N/A</v>
      </c>
    </row>
    <row r="124" spans="1:30" ht="19.5" customHeight="1">
      <c r="A124" s="135" t="s">
        <v>287</v>
      </c>
      <c r="B124" s="135" t="s">
        <v>1527</v>
      </c>
      <c r="C124" s="135">
        <v>46052</v>
      </c>
      <c r="D124" s="135" t="s">
        <v>1817</v>
      </c>
      <c r="E124" s="135" t="s">
        <v>1818</v>
      </c>
      <c r="F124" s="135"/>
      <c r="G124" s="135">
        <v>32</v>
      </c>
      <c r="H124" s="135" t="s">
        <v>1282</v>
      </c>
      <c r="I124" s="135" t="str">
        <f>VLOOKUP(H124,list!$B$2:$C$14,2,FALSE)</f>
        <v>KITS</v>
      </c>
      <c r="J124" s="135"/>
      <c r="K124" s="135">
        <v>0</v>
      </c>
      <c r="L124" s="135">
        <v>0</v>
      </c>
      <c r="M124" s="135">
        <v>0</v>
      </c>
      <c r="N124" s="135">
        <v>0</v>
      </c>
      <c r="O124" s="135">
        <v>0</v>
      </c>
      <c r="P124" s="135"/>
      <c r="Q124" s="135">
        <v>0</v>
      </c>
      <c r="R124" s="135"/>
      <c r="S124" s="135"/>
      <c r="T124" s="135" t="s">
        <v>30</v>
      </c>
      <c r="U124" s="135"/>
      <c r="V124" s="135" t="s">
        <v>1255</v>
      </c>
      <c r="W124" s="135">
        <v>3</v>
      </c>
      <c r="X124" s="135" t="s">
        <v>1819</v>
      </c>
      <c r="Y124" s="135" t="s">
        <v>1820</v>
      </c>
      <c r="Z124" s="135" t="s">
        <v>1821</v>
      </c>
      <c r="AA124" s="5" t="str">
        <f>VLOOKUP(A124,'Form Responses 1'!$C$2:$K$532,6,FALSE)</f>
        <v>Kit delivery and pickup</v>
      </c>
      <c r="AB124" s="5" t="str">
        <f>VLOOKUP(A124,'Form Responses 1'!$C$2:$K$219,7,FALSE)</f>
        <v>No</v>
      </c>
      <c r="AC124" s="6">
        <f>VLOOKUP(A124,'Form Responses 1'!$C$2:$K$219,8,FALSE)</f>
        <v>30</v>
      </c>
      <c r="AD124" s="6">
        <f>VLOOKUP(A124,'Form Responses 1'!$C$2:$K$219,9,FALSE)</f>
        <v>0</v>
      </c>
    </row>
    <row r="125" spans="1:30" ht="19.5" customHeight="1">
      <c r="A125" s="135" t="s">
        <v>292</v>
      </c>
      <c r="B125" s="135"/>
      <c r="C125" s="135">
        <v>47630</v>
      </c>
      <c r="D125" s="135" t="s">
        <v>1761</v>
      </c>
      <c r="E125" s="135" t="s">
        <v>1762</v>
      </c>
      <c r="F125" s="135"/>
      <c r="G125" s="135">
        <v>98</v>
      </c>
      <c r="H125" s="135" t="s">
        <v>1276</v>
      </c>
      <c r="I125" s="135" t="str">
        <f>VLOOKUP(H125,list!$B$2:$C$14,2,FALSE)</f>
        <v>GREEN</v>
      </c>
      <c r="J125" s="135"/>
      <c r="K125" s="135">
        <v>0</v>
      </c>
      <c r="L125" s="135">
        <v>0</v>
      </c>
      <c r="M125" s="135">
        <v>0</v>
      </c>
      <c r="N125" s="135">
        <v>0</v>
      </c>
      <c r="O125" s="135">
        <v>0</v>
      </c>
      <c r="P125" s="135"/>
      <c r="Q125" s="135">
        <v>0</v>
      </c>
      <c r="R125" s="135"/>
      <c r="S125" s="135"/>
      <c r="T125" s="135" t="s">
        <v>19</v>
      </c>
      <c r="U125" s="135" t="s">
        <v>1822</v>
      </c>
      <c r="V125" s="135" t="s">
        <v>1255</v>
      </c>
      <c r="W125" s="135">
        <v>2</v>
      </c>
      <c r="X125" s="135" t="s">
        <v>1823</v>
      </c>
      <c r="Y125" s="135" t="s">
        <v>1824</v>
      </c>
      <c r="Z125" s="135" t="s">
        <v>1825</v>
      </c>
      <c r="AA125" s="5" t="str">
        <f>VLOOKUP(A125,'Form Responses 1'!$C$2:$K$532,6,FALSE)</f>
        <v>Kit delivery and pickup</v>
      </c>
      <c r="AB125" s="5" t="str">
        <f>VLOOKUP(A125,'Form Responses 1'!$C$2:$K$219,7,FALSE)</f>
        <v>Yes</v>
      </c>
      <c r="AC125" s="6">
        <f>VLOOKUP(A125,'Form Responses 1'!$C$2:$K$219,8,FALSE)</f>
        <v>100</v>
      </c>
      <c r="AD125" s="6" t="str">
        <f>VLOOKUP(A125,'Form Responses 1'!$C$2:$K$219,9,FALSE)</f>
        <v>DON trained by a U-tube video provided by lab. Would like additional educational resources sent if possible. ED questioned the refrigeration time of the swabs. They are not required to refrigerate swabs unless &gt; 48hr pickup.</v>
      </c>
    </row>
    <row r="126" spans="1:30" ht="19.5" customHeight="1">
      <c r="A126" s="135" t="s">
        <v>1826</v>
      </c>
      <c r="B126" s="135" t="s">
        <v>1288</v>
      </c>
      <c r="C126" s="135">
        <v>46254</v>
      </c>
      <c r="D126" s="135" t="s">
        <v>1289</v>
      </c>
      <c r="E126" s="135" t="s">
        <v>1290</v>
      </c>
      <c r="F126" s="135"/>
      <c r="G126" s="135">
        <v>150</v>
      </c>
      <c r="H126" s="135" t="s">
        <v>1326</v>
      </c>
      <c r="I126" s="135" t="str">
        <f>VLOOKUP(H126,list!$B$2:$C$14,2,FALSE)</f>
        <v>ONSITE</v>
      </c>
      <c r="J126" s="135"/>
      <c r="K126" s="135">
        <v>0</v>
      </c>
      <c r="L126" s="135">
        <v>0</v>
      </c>
      <c r="M126" s="135">
        <v>0</v>
      </c>
      <c r="N126" s="135">
        <v>0</v>
      </c>
      <c r="O126" s="135">
        <v>0</v>
      </c>
      <c r="P126" s="135"/>
      <c r="Q126" s="135">
        <v>1</v>
      </c>
      <c r="R126" s="135"/>
      <c r="S126" s="135" t="s">
        <v>1827</v>
      </c>
      <c r="T126" s="135" t="s">
        <v>19</v>
      </c>
      <c r="U126" s="135" t="s">
        <v>1828</v>
      </c>
      <c r="V126" s="135" t="s">
        <v>1255</v>
      </c>
      <c r="W126" s="135">
        <v>1</v>
      </c>
      <c r="X126" s="135" t="s">
        <v>1829</v>
      </c>
      <c r="Y126" s="135" t="s">
        <v>1830</v>
      </c>
      <c r="Z126" s="135" t="s">
        <v>1785</v>
      </c>
      <c r="AA126" s="5" t="s">
        <v>91</v>
      </c>
      <c r="AB126" s="5" t="s">
        <v>30</v>
      </c>
      <c r="AC126" s="6">
        <f>G126</f>
        <v>150</v>
      </c>
      <c r="AD126" s="6"/>
    </row>
    <row r="127" spans="1:30" ht="19.5" customHeight="1">
      <c r="A127" s="135" t="s">
        <v>1831</v>
      </c>
      <c r="B127" s="135" t="s">
        <v>1646</v>
      </c>
      <c r="C127" s="135">
        <v>47834</v>
      </c>
      <c r="D127" s="135" t="s">
        <v>1832</v>
      </c>
      <c r="E127" s="135" t="s">
        <v>1679</v>
      </c>
      <c r="F127" s="135"/>
      <c r="G127" s="135"/>
      <c r="H127" s="135"/>
      <c r="I127" s="135"/>
      <c r="J127" s="135"/>
      <c r="K127" s="135"/>
      <c r="L127" s="135"/>
      <c r="M127" s="135"/>
      <c r="N127" s="135"/>
      <c r="O127" s="135"/>
      <c r="P127" s="135"/>
      <c r="Q127" s="135"/>
      <c r="R127" s="135"/>
      <c r="S127" s="135"/>
      <c r="T127" s="135"/>
      <c r="U127" s="135"/>
      <c r="V127" s="135"/>
      <c r="W127" s="135"/>
      <c r="X127" s="135">
        <v>8124462636</v>
      </c>
      <c r="Y127" s="135" t="s">
        <v>1833</v>
      </c>
      <c r="Z127" s="135"/>
      <c r="AA127" s="5" t="e">
        <f>VLOOKUP(A127,'Form Responses 1'!$C$2:$K$532,6,FALSE)</f>
        <v>#N/A</v>
      </c>
      <c r="AB127" s="5" t="e">
        <f>VLOOKUP(A127,'Form Responses 1'!$C$2:$K$219,7,FALSE)</f>
        <v>#N/A</v>
      </c>
      <c r="AC127" s="6" t="e">
        <f>VLOOKUP(A127,'Form Responses 1'!$C$2:$K$219,8,FALSE)</f>
        <v>#N/A</v>
      </c>
      <c r="AD127" s="6" t="e">
        <f>VLOOKUP(A127,'Form Responses 1'!$C$2:$K$219,9,FALSE)</f>
        <v>#N/A</v>
      </c>
    </row>
    <row r="128" spans="1:30" ht="19.5" customHeight="1">
      <c r="A128" s="135" t="s">
        <v>1834</v>
      </c>
      <c r="B128" s="135" t="s">
        <v>343</v>
      </c>
      <c r="C128" s="135">
        <v>46203</v>
      </c>
      <c r="D128" s="135" t="s">
        <v>1289</v>
      </c>
      <c r="E128" s="135" t="s">
        <v>1290</v>
      </c>
      <c r="F128" s="135"/>
      <c r="G128" s="135">
        <v>55</v>
      </c>
      <c r="H128" s="135" t="s">
        <v>1282</v>
      </c>
      <c r="I128" s="135" t="str">
        <f>VLOOKUP(H128,list!$B$2:$C$14,2,FALSE)</f>
        <v>KITS</v>
      </c>
      <c r="J128" s="135"/>
      <c r="K128" s="135">
        <v>0</v>
      </c>
      <c r="L128" s="135">
        <v>0</v>
      </c>
      <c r="M128" s="135">
        <v>0</v>
      </c>
      <c r="N128" s="135">
        <v>0</v>
      </c>
      <c r="O128" s="135">
        <v>0</v>
      </c>
      <c r="P128" s="135"/>
      <c r="Q128" s="135">
        <v>0</v>
      </c>
      <c r="R128" s="135"/>
      <c r="S128" s="135"/>
      <c r="T128" s="135" t="s">
        <v>19</v>
      </c>
      <c r="U128" s="135"/>
      <c r="V128" s="135" t="s">
        <v>1255</v>
      </c>
      <c r="W128" s="135">
        <v>3</v>
      </c>
      <c r="X128" s="135" t="s">
        <v>1835</v>
      </c>
      <c r="Y128" s="135" t="s">
        <v>1836</v>
      </c>
      <c r="Z128" s="135" t="s">
        <v>1837</v>
      </c>
      <c r="AA128" s="5" t="s">
        <v>18</v>
      </c>
      <c r="AB128" s="5" t="s">
        <v>1298</v>
      </c>
      <c r="AC128" s="6">
        <f>G128</f>
        <v>55</v>
      </c>
      <c r="AD128" s="6"/>
    </row>
    <row r="129" spans="1:30" ht="19.5" customHeight="1">
      <c r="A129" s="135" t="s">
        <v>297</v>
      </c>
      <c r="B129" s="135"/>
      <c r="C129" s="135">
        <v>46173</v>
      </c>
      <c r="D129" s="135" t="s">
        <v>1838</v>
      </c>
      <c r="E129" s="135" t="s">
        <v>1839</v>
      </c>
      <c r="F129" s="135"/>
      <c r="G129" s="135">
        <v>48</v>
      </c>
      <c r="H129" s="135" t="s">
        <v>1282</v>
      </c>
      <c r="I129" s="135" t="str">
        <f>VLOOKUP(H129,list!$B$2:$C$14,2,FALSE)</f>
        <v>KITS</v>
      </c>
      <c r="J129" s="135"/>
      <c r="K129" s="135">
        <v>0</v>
      </c>
      <c r="L129" s="135">
        <v>0</v>
      </c>
      <c r="M129" s="135">
        <v>0</v>
      </c>
      <c r="N129" s="135">
        <v>0</v>
      </c>
      <c r="O129" s="135">
        <v>0</v>
      </c>
      <c r="P129" s="135"/>
      <c r="Q129" s="135">
        <v>0</v>
      </c>
      <c r="R129" s="135"/>
      <c r="S129" s="135"/>
      <c r="T129" s="135" t="s">
        <v>19</v>
      </c>
      <c r="U129" s="135"/>
      <c r="V129" s="135" t="s">
        <v>1255</v>
      </c>
      <c r="W129" s="135">
        <v>3</v>
      </c>
      <c r="X129" s="135" t="s">
        <v>1840</v>
      </c>
      <c r="Y129" s="135" t="s">
        <v>1841</v>
      </c>
      <c r="Z129" s="135" t="s">
        <v>1842</v>
      </c>
      <c r="AA129" s="5" t="str">
        <f>VLOOKUP(A129,'Form Responses 1'!$C$2:$K$532,6,FALSE)</f>
        <v>Kit delivery and pickup</v>
      </c>
      <c r="AB129" s="5" t="str">
        <f>VLOOKUP(A129,'Form Responses 1'!$C$2:$K$219,7,FALSE)</f>
        <v>Yes</v>
      </c>
      <c r="AC129" s="6">
        <f>VLOOKUP(A129,'Form Responses 1'!$C$2:$K$219,8,FALSE)</f>
        <v>52</v>
      </c>
      <c r="AD129" s="6">
        <f>VLOOKUP(A129,'Form Responses 1'!$C$2:$K$219,9,FALSE)</f>
        <v>0</v>
      </c>
    </row>
    <row r="130" spans="1:30" ht="19.5" customHeight="1">
      <c r="A130" s="135" t="s">
        <v>1843</v>
      </c>
      <c r="B130" s="135" t="s">
        <v>343</v>
      </c>
      <c r="C130" s="135">
        <v>46227</v>
      </c>
      <c r="D130" s="135" t="s">
        <v>1289</v>
      </c>
      <c r="E130" s="135" t="s">
        <v>1290</v>
      </c>
      <c r="F130" s="135"/>
      <c r="G130" s="135"/>
      <c r="H130" s="135"/>
      <c r="I130" s="135"/>
      <c r="J130" s="135"/>
      <c r="K130" s="135"/>
      <c r="L130" s="135"/>
      <c r="M130" s="135"/>
      <c r="N130" s="135"/>
      <c r="O130" s="135"/>
      <c r="P130" s="135"/>
      <c r="Q130" s="135"/>
      <c r="R130" s="135"/>
      <c r="S130" s="135"/>
      <c r="T130" s="135"/>
      <c r="U130" s="135"/>
      <c r="V130" s="135"/>
      <c r="W130" s="135"/>
      <c r="X130" s="135">
        <v>3177878253</v>
      </c>
      <c r="Y130" s="135" t="s">
        <v>1844</v>
      </c>
      <c r="Z130" s="135"/>
      <c r="AA130" s="5" t="s">
        <v>18</v>
      </c>
      <c r="AB130" s="5" t="s">
        <v>30</v>
      </c>
      <c r="AC130" s="6"/>
      <c r="AD130" s="6"/>
    </row>
    <row r="131" spans="1:30" ht="19.5" customHeight="1">
      <c r="A131" s="135" t="s">
        <v>1845</v>
      </c>
      <c r="B131" s="321" t="s">
        <v>1312</v>
      </c>
      <c r="C131" s="135">
        <v>47374</v>
      </c>
      <c r="D131" s="135" t="s">
        <v>1394</v>
      </c>
      <c r="E131" s="135" t="s">
        <v>1306</v>
      </c>
      <c r="F131" s="135"/>
      <c r="G131" s="135">
        <v>98</v>
      </c>
      <c r="H131" s="135" t="s">
        <v>1276</v>
      </c>
      <c r="I131" s="135" t="str">
        <f>VLOOKUP(H131,list!$B$2:$C$14,2,FALSE)</f>
        <v>GREEN</v>
      </c>
      <c r="J131" s="135"/>
      <c r="K131" s="135">
        <v>0</v>
      </c>
      <c r="L131" s="135">
        <v>0</v>
      </c>
      <c r="M131" s="135">
        <v>0</v>
      </c>
      <c r="N131" s="135">
        <v>0</v>
      </c>
      <c r="O131" s="135">
        <v>0</v>
      </c>
      <c r="P131" s="135"/>
      <c r="Q131" s="135">
        <v>0</v>
      </c>
      <c r="R131" s="135"/>
      <c r="S131" s="135"/>
      <c r="T131" s="135" t="s">
        <v>19</v>
      </c>
      <c r="U131" s="135" t="s">
        <v>1315</v>
      </c>
      <c r="V131" s="135" t="s">
        <v>1255</v>
      </c>
      <c r="W131" s="135">
        <v>2</v>
      </c>
      <c r="X131" s="135" t="s">
        <v>1846</v>
      </c>
      <c r="Y131" s="135" t="s">
        <v>1847</v>
      </c>
      <c r="Z131" s="135" t="s">
        <v>1398</v>
      </c>
      <c r="AA131" s="5" t="s">
        <v>18</v>
      </c>
      <c r="AB131" s="5" t="s">
        <v>1298</v>
      </c>
      <c r="AC131" s="6">
        <f>G131</f>
        <v>98</v>
      </c>
      <c r="AD131" s="6"/>
    </row>
    <row r="132" spans="1:30" ht="19.5" customHeight="1">
      <c r="A132" s="135" t="s">
        <v>301</v>
      </c>
      <c r="B132" s="135"/>
      <c r="C132" s="135">
        <v>46240</v>
      </c>
      <c r="D132" s="135" t="s">
        <v>1289</v>
      </c>
      <c r="E132" s="135" t="s">
        <v>1290</v>
      </c>
      <c r="F132" s="135"/>
      <c r="G132" s="135">
        <v>125</v>
      </c>
      <c r="H132" s="135" t="s">
        <v>1465</v>
      </c>
      <c r="I132" s="135" t="str">
        <f>VLOOKUP(H132,list!$B$2:$C$14,2,FALSE)</f>
        <v>GREEN</v>
      </c>
      <c r="J132" s="135"/>
      <c r="K132" s="135">
        <v>0</v>
      </c>
      <c r="L132" s="135">
        <v>0</v>
      </c>
      <c r="M132" s="135">
        <v>0</v>
      </c>
      <c r="N132" s="135">
        <v>0</v>
      </c>
      <c r="O132" s="135">
        <v>0</v>
      </c>
      <c r="P132" s="135"/>
      <c r="Q132" s="135">
        <v>0</v>
      </c>
      <c r="R132" s="135"/>
      <c r="S132" s="135"/>
      <c r="T132" s="135" t="s">
        <v>19</v>
      </c>
      <c r="U132" s="135"/>
      <c r="V132" s="135" t="s">
        <v>1255</v>
      </c>
      <c r="W132" s="135">
        <v>4</v>
      </c>
      <c r="X132" s="135" t="s">
        <v>1848</v>
      </c>
      <c r="Y132" s="135" t="s">
        <v>1849</v>
      </c>
      <c r="Z132" s="135" t="s">
        <v>1850</v>
      </c>
      <c r="AA132" s="5" t="str">
        <f>VLOOKUP(A132,'Form Responses 1'!$C$2:$K$532,6,FALSE)</f>
        <v>Kit delivery and pickup</v>
      </c>
      <c r="AB132" s="5" t="str">
        <f>VLOOKUP(A132,'Form Responses 1'!$C$2:$K$219,7,FALSE)</f>
        <v>No</v>
      </c>
      <c r="AC132" s="6">
        <f>VLOOKUP(A132,'Form Responses 1'!$C$2:$K$219,8,FALSE)</f>
        <v>50</v>
      </c>
      <c r="AD132" s="6">
        <f>VLOOKUP(A132,'Form Responses 1'!$C$2:$K$219,9,FALSE)</f>
        <v>0</v>
      </c>
    </row>
    <row r="133" spans="1:30" ht="19.5" customHeight="1">
      <c r="A133" s="135" t="s">
        <v>1145</v>
      </c>
      <c r="B133" s="135" t="s">
        <v>1463</v>
      </c>
      <c r="C133" s="135">
        <v>47203</v>
      </c>
      <c r="D133" s="135" t="s">
        <v>1698</v>
      </c>
      <c r="E133" s="135" t="s">
        <v>1699</v>
      </c>
      <c r="F133" s="135"/>
      <c r="G133" s="135">
        <v>85</v>
      </c>
      <c r="H133" s="135" t="s">
        <v>1465</v>
      </c>
      <c r="I133" s="135" t="str">
        <f>VLOOKUP(H133,list!$B$2:$C$14,2,FALSE)</f>
        <v>GREEN</v>
      </c>
      <c r="J133" s="135"/>
      <c r="K133" s="135">
        <v>0</v>
      </c>
      <c r="L133" s="135">
        <v>0</v>
      </c>
      <c r="M133" s="135">
        <v>0</v>
      </c>
      <c r="N133" s="135">
        <v>0</v>
      </c>
      <c r="O133" s="135">
        <v>0</v>
      </c>
      <c r="P133" s="135"/>
      <c r="Q133" s="135">
        <v>0</v>
      </c>
      <c r="R133" s="135"/>
      <c r="S133" s="135"/>
      <c r="T133" s="135" t="s">
        <v>19</v>
      </c>
      <c r="U133" s="135" t="s">
        <v>1851</v>
      </c>
      <c r="V133" s="135" t="s">
        <v>1255</v>
      </c>
      <c r="W133" s="135">
        <v>4</v>
      </c>
      <c r="X133" s="135" t="s">
        <v>1852</v>
      </c>
      <c r="Y133" s="135" t="s">
        <v>1853</v>
      </c>
      <c r="Z133" s="135" t="s">
        <v>1854</v>
      </c>
      <c r="AA133" s="5" t="str">
        <f>VLOOKUP(A133,'Form Responses 1'!$C$2:$K$532,6,FALSE)</f>
        <v>Kit delivery and pickup</v>
      </c>
      <c r="AB133" s="5" t="e">
        <f>VLOOKUP(A133,'Form Responses 1'!$C$2:$K$219,7,FALSE)</f>
        <v>#N/A</v>
      </c>
      <c r="AC133" s="6" t="e">
        <f>VLOOKUP(A133,'Form Responses 1'!$C$2:$K$219,8,FALSE)</f>
        <v>#N/A</v>
      </c>
      <c r="AD133" s="6" t="e">
        <f>VLOOKUP(A133,'Form Responses 1'!$C$2:$K$219,9,FALSE)</f>
        <v>#N/A</v>
      </c>
    </row>
    <row r="134" spans="1:30" ht="19.5" customHeight="1">
      <c r="A134" s="135" t="s">
        <v>1855</v>
      </c>
      <c r="B134" s="135" t="s">
        <v>343</v>
      </c>
      <c r="C134" s="135">
        <v>46131</v>
      </c>
      <c r="D134" s="135" t="s">
        <v>1577</v>
      </c>
      <c r="E134" s="135" t="s">
        <v>1420</v>
      </c>
      <c r="F134" s="135"/>
      <c r="G134" s="135">
        <v>93</v>
      </c>
      <c r="H134" s="135" t="s">
        <v>1282</v>
      </c>
      <c r="I134" s="135" t="str">
        <f>VLOOKUP(H134,list!$B$2:$C$14,2,FALSE)</f>
        <v>KITS</v>
      </c>
      <c r="J134" s="135"/>
      <c r="K134" s="135">
        <v>0</v>
      </c>
      <c r="L134" s="135">
        <v>0</v>
      </c>
      <c r="M134" s="135">
        <v>0</v>
      </c>
      <c r="N134" s="135">
        <v>0</v>
      </c>
      <c r="O134" s="135">
        <v>0</v>
      </c>
      <c r="P134" s="135"/>
      <c r="Q134" s="135">
        <v>0</v>
      </c>
      <c r="R134" s="135"/>
      <c r="S134" s="135"/>
      <c r="T134" s="135" t="s">
        <v>19</v>
      </c>
      <c r="U134" s="135"/>
      <c r="V134" s="135" t="s">
        <v>1255</v>
      </c>
      <c r="W134" s="135">
        <v>3</v>
      </c>
      <c r="X134" s="135" t="s">
        <v>1856</v>
      </c>
      <c r="Y134" s="135" t="s">
        <v>1857</v>
      </c>
      <c r="Z134" s="135" t="s">
        <v>1858</v>
      </c>
      <c r="AA134" s="5" t="s">
        <v>18</v>
      </c>
      <c r="AB134" s="5" t="s">
        <v>1298</v>
      </c>
      <c r="AC134" s="6">
        <f>G134</f>
        <v>93</v>
      </c>
      <c r="AD134" s="6"/>
    </row>
    <row r="135" spans="1:30" ht="19.5" customHeight="1">
      <c r="A135" s="135" t="s">
        <v>305</v>
      </c>
      <c r="B135" s="135"/>
      <c r="C135" s="135">
        <v>47535</v>
      </c>
      <c r="D135" s="135" t="s">
        <v>1859</v>
      </c>
      <c r="E135" s="135" t="s">
        <v>1553</v>
      </c>
      <c r="F135" s="135" t="s">
        <v>30</v>
      </c>
      <c r="G135" s="135">
        <v>50</v>
      </c>
      <c r="H135" s="135" t="s">
        <v>1860</v>
      </c>
      <c r="I135" s="135" t="str">
        <f>VLOOKUP(H135,list!$B$2:$C$14,2,FALSE)</f>
        <v>KITS</v>
      </c>
      <c r="J135" s="135"/>
      <c r="K135" s="135">
        <v>1</v>
      </c>
      <c r="L135" s="135">
        <v>1</v>
      </c>
      <c r="M135" s="135">
        <v>0</v>
      </c>
      <c r="N135" s="135">
        <v>1</v>
      </c>
      <c r="O135" s="135">
        <v>1</v>
      </c>
      <c r="P135" s="135"/>
      <c r="Q135" s="135">
        <v>1</v>
      </c>
      <c r="R135" s="135" t="s">
        <v>1861</v>
      </c>
      <c r="S135" s="135"/>
      <c r="T135" s="135" t="s">
        <v>30</v>
      </c>
      <c r="U135" s="135" t="s">
        <v>1862</v>
      </c>
      <c r="V135" s="135" t="s">
        <v>1255</v>
      </c>
      <c r="W135" s="135">
        <v>7</v>
      </c>
      <c r="X135" s="135" t="s">
        <v>1863</v>
      </c>
      <c r="Y135" s="135" t="s">
        <v>1864</v>
      </c>
      <c r="Z135" s="135" t="s">
        <v>1865</v>
      </c>
      <c r="AA135" s="5" t="str">
        <f>VLOOKUP(A135,'Form Responses 1'!$C$2:$K$532,6,FALSE)</f>
        <v>Kit delivery and pickup</v>
      </c>
      <c r="AB135" s="5" t="str">
        <f>VLOOKUP(A135,'Form Responses 1'!$C$2:$K$219,7,FALSE)</f>
        <v>No</v>
      </c>
      <c r="AC135" s="6">
        <f>VLOOKUP(A135,'Form Responses 1'!$C$2:$K$219,8,FALSE)</f>
        <v>50</v>
      </c>
      <c r="AD135" s="6">
        <f>VLOOKUP(A135,'Form Responses 1'!$C$2:$K$219,9,FALSE)</f>
        <v>0</v>
      </c>
    </row>
    <row r="136" spans="1:30" ht="19.5" customHeight="1">
      <c r="A136" s="135" t="s">
        <v>309</v>
      </c>
      <c r="B136" s="135"/>
      <c r="C136" s="135">
        <v>47374</v>
      </c>
      <c r="D136" s="135" t="s">
        <v>1394</v>
      </c>
      <c r="E136" s="135" t="s">
        <v>1306</v>
      </c>
      <c r="F136" s="135"/>
      <c r="G136" s="135">
        <v>218</v>
      </c>
      <c r="H136" s="135" t="s">
        <v>1253</v>
      </c>
      <c r="I136" s="135" t="str">
        <f>VLOOKUP(H136,list!$B$2:$C$14,2,FALSE)</f>
        <v>KITS</v>
      </c>
      <c r="J136" s="135"/>
      <c r="K136" s="135">
        <v>0</v>
      </c>
      <c r="L136" s="135">
        <v>0</v>
      </c>
      <c r="M136" s="135">
        <v>0</v>
      </c>
      <c r="N136" s="135">
        <v>0</v>
      </c>
      <c r="O136" s="135">
        <v>0</v>
      </c>
      <c r="P136" s="135"/>
      <c r="Q136" s="135">
        <v>0</v>
      </c>
      <c r="R136" s="135"/>
      <c r="S136" s="135"/>
      <c r="T136" s="135" t="s">
        <v>19</v>
      </c>
      <c r="U136" s="135" t="s">
        <v>1866</v>
      </c>
      <c r="V136" s="135" t="s">
        <v>1255</v>
      </c>
      <c r="W136" s="135">
        <v>6</v>
      </c>
      <c r="X136" s="135" t="s">
        <v>1867</v>
      </c>
      <c r="Y136" s="135" t="s">
        <v>1868</v>
      </c>
      <c r="Z136" s="135" t="s">
        <v>1398</v>
      </c>
      <c r="AA136" s="5" t="str">
        <f>VLOOKUP(A136,'Form Responses 1'!$C$2:$K$532,6,FALSE)</f>
        <v>Kit delivery and pickup</v>
      </c>
      <c r="AB136" s="5" t="str">
        <f>VLOOKUP(A136,'Form Responses 1'!$C$2:$K$219,7,FALSE)</f>
        <v>Yes</v>
      </c>
      <c r="AC136" s="6">
        <f>VLOOKUP(A136,'Form Responses 1'!$C$2:$K$219,8,FALSE)</f>
        <v>230</v>
      </c>
      <c r="AD136" s="6" t="str">
        <f>VLOOKUP(A136,'Form Responses 1'!$C$2:$K$219,9,FALSE)</f>
        <v>Definitely need training for nurses</v>
      </c>
    </row>
    <row r="137" spans="1:30" ht="19.5" customHeight="1">
      <c r="A137" s="135" t="s">
        <v>314</v>
      </c>
      <c r="B137" s="135"/>
      <c r="C137" s="135">
        <v>47421</v>
      </c>
      <c r="D137" s="135" t="s">
        <v>1710</v>
      </c>
      <c r="E137" s="135" t="s">
        <v>1711</v>
      </c>
      <c r="F137" s="135"/>
      <c r="G137" s="135">
        <v>161</v>
      </c>
      <c r="H137" s="135" t="s">
        <v>1282</v>
      </c>
      <c r="I137" s="135" t="str">
        <f>VLOOKUP(H137,list!$B$2:$C$14,2,FALSE)</f>
        <v>KITS</v>
      </c>
      <c r="J137" s="135"/>
      <c r="K137" s="135">
        <v>0</v>
      </c>
      <c r="L137" s="135">
        <v>0</v>
      </c>
      <c r="M137" s="135">
        <v>0</v>
      </c>
      <c r="N137" s="135">
        <v>0</v>
      </c>
      <c r="O137" s="135">
        <v>0</v>
      </c>
      <c r="P137" s="135"/>
      <c r="Q137" s="135">
        <v>0</v>
      </c>
      <c r="R137" s="135"/>
      <c r="S137" s="135"/>
      <c r="T137" s="135" t="s">
        <v>30</v>
      </c>
      <c r="U137" s="135"/>
      <c r="V137" s="135" t="s">
        <v>1255</v>
      </c>
      <c r="W137" s="135">
        <v>3</v>
      </c>
      <c r="X137" s="135" t="s">
        <v>1869</v>
      </c>
      <c r="Y137" s="135" t="s">
        <v>1870</v>
      </c>
      <c r="Z137" s="135" t="s">
        <v>1871</v>
      </c>
      <c r="AA137" s="5" t="str">
        <f>VLOOKUP(A137,'Form Responses 1'!$C$2:$K$532,6,FALSE)</f>
        <v>Prefer not to use ISDH resources for employee testing</v>
      </c>
      <c r="AB137" s="5" t="str">
        <f>VLOOKUP(A137,'Form Responses 1'!$C$2:$K$219,7,FALSE)</f>
        <v>No</v>
      </c>
      <c r="AC137" s="6">
        <f>VLOOKUP(A137,'Form Responses 1'!$C$2:$K$219,8,FALSE)</f>
        <v>0</v>
      </c>
      <c r="AD137" s="6" t="str">
        <f>VLOOKUP(A137,'Form Responses 1'!$C$2:$K$219,9,FALSE)</f>
        <v xml:space="preserve">Already in the process of testing staff. </v>
      </c>
    </row>
    <row r="138" spans="1:30" ht="19.5" customHeight="1">
      <c r="A138" s="135" t="s">
        <v>319</v>
      </c>
      <c r="B138" s="135"/>
      <c r="C138" s="135">
        <v>47403</v>
      </c>
      <c r="D138" s="135" t="s">
        <v>1476</v>
      </c>
      <c r="E138" s="135" t="s">
        <v>1477</v>
      </c>
      <c r="F138" s="135"/>
      <c r="G138" s="135">
        <v>170</v>
      </c>
      <c r="H138" s="135" t="s">
        <v>1425</v>
      </c>
      <c r="I138" s="135" t="str">
        <f>VLOOKUP(H138,list!$B$2:$C$14,2,FALSE)</f>
        <v>ONSITE</v>
      </c>
      <c r="J138" s="135"/>
      <c r="K138" s="135">
        <v>1</v>
      </c>
      <c r="L138" s="135">
        <v>0</v>
      </c>
      <c r="M138" s="135">
        <v>0</v>
      </c>
      <c r="N138" s="135">
        <v>0</v>
      </c>
      <c r="O138" s="135">
        <v>0</v>
      </c>
      <c r="P138" s="135"/>
      <c r="Q138" s="135">
        <v>1</v>
      </c>
      <c r="R138" s="135" t="s">
        <v>1872</v>
      </c>
      <c r="S138" s="135"/>
      <c r="T138" s="135" t="s">
        <v>30</v>
      </c>
      <c r="U138" s="135" t="s">
        <v>1873</v>
      </c>
      <c r="V138" s="135" t="s">
        <v>1255</v>
      </c>
      <c r="W138" s="135">
        <v>7</v>
      </c>
      <c r="X138" s="135" t="s">
        <v>1874</v>
      </c>
      <c r="Y138" s="135" t="s">
        <v>1875</v>
      </c>
      <c r="Z138" s="135" t="s">
        <v>1876</v>
      </c>
      <c r="AA138" s="5" t="str">
        <f>VLOOKUP(A138,'Form Responses 1'!$C$2:$K$532,6,FALSE)</f>
        <v>Prefer not to use ISDH resources for employee testing</v>
      </c>
      <c r="AB138" s="5" t="str">
        <f>VLOOKUP(A138,'Form Responses 1'!$C$2:$K$219,7,FALSE)</f>
        <v>No</v>
      </c>
      <c r="AC138" s="6">
        <f>VLOOKUP(A138,'Form Responses 1'!$C$2:$K$219,8,FALSE)</f>
        <v>0</v>
      </c>
      <c r="AD138" s="6" t="str">
        <f>VLOOKUP(A138,'Form Responses 1'!$C$2:$K$219,9,FALSE)</f>
        <v xml:space="preserve">They've tested all of their staff, except two and will be testing them when they return from PTO. </v>
      </c>
    </row>
    <row r="139" spans="1:30" ht="19.5" customHeight="1">
      <c r="A139" s="135" t="s">
        <v>323</v>
      </c>
      <c r="B139" s="135"/>
      <c r="C139" s="135">
        <v>47591</v>
      </c>
      <c r="D139" s="135" t="s">
        <v>1552</v>
      </c>
      <c r="E139" s="135" t="s">
        <v>1553</v>
      </c>
      <c r="F139" s="135"/>
      <c r="G139" s="135">
        <v>55</v>
      </c>
      <c r="H139" s="135" t="s">
        <v>1282</v>
      </c>
      <c r="I139" s="135" t="str">
        <f>VLOOKUP(H139,list!$B$2:$C$14,2,FALSE)</f>
        <v>KITS</v>
      </c>
      <c r="J139" s="135"/>
      <c r="K139" s="135">
        <v>0</v>
      </c>
      <c r="L139" s="135">
        <v>0</v>
      </c>
      <c r="M139" s="135">
        <v>0</v>
      </c>
      <c r="N139" s="135">
        <v>0</v>
      </c>
      <c r="O139" s="135">
        <v>0</v>
      </c>
      <c r="P139" s="135"/>
      <c r="Q139" s="135">
        <v>0</v>
      </c>
      <c r="R139" s="135"/>
      <c r="S139" s="135"/>
      <c r="T139" s="135" t="s">
        <v>30</v>
      </c>
      <c r="U139" s="135" t="s">
        <v>1877</v>
      </c>
      <c r="V139" s="135" t="s">
        <v>1255</v>
      </c>
      <c r="W139" s="135">
        <v>3</v>
      </c>
      <c r="X139" s="135" t="s">
        <v>1878</v>
      </c>
      <c r="Y139" s="135" t="s">
        <v>1879</v>
      </c>
      <c r="Z139" s="135" t="s">
        <v>1556</v>
      </c>
      <c r="AA139" s="5" t="str">
        <f>VLOOKUP(A139,'Form Responses 1'!$C$2:$K$532,6,FALSE)</f>
        <v>Kit delivery and pickup</v>
      </c>
      <c r="AB139" s="5" t="str">
        <f>VLOOKUP(A139,'Form Responses 1'!$C$2:$K$219,7,FALSE)</f>
        <v>Yes</v>
      </c>
      <c r="AC139" s="6">
        <f>VLOOKUP(A139,'Form Responses 1'!$C$2:$K$219,8,FALSE)</f>
        <v>55</v>
      </c>
      <c r="AD139" s="6" t="str">
        <f>VLOOKUP(A139,'Form Responses 1'!$C$2:$K$219,9,FALSE)</f>
        <v>Did not see any emails. Answered multiple questions for DON on Speaker.</v>
      </c>
    </row>
    <row r="140" spans="1:30" ht="19.5" customHeight="1">
      <c r="A140" s="135" t="s">
        <v>328</v>
      </c>
      <c r="B140" s="135"/>
      <c r="C140" s="135">
        <v>47922</v>
      </c>
      <c r="D140" s="135" t="s">
        <v>1880</v>
      </c>
      <c r="E140" s="135" t="s">
        <v>1881</v>
      </c>
      <c r="F140" s="135" t="s">
        <v>30</v>
      </c>
      <c r="G140" s="135">
        <v>83</v>
      </c>
      <c r="H140" s="135" t="s">
        <v>1276</v>
      </c>
      <c r="I140" s="135" t="str">
        <f>VLOOKUP(H140,list!$B$2:$C$14,2,FALSE)</f>
        <v>GREEN</v>
      </c>
      <c r="J140" s="135"/>
      <c r="K140" s="135">
        <v>0</v>
      </c>
      <c r="L140" s="135">
        <v>0</v>
      </c>
      <c r="M140" s="135">
        <v>0</v>
      </c>
      <c r="N140" s="135">
        <v>0</v>
      </c>
      <c r="O140" s="135">
        <v>0</v>
      </c>
      <c r="P140" s="135"/>
      <c r="Q140" s="135">
        <v>0</v>
      </c>
      <c r="R140" s="135"/>
      <c r="S140" s="135"/>
      <c r="T140" s="135" t="s">
        <v>30</v>
      </c>
      <c r="U140" s="135" t="s">
        <v>1882</v>
      </c>
      <c r="V140" s="135" t="s">
        <v>1255</v>
      </c>
      <c r="W140" s="135">
        <v>2</v>
      </c>
      <c r="X140" s="135" t="s">
        <v>1883</v>
      </c>
      <c r="Y140" s="135" t="s">
        <v>1884</v>
      </c>
      <c r="Z140" s="135" t="s">
        <v>1885</v>
      </c>
      <c r="AA140" s="5" t="str">
        <f>VLOOKUP(A140,'Form Responses 1'!$C$2:$K$532,6,FALSE)</f>
        <v>Kit delivery and pickup</v>
      </c>
      <c r="AB140" s="5" t="str">
        <f>VLOOKUP(A140,'Form Responses 1'!$C$2:$K$219,7,FALSE)</f>
        <v>No</v>
      </c>
      <c r="AC140" s="6">
        <f>VLOOKUP(A140,'Form Responses 1'!$C$2:$K$219,8,FALSE)</f>
        <v>81</v>
      </c>
      <c r="AD140" s="6">
        <f>VLOOKUP(A140,'Form Responses 1'!$C$2:$K$219,9,FALSE)</f>
        <v>0</v>
      </c>
    </row>
    <row r="141" spans="1:30" ht="19.5" customHeight="1">
      <c r="A141" s="135" t="s">
        <v>1886</v>
      </c>
      <c r="B141" s="321" t="s">
        <v>1312</v>
      </c>
      <c r="C141" s="135">
        <v>47362</v>
      </c>
      <c r="D141" s="135" t="s">
        <v>1887</v>
      </c>
      <c r="E141" s="135" t="s">
        <v>1888</v>
      </c>
      <c r="F141" s="135"/>
      <c r="G141" s="135">
        <v>120</v>
      </c>
      <c r="H141" s="135" t="s">
        <v>1276</v>
      </c>
      <c r="I141" s="135" t="str">
        <f>VLOOKUP(H141,list!$B$2:$C$14,2,FALSE)</f>
        <v>GREEN</v>
      </c>
      <c r="J141" s="135"/>
      <c r="K141" s="135">
        <v>0</v>
      </c>
      <c r="L141" s="135">
        <v>0</v>
      </c>
      <c r="M141" s="135">
        <v>0</v>
      </c>
      <c r="N141" s="135">
        <v>0</v>
      </c>
      <c r="O141" s="135">
        <v>0</v>
      </c>
      <c r="P141" s="135"/>
      <c r="Q141" s="135">
        <v>0</v>
      </c>
      <c r="R141" s="135"/>
      <c r="S141" s="135"/>
      <c r="T141" s="135" t="s">
        <v>19</v>
      </c>
      <c r="U141" s="135" t="s">
        <v>1315</v>
      </c>
      <c r="V141" s="135" t="s">
        <v>1255</v>
      </c>
      <c r="W141" s="135">
        <v>2</v>
      </c>
      <c r="X141" s="135" t="s">
        <v>1889</v>
      </c>
      <c r="Y141" s="135" t="s">
        <v>1890</v>
      </c>
      <c r="Z141" s="135" t="s">
        <v>1891</v>
      </c>
      <c r="AA141" s="5" t="s">
        <v>18</v>
      </c>
      <c r="AB141" s="5" t="s">
        <v>1298</v>
      </c>
      <c r="AC141" s="6">
        <f t="shared" ref="AC141:AC142" si="11">G141</f>
        <v>120</v>
      </c>
      <c r="AD141" s="6"/>
    </row>
    <row r="142" spans="1:30" ht="19.5" customHeight="1">
      <c r="A142" s="135" t="s">
        <v>1892</v>
      </c>
      <c r="B142" s="135" t="s">
        <v>343</v>
      </c>
      <c r="C142" s="135">
        <v>46805</v>
      </c>
      <c r="D142" s="135" t="s">
        <v>1343</v>
      </c>
      <c r="E142" s="135" t="s">
        <v>1252</v>
      </c>
      <c r="F142" s="135"/>
      <c r="G142" s="135">
        <v>94</v>
      </c>
      <c r="H142" s="135" t="s">
        <v>1282</v>
      </c>
      <c r="I142" s="135" t="str">
        <f>VLOOKUP(H142,list!$B$2:$C$14,2,FALSE)</f>
        <v>KITS</v>
      </c>
      <c r="J142" s="135"/>
      <c r="K142" s="135">
        <v>0</v>
      </c>
      <c r="L142" s="135">
        <v>0</v>
      </c>
      <c r="M142" s="135">
        <v>0</v>
      </c>
      <c r="N142" s="135">
        <v>0</v>
      </c>
      <c r="O142" s="135">
        <v>0</v>
      </c>
      <c r="P142" s="135"/>
      <c r="Q142" s="135">
        <v>0</v>
      </c>
      <c r="R142" s="135"/>
      <c r="S142" s="135"/>
      <c r="T142" s="135" t="s">
        <v>19</v>
      </c>
      <c r="U142" s="135" t="s">
        <v>1344</v>
      </c>
      <c r="V142" s="135" t="s">
        <v>1255</v>
      </c>
      <c r="W142" s="135">
        <v>3</v>
      </c>
      <c r="X142" s="135" t="s">
        <v>1893</v>
      </c>
      <c r="Y142" s="135" t="s">
        <v>1894</v>
      </c>
      <c r="Z142" s="135" t="s">
        <v>1895</v>
      </c>
      <c r="AA142" s="5" t="s">
        <v>18</v>
      </c>
      <c r="AB142" s="5" t="s">
        <v>1298</v>
      </c>
      <c r="AC142" s="6">
        <f t="shared" si="11"/>
        <v>94</v>
      </c>
      <c r="AD142" s="6"/>
    </row>
    <row r="143" spans="1:30" ht="19.5" customHeight="1">
      <c r="A143" s="135" t="s">
        <v>332</v>
      </c>
      <c r="B143" s="135"/>
      <c r="C143" s="135">
        <v>47441</v>
      </c>
      <c r="D143" s="135" t="s">
        <v>1896</v>
      </c>
      <c r="E143" s="135" t="s">
        <v>1897</v>
      </c>
      <c r="F143" s="135"/>
      <c r="G143" s="135">
        <v>195</v>
      </c>
      <c r="H143" s="135" t="s">
        <v>1268</v>
      </c>
      <c r="I143" s="135" t="str">
        <f>VLOOKUP(H143,list!$B$2:$C$14,2,FALSE)</f>
        <v>KITS</v>
      </c>
      <c r="J143" s="135"/>
      <c r="K143" s="135">
        <v>0</v>
      </c>
      <c r="L143" s="135">
        <v>0</v>
      </c>
      <c r="M143" s="135">
        <v>0</v>
      </c>
      <c r="N143" s="135">
        <v>0</v>
      </c>
      <c r="O143" s="135">
        <v>0</v>
      </c>
      <c r="P143" s="135"/>
      <c r="Q143" s="135">
        <v>0</v>
      </c>
      <c r="R143" s="135"/>
      <c r="S143" s="135"/>
      <c r="T143" s="135" t="s">
        <v>30</v>
      </c>
      <c r="U143" s="135" t="s">
        <v>1898</v>
      </c>
      <c r="V143" s="135" t="s">
        <v>1255</v>
      </c>
      <c r="W143" s="135">
        <v>5</v>
      </c>
      <c r="X143" s="135" t="s">
        <v>1899</v>
      </c>
      <c r="Y143" s="135" t="s">
        <v>1900</v>
      </c>
      <c r="Z143" s="135" t="s">
        <v>1901</v>
      </c>
      <c r="AA143" s="5" t="str">
        <f>VLOOKUP(A143,'Form Responses 1'!$C$2:$K$532,6,FALSE)</f>
        <v>Kit delivery and pickup</v>
      </c>
      <c r="AB143" s="5" t="str">
        <f>VLOOKUP(A143,'Form Responses 1'!$C$2:$K$219,7,FALSE)</f>
        <v>No</v>
      </c>
      <c r="AC143" s="6">
        <f>VLOOKUP(A143,'Form Responses 1'!$C$2:$K$219,8,FALSE)</f>
        <v>200</v>
      </c>
      <c r="AD143" s="6">
        <f>VLOOKUP(A143,'Form Responses 1'!$C$2:$K$219,9,FALSE)</f>
        <v>0</v>
      </c>
    </row>
    <row r="144" spans="1:30" ht="19.5" customHeight="1">
      <c r="A144" s="135" t="s">
        <v>1902</v>
      </c>
      <c r="B144" s="135" t="s">
        <v>1903</v>
      </c>
      <c r="C144" s="135">
        <v>46260</v>
      </c>
      <c r="D144" s="135" t="s">
        <v>1289</v>
      </c>
      <c r="E144" s="135" t="s">
        <v>1290</v>
      </c>
      <c r="F144" s="135"/>
      <c r="G144" s="135">
        <v>110</v>
      </c>
      <c r="H144" s="135" t="s">
        <v>1268</v>
      </c>
      <c r="I144" s="135" t="str">
        <f>VLOOKUP(H144,list!$B$2:$C$14,2,FALSE)</f>
        <v>KITS</v>
      </c>
      <c r="J144" s="135"/>
      <c r="K144" s="135">
        <v>0</v>
      </c>
      <c r="L144" s="135">
        <v>0</v>
      </c>
      <c r="M144" s="135">
        <v>0</v>
      </c>
      <c r="N144" s="135">
        <v>0</v>
      </c>
      <c r="O144" s="135">
        <v>0</v>
      </c>
      <c r="P144" s="135"/>
      <c r="Q144" s="135">
        <v>1</v>
      </c>
      <c r="R144" s="135"/>
      <c r="S144" s="135" t="s">
        <v>1904</v>
      </c>
      <c r="T144" s="135" t="s">
        <v>30</v>
      </c>
      <c r="U144" s="135" t="s">
        <v>1905</v>
      </c>
      <c r="V144" s="135" t="s">
        <v>1255</v>
      </c>
      <c r="W144" s="135">
        <v>5</v>
      </c>
      <c r="X144" s="135" t="s">
        <v>1906</v>
      </c>
      <c r="Y144" s="135" t="s">
        <v>1907</v>
      </c>
      <c r="Z144" s="135" t="s">
        <v>1908</v>
      </c>
      <c r="AA144" s="5" t="s">
        <v>18</v>
      </c>
      <c r="AB144" s="5" t="s">
        <v>1298</v>
      </c>
      <c r="AC144" s="6">
        <f t="shared" ref="AC144:AC147" si="12">G144</f>
        <v>110</v>
      </c>
      <c r="AD144" s="6"/>
    </row>
    <row r="145" spans="1:30" ht="19.5" customHeight="1">
      <c r="A145" s="135" t="s">
        <v>1909</v>
      </c>
      <c r="B145" s="135" t="s">
        <v>1903</v>
      </c>
      <c r="C145" s="135">
        <v>46151</v>
      </c>
      <c r="D145" s="135" t="s">
        <v>1910</v>
      </c>
      <c r="E145" s="135" t="s">
        <v>1911</v>
      </c>
      <c r="F145" s="135"/>
      <c r="G145" s="135">
        <v>111</v>
      </c>
      <c r="H145" s="135" t="s">
        <v>1268</v>
      </c>
      <c r="I145" s="135" t="str">
        <f>VLOOKUP(H145,list!$B$2:$C$14,2,FALSE)</f>
        <v>KITS</v>
      </c>
      <c r="J145" s="135"/>
      <c r="K145" s="135">
        <v>0</v>
      </c>
      <c r="L145" s="135">
        <v>0</v>
      </c>
      <c r="M145" s="135">
        <v>0</v>
      </c>
      <c r="N145" s="135">
        <v>0</v>
      </c>
      <c r="O145" s="135">
        <v>0</v>
      </c>
      <c r="P145" s="135"/>
      <c r="Q145" s="135">
        <v>1</v>
      </c>
      <c r="R145" s="135"/>
      <c r="S145" s="135" t="s">
        <v>1912</v>
      </c>
      <c r="T145" s="135" t="s">
        <v>30</v>
      </c>
      <c r="U145" s="135" t="s">
        <v>1913</v>
      </c>
      <c r="V145" s="135" t="s">
        <v>1255</v>
      </c>
      <c r="W145" s="135">
        <v>5</v>
      </c>
      <c r="X145" s="135" t="s">
        <v>1914</v>
      </c>
      <c r="Y145" s="135" t="s">
        <v>1915</v>
      </c>
      <c r="Z145" s="135" t="s">
        <v>1531</v>
      </c>
      <c r="AA145" s="5" t="s">
        <v>18</v>
      </c>
      <c r="AB145" s="5" t="s">
        <v>1298</v>
      </c>
      <c r="AC145" s="6">
        <f t="shared" si="12"/>
        <v>111</v>
      </c>
      <c r="AD145" s="6"/>
    </row>
    <row r="146" spans="1:30" ht="19.5" customHeight="1">
      <c r="A146" s="135" t="s">
        <v>1916</v>
      </c>
      <c r="B146" s="135" t="s">
        <v>1903</v>
      </c>
      <c r="C146" s="135">
        <v>46140</v>
      </c>
      <c r="D146" s="135" t="s">
        <v>1917</v>
      </c>
      <c r="E146" s="135" t="s">
        <v>1918</v>
      </c>
      <c r="F146" s="135"/>
      <c r="G146" s="135">
        <v>128</v>
      </c>
      <c r="H146" s="135" t="s">
        <v>1268</v>
      </c>
      <c r="I146" s="135" t="str">
        <f>VLOOKUP(H146,list!$B$2:$C$14,2,FALSE)</f>
        <v>KITS</v>
      </c>
      <c r="J146" s="135"/>
      <c r="K146" s="135">
        <v>0</v>
      </c>
      <c r="L146" s="135">
        <v>0</v>
      </c>
      <c r="M146" s="135">
        <v>0</v>
      </c>
      <c r="N146" s="135">
        <v>0</v>
      </c>
      <c r="O146" s="135">
        <v>0</v>
      </c>
      <c r="P146" s="135"/>
      <c r="Q146" s="135">
        <v>1</v>
      </c>
      <c r="R146" s="135"/>
      <c r="S146" s="135" t="s">
        <v>1919</v>
      </c>
      <c r="T146" s="135" t="s">
        <v>30</v>
      </c>
      <c r="U146" s="135" t="s">
        <v>1913</v>
      </c>
      <c r="V146" s="135" t="s">
        <v>1255</v>
      </c>
      <c r="W146" s="135">
        <v>5</v>
      </c>
      <c r="X146" s="135" t="s">
        <v>1920</v>
      </c>
      <c r="Y146" s="135" t="s">
        <v>1921</v>
      </c>
      <c r="Z146" s="135" t="s">
        <v>1922</v>
      </c>
      <c r="AA146" s="5" t="s">
        <v>18</v>
      </c>
      <c r="AB146" s="5" t="s">
        <v>1298</v>
      </c>
      <c r="AC146" s="6">
        <f t="shared" si="12"/>
        <v>128</v>
      </c>
      <c r="AD146" s="6"/>
    </row>
    <row r="147" spans="1:30" ht="19.5" customHeight="1">
      <c r="A147" s="135" t="s">
        <v>1923</v>
      </c>
      <c r="B147" s="135" t="s">
        <v>1903</v>
      </c>
      <c r="C147" s="135">
        <v>47708</v>
      </c>
      <c r="D147" s="135" t="s">
        <v>1506</v>
      </c>
      <c r="E147" s="135" t="s">
        <v>1507</v>
      </c>
      <c r="F147" s="135"/>
      <c r="G147" s="135">
        <v>93</v>
      </c>
      <c r="H147" s="135" t="s">
        <v>1268</v>
      </c>
      <c r="I147" s="135" t="str">
        <f>VLOOKUP(H147,list!$B$2:$C$14,2,FALSE)</f>
        <v>KITS</v>
      </c>
      <c r="J147" s="135"/>
      <c r="K147" s="135">
        <v>0</v>
      </c>
      <c r="L147" s="135">
        <v>0</v>
      </c>
      <c r="M147" s="135">
        <v>0</v>
      </c>
      <c r="N147" s="135">
        <v>0</v>
      </c>
      <c r="O147" s="135">
        <v>0</v>
      </c>
      <c r="P147" s="135"/>
      <c r="Q147" s="135">
        <v>1</v>
      </c>
      <c r="R147" s="135"/>
      <c r="S147" s="135" t="s">
        <v>1924</v>
      </c>
      <c r="T147" s="135"/>
      <c r="U147" s="135" t="s">
        <v>1925</v>
      </c>
      <c r="V147" s="135" t="s">
        <v>1255</v>
      </c>
      <c r="W147" s="135">
        <v>5</v>
      </c>
      <c r="X147" s="135" t="s">
        <v>1926</v>
      </c>
      <c r="Y147" s="135" t="s">
        <v>1927</v>
      </c>
      <c r="Z147" s="135" t="s">
        <v>1928</v>
      </c>
      <c r="AA147" s="5" t="s">
        <v>18</v>
      </c>
      <c r="AB147" s="5" t="s">
        <v>1298</v>
      </c>
      <c r="AC147" s="6">
        <f t="shared" si="12"/>
        <v>93</v>
      </c>
      <c r="AD147" s="6"/>
    </row>
    <row r="148" spans="1:30" ht="19.5" customHeight="1">
      <c r="A148" s="135" t="s">
        <v>1929</v>
      </c>
      <c r="B148" s="135" t="s">
        <v>1903</v>
      </c>
      <c r="C148" s="135">
        <v>46219</v>
      </c>
      <c r="D148" s="135" t="s">
        <v>1289</v>
      </c>
      <c r="E148" s="135" t="s">
        <v>1290</v>
      </c>
      <c r="F148" s="135"/>
      <c r="G148" s="135">
        <v>87</v>
      </c>
      <c r="H148" s="135" t="s">
        <v>1268</v>
      </c>
      <c r="I148" s="135" t="str">
        <f>VLOOKUP(H148,list!$B$2:$C$14,2,FALSE)</f>
        <v>KITS</v>
      </c>
      <c r="J148" s="135"/>
      <c r="K148" s="135">
        <v>0</v>
      </c>
      <c r="L148" s="135">
        <v>0</v>
      </c>
      <c r="M148" s="135">
        <v>0</v>
      </c>
      <c r="N148" s="135">
        <v>0</v>
      </c>
      <c r="O148" s="135">
        <v>0</v>
      </c>
      <c r="P148" s="135"/>
      <c r="Q148" s="135">
        <v>1</v>
      </c>
      <c r="R148" s="135"/>
      <c r="S148" s="135" t="s">
        <v>1912</v>
      </c>
      <c r="T148" s="135" t="s">
        <v>30</v>
      </c>
      <c r="U148" s="135" t="s">
        <v>1344</v>
      </c>
      <c r="V148" s="135" t="s">
        <v>1255</v>
      </c>
      <c r="W148" s="135">
        <v>5</v>
      </c>
      <c r="X148" s="135" t="s">
        <v>1930</v>
      </c>
      <c r="Y148" s="135" t="s">
        <v>1931</v>
      </c>
      <c r="Z148" s="135" t="s">
        <v>1932</v>
      </c>
      <c r="AA148" s="5" t="s">
        <v>18</v>
      </c>
      <c r="AB148" s="5" t="s">
        <v>30</v>
      </c>
      <c r="AC148" s="9">
        <v>87</v>
      </c>
      <c r="AD148" s="6" t="e">
        <f>VLOOKUP(A148,'Form Responses 1'!$C$2:$K$219,9,FALSE)</f>
        <v>#N/A</v>
      </c>
    </row>
    <row r="149" spans="1:30" ht="19.5" customHeight="1">
      <c r="A149" s="135" t="s">
        <v>1933</v>
      </c>
      <c r="B149" s="135" t="s">
        <v>1903</v>
      </c>
      <c r="C149" s="135">
        <v>46517</v>
      </c>
      <c r="D149" s="135" t="s">
        <v>1723</v>
      </c>
      <c r="E149" s="135" t="s">
        <v>1723</v>
      </c>
      <c r="F149" s="135"/>
      <c r="G149" s="135">
        <v>120</v>
      </c>
      <c r="H149" s="135" t="s">
        <v>1326</v>
      </c>
      <c r="I149" s="135" t="str">
        <f>VLOOKUP(H149,list!$B$2:$C$14,2,FALSE)</f>
        <v>ONSITE</v>
      </c>
      <c r="J149" s="135"/>
      <c r="K149" s="135">
        <v>0</v>
      </c>
      <c r="L149" s="135">
        <v>0</v>
      </c>
      <c r="M149" s="135">
        <v>0</v>
      </c>
      <c r="N149" s="135">
        <v>0</v>
      </c>
      <c r="O149" s="135">
        <v>0</v>
      </c>
      <c r="P149" s="135">
        <v>1</v>
      </c>
      <c r="Q149" s="135">
        <v>0</v>
      </c>
      <c r="R149" s="135"/>
      <c r="S149" s="135" t="s">
        <v>1934</v>
      </c>
      <c r="T149" s="135" t="s">
        <v>30</v>
      </c>
      <c r="U149" s="135" t="s">
        <v>1935</v>
      </c>
      <c r="V149" s="135" t="s">
        <v>1255</v>
      </c>
      <c r="W149" s="135">
        <v>1</v>
      </c>
      <c r="X149" s="135" t="s">
        <v>1936</v>
      </c>
      <c r="Y149" s="135" t="s">
        <v>1937</v>
      </c>
      <c r="Z149" s="135" t="s">
        <v>1806</v>
      </c>
      <c r="AA149" s="5" t="s">
        <v>18</v>
      </c>
      <c r="AB149" s="5" t="s">
        <v>1298</v>
      </c>
      <c r="AC149" s="6">
        <f t="shared" ref="AC149:AC162" si="13">G149</f>
        <v>120</v>
      </c>
      <c r="AD149" s="6"/>
    </row>
    <row r="150" spans="1:30" ht="19.5" customHeight="1">
      <c r="A150" s="135" t="s">
        <v>1938</v>
      </c>
      <c r="B150" s="135" t="s">
        <v>1903</v>
      </c>
      <c r="C150" s="135">
        <v>46368</v>
      </c>
      <c r="D150" s="135" t="s">
        <v>1939</v>
      </c>
      <c r="E150" s="135" t="s">
        <v>1267</v>
      </c>
      <c r="F150" s="135"/>
      <c r="G150" s="135">
        <v>138</v>
      </c>
      <c r="H150" s="135" t="s">
        <v>1276</v>
      </c>
      <c r="I150" s="135" t="str">
        <f>VLOOKUP(H150,list!$B$2:$C$14,2,FALSE)</f>
        <v>GREEN</v>
      </c>
      <c r="J150" s="135"/>
      <c r="K150" s="135">
        <v>0</v>
      </c>
      <c r="L150" s="135">
        <v>0</v>
      </c>
      <c r="M150" s="135">
        <v>0</v>
      </c>
      <c r="N150" s="135">
        <v>0</v>
      </c>
      <c r="O150" s="135">
        <v>0</v>
      </c>
      <c r="P150" s="135"/>
      <c r="Q150" s="135">
        <v>0</v>
      </c>
      <c r="R150" s="135"/>
      <c r="S150" s="135"/>
      <c r="T150" s="135" t="s">
        <v>19</v>
      </c>
      <c r="U150" s="135" t="s">
        <v>1940</v>
      </c>
      <c r="V150" s="135" t="s">
        <v>1255</v>
      </c>
      <c r="W150" s="135">
        <v>2</v>
      </c>
      <c r="X150" s="135" t="s">
        <v>1941</v>
      </c>
      <c r="Y150" s="135" t="s">
        <v>1942</v>
      </c>
      <c r="Z150" s="135" t="s">
        <v>1943</v>
      </c>
      <c r="AA150" s="5" t="s">
        <v>18</v>
      </c>
      <c r="AB150" s="5" t="s">
        <v>1298</v>
      </c>
      <c r="AC150" s="6">
        <f t="shared" si="13"/>
        <v>138</v>
      </c>
      <c r="AD150" s="6"/>
    </row>
    <row r="151" spans="1:30" ht="19.5" customHeight="1">
      <c r="A151" s="135" t="s">
        <v>1944</v>
      </c>
      <c r="B151" s="135" t="s">
        <v>1903</v>
      </c>
      <c r="C151" s="135">
        <v>46350</v>
      </c>
      <c r="D151" s="135" t="s">
        <v>1945</v>
      </c>
      <c r="E151" s="135" t="s">
        <v>1333</v>
      </c>
      <c r="F151" s="135"/>
      <c r="G151" s="135">
        <v>152</v>
      </c>
      <c r="H151" s="135" t="s">
        <v>1268</v>
      </c>
      <c r="I151" s="135" t="str">
        <f>VLOOKUP(H151,list!$B$2:$C$14,2,FALSE)</f>
        <v>KITS</v>
      </c>
      <c r="J151" s="135"/>
      <c r="K151" s="135">
        <v>0</v>
      </c>
      <c r="L151" s="135">
        <v>0</v>
      </c>
      <c r="M151" s="135">
        <v>0</v>
      </c>
      <c r="N151" s="135">
        <v>0</v>
      </c>
      <c r="O151" s="135">
        <v>0</v>
      </c>
      <c r="P151" s="135"/>
      <c r="Q151" s="135">
        <v>1</v>
      </c>
      <c r="R151" s="135"/>
      <c r="S151" s="135" t="s">
        <v>1912</v>
      </c>
      <c r="T151" s="135" t="s">
        <v>30</v>
      </c>
      <c r="U151" s="135" t="s">
        <v>1905</v>
      </c>
      <c r="V151" s="135" t="s">
        <v>1255</v>
      </c>
      <c r="W151" s="135">
        <v>5</v>
      </c>
      <c r="X151" s="135" t="s">
        <v>1946</v>
      </c>
      <c r="Y151" s="135" t="s">
        <v>1947</v>
      </c>
      <c r="Z151" s="135" t="s">
        <v>1948</v>
      </c>
      <c r="AA151" s="5" t="s">
        <v>18</v>
      </c>
      <c r="AB151" s="5" t="s">
        <v>1298</v>
      </c>
      <c r="AC151" s="6">
        <f t="shared" si="13"/>
        <v>152</v>
      </c>
      <c r="AD151" s="6"/>
    </row>
    <row r="152" spans="1:30" ht="19.5" customHeight="1">
      <c r="A152" s="135" t="s">
        <v>1949</v>
      </c>
      <c r="B152" s="135" t="s">
        <v>1903</v>
      </c>
      <c r="C152" s="135">
        <v>46534</v>
      </c>
      <c r="D152" s="135" t="s">
        <v>1553</v>
      </c>
      <c r="E152" s="135" t="s">
        <v>1950</v>
      </c>
      <c r="F152" s="135"/>
      <c r="G152" s="135">
        <v>66</v>
      </c>
      <c r="H152" s="135" t="s">
        <v>1268</v>
      </c>
      <c r="I152" s="135" t="str">
        <f>VLOOKUP(H152,list!$B$2:$C$14,2,FALSE)</f>
        <v>KITS</v>
      </c>
      <c r="J152" s="135"/>
      <c r="K152" s="135">
        <v>0</v>
      </c>
      <c r="L152" s="135">
        <v>0</v>
      </c>
      <c r="M152" s="135">
        <v>0</v>
      </c>
      <c r="N152" s="135">
        <v>0</v>
      </c>
      <c r="O152" s="135">
        <v>0</v>
      </c>
      <c r="P152" s="135"/>
      <c r="Q152" s="135">
        <v>1</v>
      </c>
      <c r="R152" s="135"/>
      <c r="S152" s="135" t="s">
        <v>1912</v>
      </c>
      <c r="T152" s="135" t="s">
        <v>30</v>
      </c>
      <c r="U152" s="135" t="s">
        <v>1298</v>
      </c>
      <c r="V152" s="135" t="s">
        <v>1255</v>
      </c>
      <c r="W152" s="135">
        <v>5</v>
      </c>
      <c r="X152" s="135" t="s">
        <v>1951</v>
      </c>
      <c r="Y152" s="135" t="s">
        <v>1952</v>
      </c>
      <c r="Z152" s="135" t="s">
        <v>1953</v>
      </c>
      <c r="AA152" s="5" t="s">
        <v>18</v>
      </c>
      <c r="AB152" s="5" t="s">
        <v>1298</v>
      </c>
      <c r="AC152" s="6">
        <f t="shared" si="13"/>
        <v>66</v>
      </c>
      <c r="AD152" s="6"/>
    </row>
    <row r="153" spans="1:30" ht="19.5" customHeight="1">
      <c r="A153" s="135" t="s">
        <v>1954</v>
      </c>
      <c r="B153" s="135" t="s">
        <v>1903</v>
      </c>
      <c r="C153" s="135">
        <v>46350</v>
      </c>
      <c r="D153" s="135" t="s">
        <v>1945</v>
      </c>
      <c r="E153" s="135" t="s">
        <v>1333</v>
      </c>
      <c r="F153" s="135"/>
      <c r="G153" s="135">
        <v>72</v>
      </c>
      <c r="H153" s="135" t="s">
        <v>1268</v>
      </c>
      <c r="I153" s="135" t="str">
        <f>VLOOKUP(H153,list!$B$2:$C$14,2,FALSE)</f>
        <v>KITS</v>
      </c>
      <c r="J153" s="135"/>
      <c r="K153" s="135">
        <v>0</v>
      </c>
      <c r="L153" s="135">
        <v>0</v>
      </c>
      <c r="M153" s="135">
        <v>0</v>
      </c>
      <c r="N153" s="135">
        <v>0</v>
      </c>
      <c r="O153" s="135">
        <v>0</v>
      </c>
      <c r="P153" s="135"/>
      <c r="Q153" s="135">
        <v>1</v>
      </c>
      <c r="R153" s="135"/>
      <c r="S153" s="135" t="s">
        <v>1912</v>
      </c>
      <c r="T153" s="135" t="s">
        <v>30</v>
      </c>
      <c r="U153" s="135" t="s">
        <v>1344</v>
      </c>
      <c r="V153" s="135" t="s">
        <v>1255</v>
      </c>
      <c r="W153" s="135">
        <v>5</v>
      </c>
      <c r="X153" s="135" t="s">
        <v>1955</v>
      </c>
      <c r="Y153" s="135" t="s">
        <v>1956</v>
      </c>
      <c r="Z153" s="135" t="s">
        <v>1948</v>
      </c>
      <c r="AA153" s="5" t="s">
        <v>18</v>
      </c>
      <c r="AB153" s="5" t="s">
        <v>1298</v>
      </c>
      <c r="AC153" s="6">
        <f t="shared" si="13"/>
        <v>72</v>
      </c>
      <c r="AD153" s="6"/>
    </row>
    <row r="154" spans="1:30" ht="19.5" customHeight="1">
      <c r="A154" s="135" t="s">
        <v>1957</v>
      </c>
      <c r="B154" s="135" t="s">
        <v>1903</v>
      </c>
      <c r="C154" s="135">
        <v>46410</v>
      </c>
      <c r="D154" s="135" t="s">
        <v>1958</v>
      </c>
      <c r="E154" s="135" t="s">
        <v>1375</v>
      </c>
      <c r="F154" s="135"/>
      <c r="G154" s="135">
        <v>125</v>
      </c>
      <c r="H154" s="135" t="s">
        <v>1268</v>
      </c>
      <c r="I154" s="135" t="str">
        <f>VLOOKUP(H154,list!$B$2:$C$14,2,FALSE)</f>
        <v>KITS</v>
      </c>
      <c r="J154" s="135"/>
      <c r="K154" s="135">
        <v>0</v>
      </c>
      <c r="L154" s="135">
        <v>0</v>
      </c>
      <c r="M154" s="135">
        <v>0</v>
      </c>
      <c r="N154" s="135">
        <v>0</v>
      </c>
      <c r="O154" s="135">
        <v>0</v>
      </c>
      <c r="P154" s="135"/>
      <c r="Q154" s="135">
        <v>1</v>
      </c>
      <c r="R154" s="135"/>
      <c r="S154" s="135" t="s">
        <v>1912</v>
      </c>
      <c r="T154" s="135" t="s">
        <v>30</v>
      </c>
      <c r="U154" s="135" t="s">
        <v>1344</v>
      </c>
      <c r="V154" s="135" t="s">
        <v>1255</v>
      </c>
      <c r="W154" s="135">
        <v>5</v>
      </c>
      <c r="X154" s="135" t="s">
        <v>1959</v>
      </c>
      <c r="Y154" s="135" t="s">
        <v>1960</v>
      </c>
      <c r="Z154" s="135" t="s">
        <v>1961</v>
      </c>
      <c r="AA154" s="5" t="s">
        <v>18</v>
      </c>
      <c r="AB154" s="5" t="s">
        <v>1298</v>
      </c>
      <c r="AC154" s="6">
        <f t="shared" si="13"/>
        <v>125</v>
      </c>
      <c r="AD154" s="6"/>
    </row>
    <row r="155" spans="1:30" ht="19.5" customHeight="1">
      <c r="A155" s="135" t="s">
        <v>1962</v>
      </c>
      <c r="B155" s="135" t="s">
        <v>1903</v>
      </c>
      <c r="C155" s="135">
        <v>46544</v>
      </c>
      <c r="D155" s="135" t="s">
        <v>1744</v>
      </c>
      <c r="E155" s="135" t="s">
        <v>1480</v>
      </c>
      <c r="F155" s="135"/>
      <c r="G155" s="135">
        <v>70</v>
      </c>
      <c r="H155" s="135" t="s">
        <v>1276</v>
      </c>
      <c r="I155" s="135" t="str">
        <f>VLOOKUP(H155,list!$B$2:$C$14,2,FALSE)</f>
        <v>GREEN</v>
      </c>
      <c r="J155" s="135"/>
      <c r="K155" s="135">
        <v>0</v>
      </c>
      <c r="L155" s="135">
        <v>0</v>
      </c>
      <c r="M155" s="135">
        <v>0</v>
      </c>
      <c r="N155" s="135">
        <v>0</v>
      </c>
      <c r="O155" s="135">
        <v>0</v>
      </c>
      <c r="P155" s="135"/>
      <c r="Q155" s="135">
        <v>0</v>
      </c>
      <c r="R155" s="135"/>
      <c r="S155" s="135"/>
      <c r="T155" s="135" t="s">
        <v>30</v>
      </c>
      <c r="U155" s="135"/>
      <c r="V155" s="135" t="s">
        <v>1255</v>
      </c>
      <c r="W155" s="135">
        <v>2</v>
      </c>
      <c r="X155" s="135" t="s">
        <v>1963</v>
      </c>
      <c r="Y155" s="135" t="s">
        <v>1964</v>
      </c>
      <c r="Z155" s="135" t="s">
        <v>1965</v>
      </c>
      <c r="AA155" s="5" t="s">
        <v>18</v>
      </c>
      <c r="AB155" s="5" t="s">
        <v>1298</v>
      </c>
      <c r="AC155" s="6">
        <f t="shared" si="13"/>
        <v>70</v>
      </c>
      <c r="AD155" s="6"/>
    </row>
    <row r="156" spans="1:30" ht="19.5" customHeight="1">
      <c r="A156" s="135" t="s">
        <v>1966</v>
      </c>
      <c r="B156" s="135" t="s">
        <v>1903</v>
      </c>
      <c r="C156" s="135">
        <v>47304</v>
      </c>
      <c r="D156" s="135" t="s">
        <v>1513</v>
      </c>
      <c r="E156" s="135" t="s">
        <v>1275</v>
      </c>
      <c r="F156" s="135"/>
      <c r="G156" s="135">
        <v>117</v>
      </c>
      <c r="H156" s="135" t="s">
        <v>1268</v>
      </c>
      <c r="I156" s="135" t="str">
        <f>VLOOKUP(H156,list!$B$2:$C$14,2,FALSE)</f>
        <v>KITS</v>
      </c>
      <c r="J156" s="135"/>
      <c r="K156" s="135">
        <v>0</v>
      </c>
      <c r="L156" s="135">
        <v>0</v>
      </c>
      <c r="M156" s="135">
        <v>0</v>
      </c>
      <c r="N156" s="135">
        <v>0</v>
      </c>
      <c r="O156" s="135">
        <v>0</v>
      </c>
      <c r="P156" s="135"/>
      <c r="Q156" s="135">
        <v>1</v>
      </c>
      <c r="R156" s="135"/>
      <c r="S156" s="135" t="s">
        <v>1912</v>
      </c>
      <c r="T156" s="135" t="s">
        <v>30</v>
      </c>
      <c r="U156" s="135"/>
      <c r="V156" s="135" t="s">
        <v>1255</v>
      </c>
      <c r="W156" s="135">
        <v>5</v>
      </c>
      <c r="X156" s="135" t="s">
        <v>1967</v>
      </c>
      <c r="Y156" s="135" t="s">
        <v>1968</v>
      </c>
      <c r="Z156" s="135" t="s">
        <v>1516</v>
      </c>
      <c r="AA156" s="5" t="s">
        <v>18</v>
      </c>
      <c r="AB156" s="5" t="s">
        <v>1298</v>
      </c>
      <c r="AC156" s="6">
        <f t="shared" si="13"/>
        <v>117</v>
      </c>
      <c r="AD156" s="6"/>
    </row>
    <row r="157" spans="1:30" ht="19.5" customHeight="1">
      <c r="A157" s="135" t="s">
        <v>1969</v>
      </c>
      <c r="B157" s="135" t="s">
        <v>1903</v>
      </c>
      <c r="C157" s="135">
        <v>47567</v>
      </c>
      <c r="D157" s="135" t="s">
        <v>1313</v>
      </c>
      <c r="E157" s="135" t="s">
        <v>1314</v>
      </c>
      <c r="F157" s="135" t="s">
        <v>30</v>
      </c>
      <c r="G157" s="135">
        <v>75</v>
      </c>
      <c r="H157" s="135" t="s">
        <v>1585</v>
      </c>
      <c r="I157" s="135" t="str">
        <f>VLOOKUP(H157,list!$B$2:$C$14,2,FALSE)</f>
        <v>KITS</v>
      </c>
      <c r="J157" s="135"/>
      <c r="K157" s="135">
        <v>0</v>
      </c>
      <c r="L157" s="135">
        <v>0</v>
      </c>
      <c r="M157" s="135">
        <v>0</v>
      </c>
      <c r="N157" s="135">
        <v>0</v>
      </c>
      <c r="O157" s="135">
        <v>0</v>
      </c>
      <c r="P157" s="135"/>
      <c r="Q157" s="135">
        <v>1</v>
      </c>
      <c r="R157" s="135"/>
      <c r="S157" s="135" t="s">
        <v>1912</v>
      </c>
      <c r="T157" s="135" t="s">
        <v>30</v>
      </c>
      <c r="U157" s="135" t="s">
        <v>1344</v>
      </c>
      <c r="V157" s="135" t="s">
        <v>1255</v>
      </c>
      <c r="W157" s="135">
        <v>5</v>
      </c>
      <c r="X157" s="135" t="s">
        <v>1970</v>
      </c>
      <c r="Y157" s="135" t="s">
        <v>1971</v>
      </c>
      <c r="Z157" s="135" t="s">
        <v>1318</v>
      </c>
      <c r="AA157" s="5" t="s">
        <v>18</v>
      </c>
      <c r="AB157" s="5" t="s">
        <v>1298</v>
      </c>
      <c r="AC157" s="6">
        <f t="shared" si="13"/>
        <v>75</v>
      </c>
      <c r="AD157" s="6"/>
    </row>
    <row r="158" spans="1:30" ht="19.5" customHeight="1">
      <c r="A158" s="135" t="s">
        <v>1972</v>
      </c>
      <c r="B158" s="135" t="s">
        <v>1903</v>
      </c>
      <c r="C158" s="135">
        <v>47374</v>
      </c>
      <c r="D158" s="135" t="s">
        <v>1394</v>
      </c>
      <c r="E158" s="135" t="s">
        <v>1306</v>
      </c>
      <c r="F158" s="135"/>
      <c r="G158" s="135">
        <v>100</v>
      </c>
      <c r="H158" s="135" t="s">
        <v>1425</v>
      </c>
      <c r="I158" s="135" t="str">
        <f>VLOOKUP(H158,list!$B$2:$C$14,2,FALSE)</f>
        <v>ONSITE</v>
      </c>
      <c r="J158" s="135"/>
      <c r="K158" s="135">
        <v>0</v>
      </c>
      <c r="L158" s="135">
        <v>0</v>
      </c>
      <c r="M158" s="135">
        <v>0</v>
      </c>
      <c r="N158" s="135">
        <v>0</v>
      </c>
      <c r="O158" s="135">
        <v>0</v>
      </c>
      <c r="P158" s="135"/>
      <c r="Q158" s="135">
        <v>1</v>
      </c>
      <c r="R158" s="135" t="s">
        <v>1973</v>
      </c>
      <c r="S158" s="135"/>
      <c r="T158" s="135" t="s">
        <v>30</v>
      </c>
      <c r="U158" s="135"/>
      <c r="V158" s="135" t="s">
        <v>1255</v>
      </c>
      <c r="W158" s="135">
        <v>7</v>
      </c>
      <c r="X158" s="135" t="s">
        <v>1974</v>
      </c>
      <c r="Y158" s="135" t="s">
        <v>1975</v>
      </c>
      <c r="Z158" s="135" t="s">
        <v>1398</v>
      </c>
      <c r="AA158" s="5" t="s">
        <v>18</v>
      </c>
      <c r="AB158" s="5" t="s">
        <v>1298</v>
      </c>
      <c r="AC158" s="6">
        <f t="shared" si="13"/>
        <v>100</v>
      </c>
      <c r="AD158" s="6"/>
    </row>
    <row r="159" spans="1:30" ht="19.5" customHeight="1">
      <c r="A159" s="135" t="s">
        <v>1976</v>
      </c>
      <c r="B159" s="135" t="s">
        <v>1903</v>
      </c>
      <c r="C159" s="135">
        <v>46901</v>
      </c>
      <c r="D159" s="135" t="s">
        <v>1355</v>
      </c>
      <c r="E159" s="135" t="s">
        <v>1356</v>
      </c>
      <c r="F159" s="135"/>
      <c r="G159" s="135">
        <v>89</v>
      </c>
      <c r="H159" s="135" t="s">
        <v>1268</v>
      </c>
      <c r="I159" s="135" t="str">
        <f>VLOOKUP(H159,list!$B$2:$C$14,2,FALSE)</f>
        <v>KITS</v>
      </c>
      <c r="J159" s="135"/>
      <c r="K159" s="135">
        <v>0</v>
      </c>
      <c r="L159" s="135">
        <v>0</v>
      </c>
      <c r="M159" s="135">
        <v>0</v>
      </c>
      <c r="N159" s="135">
        <v>0</v>
      </c>
      <c r="O159" s="135">
        <v>0</v>
      </c>
      <c r="P159" s="135"/>
      <c r="Q159" s="135">
        <v>1</v>
      </c>
      <c r="R159" s="135"/>
      <c r="S159" s="135" t="s">
        <v>1912</v>
      </c>
      <c r="T159" s="135" t="s">
        <v>30</v>
      </c>
      <c r="U159" s="135" t="s">
        <v>1344</v>
      </c>
      <c r="V159" s="135" t="s">
        <v>1255</v>
      </c>
      <c r="W159" s="135">
        <v>5</v>
      </c>
      <c r="X159" s="135" t="s">
        <v>1977</v>
      </c>
      <c r="Y159" s="135" t="s">
        <v>1978</v>
      </c>
      <c r="Z159" s="135" t="s">
        <v>1979</v>
      </c>
      <c r="AA159" s="5" t="s">
        <v>18</v>
      </c>
      <c r="AB159" s="5" t="s">
        <v>1298</v>
      </c>
      <c r="AC159" s="6">
        <f t="shared" si="13"/>
        <v>89</v>
      </c>
      <c r="AD159" s="6"/>
    </row>
    <row r="160" spans="1:30" ht="19.5" customHeight="1">
      <c r="A160" s="135" t="s">
        <v>1980</v>
      </c>
      <c r="B160" s="135" t="s">
        <v>1903</v>
      </c>
      <c r="C160" s="135">
        <v>46383</v>
      </c>
      <c r="D160" s="135" t="s">
        <v>1447</v>
      </c>
      <c r="E160" s="135" t="s">
        <v>1267</v>
      </c>
      <c r="F160" s="135"/>
      <c r="G160" s="135">
        <v>100</v>
      </c>
      <c r="H160" s="135" t="s">
        <v>1425</v>
      </c>
      <c r="I160" s="135" t="str">
        <f>VLOOKUP(H160,list!$B$2:$C$14,2,FALSE)</f>
        <v>ONSITE</v>
      </c>
      <c r="J160" s="135"/>
      <c r="K160" s="135">
        <v>1</v>
      </c>
      <c r="L160" s="135">
        <v>1</v>
      </c>
      <c r="M160" s="135">
        <v>1</v>
      </c>
      <c r="N160" s="135">
        <v>0</v>
      </c>
      <c r="O160" s="135">
        <v>0</v>
      </c>
      <c r="P160" s="135"/>
      <c r="Q160" s="135">
        <v>0</v>
      </c>
      <c r="R160" s="135"/>
      <c r="S160" s="135"/>
      <c r="T160" s="135" t="s">
        <v>30</v>
      </c>
      <c r="U160" s="135" t="s">
        <v>1981</v>
      </c>
      <c r="V160" s="135" t="s">
        <v>1255</v>
      </c>
      <c r="W160" s="135">
        <v>7</v>
      </c>
      <c r="X160" s="135" t="s">
        <v>1982</v>
      </c>
      <c r="Y160" s="135" t="s">
        <v>1983</v>
      </c>
      <c r="Z160" s="135" t="s">
        <v>1450</v>
      </c>
      <c r="AA160" s="5" t="s">
        <v>18</v>
      </c>
      <c r="AB160" s="5" t="s">
        <v>1298</v>
      </c>
      <c r="AC160" s="6">
        <f t="shared" si="13"/>
        <v>100</v>
      </c>
      <c r="AD160" s="6"/>
    </row>
    <row r="161" spans="1:30" ht="19.5" customHeight="1">
      <c r="A161" s="135" t="s">
        <v>1984</v>
      </c>
      <c r="B161" s="135" t="s">
        <v>1903</v>
      </c>
      <c r="C161" s="135">
        <v>47710</v>
      </c>
      <c r="D161" s="135" t="s">
        <v>1506</v>
      </c>
      <c r="E161" s="135" t="s">
        <v>1507</v>
      </c>
      <c r="F161" s="135"/>
      <c r="G161" s="135">
        <v>89</v>
      </c>
      <c r="H161" s="135" t="s">
        <v>1268</v>
      </c>
      <c r="I161" s="135" t="str">
        <f>VLOOKUP(H161,list!$B$2:$C$14,2,FALSE)</f>
        <v>KITS</v>
      </c>
      <c r="J161" s="135"/>
      <c r="K161" s="135">
        <v>0</v>
      </c>
      <c r="L161" s="135">
        <v>0</v>
      </c>
      <c r="M161" s="135">
        <v>0</v>
      </c>
      <c r="N161" s="135">
        <v>0</v>
      </c>
      <c r="O161" s="135">
        <v>0</v>
      </c>
      <c r="P161" s="135"/>
      <c r="Q161" s="135">
        <v>1</v>
      </c>
      <c r="R161" s="135"/>
      <c r="S161" s="135" t="s">
        <v>1912</v>
      </c>
      <c r="T161" s="135" t="s">
        <v>30</v>
      </c>
      <c r="U161" s="135"/>
      <c r="V161" s="135" t="s">
        <v>1255</v>
      </c>
      <c r="W161" s="135">
        <v>5</v>
      </c>
      <c r="X161" s="135" t="s">
        <v>1985</v>
      </c>
      <c r="Y161" s="135" t="s">
        <v>1986</v>
      </c>
      <c r="Z161" s="135" t="s">
        <v>1512</v>
      </c>
      <c r="AA161" s="5" t="s">
        <v>18</v>
      </c>
      <c r="AB161" s="5" t="s">
        <v>1298</v>
      </c>
      <c r="AC161" s="6">
        <f t="shared" si="13"/>
        <v>89</v>
      </c>
      <c r="AD161" s="6"/>
    </row>
    <row r="162" spans="1:30" ht="19.5" customHeight="1">
      <c r="A162" s="135" t="s">
        <v>1987</v>
      </c>
      <c r="B162" s="135" t="s">
        <v>1903</v>
      </c>
      <c r="C162" s="135">
        <v>47630</v>
      </c>
      <c r="D162" s="135" t="s">
        <v>1761</v>
      </c>
      <c r="E162" s="135" t="s">
        <v>1762</v>
      </c>
      <c r="F162" s="135"/>
      <c r="G162" s="135">
        <v>128</v>
      </c>
      <c r="H162" s="135" t="s">
        <v>1268</v>
      </c>
      <c r="I162" s="135" t="str">
        <f>VLOOKUP(H162,list!$B$2:$C$14,2,FALSE)</f>
        <v>KITS</v>
      </c>
      <c r="J162" s="135"/>
      <c r="K162" s="135">
        <v>0</v>
      </c>
      <c r="L162" s="135">
        <v>0</v>
      </c>
      <c r="M162" s="135">
        <v>0</v>
      </c>
      <c r="N162" s="135">
        <v>0</v>
      </c>
      <c r="O162" s="135">
        <v>0</v>
      </c>
      <c r="P162" s="135"/>
      <c r="Q162" s="135">
        <v>1</v>
      </c>
      <c r="R162" s="135"/>
      <c r="S162" s="135" t="s">
        <v>1912</v>
      </c>
      <c r="T162" s="135" t="s">
        <v>30</v>
      </c>
      <c r="U162" s="135" t="s">
        <v>1913</v>
      </c>
      <c r="V162" s="135" t="s">
        <v>1255</v>
      </c>
      <c r="W162" s="135">
        <v>5</v>
      </c>
      <c r="X162" s="135" t="s">
        <v>1988</v>
      </c>
      <c r="Y162" s="135" t="s">
        <v>1989</v>
      </c>
      <c r="Z162" s="135" t="s">
        <v>1765</v>
      </c>
      <c r="AA162" s="5" t="s">
        <v>18</v>
      </c>
      <c r="AB162" s="5" t="s">
        <v>1298</v>
      </c>
      <c r="AC162" s="6">
        <f t="shared" si="13"/>
        <v>128</v>
      </c>
      <c r="AD162" s="6"/>
    </row>
    <row r="163" spans="1:30" ht="19.5" customHeight="1">
      <c r="A163" s="135" t="s">
        <v>335</v>
      </c>
      <c r="B163" s="135"/>
      <c r="C163" s="135">
        <v>46815</v>
      </c>
      <c r="D163" s="135" t="s">
        <v>1343</v>
      </c>
      <c r="E163" s="135" t="s">
        <v>1252</v>
      </c>
      <c r="F163" s="135"/>
      <c r="G163" s="135">
        <v>190</v>
      </c>
      <c r="H163" s="135" t="s">
        <v>1253</v>
      </c>
      <c r="I163" s="135" t="str">
        <f>VLOOKUP(H163,list!$B$2:$C$14,2,FALSE)</f>
        <v>KITS</v>
      </c>
      <c r="J163" s="135"/>
      <c r="K163" s="135">
        <v>0</v>
      </c>
      <c r="L163" s="135">
        <v>0</v>
      </c>
      <c r="M163" s="135">
        <v>0</v>
      </c>
      <c r="N163" s="135">
        <v>0</v>
      </c>
      <c r="O163" s="135">
        <v>0</v>
      </c>
      <c r="P163" s="135"/>
      <c r="Q163" s="135">
        <v>0</v>
      </c>
      <c r="R163" s="135"/>
      <c r="S163" s="135"/>
      <c r="T163" s="135" t="s">
        <v>19</v>
      </c>
      <c r="U163" s="135" t="s">
        <v>1990</v>
      </c>
      <c r="V163" s="135" t="s">
        <v>1255</v>
      </c>
      <c r="W163" s="135">
        <v>6</v>
      </c>
      <c r="X163" s="135" t="s">
        <v>1991</v>
      </c>
      <c r="Y163" s="135" t="s">
        <v>1992</v>
      </c>
      <c r="Z163" s="135" t="s">
        <v>1993</v>
      </c>
      <c r="AA163" s="5" t="str">
        <f>VLOOKUP(A163,'Form Responses 1'!$C$2:$K$532,6,FALSE)</f>
        <v>Onsite sample collection by ISDH team</v>
      </c>
      <c r="AB163" s="5">
        <f>VLOOKUP(A163,'Form Responses 1'!$C$2:$K$219,7,FALSE)</f>
        <v>0</v>
      </c>
      <c r="AC163" s="6">
        <f>VLOOKUP(A163,'Form Responses 1'!$C$2:$K$219,8,FALSE)</f>
        <v>230</v>
      </c>
      <c r="AD163" s="6">
        <f>VLOOKUP(A163,'Form Responses 1'!$C$2:$K$219,9,FALSE)</f>
        <v>0</v>
      </c>
    </row>
    <row r="164" spans="1:30" ht="19.5" customHeight="1">
      <c r="A164" s="135" t="s">
        <v>339</v>
      </c>
      <c r="B164" s="135" t="s">
        <v>343</v>
      </c>
      <c r="C164" s="135">
        <v>47660</v>
      </c>
      <c r="D164" s="135" t="s">
        <v>1994</v>
      </c>
      <c r="E164" s="135" t="s">
        <v>1995</v>
      </c>
      <c r="F164" s="135" t="s">
        <v>30</v>
      </c>
      <c r="G164" s="135">
        <v>114</v>
      </c>
      <c r="H164" s="135" t="s">
        <v>1282</v>
      </c>
      <c r="I164" s="135" t="str">
        <f>VLOOKUP(H164,list!$B$2:$C$14,2,FALSE)</f>
        <v>KITS</v>
      </c>
      <c r="J164" s="135"/>
      <c r="K164" s="135">
        <v>0</v>
      </c>
      <c r="L164" s="135">
        <v>0</v>
      </c>
      <c r="M164" s="135">
        <v>0</v>
      </c>
      <c r="N164" s="135">
        <v>0</v>
      </c>
      <c r="O164" s="135">
        <v>0</v>
      </c>
      <c r="P164" s="135"/>
      <c r="Q164" s="135">
        <v>0</v>
      </c>
      <c r="R164" s="135"/>
      <c r="S164" s="135"/>
      <c r="T164" s="135" t="s">
        <v>19</v>
      </c>
      <c r="U164" s="135" t="s">
        <v>1996</v>
      </c>
      <c r="V164" s="135" t="s">
        <v>1255</v>
      </c>
      <c r="W164" s="135">
        <v>3</v>
      </c>
      <c r="X164" s="135" t="s">
        <v>1997</v>
      </c>
      <c r="Y164" s="135" t="s">
        <v>1998</v>
      </c>
      <c r="Z164" s="135" t="s">
        <v>1999</v>
      </c>
      <c r="AA164" s="5" t="str">
        <f>VLOOKUP(A164,'Form Responses 1'!$C$2:$K$219,6,FALSE)</f>
        <v>Kit delivery and pickup</v>
      </c>
      <c r="AB164" s="5" t="s">
        <v>1298</v>
      </c>
      <c r="AC164" s="6">
        <f>VLOOKUP(A164,'Form Responses 1'!$C$2:$K$219,8,FALSE)</f>
        <v>104</v>
      </c>
      <c r="AD164" s="6" t="str">
        <f>VLOOKUP(A164,'Form Responses 1'!$C$2:$K$219,9,FALSE)</f>
        <v>ASC</v>
      </c>
    </row>
    <row r="165" spans="1:30" ht="19.5" customHeight="1">
      <c r="A165" s="135" t="s">
        <v>2000</v>
      </c>
      <c r="B165" s="135" t="s">
        <v>343</v>
      </c>
      <c r="C165" s="135">
        <v>47711</v>
      </c>
      <c r="D165" s="135" t="s">
        <v>1506</v>
      </c>
      <c r="E165" s="135" t="s">
        <v>1507</v>
      </c>
      <c r="F165" s="135"/>
      <c r="G165" s="135">
        <v>240</v>
      </c>
      <c r="H165" s="135" t="s">
        <v>1282</v>
      </c>
      <c r="I165" s="135" t="str">
        <f>VLOOKUP(H165,list!$B$2:$C$14,2,FALSE)</f>
        <v>KITS</v>
      </c>
      <c r="J165" s="135"/>
      <c r="K165" s="135">
        <v>0</v>
      </c>
      <c r="L165" s="135">
        <v>0</v>
      </c>
      <c r="M165" s="135">
        <v>0</v>
      </c>
      <c r="N165" s="135">
        <v>0</v>
      </c>
      <c r="O165" s="135">
        <v>0</v>
      </c>
      <c r="P165" s="135"/>
      <c r="Q165" s="135">
        <v>0</v>
      </c>
      <c r="R165" s="135"/>
      <c r="S165" s="135"/>
      <c r="T165" s="135" t="s">
        <v>30</v>
      </c>
      <c r="U165" s="135" t="s">
        <v>2001</v>
      </c>
      <c r="V165" s="135" t="s">
        <v>1255</v>
      </c>
      <c r="W165" s="135">
        <v>3</v>
      </c>
      <c r="X165" s="135" t="s">
        <v>2002</v>
      </c>
      <c r="Y165" s="135" t="s">
        <v>2003</v>
      </c>
      <c r="Z165" s="135" t="s">
        <v>2004</v>
      </c>
      <c r="AA165" s="5" t="s">
        <v>18</v>
      </c>
      <c r="AB165" s="5" t="s">
        <v>1298</v>
      </c>
      <c r="AC165" s="6">
        <f>G165</f>
        <v>240</v>
      </c>
      <c r="AD165" s="6"/>
    </row>
    <row r="166" spans="1:30" ht="19.5" customHeight="1">
      <c r="A166" s="135" t="s">
        <v>344</v>
      </c>
      <c r="B166" s="135"/>
      <c r="C166" s="135">
        <v>47438</v>
      </c>
      <c r="D166" s="135" t="s">
        <v>2005</v>
      </c>
      <c r="E166" s="135" t="s">
        <v>1897</v>
      </c>
      <c r="F166" s="135"/>
      <c r="G166" s="135">
        <v>65</v>
      </c>
      <c r="H166" s="135" t="s">
        <v>1253</v>
      </c>
      <c r="I166" s="135" t="str">
        <f>VLOOKUP(H166,list!$B$2:$C$14,2,FALSE)</f>
        <v>KITS</v>
      </c>
      <c r="J166" s="135"/>
      <c r="K166" s="135">
        <v>0</v>
      </c>
      <c r="L166" s="135">
        <v>0</v>
      </c>
      <c r="M166" s="135">
        <v>0</v>
      </c>
      <c r="N166" s="135">
        <v>0</v>
      </c>
      <c r="O166" s="135">
        <v>0</v>
      </c>
      <c r="P166" s="135"/>
      <c r="Q166" s="135">
        <v>0</v>
      </c>
      <c r="R166" s="135"/>
      <c r="S166" s="135"/>
      <c r="T166" s="135" t="s">
        <v>30</v>
      </c>
      <c r="U166" s="135" t="s">
        <v>2006</v>
      </c>
      <c r="V166" s="135" t="s">
        <v>1255</v>
      </c>
      <c r="W166" s="135">
        <v>6</v>
      </c>
      <c r="X166" s="135" t="s">
        <v>2007</v>
      </c>
      <c r="Y166" s="135" t="s">
        <v>2008</v>
      </c>
      <c r="Z166" s="135" t="s">
        <v>2009</v>
      </c>
      <c r="AA166" s="5" t="str">
        <f>VLOOKUP(A166,'Form Responses 1'!$C$2:$K$532,6,FALSE)</f>
        <v>Kit delivery and pickup</v>
      </c>
      <c r="AB166" s="5" t="str">
        <f>VLOOKUP(A166,'Form Responses 1'!$C$2:$K$219,7,FALSE)</f>
        <v>Yes</v>
      </c>
      <c r="AC166" s="6">
        <f>VLOOKUP(A166,'Form Responses 1'!$C$2:$K$219,8,FALSE)</f>
        <v>80</v>
      </c>
      <c r="AD166" s="6" t="str">
        <f>VLOOKUP(A166,'Form Responses 1'!$C$2:$K$219,9,FALSE)</f>
        <v xml:space="preserve">wants to ensure they are educated properly and have advanced notice of when the kits would be dropped off so that the staff who will be educated on swabbing will be there. </v>
      </c>
    </row>
    <row r="167" spans="1:30" ht="19.5" customHeight="1">
      <c r="A167" s="135" t="s">
        <v>349</v>
      </c>
      <c r="B167" s="135"/>
      <c r="C167" s="135">
        <v>46590</v>
      </c>
      <c r="D167" s="135" t="s">
        <v>2010</v>
      </c>
      <c r="E167" s="135" t="s">
        <v>2011</v>
      </c>
      <c r="F167" s="135"/>
      <c r="G167" s="135">
        <v>197</v>
      </c>
      <c r="H167" s="135" t="s">
        <v>1282</v>
      </c>
      <c r="I167" s="135" t="str">
        <f>VLOOKUP(H167,list!$B$2:$C$14,2,FALSE)</f>
        <v>KITS</v>
      </c>
      <c r="J167" s="135"/>
      <c r="K167" s="135">
        <v>0</v>
      </c>
      <c r="L167" s="135">
        <v>0</v>
      </c>
      <c r="M167" s="135">
        <v>0</v>
      </c>
      <c r="N167" s="135">
        <v>0</v>
      </c>
      <c r="O167" s="135">
        <v>0</v>
      </c>
      <c r="P167" s="135"/>
      <c r="Q167" s="135">
        <v>0</v>
      </c>
      <c r="R167" s="135"/>
      <c r="S167" s="135"/>
      <c r="T167" s="135" t="s">
        <v>30</v>
      </c>
      <c r="U167" s="135" t="s">
        <v>2012</v>
      </c>
      <c r="V167" s="135" t="s">
        <v>1255</v>
      </c>
      <c r="W167" s="135">
        <v>3</v>
      </c>
      <c r="X167" s="135" t="s">
        <v>2013</v>
      </c>
      <c r="Y167" s="135" t="s">
        <v>2014</v>
      </c>
      <c r="Z167" s="135" t="s">
        <v>2015</v>
      </c>
      <c r="AA167" s="5" t="str">
        <f>VLOOKUP(A167,'Form Responses 1'!$C$2:$K$532,6,FALSE)</f>
        <v>Kit delivery and pickup</v>
      </c>
      <c r="AB167" s="5" t="str">
        <f>VLOOKUP(A167,'Form Responses 1'!$C$2:$K$219,7,FALSE)</f>
        <v>No</v>
      </c>
      <c r="AC167" s="6">
        <f>VLOOKUP(A167,'Form Responses 1'!$C$2:$K$219,8,FALSE)</f>
        <v>200</v>
      </c>
      <c r="AD167" s="6">
        <f>VLOOKUP(A167,'Form Responses 1'!$C$2:$K$219,9,FALSE)</f>
        <v>0</v>
      </c>
    </row>
    <row r="168" spans="1:30" ht="19.5" customHeight="1">
      <c r="A168" s="135" t="s">
        <v>353</v>
      </c>
      <c r="B168" s="135"/>
      <c r="C168" s="135">
        <v>46151</v>
      </c>
      <c r="D168" s="135" t="s">
        <v>1910</v>
      </c>
      <c r="E168" s="135" t="s">
        <v>1911</v>
      </c>
      <c r="F168" s="135"/>
      <c r="G168" s="135">
        <v>85</v>
      </c>
      <c r="H168" s="135" t="s">
        <v>1282</v>
      </c>
      <c r="I168" s="135" t="str">
        <f>VLOOKUP(H168,list!$B$2:$C$14,2,FALSE)</f>
        <v>KITS</v>
      </c>
      <c r="J168" s="135"/>
      <c r="K168" s="135">
        <v>0</v>
      </c>
      <c r="L168" s="135">
        <v>0</v>
      </c>
      <c r="M168" s="135">
        <v>0</v>
      </c>
      <c r="N168" s="135">
        <v>0</v>
      </c>
      <c r="O168" s="135">
        <v>0</v>
      </c>
      <c r="P168" s="135"/>
      <c r="Q168" s="135">
        <v>0</v>
      </c>
      <c r="R168" s="135"/>
      <c r="S168" s="135"/>
      <c r="T168" s="135" t="s">
        <v>19</v>
      </c>
      <c r="U168" s="135" t="s">
        <v>1602</v>
      </c>
      <c r="V168" s="135" t="s">
        <v>1255</v>
      </c>
      <c r="W168" s="135">
        <v>3</v>
      </c>
      <c r="X168" s="135" t="s">
        <v>2016</v>
      </c>
      <c r="Y168" s="135" t="s">
        <v>2017</v>
      </c>
      <c r="Z168" s="135" t="s">
        <v>2018</v>
      </c>
      <c r="AA168" s="5" t="str">
        <f>VLOOKUP(A168,'Form Responses 1'!$C$2:$K$532,6,FALSE)</f>
        <v>Kit delivery and pickup</v>
      </c>
      <c r="AB168" s="5" t="str">
        <f>VLOOKUP(A168,'Form Responses 1'!$C$2:$K$219,7,FALSE)</f>
        <v>No</v>
      </c>
      <c r="AC168" s="6">
        <f>VLOOKUP(A168,'Form Responses 1'!$C$2:$K$219,8,FALSE)</f>
        <v>95</v>
      </c>
      <c r="AD168" s="6">
        <f>VLOOKUP(A168,'Form Responses 1'!$C$2:$K$219,9,FALSE)</f>
        <v>0</v>
      </c>
    </row>
    <row r="169" spans="1:30" ht="19.5" customHeight="1">
      <c r="A169" s="135" t="s">
        <v>357</v>
      </c>
      <c r="B169" s="135" t="s">
        <v>1288</v>
      </c>
      <c r="C169" s="135">
        <v>46311</v>
      </c>
      <c r="D169" s="135" t="s">
        <v>1776</v>
      </c>
      <c r="E169" s="135" t="s">
        <v>1375</v>
      </c>
      <c r="F169" s="135"/>
      <c r="G169" s="135">
        <v>180</v>
      </c>
      <c r="H169" s="135" t="s">
        <v>1425</v>
      </c>
      <c r="I169" s="135" t="str">
        <f>VLOOKUP(H169,list!$B$2:$C$14,2,FALSE)</f>
        <v>ONSITE</v>
      </c>
      <c r="J169" s="135"/>
      <c r="K169" s="135">
        <v>1</v>
      </c>
      <c r="L169" s="135">
        <v>0</v>
      </c>
      <c r="M169" s="135">
        <v>0</v>
      </c>
      <c r="N169" s="135">
        <v>0</v>
      </c>
      <c r="O169" s="135">
        <v>0</v>
      </c>
      <c r="P169" s="135"/>
      <c r="Q169" s="135">
        <v>0</v>
      </c>
      <c r="R169" s="135"/>
      <c r="S169" s="135"/>
      <c r="T169" s="135" t="s">
        <v>30</v>
      </c>
      <c r="U169" s="135" t="s">
        <v>2019</v>
      </c>
      <c r="V169" s="135" t="s">
        <v>1255</v>
      </c>
      <c r="W169" s="135">
        <v>7</v>
      </c>
      <c r="X169" s="135" t="s">
        <v>2020</v>
      </c>
      <c r="Y169" s="135" t="s">
        <v>2021</v>
      </c>
      <c r="Z169" s="135" t="s">
        <v>1780</v>
      </c>
      <c r="AA169" s="5" t="s">
        <v>91</v>
      </c>
      <c r="AB169" s="5" t="s">
        <v>30</v>
      </c>
      <c r="AC169" s="6">
        <f>G169</f>
        <v>180</v>
      </c>
      <c r="AD169" s="6"/>
    </row>
    <row r="170" spans="1:30" ht="19.5" customHeight="1">
      <c r="A170" s="135" t="s">
        <v>361</v>
      </c>
      <c r="B170" s="135"/>
      <c r="C170" s="135">
        <v>46032</v>
      </c>
      <c r="D170" s="135" t="s">
        <v>1464</v>
      </c>
      <c r="E170" s="135" t="s">
        <v>1294</v>
      </c>
      <c r="F170" s="135"/>
      <c r="G170" s="135">
        <v>100</v>
      </c>
      <c r="H170" s="135" t="s">
        <v>1465</v>
      </c>
      <c r="I170" s="135" t="str">
        <f>VLOOKUP(H170,list!$B$2:$C$14,2,FALSE)</f>
        <v>GREEN</v>
      </c>
      <c r="J170" s="135"/>
      <c r="K170" s="135">
        <v>0</v>
      </c>
      <c r="L170" s="135">
        <v>0</v>
      </c>
      <c r="M170" s="135">
        <v>0</v>
      </c>
      <c r="N170" s="135">
        <v>0</v>
      </c>
      <c r="O170" s="135">
        <v>0</v>
      </c>
      <c r="P170" s="135"/>
      <c r="Q170" s="135">
        <v>0</v>
      </c>
      <c r="R170" s="135"/>
      <c r="S170" s="135" t="s">
        <v>2022</v>
      </c>
      <c r="T170" s="135" t="s">
        <v>19</v>
      </c>
      <c r="U170" s="135"/>
      <c r="V170" s="135" t="s">
        <v>1255</v>
      </c>
      <c r="W170" s="135">
        <v>4</v>
      </c>
      <c r="X170" s="135" t="s">
        <v>2023</v>
      </c>
      <c r="Y170" s="135" t="s">
        <v>2024</v>
      </c>
      <c r="Z170" s="135" t="s">
        <v>1469</v>
      </c>
      <c r="AA170" s="5" t="str">
        <f>VLOOKUP(A170,'Form Responses 1'!$C$2:$K$532,6,FALSE)</f>
        <v>Kit delivery and pickup</v>
      </c>
      <c r="AB170" s="5" t="str">
        <f>VLOOKUP(A170,'Form Responses 1'!$C$2:$K$219,7,FALSE)</f>
        <v>Yes</v>
      </c>
      <c r="AC170" s="6">
        <f>VLOOKUP(A170,'Form Responses 1'!$C$2:$K$219,8,FALSE)</f>
        <v>100</v>
      </c>
      <c r="AD170" s="6">
        <f>VLOOKUP(A170,'Form Responses 1'!$C$2:$K$219,9,FALSE)</f>
        <v>0</v>
      </c>
    </row>
    <row r="171" spans="1:30" ht="19.5" customHeight="1">
      <c r="A171" s="135" t="s">
        <v>2025</v>
      </c>
      <c r="B171" s="135"/>
      <c r="C171" s="135">
        <v>46526</v>
      </c>
      <c r="D171" s="135" t="s">
        <v>1722</v>
      </c>
      <c r="E171" s="135" t="s">
        <v>1723</v>
      </c>
      <c r="F171" s="135"/>
      <c r="G171" s="135"/>
      <c r="H171" s="135"/>
      <c r="I171" s="135"/>
      <c r="J171" s="135"/>
      <c r="K171" s="135"/>
      <c r="L171" s="135"/>
      <c r="M171" s="135"/>
      <c r="N171" s="135"/>
      <c r="O171" s="135"/>
      <c r="P171" s="135"/>
      <c r="Q171" s="135"/>
      <c r="R171" s="135"/>
      <c r="S171" s="135"/>
      <c r="T171" s="135"/>
      <c r="U171" s="135"/>
      <c r="V171" s="135"/>
      <c r="W171" s="135"/>
      <c r="X171" s="135">
        <v>3176535767</v>
      </c>
      <c r="Y171" s="135" t="s">
        <v>2026</v>
      </c>
      <c r="Z171" s="135"/>
      <c r="AA171" s="5" t="str">
        <f>VLOOKUP(A171,'Form Responses 1'!$C$2:$K$532,6,FALSE)</f>
        <v>Kit delivery and pickup</v>
      </c>
      <c r="AB171" s="5" t="e">
        <f>VLOOKUP(A171,'Form Responses 1'!$C$2:$K$219,7,FALSE)</f>
        <v>#N/A</v>
      </c>
      <c r="AC171" s="6" t="e">
        <f>VLOOKUP(A171,'Form Responses 1'!$C$2:$K$219,8,FALSE)</f>
        <v>#N/A</v>
      </c>
      <c r="AD171" s="6" t="e">
        <f>VLOOKUP(A171,'Form Responses 1'!$C$2:$K$219,9,FALSE)</f>
        <v>#N/A</v>
      </c>
    </row>
    <row r="172" spans="1:30" ht="19.5" customHeight="1">
      <c r="A172" s="135" t="s">
        <v>365</v>
      </c>
      <c r="B172" s="135" t="s">
        <v>2027</v>
      </c>
      <c r="C172" s="135">
        <v>47150</v>
      </c>
      <c r="D172" s="135" t="s">
        <v>1441</v>
      </c>
      <c r="E172" s="135" t="s">
        <v>1442</v>
      </c>
      <c r="F172" s="135"/>
      <c r="G172" s="135">
        <v>134</v>
      </c>
      <c r="H172" s="135" t="s">
        <v>1282</v>
      </c>
      <c r="I172" s="135" t="str">
        <f>VLOOKUP(H172,list!$B$2:$C$14,2,FALSE)</f>
        <v>KITS</v>
      </c>
      <c r="J172" s="135"/>
      <c r="K172" s="135">
        <v>0</v>
      </c>
      <c r="L172" s="135">
        <v>0</v>
      </c>
      <c r="M172" s="135">
        <v>0</v>
      </c>
      <c r="N172" s="135">
        <v>0</v>
      </c>
      <c r="O172" s="135">
        <v>0</v>
      </c>
      <c r="P172" s="135"/>
      <c r="Q172" s="135">
        <v>0</v>
      </c>
      <c r="R172" s="135"/>
      <c r="S172" s="135"/>
      <c r="T172" s="135" t="s">
        <v>19</v>
      </c>
      <c r="U172" s="135" t="s">
        <v>2028</v>
      </c>
      <c r="V172" s="135" t="s">
        <v>1255</v>
      </c>
      <c r="W172" s="135">
        <v>3</v>
      </c>
      <c r="X172" s="135" t="s">
        <v>2029</v>
      </c>
      <c r="Y172" s="135" t="s">
        <v>2030</v>
      </c>
      <c r="Z172" s="135" t="s">
        <v>1445</v>
      </c>
      <c r="AA172" s="5" t="str">
        <f>VLOOKUP(A172,'Form Responses 1'!$C$2:$K$532,6,FALSE)</f>
        <v>Kit delivery and pickup</v>
      </c>
      <c r="AB172" s="5" t="str">
        <f>VLOOKUP(A172,'Form Responses 1'!$C$2:$K$219,7,FALSE)</f>
        <v>Yes</v>
      </c>
      <c r="AC172" s="6">
        <f>VLOOKUP(A172,'Form Responses 1'!$C$2:$K$219,8,FALSE)</f>
        <v>145</v>
      </c>
      <c r="AD172" s="6" t="str">
        <f>VLOOKUP(A172,'Form Responses 1'!$C$2:$K$219,9,FALSE)</f>
        <v>definitely wants to know ahead of time when the kit delivery will be dropped off so that she can try to coordinate as many staff as possible to be tested in the 2 day window</v>
      </c>
    </row>
    <row r="173" spans="1:30" ht="19.5" customHeight="1">
      <c r="A173" s="135" t="s">
        <v>1149</v>
      </c>
      <c r="B173" s="10" t="s">
        <v>1527</v>
      </c>
      <c r="C173" s="10">
        <v>47948</v>
      </c>
      <c r="D173" s="10" t="s">
        <v>2031</v>
      </c>
      <c r="E173" s="10" t="s">
        <v>1881</v>
      </c>
      <c r="F173" s="10" t="s">
        <v>30</v>
      </c>
      <c r="G173" s="10">
        <v>50</v>
      </c>
      <c r="H173" s="10" t="s">
        <v>1282</v>
      </c>
      <c r="I173" s="10" t="str">
        <f>VLOOKUP(H173,list!$B$2:$C$14,2,FALSE)</f>
        <v>KITS</v>
      </c>
      <c r="J173" s="10"/>
      <c r="K173" s="10">
        <v>0</v>
      </c>
      <c r="L173" s="10">
        <v>0</v>
      </c>
      <c r="M173" s="10">
        <v>0</v>
      </c>
      <c r="N173" s="10">
        <v>0</v>
      </c>
      <c r="O173" s="10">
        <v>0</v>
      </c>
      <c r="P173" s="10"/>
      <c r="Q173" s="10">
        <v>0</v>
      </c>
      <c r="R173" s="10"/>
      <c r="S173" s="10"/>
      <c r="T173" s="10" t="s">
        <v>19</v>
      </c>
      <c r="U173" s="10"/>
      <c r="V173" s="10" t="s">
        <v>1255</v>
      </c>
      <c r="W173" s="10">
        <v>3</v>
      </c>
      <c r="X173" s="10" t="e">
        <v>#N/A</v>
      </c>
      <c r="Y173" s="135" t="e">
        <v>#N/A</v>
      </c>
      <c r="Z173" s="135" t="e">
        <v>#N/A</v>
      </c>
      <c r="AA173" s="5" t="str">
        <f>VLOOKUP(A173,'Form Responses 1'!$C$2:$K$532,6,FALSE)</f>
        <v>Kit delivery and pickup</v>
      </c>
      <c r="AB173" s="5" t="e">
        <f>VLOOKUP(A173,'Form Responses 1'!$C$2:$K$219,7,FALSE)</f>
        <v>#N/A</v>
      </c>
      <c r="AC173" s="6" t="e">
        <f>VLOOKUP(A173,'Form Responses 1'!$C$2:$K$219,8,FALSE)</f>
        <v>#N/A</v>
      </c>
      <c r="AD173" s="6" t="e">
        <f>VLOOKUP(A173,'Form Responses 1'!$C$2:$K$219,9,FALSE)</f>
        <v>#N/A</v>
      </c>
    </row>
    <row r="174" spans="1:30" ht="19.5" customHeight="1">
      <c r="A174" s="135" t="s">
        <v>370</v>
      </c>
      <c r="B174" s="135"/>
      <c r="C174" s="135">
        <v>46527</v>
      </c>
      <c r="D174" s="135" t="s">
        <v>1722</v>
      </c>
      <c r="E174" s="135" t="s">
        <v>1723</v>
      </c>
      <c r="F174" s="135"/>
      <c r="G174" s="135">
        <v>466</v>
      </c>
      <c r="H174" s="135" t="s">
        <v>1276</v>
      </c>
      <c r="I174" s="135" t="str">
        <f>VLOOKUP(H174,list!$B$2:$C$14,2,FALSE)</f>
        <v>GREEN</v>
      </c>
      <c r="J174" s="135"/>
      <c r="K174" s="135">
        <v>0</v>
      </c>
      <c r="L174" s="135">
        <v>0</v>
      </c>
      <c r="M174" s="135">
        <v>0</v>
      </c>
      <c r="N174" s="135">
        <v>0</v>
      </c>
      <c r="O174" s="135">
        <v>0</v>
      </c>
      <c r="P174" s="135"/>
      <c r="Q174" s="135">
        <v>0</v>
      </c>
      <c r="R174" s="135"/>
      <c r="S174" s="135"/>
      <c r="T174" s="135" t="s">
        <v>30</v>
      </c>
      <c r="U174" s="135"/>
      <c r="V174" s="135" t="s">
        <v>1255</v>
      </c>
      <c r="W174" s="135">
        <v>2</v>
      </c>
      <c r="X174" s="135" t="s">
        <v>2032</v>
      </c>
      <c r="Y174" s="135" t="s">
        <v>2033</v>
      </c>
      <c r="Z174" s="135" t="s">
        <v>2034</v>
      </c>
      <c r="AA174" s="5" t="str">
        <f>VLOOKUP(A174,'Form Responses 1'!$C$2:$K$532,6,FALSE)</f>
        <v>Kit delivery and pickup</v>
      </c>
      <c r="AB174" s="5" t="str">
        <f>VLOOKUP(A174,'Form Responses 1'!$C$2:$K$219,7,FALSE)</f>
        <v>Yes</v>
      </c>
      <c r="AC174" s="6">
        <f>VLOOKUP(A174,'Form Responses 1'!$C$2:$K$219,8,FALSE)</f>
        <v>350</v>
      </c>
      <c r="AD174" s="6">
        <f>VLOOKUP(A174,'Form Responses 1'!$C$2:$K$219,9,FALSE)</f>
        <v>0</v>
      </c>
    </row>
    <row r="175" spans="1:30" ht="19.5" customHeight="1">
      <c r="A175" s="135" t="s">
        <v>2035</v>
      </c>
      <c r="B175" s="135" t="s">
        <v>1288</v>
      </c>
      <c r="C175" s="135">
        <v>46140</v>
      </c>
      <c r="D175" s="135" t="s">
        <v>1917</v>
      </c>
      <c r="E175" s="135" t="s">
        <v>1918</v>
      </c>
      <c r="F175" s="135"/>
      <c r="G175" s="135">
        <v>70</v>
      </c>
      <c r="H175" s="135" t="s">
        <v>1465</v>
      </c>
      <c r="I175" s="135" t="str">
        <f>VLOOKUP(H175,list!$B$2:$C$14,2,FALSE)</f>
        <v>GREEN</v>
      </c>
      <c r="J175" s="135"/>
      <c r="K175" s="135">
        <v>0</v>
      </c>
      <c r="L175" s="135">
        <v>0</v>
      </c>
      <c r="M175" s="135">
        <v>0</v>
      </c>
      <c r="N175" s="135">
        <v>0</v>
      </c>
      <c r="O175" s="135">
        <v>0</v>
      </c>
      <c r="P175" s="135"/>
      <c r="Q175" s="135">
        <v>0</v>
      </c>
      <c r="R175" s="135"/>
      <c r="S175" s="135"/>
      <c r="T175" s="135" t="s">
        <v>19</v>
      </c>
      <c r="U175" s="135" t="s">
        <v>2036</v>
      </c>
      <c r="V175" s="135" t="s">
        <v>1255</v>
      </c>
      <c r="W175" s="135">
        <v>4</v>
      </c>
      <c r="X175" s="135" t="s">
        <v>2037</v>
      </c>
      <c r="Y175" s="135" t="s">
        <v>2038</v>
      </c>
      <c r="Z175" s="135" t="s">
        <v>1922</v>
      </c>
      <c r="AA175" s="5" t="s">
        <v>91</v>
      </c>
      <c r="AB175" s="5" t="s">
        <v>30</v>
      </c>
      <c r="AC175" s="6">
        <f t="shared" ref="AC175:AC179" si="14">G175</f>
        <v>70</v>
      </c>
      <c r="AD175" s="6"/>
    </row>
    <row r="176" spans="1:30" ht="19.5" customHeight="1">
      <c r="A176" s="135" t="s">
        <v>2039</v>
      </c>
      <c r="B176" s="321" t="s">
        <v>1312</v>
      </c>
      <c r="C176" s="135">
        <v>46514</v>
      </c>
      <c r="D176" s="135" t="s">
        <v>1723</v>
      </c>
      <c r="E176" s="135" t="s">
        <v>1723</v>
      </c>
      <c r="F176" s="135"/>
      <c r="G176" s="135">
        <v>85</v>
      </c>
      <c r="H176" s="135" t="s">
        <v>1276</v>
      </c>
      <c r="I176" s="135" t="str">
        <f>VLOOKUP(H176,list!$B$2:$C$14,2,FALSE)</f>
        <v>GREEN</v>
      </c>
      <c r="J176" s="135"/>
      <c r="K176" s="135">
        <v>0</v>
      </c>
      <c r="L176" s="135">
        <v>0</v>
      </c>
      <c r="M176" s="135">
        <v>0</v>
      </c>
      <c r="N176" s="135">
        <v>0</v>
      </c>
      <c r="O176" s="135">
        <v>0</v>
      </c>
      <c r="P176" s="135"/>
      <c r="Q176" s="135">
        <v>0</v>
      </c>
      <c r="R176" s="135"/>
      <c r="S176" s="135"/>
      <c r="T176" s="135" t="s">
        <v>19</v>
      </c>
      <c r="U176" s="135" t="s">
        <v>1315</v>
      </c>
      <c r="V176" s="135" t="s">
        <v>1255</v>
      </c>
      <c r="W176" s="135">
        <v>2</v>
      </c>
      <c r="X176" s="135" t="s">
        <v>2040</v>
      </c>
      <c r="Y176" s="135" t="s">
        <v>2041</v>
      </c>
      <c r="Z176" s="135" t="s">
        <v>1793</v>
      </c>
      <c r="AA176" s="5" t="s">
        <v>18</v>
      </c>
      <c r="AB176" s="5" t="s">
        <v>1298</v>
      </c>
      <c r="AC176" s="6">
        <f t="shared" si="14"/>
        <v>85</v>
      </c>
      <c r="AD176" s="6"/>
    </row>
    <row r="177" spans="1:30" ht="19.5" customHeight="1">
      <c r="A177" s="135" t="s">
        <v>2042</v>
      </c>
      <c r="B177" s="135" t="s">
        <v>1303</v>
      </c>
      <c r="C177" s="135">
        <v>46142</v>
      </c>
      <c r="D177" s="135" t="s">
        <v>1419</v>
      </c>
      <c r="E177" s="135" t="s">
        <v>1420</v>
      </c>
      <c r="F177" s="135"/>
      <c r="G177" s="135">
        <v>110</v>
      </c>
      <c r="H177" s="135" t="s">
        <v>1282</v>
      </c>
      <c r="I177" s="135" t="str">
        <f>VLOOKUP(H177,list!$B$2:$C$14,2,FALSE)</f>
        <v>KITS</v>
      </c>
      <c r="J177" s="135"/>
      <c r="K177" s="135">
        <v>0</v>
      </c>
      <c r="L177" s="135">
        <v>0</v>
      </c>
      <c r="M177" s="135">
        <v>0</v>
      </c>
      <c r="N177" s="135">
        <v>0</v>
      </c>
      <c r="O177" s="135">
        <v>0</v>
      </c>
      <c r="P177" s="135"/>
      <c r="Q177" s="135">
        <v>0</v>
      </c>
      <c r="R177" s="135"/>
      <c r="S177" s="135"/>
      <c r="T177" s="135" t="s">
        <v>30</v>
      </c>
      <c r="U177" s="135"/>
      <c r="V177" s="135" t="s">
        <v>1255</v>
      </c>
      <c r="W177" s="135">
        <v>3</v>
      </c>
      <c r="X177" s="135" t="s">
        <v>2043</v>
      </c>
      <c r="Y177" s="135" t="s">
        <v>2044</v>
      </c>
      <c r="Z177" s="135" t="s">
        <v>2045</v>
      </c>
      <c r="AA177" s="5" t="s">
        <v>18</v>
      </c>
      <c r="AB177" s="5" t="s">
        <v>1298</v>
      </c>
      <c r="AC177" s="6">
        <f t="shared" si="14"/>
        <v>110</v>
      </c>
      <c r="AD177" s="6"/>
    </row>
    <row r="178" spans="1:30" ht="19.5" customHeight="1">
      <c r="A178" s="135" t="s">
        <v>2046</v>
      </c>
      <c r="B178" s="135" t="s">
        <v>1288</v>
      </c>
      <c r="C178" s="135">
        <v>46142</v>
      </c>
      <c r="D178" s="135" t="s">
        <v>1419</v>
      </c>
      <c r="E178" s="135" t="s">
        <v>1420</v>
      </c>
      <c r="F178" s="135"/>
      <c r="G178" s="135">
        <v>230</v>
      </c>
      <c r="H178" s="135" t="s">
        <v>1425</v>
      </c>
      <c r="I178" s="135" t="str">
        <f>VLOOKUP(H178,list!$B$2:$C$14,2,FALSE)</f>
        <v>ONSITE</v>
      </c>
      <c r="J178" s="135"/>
      <c r="K178" s="135">
        <v>0</v>
      </c>
      <c r="L178" s="135">
        <v>0</v>
      </c>
      <c r="M178" s="135">
        <v>0</v>
      </c>
      <c r="N178" s="135">
        <v>0</v>
      </c>
      <c r="O178" s="135">
        <v>0</v>
      </c>
      <c r="P178" s="135"/>
      <c r="Q178" s="135">
        <v>0</v>
      </c>
      <c r="R178" s="135"/>
      <c r="S178" s="135"/>
      <c r="T178" s="135" t="s">
        <v>30</v>
      </c>
      <c r="U178" s="135"/>
      <c r="V178" s="135" t="s">
        <v>1255</v>
      </c>
      <c r="W178" s="135">
        <v>7</v>
      </c>
      <c r="X178" s="135" t="s">
        <v>2047</v>
      </c>
      <c r="Y178" s="135" t="s">
        <v>2048</v>
      </c>
      <c r="Z178" s="135" t="s">
        <v>2045</v>
      </c>
      <c r="AA178" s="5" t="s">
        <v>91</v>
      </c>
      <c r="AB178" s="5" t="s">
        <v>30</v>
      </c>
      <c r="AC178" s="6">
        <f t="shared" si="14"/>
        <v>230</v>
      </c>
      <c r="AD178" s="6"/>
    </row>
    <row r="179" spans="1:30" ht="19.5" customHeight="1">
      <c r="A179" s="135" t="s">
        <v>2049</v>
      </c>
      <c r="B179" s="135" t="s">
        <v>343</v>
      </c>
      <c r="C179" s="135">
        <v>46142</v>
      </c>
      <c r="D179" s="135" t="s">
        <v>1419</v>
      </c>
      <c r="E179" s="135" t="s">
        <v>1420</v>
      </c>
      <c r="F179" s="135"/>
      <c r="G179" s="135">
        <v>125</v>
      </c>
      <c r="H179" s="135" t="s">
        <v>1282</v>
      </c>
      <c r="I179" s="135" t="str">
        <f>VLOOKUP(H179,list!$B$2:$C$14,2,FALSE)</f>
        <v>KITS</v>
      </c>
      <c r="J179" s="135"/>
      <c r="K179" s="135">
        <v>0</v>
      </c>
      <c r="L179" s="135">
        <v>0</v>
      </c>
      <c r="M179" s="135">
        <v>0</v>
      </c>
      <c r="N179" s="135">
        <v>0</v>
      </c>
      <c r="O179" s="135">
        <v>0</v>
      </c>
      <c r="P179" s="135"/>
      <c r="Q179" s="135">
        <v>0</v>
      </c>
      <c r="R179" s="135"/>
      <c r="S179" s="135"/>
      <c r="T179" s="135" t="s">
        <v>19</v>
      </c>
      <c r="U179" s="135"/>
      <c r="V179" s="135" t="s">
        <v>1255</v>
      </c>
      <c r="W179" s="135">
        <v>3</v>
      </c>
      <c r="X179" s="135" t="s">
        <v>2050</v>
      </c>
      <c r="Y179" s="135" t="s">
        <v>2051</v>
      </c>
      <c r="Z179" s="135" t="s">
        <v>2045</v>
      </c>
      <c r="AA179" s="5" t="s">
        <v>18</v>
      </c>
      <c r="AB179" s="5" t="s">
        <v>1298</v>
      </c>
      <c r="AC179" s="6">
        <f t="shared" si="14"/>
        <v>125</v>
      </c>
      <c r="AD179" s="6"/>
    </row>
    <row r="180" spans="1:30" ht="19.5" customHeight="1">
      <c r="A180" s="135" t="s">
        <v>374</v>
      </c>
      <c r="B180" s="135"/>
      <c r="C180" s="135">
        <v>46143</v>
      </c>
      <c r="D180" s="135" t="s">
        <v>1419</v>
      </c>
      <c r="E180" s="135" t="s">
        <v>1420</v>
      </c>
      <c r="F180" s="135"/>
      <c r="G180" s="135">
        <v>290</v>
      </c>
      <c r="H180" s="135" t="s">
        <v>1425</v>
      </c>
      <c r="I180" s="135" t="str">
        <f>VLOOKUP(H180,list!$B$2:$C$14,2,FALSE)</f>
        <v>ONSITE</v>
      </c>
      <c r="J180" s="135"/>
      <c r="K180" s="135">
        <v>1</v>
      </c>
      <c r="L180" s="135">
        <v>0</v>
      </c>
      <c r="M180" s="135">
        <v>0</v>
      </c>
      <c r="N180" s="135">
        <v>0</v>
      </c>
      <c r="O180" s="135">
        <v>1</v>
      </c>
      <c r="P180" s="135"/>
      <c r="Q180" s="135">
        <v>0</v>
      </c>
      <c r="R180" s="135"/>
      <c r="S180" s="135"/>
      <c r="T180" s="135" t="s">
        <v>30</v>
      </c>
      <c r="U180" s="135" t="s">
        <v>2052</v>
      </c>
      <c r="V180" s="135" t="s">
        <v>1255</v>
      </c>
      <c r="W180" s="135">
        <v>7</v>
      </c>
      <c r="X180" s="135" t="s">
        <v>2053</v>
      </c>
      <c r="Y180" s="135" t="s">
        <v>2054</v>
      </c>
      <c r="Z180" s="135" t="s">
        <v>2055</v>
      </c>
      <c r="AA180" s="5" t="str">
        <f>VLOOKUP(A180,'Form Responses 1'!$C$2:$K$532,6,FALSE)</f>
        <v>Kit delivery and pickup</v>
      </c>
      <c r="AB180" s="5" t="str">
        <f>VLOOKUP(A180,'Form Responses 1'!$C$2:$K$219,7,FALSE)</f>
        <v>No</v>
      </c>
      <c r="AC180" s="6">
        <f>VLOOKUP(A180,'Form Responses 1'!$C$2:$K$219,8,FALSE)</f>
        <v>300</v>
      </c>
      <c r="AD180" s="6">
        <f>VLOOKUP(A180,'Form Responses 1'!$C$2:$K$219,9,FALSE)</f>
        <v>0</v>
      </c>
    </row>
    <row r="181" spans="1:30" ht="19.5" customHeight="1">
      <c r="A181" s="135" t="s">
        <v>2056</v>
      </c>
      <c r="B181" s="135"/>
      <c r="C181" s="135">
        <v>46845</v>
      </c>
      <c r="D181" s="135" t="s">
        <v>1343</v>
      </c>
      <c r="E181" s="135" t="s">
        <v>1252</v>
      </c>
      <c r="F181" s="135"/>
      <c r="G181" s="135"/>
      <c r="H181" s="135"/>
      <c r="I181" s="135"/>
      <c r="J181" s="135"/>
      <c r="K181" s="135"/>
      <c r="L181" s="135"/>
      <c r="M181" s="135"/>
      <c r="N181" s="135"/>
      <c r="O181" s="135"/>
      <c r="P181" s="135"/>
      <c r="Q181" s="135"/>
      <c r="R181" s="135"/>
      <c r="S181" s="135"/>
      <c r="T181" s="135"/>
      <c r="U181" s="135"/>
      <c r="V181" s="135"/>
      <c r="W181" s="135"/>
      <c r="X181" s="135">
        <v>2604714770</v>
      </c>
      <c r="Y181" s="135" t="s">
        <v>2057</v>
      </c>
      <c r="Z181" s="135"/>
      <c r="AA181" s="5" t="e">
        <f>VLOOKUP(A181,'Form Responses 1'!$C$2:$K$532,6,FALSE)</f>
        <v>#N/A</v>
      </c>
      <c r="AB181" s="5" t="e">
        <f>VLOOKUP(A181,'Form Responses 1'!$C$2:$K$219,7,FALSE)</f>
        <v>#N/A</v>
      </c>
      <c r="AC181" s="6" t="e">
        <f>VLOOKUP(A181,'Form Responses 1'!$C$2:$K$219,8,FALSE)</f>
        <v>#N/A</v>
      </c>
      <c r="AD181" s="6" t="e">
        <f>VLOOKUP(A181,'Form Responses 1'!$C$2:$K$219,9,FALSE)</f>
        <v>#N/A</v>
      </c>
    </row>
    <row r="182" spans="1:30" ht="19.5" customHeight="1">
      <c r="A182" s="135" t="s">
        <v>2058</v>
      </c>
      <c r="B182" s="135"/>
      <c r="C182" s="135">
        <v>46552</v>
      </c>
      <c r="D182" s="135" t="s">
        <v>2059</v>
      </c>
      <c r="E182" s="135" t="s">
        <v>1480</v>
      </c>
      <c r="F182" s="135" t="s">
        <v>30</v>
      </c>
      <c r="G182" s="135">
        <v>208</v>
      </c>
      <c r="H182" s="135" t="s">
        <v>1276</v>
      </c>
      <c r="I182" s="135" t="str">
        <f>VLOOKUP(H182,list!$B$2:$C$14,2,FALSE)</f>
        <v>GREEN</v>
      </c>
      <c r="J182" s="135"/>
      <c r="K182" s="135">
        <v>0</v>
      </c>
      <c r="L182" s="135">
        <v>0</v>
      </c>
      <c r="M182" s="135">
        <v>0</v>
      </c>
      <c r="N182" s="135">
        <v>0</v>
      </c>
      <c r="O182" s="135">
        <v>0</v>
      </c>
      <c r="P182" s="135"/>
      <c r="Q182" s="135">
        <v>0</v>
      </c>
      <c r="R182" s="135"/>
      <c r="S182" s="135"/>
      <c r="T182" s="135" t="s">
        <v>19</v>
      </c>
      <c r="U182" s="135"/>
      <c r="V182" s="135" t="s">
        <v>1255</v>
      </c>
      <c r="W182" s="135">
        <v>2</v>
      </c>
      <c r="X182" s="135" t="s">
        <v>2060</v>
      </c>
      <c r="Y182" s="135" t="s">
        <v>2061</v>
      </c>
      <c r="Z182" s="135" t="s">
        <v>2062</v>
      </c>
      <c r="AA182" s="5" t="e">
        <f>VLOOKUP(A182,'Form Responses 1'!$C$2:$K$532,6,FALSE)</f>
        <v>#N/A</v>
      </c>
      <c r="AB182" s="5" t="e">
        <f>VLOOKUP(A182,'Form Responses 1'!$C$2:$K$219,7,FALSE)</f>
        <v>#N/A</v>
      </c>
      <c r="AC182" s="6" t="e">
        <f>VLOOKUP(A182,'Form Responses 1'!$C$2:$K$219,8,FALSE)</f>
        <v>#N/A</v>
      </c>
      <c r="AD182" s="6" t="e">
        <f>VLOOKUP(A182,'Form Responses 1'!$C$2:$K$219,9,FALSE)</f>
        <v>#N/A</v>
      </c>
    </row>
    <row r="183" spans="1:30" ht="19.5" customHeight="1">
      <c r="A183" s="135" t="s">
        <v>2063</v>
      </c>
      <c r="B183" s="135" t="s">
        <v>1265</v>
      </c>
      <c r="C183" s="135">
        <v>47630</v>
      </c>
      <c r="D183" s="135" t="s">
        <v>1761</v>
      </c>
      <c r="E183" s="135" t="s">
        <v>1762</v>
      </c>
      <c r="F183" s="135"/>
      <c r="G183" s="135"/>
      <c r="H183" s="135"/>
      <c r="I183" s="135"/>
      <c r="J183" s="135"/>
      <c r="K183" s="135"/>
      <c r="L183" s="135"/>
      <c r="M183" s="135"/>
      <c r="N183" s="135"/>
      <c r="O183" s="135"/>
      <c r="P183" s="135"/>
      <c r="Q183" s="135"/>
      <c r="R183" s="135"/>
      <c r="S183" s="135"/>
      <c r="T183" s="135"/>
      <c r="U183" s="135"/>
      <c r="V183" s="135"/>
      <c r="W183" s="135"/>
      <c r="X183" s="135">
        <v>8128585300</v>
      </c>
      <c r="Y183" s="135" t="s">
        <v>2064</v>
      </c>
      <c r="Z183" s="135"/>
      <c r="AA183" s="5" t="str">
        <f>VLOOKUP(A183,'Form Responses 1'!$C$2:$K$532,6,FALSE)</f>
        <v>Kit delivery and pickup</v>
      </c>
      <c r="AB183" s="5" t="e">
        <f>VLOOKUP(A183,'Form Responses 1'!$C$2:$K$219,7,FALSE)</f>
        <v>#N/A</v>
      </c>
      <c r="AC183" s="6" t="e">
        <f>VLOOKUP(A183,'Form Responses 1'!$C$2:$K$219,8,FALSE)</f>
        <v>#N/A</v>
      </c>
      <c r="AD183" s="6" t="e">
        <f>VLOOKUP(A183,'Form Responses 1'!$C$2:$K$219,9,FALSE)</f>
        <v>#N/A</v>
      </c>
    </row>
    <row r="184" spans="1:30" ht="19.5" customHeight="1">
      <c r="A184" s="135" t="s">
        <v>2065</v>
      </c>
      <c r="B184" s="135" t="s">
        <v>2066</v>
      </c>
      <c r="C184" s="135">
        <v>46037</v>
      </c>
      <c r="D184" s="135" t="s">
        <v>1293</v>
      </c>
      <c r="E184" s="135" t="s">
        <v>1294</v>
      </c>
      <c r="F184" s="135"/>
      <c r="G184" s="135"/>
      <c r="H184" s="135"/>
      <c r="I184" s="135"/>
      <c r="J184" s="135"/>
      <c r="K184" s="135"/>
      <c r="L184" s="135"/>
      <c r="M184" s="135"/>
      <c r="N184" s="135"/>
      <c r="O184" s="135"/>
      <c r="P184" s="135"/>
      <c r="Q184" s="135"/>
      <c r="R184" s="135"/>
      <c r="S184" s="135"/>
      <c r="T184" s="135"/>
      <c r="U184" s="135"/>
      <c r="V184" s="135"/>
      <c r="W184" s="135"/>
      <c r="X184" s="135">
        <v>3178134444</v>
      </c>
      <c r="Y184" s="135" t="s">
        <v>2067</v>
      </c>
      <c r="Z184" s="135"/>
      <c r="AA184" s="5" t="s">
        <v>18</v>
      </c>
      <c r="AB184" s="5" t="s">
        <v>1298</v>
      </c>
      <c r="AC184" s="6"/>
      <c r="AD184" s="6"/>
    </row>
    <row r="185" spans="1:30" ht="19.5" customHeight="1">
      <c r="A185" s="135" t="s">
        <v>378</v>
      </c>
      <c r="B185" s="135" t="s">
        <v>2027</v>
      </c>
      <c r="C185" s="135">
        <v>46394</v>
      </c>
      <c r="D185" s="135" t="s">
        <v>2068</v>
      </c>
      <c r="E185" s="135" t="s">
        <v>1375</v>
      </c>
      <c r="F185" s="135"/>
      <c r="G185" s="135">
        <v>80</v>
      </c>
      <c r="H185" s="135" t="s">
        <v>1276</v>
      </c>
      <c r="I185" s="135" t="str">
        <f>VLOOKUP(H185,list!$B$2:$C$14,2,FALSE)</f>
        <v>GREEN</v>
      </c>
      <c r="J185" s="135"/>
      <c r="K185" s="135">
        <v>0</v>
      </c>
      <c r="L185" s="135">
        <v>0</v>
      </c>
      <c r="M185" s="135">
        <v>0</v>
      </c>
      <c r="N185" s="135">
        <v>0</v>
      </c>
      <c r="O185" s="135">
        <v>0</v>
      </c>
      <c r="P185" s="135"/>
      <c r="Q185" s="135">
        <v>0</v>
      </c>
      <c r="R185" s="135"/>
      <c r="S185" s="135"/>
      <c r="T185" s="135" t="s">
        <v>19</v>
      </c>
      <c r="U185" s="135"/>
      <c r="V185" s="135" t="s">
        <v>1255</v>
      </c>
      <c r="W185" s="135">
        <v>2</v>
      </c>
      <c r="X185" s="135" t="s">
        <v>2069</v>
      </c>
      <c r="Y185" s="135" t="s">
        <v>2070</v>
      </c>
      <c r="Z185" s="135" t="s">
        <v>2071</v>
      </c>
      <c r="AA185" s="5" t="str">
        <f>VLOOKUP(A185,'Form Responses 1'!$C$2:$K$532,6,FALSE)</f>
        <v>Kit delivery and pickup</v>
      </c>
      <c r="AB185" s="5" t="str">
        <f>VLOOKUP(A185,'Form Responses 1'!$C$2:$K$219,7,FALSE)</f>
        <v>No</v>
      </c>
      <c r="AC185" s="6">
        <f>VLOOKUP(A185,'Form Responses 1'!$C$2:$K$219,8,FALSE)</f>
        <v>100</v>
      </c>
      <c r="AD185" s="6">
        <f>VLOOKUP(A185,'Form Responses 1'!$C$2:$K$219,9,FALSE)</f>
        <v>0</v>
      </c>
    </row>
    <row r="186" spans="1:30" ht="19.5" customHeight="1">
      <c r="A186" s="135" t="s">
        <v>2072</v>
      </c>
      <c r="B186" s="321" t="s">
        <v>1312</v>
      </c>
      <c r="C186" s="135">
        <v>47170</v>
      </c>
      <c r="D186" s="135" t="s">
        <v>2073</v>
      </c>
      <c r="E186" s="135" t="s">
        <v>2074</v>
      </c>
      <c r="F186" s="135"/>
      <c r="G186" s="135">
        <v>107</v>
      </c>
      <c r="H186" s="135" t="s">
        <v>1276</v>
      </c>
      <c r="I186" s="135" t="str">
        <f>VLOOKUP(H186,list!$B$2:$C$14,2,FALSE)</f>
        <v>GREEN</v>
      </c>
      <c r="J186" s="135"/>
      <c r="K186" s="135">
        <v>0</v>
      </c>
      <c r="L186" s="135">
        <v>0</v>
      </c>
      <c r="M186" s="135">
        <v>0</v>
      </c>
      <c r="N186" s="135">
        <v>0</v>
      </c>
      <c r="O186" s="135">
        <v>0</v>
      </c>
      <c r="P186" s="135"/>
      <c r="Q186" s="135">
        <v>0</v>
      </c>
      <c r="R186" s="135"/>
      <c r="S186" s="135"/>
      <c r="T186" s="135" t="s">
        <v>19</v>
      </c>
      <c r="U186" s="135" t="s">
        <v>1315</v>
      </c>
      <c r="V186" s="135" t="s">
        <v>1255</v>
      </c>
      <c r="W186" s="135">
        <v>2</v>
      </c>
      <c r="X186" s="135" t="s">
        <v>2075</v>
      </c>
      <c r="Y186" s="135" t="s">
        <v>2076</v>
      </c>
      <c r="Z186" s="135" t="s">
        <v>2077</v>
      </c>
      <c r="AA186" s="5" t="s">
        <v>18</v>
      </c>
      <c r="AB186" s="5" t="s">
        <v>1298</v>
      </c>
      <c r="AC186" s="6">
        <f>G186</f>
        <v>107</v>
      </c>
      <c r="AD186" s="6"/>
    </row>
    <row r="187" spans="1:30" ht="19.5" customHeight="1">
      <c r="A187" s="135" t="s">
        <v>382</v>
      </c>
      <c r="B187" s="135" t="s">
        <v>1527</v>
      </c>
      <c r="C187" s="135">
        <v>47243</v>
      </c>
      <c r="D187" s="135" t="s">
        <v>2078</v>
      </c>
      <c r="E187" s="135" t="s">
        <v>2079</v>
      </c>
      <c r="F187" s="135"/>
      <c r="G187" s="135">
        <v>100</v>
      </c>
      <c r="H187" s="135" t="s">
        <v>1282</v>
      </c>
      <c r="I187" s="135" t="str">
        <f>VLOOKUP(H187,list!$B$2:$C$14,2,FALSE)</f>
        <v>KITS</v>
      </c>
      <c r="J187" s="135"/>
      <c r="K187" s="135">
        <v>0</v>
      </c>
      <c r="L187" s="135">
        <v>0</v>
      </c>
      <c r="M187" s="135">
        <v>0</v>
      </c>
      <c r="N187" s="135">
        <v>0</v>
      </c>
      <c r="O187" s="135">
        <v>0</v>
      </c>
      <c r="P187" s="135"/>
      <c r="Q187" s="135">
        <v>0</v>
      </c>
      <c r="R187" s="135"/>
      <c r="S187" s="135"/>
      <c r="T187" s="135" t="s">
        <v>30</v>
      </c>
      <c r="U187" s="135" t="s">
        <v>2080</v>
      </c>
      <c r="V187" s="135" t="s">
        <v>1255</v>
      </c>
      <c r="W187" s="135">
        <v>3</v>
      </c>
      <c r="X187" s="135" t="s">
        <v>2081</v>
      </c>
      <c r="Y187" s="135" t="s">
        <v>2082</v>
      </c>
      <c r="Z187" s="135" t="s">
        <v>2083</v>
      </c>
      <c r="AA187" s="5" t="str">
        <f>VLOOKUP(A187,'Form Responses 1'!$C$2:$K$532,6,FALSE)</f>
        <v>Kit delivery and pickup</v>
      </c>
      <c r="AB187" s="5" t="str">
        <f>VLOOKUP(A187,'Form Responses 1'!$C$2:$K$219,7,FALSE)</f>
        <v>Yes</v>
      </c>
      <c r="AC187" s="6">
        <f>VLOOKUP(A187,'Form Responses 1'!$C$2:$K$219,8,FALSE)</f>
        <v>100</v>
      </c>
      <c r="AD187" s="6" t="str">
        <f>VLOOKUP(A187,'Form Responses 1'!$C$2:$K$219,9,FALSE)</f>
        <v>mentioned PPE kits being dropped off in addition to testing kits, looking forward to communications on scheduling the drop off and training for 2 nurses</v>
      </c>
    </row>
    <row r="188" spans="1:30" ht="19.5" customHeight="1">
      <c r="A188" s="135" t="s">
        <v>2084</v>
      </c>
      <c r="B188" s="135" t="s">
        <v>343</v>
      </c>
      <c r="C188" s="135">
        <v>46260</v>
      </c>
      <c r="D188" s="135" t="s">
        <v>1289</v>
      </c>
      <c r="E188" s="135" t="s">
        <v>1290</v>
      </c>
      <c r="F188" s="135"/>
      <c r="G188" s="135">
        <v>107</v>
      </c>
      <c r="H188" s="135" t="s">
        <v>1282</v>
      </c>
      <c r="I188" s="135" t="str">
        <f>VLOOKUP(H188,list!$B$2:$C$14,2,FALSE)</f>
        <v>KITS</v>
      </c>
      <c r="J188" s="135"/>
      <c r="K188" s="135">
        <v>0</v>
      </c>
      <c r="L188" s="135">
        <v>0</v>
      </c>
      <c r="M188" s="135">
        <v>0</v>
      </c>
      <c r="N188" s="135">
        <v>0</v>
      </c>
      <c r="O188" s="135">
        <v>0</v>
      </c>
      <c r="P188" s="135"/>
      <c r="Q188" s="135">
        <v>0</v>
      </c>
      <c r="R188" s="135"/>
      <c r="S188" s="135"/>
      <c r="T188" s="135" t="s">
        <v>19</v>
      </c>
      <c r="U188" s="135"/>
      <c r="V188" s="135" t="s">
        <v>1255</v>
      </c>
      <c r="W188" s="135">
        <v>3</v>
      </c>
      <c r="X188" s="135" t="s">
        <v>2085</v>
      </c>
      <c r="Y188" s="135" t="s">
        <v>2086</v>
      </c>
      <c r="Z188" s="135" t="s">
        <v>1908</v>
      </c>
      <c r="AA188" s="5" t="s">
        <v>18</v>
      </c>
      <c r="AB188" s="5" t="s">
        <v>1298</v>
      </c>
      <c r="AC188" s="6">
        <f t="shared" ref="AC188:AC189" si="15">G188</f>
        <v>107</v>
      </c>
      <c r="AD188" s="6"/>
    </row>
    <row r="189" spans="1:30" ht="19.5" customHeight="1">
      <c r="A189" s="135" t="s">
        <v>387</v>
      </c>
      <c r="B189" s="135" t="s">
        <v>1288</v>
      </c>
      <c r="C189" s="135">
        <v>47112</v>
      </c>
      <c r="D189" s="135" t="s">
        <v>2087</v>
      </c>
      <c r="E189" s="135" t="s">
        <v>2088</v>
      </c>
      <c r="F189" s="135"/>
      <c r="G189" s="135">
        <v>95</v>
      </c>
      <c r="H189" s="135" t="s">
        <v>1268</v>
      </c>
      <c r="I189" s="135" t="str">
        <f>VLOOKUP(H189,list!$B$2:$C$14,2,FALSE)</f>
        <v>KITS</v>
      </c>
      <c r="J189" s="135"/>
      <c r="K189" s="135">
        <v>0</v>
      </c>
      <c r="L189" s="135">
        <v>0</v>
      </c>
      <c r="M189" s="135">
        <v>0</v>
      </c>
      <c r="N189" s="135">
        <v>0</v>
      </c>
      <c r="O189" s="135">
        <v>0</v>
      </c>
      <c r="P189" s="135"/>
      <c r="Q189" s="135">
        <v>0</v>
      </c>
      <c r="R189" s="135"/>
      <c r="S189" s="135" t="s">
        <v>2089</v>
      </c>
      <c r="T189" s="135" t="s">
        <v>19</v>
      </c>
      <c r="U189" s="135" t="s">
        <v>2090</v>
      </c>
      <c r="V189" s="135" t="s">
        <v>1255</v>
      </c>
      <c r="W189" s="135">
        <v>5</v>
      </c>
      <c r="X189" s="135" t="s">
        <v>2091</v>
      </c>
      <c r="Y189" s="135" t="s">
        <v>2092</v>
      </c>
      <c r="Z189" s="135" t="s">
        <v>2093</v>
      </c>
      <c r="AA189" s="5" t="s">
        <v>91</v>
      </c>
      <c r="AB189" s="5" t="s">
        <v>30</v>
      </c>
      <c r="AC189" s="6">
        <f t="shared" si="15"/>
        <v>95</v>
      </c>
      <c r="AD189" s="6"/>
    </row>
    <row r="190" spans="1:30" ht="19.5" customHeight="1">
      <c r="A190" s="135" t="s">
        <v>2094</v>
      </c>
      <c r="B190" s="135" t="s">
        <v>1312</v>
      </c>
      <c r="C190" s="135">
        <v>47112</v>
      </c>
      <c r="D190" s="135" t="s">
        <v>2087</v>
      </c>
      <c r="E190" s="135" t="s">
        <v>2088</v>
      </c>
      <c r="F190" s="135"/>
      <c r="G190" s="135">
        <v>121</v>
      </c>
      <c r="H190" s="135" t="s">
        <v>1276</v>
      </c>
      <c r="I190" s="135" t="str">
        <f>VLOOKUP(H190,list!$B$2:$C$14,2,FALSE)</f>
        <v>GREEN</v>
      </c>
      <c r="J190" s="135"/>
      <c r="K190" s="135">
        <v>0</v>
      </c>
      <c r="L190" s="135">
        <v>0</v>
      </c>
      <c r="M190" s="135">
        <v>0</v>
      </c>
      <c r="N190" s="135">
        <v>0</v>
      </c>
      <c r="O190" s="135">
        <v>0</v>
      </c>
      <c r="P190" s="135"/>
      <c r="Q190" s="135">
        <v>0</v>
      </c>
      <c r="R190" s="135"/>
      <c r="S190" s="135"/>
      <c r="T190" s="135" t="s">
        <v>19</v>
      </c>
      <c r="U190" s="135" t="s">
        <v>1315</v>
      </c>
      <c r="V190" s="135" t="s">
        <v>1255</v>
      </c>
      <c r="W190" s="135">
        <v>2</v>
      </c>
      <c r="X190" s="135" t="s">
        <v>2095</v>
      </c>
      <c r="Y190" s="135" t="s">
        <v>2096</v>
      </c>
      <c r="Z190" s="135" t="s">
        <v>2093</v>
      </c>
      <c r="AA190" s="5" t="s">
        <v>18</v>
      </c>
      <c r="AB190" s="5" t="s">
        <v>30</v>
      </c>
      <c r="AC190" s="9">
        <v>121</v>
      </c>
      <c r="AD190" s="6" t="e">
        <f>VLOOKUP(A190,'Form Responses 1'!$C$2:$K$219,9,FALSE)</f>
        <v>#N/A</v>
      </c>
    </row>
    <row r="191" spans="1:30" ht="19.5" customHeight="1">
      <c r="A191" s="135" t="s">
        <v>2097</v>
      </c>
      <c r="B191" s="135" t="s">
        <v>343</v>
      </c>
      <c r="C191" s="135">
        <v>46219</v>
      </c>
      <c r="D191" s="135" t="s">
        <v>1289</v>
      </c>
      <c r="E191" s="135" t="s">
        <v>1290</v>
      </c>
      <c r="F191" s="135"/>
      <c r="G191" s="135">
        <v>125</v>
      </c>
      <c r="H191" s="135" t="s">
        <v>1282</v>
      </c>
      <c r="I191" s="135" t="str">
        <f>VLOOKUP(H191,list!$B$2:$C$14,2,FALSE)</f>
        <v>KITS</v>
      </c>
      <c r="J191" s="135"/>
      <c r="K191" s="135">
        <v>0</v>
      </c>
      <c r="L191" s="135">
        <v>0</v>
      </c>
      <c r="M191" s="135">
        <v>0</v>
      </c>
      <c r="N191" s="135">
        <v>0</v>
      </c>
      <c r="O191" s="135">
        <v>0</v>
      </c>
      <c r="P191" s="135"/>
      <c r="Q191" s="135">
        <v>0</v>
      </c>
      <c r="R191" s="135"/>
      <c r="S191" s="135"/>
      <c r="T191" s="135" t="s">
        <v>19</v>
      </c>
      <c r="U191" s="135" t="s">
        <v>1344</v>
      </c>
      <c r="V191" s="135" t="s">
        <v>1255</v>
      </c>
      <c r="W191" s="135">
        <v>3</v>
      </c>
      <c r="X191" s="135" t="s">
        <v>2098</v>
      </c>
      <c r="Y191" s="135" t="s">
        <v>2099</v>
      </c>
      <c r="Z191" s="135" t="s">
        <v>1932</v>
      </c>
      <c r="AA191" s="5" t="s">
        <v>18</v>
      </c>
      <c r="AB191" s="5" t="s">
        <v>1298</v>
      </c>
      <c r="AC191" s="6">
        <f>G191</f>
        <v>125</v>
      </c>
      <c r="AD191" s="6"/>
    </row>
    <row r="192" spans="1:30" ht="19.5" customHeight="1">
      <c r="A192" s="135" t="s">
        <v>2100</v>
      </c>
      <c r="B192" s="135" t="s">
        <v>1312</v>
      </c>
      <c r="C192" s="135">
        <v>47804</v>
      </c>
      <c r="D192" s="135" t="s">
        <v>1684</v>
      </c>
      <c r="E192" s="135" t="s">
        <v>1685</v>
      </c>
      <c r="F192" s="135"/>
      <c r="G192" s="135">
        <v>115</v>
      </c>
      <c r="H192" s="135" t="s">
        <v>1276</v>
      </c>
      <c r="I192" s="135" t="str">
        <f>VLOOKUP(H192,list!$B$2:$C$14,2,FALSE)</f>
        <v>GREEN</v>
      </c>
      <c r="J192" s="135"/>
      <c r="K192" s="135">
        <v>0</v>
      </c>
      <c r="L192" s="135">
        <v>0</v>
      </c>
      <c r="M192" s="135">
        <v>0</v>
      </c>
      <c r="N192" s="135">
        <v>0</v>
      </c>
      <c r="O192" s="135">
        <v>0</v>
      </c>
      <c r="P192" s="135"/>
      <c r="Q192" s="135">
        <v>0</v>
      </c>
      <c r="R192" s="135"/>
      <c r="S192" s="135"/>
      <c r="T192" s="135" t="s">
        <v>19</v>
      </c>
      <c r="U192" s="135" t="s">
        <v>1315</v>
      </c>
      <c r="V192" s="135" t="s">
        <v>1255</v>
      </c>
      <c r="W192" s="135">
        <v>2</v>
      </c>
      <c r="X192" s="135" t="s">
        <v>2101</v>
      </c>
      <c r="Y192" s="135" t="s">
        <v>2102</v>
      </c>
      <c r="Z192" s="135" t="s">
        <v>2103</v>
      </c>
      <c r="AA192" s="5" t="s">
        <v>2104</v>
      </c>
      <c r="AB192" s="5" t="s">
        <v>30</v>
      </c>
      <c r="AC192" s="9">
        <v>115</v>
      </c>
      <c r="AD192" s="6" t="e">
        <f>VLOOKUP(A192,'Form Responses 1'!$C$2:$K$219,9,FALSE)</f>
        <v>#N/A</v>
      </c>
    </row>
    <row r="193" spans="1:30" ht="19.5" customHeight="1">
      <c r="A193" s="135" t="s">
        <v>2105</v>
      </c>
      <c r="B193" s="135"/>
      <c r="C193" s="135">
        <v>46307</v>
      </c>
      <c r="D193" s="135" t="s">
        <v>1689</v>
      </c>
      <c r="E193" s="135" t="s">
        <v>1375</v>
      </c>
      <c r="F193" s="135"/>
      <c r="G193" s="135"/>
      <c r="H193" s="135"/>
      <c r="I193" s="135"/>
      <c r="J193" s="135"/>
      <c r="K193" s="135"/>
      <c r="L193" s="135"/>
      <c r="M193" s="135"/>
      <c r="N193" s="135"/>
      <c r="O193" s="135"/>
      <c r="P193" s="135"/>
      <c r="Q193" s="135"/>
      <c r="R193" s="135"/>
      <c r="S193" s="135"/>
      <c r="T193" s="135"/>
      <c r="U193" s="135"/>
      <c r="V193" s="135"/>
      <c r="W193" s="135"/>
      <c r="X193" s="135">
        <v>2196633860</v>
      </c>
      <c r="Y193" s="135" t="s">
        <v>2106</v>
      </c>
      <c r="Z193" s="135"/>
      <c r="AA193" s="5" t="e">
        <f>VLOOKUP(A193,'Form Responses 1'!$C$2:$K$532,6,FALSE)</f>
        <v>#N/A</v>
      </c>
      <c r="AB193" s="5" t="e">
        <f>VLOOKUP(A193,'Form Responses 1'!$C$2:$K$219,7,FALSE)</f>
        <v>#N/A</v>
      </c>
      <c r="AC193" s="6" t="e">
        <f>VLOOKUP(A193,'Form Responses 1'!$C$2:$K$219,8,FALSE)</f>
        <v>#N/A</v>
      </c>
      <c r="AD193" s="6" t="e">
        <f>VLOOKUP(A193,'Form Responses 1'!$C$2:$K$219,9,FALSE)</f>
        <v>#N/A</v>
      </c>
    </row>
    <row r="194" spans="1:30" ht="19.5" customHeight="1">
      <c r="A194" s="135" t="s">
        <v>392</v>
      </c>
      <c r="B194" s="135"/>
      <c r="C194" s="135">
        <v>46637</v>
      </c>
      <c r="D194" s="135" t="s">
        <v>1547</v>
      </c>
      <c r="E194" s="135" t="s">
        <v>1480</v>
      </c>
      <c r="F194" s="135"/>
      <c r="G194" s="135">
        <v>300</v>
      </c>
      <c r="H194" s="135" t="s">
        <v>1465</v>
      </c>
      <c r="I194" s="135" t="str">
        <f>VLOOKUP(H194,list!$B$2:$C$14,2,FALSE)</f>
        <v>GREEN</v>
      </c>
      <c r="J194" s="135"/>
      <c r="K194" s="135">
        <v>0</v>
      </c>
      <c r="L194" s="135">
        <v>0</v>
      </c>
      <c r="M194" s="135">
        <v>0</v>
      </c>
      <c r="N194" s="135">
        <v>0</v>
      </c>
      <c r="O194" s="135">
        <v>0</v>
      </c>
      <c r="P194" s="135"/>
      <c r="Q194" s="135">
        <v>0</v>
      </c>
      <c r="R194" s="135"/>
      <c r="S194" s="135"/>
      <c r="T194" s="135" t="s">
        <v>19</v>
      </c>
      <c r="U194" s="135"/>
      <c r="V194" s="135" t="s">
        <v>1255</v>
      </c>
      <c r="W194" s="135">
        <v>4</v>
      </c>
      <c r="X194" s="135" t="s">
        <v>2107</v>
      </c>
      <c r="Y194" s="135" t="s">
        <v>2108</v>
      </c>
      <c r="Z194" s="135" t="s">
        <v>2109</v>
      </c>
      <c r="AA194" s="5" t="str">
        <f>VLOOKUP(A194,'Form Responses 1'!$C$2:$K$532,6,FALSE)</f>
        <v>Kit delivery and pickup</v>
      </c>
      <c r="AB194" s="5" t="str">
        <f>VLOOKUP(A194,'Form Responses 1'!$C$2:$K$219,7,FALSE)</f>
        <v>No</v>
      </c>
      <c r="AC194" s="6">
        <f>VLOOKUP(A194,'Form Responses 1'!$C$2:$K$219,8,FALSE)</f>
        <v>300</v>
      </c>
      <c r="AD194" s="6">
        <f>VLOOKUP(A194,'Form Responses 1'!$C$2:$K$219,9,FALSE)</f>
        <v>0</v>
      </c>
    </row>
    <row r="195" spans="1:30" ht="19.5" customHeight="1">
      <c r="A195" s="135" t="s">
        <v>2110</v>
      </c>
      <c r="B195" s="135" t="s">
        <v>1312</v>
      </c>
      <c r="C195" s="135">
        <v>47404</v>
      </c>
      <c r="D195" s="135" t="s">
        <v>1476</v>
      </c>
      <c r="E195" s="135" t="s">
        <v>1477</v>
      </c>
      <c r="F195" s="135"/>
      <c r="G195" s="135">
        <v>129</v>
      </c>
      <c r="H195" s="135" t="s">
        <v>1276</v>
      </c>
      <c r="I195" s="135" t="str">
        <f>VLOOKUP(H195,list!$B$2:$C$14,2,FALSE)</f>
        <v>GREEN</v>
      </c>
      <c r="J195" s="135"/>
      <c r="K195" s="135">
        <v>0</v>
      </c>
      <c r="L195" s="135">
        <v>0</v>
      </c>
      <c r="M195" s="135">
        <v>0</v>
      </c>
      <c r="N195" s="135">
        <v>0</v>
      </c>
      <c r="O195" s="135">
        <v>0</v>
      </c>
      <c r="P195" s="135"/>
      <c r="Q195" s="135">
        <v>0</v>
      </c>
      <c r="R195" s="135"/>
      <c r="S195" s="135"/>
      <c r="T195" s="135" t="s">
        <v>19</v>
      </c>
      <c r="U195" s="135" t="s">
        <v>1315</v>
      </c>
      <c r="V195" s="135" t="s">
        <v>1255</v>
      </c>
      <c r="W195" s="135">
        <v>2</v>
      </c>
      <c r="X195" s="135" t="s">
        <v>2111</v>
      </c>
      <c r="Y195" s="135" t="s">
        <v>2112</v>
      </c>
      <c r="Z195" s="135" t="s">
        <v>2113</v>
      </c>
      <c r="AA195" s="5" t="s">
        <v>18</v>
      </c>
      <c r="AB195" s="5" t="s">
        <v>1298</v>
      </c>
      <c r="AC195" s="6">
        <f>G195</f>
        <v>129</v>
      </c>
      <c r="AD195" s="6"/>
    </row>
    <row r="196" spans="1:30" ht="19.5" customHeight="1">
      <c r="A196" s="135" t="s">
        <v>396</v>
      </c>
      <c r="B196" s="135"/>
      <c r="C196" s="135">
        <v>47710</v>
      </c>
      <c r="D196" s="135" t="s">
        <v>1506</v>
      </c>
      <c r="E196" s="135" t="s">
        <v>1507</v>
      </c>
      <c r="F196" s="135"/>
      <c r="G196" s="135">
        <v>200</v>
      </c>
      <c r="H196" s="135" t="s">
        <v>1282</v>
      </c>
      <c r="I196" s="135" t="str">
        <f>VLOOKUP(H196,list!$B$2:$C$14,2,FALSE)</f>
        <v>KITS</v>
      </c>
      <c r="J196" s="135"/>
      <c r="K196" s="135">
        <v>0</v>
      </c>
      <c r="L196" s="135">
        <v>0</v>
      </c>
      <c r="M196" s="135">
        <v>0</v>
      </c>
      <c r="N196" s="135">
        <v>0</v>
      </c>
      <c r="O196" s="135">
        <v>0</v>
      </c>
      <c r="P196" s="135"/>
      <c r="Q196" s="135">
        <v>0</v>
      </c>
      <c r="R196" s="135"/>
      <c r="S196" s="135"/>
      <c r="T196" s="135" t="s">
        <v>19</v>
      </c>
      <c r="U196" s="135"/>
      <c r="V196" s="135" t="s">
        <v>1255</v>
      </c>
      <c r="W196" s="135">
        <v>3</v>
      </c>
      <c r="X196" s="135" t="s">
        <v>2114</v>
      </c>
      <c r="Y196" s="135" t="s">
        <v>2115</v>
      </c>
      <c r="Z196" s="135" t="s">
        <v>1512</v>
      </c>
      <c r="AA196" s="5" t="str">
        <f>VLOOKUP(A196,'Form Responses 1'!$C$2:$K$532,6,FALSE)</f>
        <v>Kit delivery and pickup</v>
      </c>
      <c r="AB196" s="5" t="str">
        <f>VLOOKUP(A196,'Form Responses 1'!$C$2:$K$219,7,FALSE)</f>
        <v>No</v>
      </c>
      <c r="AC196" s="6">
        <f>VLOOKUP(A196,'Form Responses 1'!$C$2:$K$219,8,FALSE)</f>
        <v>275</v>
      </c>
      <c r="AD196" s="6" t="str">
        <f>VLOOKUP(A196,'Form Responses 1'!$C$2:$K$219,9,FALSE)</f>
        <v>answered 6 questions.</v>
      </c>
    </row>
    <row r="197" spans="1:30" ht="19.5" customHeight="1">
      <c r="A197" s="135" t="s">
        <v>401</v>
      </c>
      <c r="B197" s="135" t="s">
        <v>2027</v>
      </c>
      <c r="C197" s="135">
        <v>47906</v>
      </c>
      <c r="D197" s="135" t="s">
        <v>1753</v>
      </c>
      <c r="E197" s="135" t="s">
        <v>1424</v>
      </c>
      <c r="F197" s="135"/>
      <c r="G197" s="135">
        <v>94</v>
      </c>
      <c r="H197" s="135" t="s">
        <v>1276</v>
      </c>
      <c r="I197" s="135" t="str">
        <f>VLOOKUP(H197,list!$B$2:$C$14,2,FALSE)</f>
        <v>GREEN</v>
      </c>
      <c r="J197" s="135"/>
      <c r="K197" s="135">
        <v>0</v>
      </c>
      <c r="L197" s="135">
        <v>0</v>
      </c>
      <c r="M197" s="135">
        <v>0</v>
      </c>
      <c r="N197" s="135">
        <v>0</v>
      </c>
      <c r="O197" s="135">
        <v>0</v>
      </c>
      <c r="P197" s="135"/>
      <c r="Q197" s="135">
        <v>0</v>
      </c>
      <c r="R197" s="135"/>
      <c r="S197" s="135"/>
      <c r="T197" s="135" t="s">
        <v>19</v>
      </c>
      <c r="U197" s="135" t="s">
        <v>2116</v>
      </c>
      <c r="V197" s="135" t="s">
        <v>1255</v>
      </c>
      <c r="W197" s="135">
        <v>2</v>
      </c>
      <c r="X197" s="135" t="s">
        <v>2117</v>
      </c>
      <c r="Y197" s="135" t="s">
        <v>2118</v>
      </c>
      <c r="Z197" s="135" t="s">
        <v>1756</v>
      </c>
      <c r="AA197" s="5" t="str">
        <f>VLOOKUP(A197,'Form Responses 1'!$C$2:$K$532,6,FALSE)</f>
        <v>Kit delivery and pickup</v>
      </c>
      <c r="AB197" s="5" t="str">
        <f>VLOOKUP(A197,'Form Responses 1'!$C$2:$K$219,7,FALSE)</f>
        <v>No</v>
      </c>
      <c r="AC197" s="6">
        <f>VLOOKUP(A197,'Form Responses 1'!$C$2:$K$219,8,FALSE)</f>
        <v>100</v>
      </c>
      <c r="AD197" s="6" t="str">
        <f>VLOOKUP(A197,'Form Responses 1'!$C$2:$K$219,9,FALSE)</f>
        <v>have staff to do this</v>
      </c>
    </row>
    <row r="198" spans="1:30" ht="19.5" customHeight="1">
      <c r="A198" s="135" t="s">
        <v>406</v>
      </c>
      <c r="B198" s="135" t="s">
        <v>2119</v>
      </c>
      <c r="C198" s="135">
        <v>47240</v>
      </c>
      <c r="D198" s="135" t="s">
        <v>1388</v>
      </c>
      <c r="E198" s="135" t="s">
        <v>1259</v>
      </c>
      <c r="F198" s="135"/>
      <c r="G198" s="135">
        <v>89</v>
      </c>
      <c r="H198" s="135" t="s">
        <v>1425</v>
      </c>
      <c r="I198" s="135" t="str">
        <f>VLOOKUP(H198,list!$B$2:$C$14,2,FALSE)</f>
        <v>ONSITE</v>
      </c>
      <c r="J198" s="135"/>
      <c r="K198" s="135">
        <v>1</v>
      </c>
      <c r="L198" s="135">
        <v>1</v>
      </c>
      <c r="M198" s="135">
        <v>0</v>
      </c>
      <c r="N198" s="135">
        <v>1</v>
      </c>
      <c r="O198" s="135">
        <v>1</v>
      </c>
      <c r="P198" s="135"/>
      <c r="Q198" s="135">
        <v>0</v>
      </c>
      <c r="R198" s="135"/>
      <c r="S198" s="135"/>
      <c r="T198" s="135" t="s">
        <v>30</v>
      </c>
      <c r="U198" s="135" t="s">
        <v>2120</v>
      </c>
      <c r="V198" s="135" t="s">
        <v>1255</v>
      </c>
      <c r="W198" s="135">
        <v>7</v>
      </c>
      <c r="X198" s="135" t="s">
        <v>2121</v>
      </c>
      <c r="Y198" s="135" t="s">
        <v>2122</v>
      </c>
      <c r="Z198" s="135" t="s">
        <v>1392</v>
      </c>
      <c r="AA198" s="5" t="str">
        <f>VLOOKUP(A198,'Form Responses 1'!$C$2:$K$532,6,FALSE)</f>
        <v>Kit delivery and pickup</v>
      </c>
      <c r="AB198" s="5" t="str">
        <f>VLOOKUP(A198,'Form Responses 1'!$C$2:$K$219,7,FALSE)</f>
        <v>Yes</v>
      </c>
      <c r="AC198" s="6">
        <f>VLOOKUP(A198,'Form Responses 1'!$C$2:$K$219,8,FALSE)</f>
        <v>325</v>
      </c>
      <c r="AD198" s="6" t="str">
        <f>VLOOKUP(A198,'Form Responses 1'!$C$2:$K$219,9,FALSE)</f>
        <v>90ish per facility - this overrides any other Heritage House facilities as I spoke to a corporate nurse, Greensburg, New Castle, Richmond, and Shelbyville</v>
      </c>
    </row>
    <row r="199" spans="1:30" ht="19.5" customHeight="1">
      <c r="A199" s="135" t="s">
        <v>1000</v>
      </c>
      <c r="B199" s="135" t="s">
        <v>2119</v>
      </c>
      <c r="C199" s="135">
        <v>47362</v>
      </c>
      <c r="D199" s="135" t="s">
        <v>1887</v>
      </c>
      <c r="E199" s="135" t="s">
        <v>1888</v>
      </c>
      <c r="F199" s="135"/>
      <c r="G199" s="135">
        <v>111</v>
      </c>
      <c r="H199" s="135" t="s">
        <v>1425</v>
      </c>
      <c r="I199" s="135" t="str">
        <f>VLOOKUP(H199,list!$B$2:$C$14,2,FALSE)</f>
        <v>ONSITE</v>
      </c>
      <c r="J199" s="135"/>
      <c r="K199" s="135">
        <v>1</v>
      </c>
      <c r="L199" s="135">
        <v>1</v>
      </c>
      <c r="M199" s="135">
        <v>0</v>
      </c>
      <c r="N199" s="135">
        <v>1</v>
      </c>
      <c r="O199" s="135">
        <v>1</v>
      </c>
      <c r="P199" s="135"/>
      <c r="Q199" s="135">
        <v>0</v>
      </c>
      <c r="R199" s="135"/>
      <c r="S199" s="135"/>
      <c r="T199" s="135" t="s">
        <v>30</v>
      </c>
      <c r="U199" s="135" t="s">
        <v>2120</v>
      </c>
      <c r="V199" s="135" t="s">
        <v>1255</v>
      </c>
      <c r="W199" s="135">
        <v>7</v>
      </c>
      <c r="X199" s="135" t="s">
        <v>2123</v>
      </c>
      <c r="Y199" s="135" t="s">
        <v>2124</v>
      </c>
      <c r="Z199" s="135" t="s">
        <v>1891</v>
      </c>
      <c r="AA199" s="5" t="str">
        <f>VLOOKUP(A199,'Form Responses 1'!$C$2:$K$532,6,FALSE)</f>
        <v>Kit delivery and pickup</v>
      </c>
      <c r="AB199" s="5" t="e">
        <f>VLOOKUP(A199,'Form Responses 1'!$C$2:$K$219,7,FALSE)</f>
        <v>#N/A</v>
      </c>
      <c r="AC199" s="6" t="e">
        <f>VLOOKUP(A199,'Form Responses 1'!$C$2:$K$219,8,FALSE)</f>
        <v>#N/A</v>
      </c>
      <c r="AD199" s="6" t="e">
        <f>VLOOKUP(A199,'Form Responses 1'!$C$2:$K$219,9,FALSE)</f>
        <v>#N/A</v>
      </c>
    </row>
    <row r="200" spans="1:30" ht="19.5" customHeight="1">
      <c r="A200" s="135" t="s">
        <v>411</v>
      </c>
      <c r="B200" s="135" t="s">
        <v>2119</v>
      </c>
      <c r="C200" s="135">
        <v>47374</v>
      </c>
      <c r="D200" s="135" t="s">
        <v>1394</v>
      </c>
      <c r="E200" s="135" t="s">
        <v>1306</v>
      </c>
      <c r="F200" s="135"/>
      <c r="G200" s="135">
        <v>83</v>
      </c>
      <c r="H200" s="135" t="s">
        <v>1425</v>
      </c>
      <c r="I200" s="135" t="str">
        <f>VLOOKUP(H200,list!$B$2:$C$14,2,FALSE)</f>
        <v>ONSITE</v>
      </c>
      <c r="J200" s="135"/>
      <c r="K200" s="135">
        <v>1</v>
      </c>
      <c r="L200" s="135">
        <v>1</v>
      </c>
      <c r="M200" s="135">
        <v>0</v>
      </c>
      <c r="N200" s="135">
        <v>1</v>
      </c>
      <c r="O200" s="135">
        <v>1</v>
      </c>
      <c r="P200" s="135"/>
      <c r="Q200" s="135">
        <v>0</v>
      </c>
      <c r="R200" s="135"/>
      <c r="S200" s="135"/>
      <c r="T200" s="135" t="s">
        <v>30</v>
      </c>
      <c r="U200" s="135" t="s">
        <v>2120</v>
      </c>
      <c r="V200" s="135" t="s">
        <v>1255</v>
      </c>
      <c r="W200" s="135">
        <v>7</v>
      </c>
      <c r="X200" s="135" t="s">
        <v>2125</v>
      </c>
      <c r="Y200" s="135" t="s">
        <v>2126</v>
      </c>
      <c r="Z200" s="135" t="s">
        <v>1398</v>
      </c>
      <c r="AA200" s="5" t="str">
        <f>VLOOKUP(A200,'Form Responses 1'!$C$2:$K$532,6,FALSE)</f>
        <v>Onsite sample collection by ISDH team</v>
      </c>
      <c r="AB200" s="5">
        <f>VLOOKUP(A200,'Form Responses 1'!$C$2:$K$219,7,FALSE)</f>
        <v>0</v>
      </c>
      <c r="AC200" s="6">
        <f>VLOOKUP(A200,'Form Responses 1'!$C$2:$K$219,8,FALSE)</f>
        <v>75</v>
      </c>
      <c r="AD200" s="6">
        <f>VLOOKUP(A200,'Form Responses 1'!$C$2:$K$219,9,FALSE)</f>
        <v>0</v>
      </c>
    </row>
    <row r="201" spans="1:30" ht="19.5" customHeight="1">
      <c r="A201" s="135" t="s">
        <v>1005</v>
      </c>
      <c r="B201" s="135" t="s">
        <v>2119</v>
      </c>
      <c r="C201" s="135">
        <v>46176</v>
      </c>
      <c r="D201" s="135" t="s">
        <v>1410</v>
      </c>
      <c r="E201" s="135" t="s">
        <v>1381</v>
      </c>
      <c r="F201" s="135"/>
      <c r="G201" s="135">
        <v>93</v>
      </c>
      <c r="H201" s="135" t="s">
        <v>1425</v>
      </c>
      <c r="I201" s="135" t="str">
        <f>VLOOKUP(H201,list!$B$2:$C$14,2,FALSE)</f>
        <v>ONSITE</v>
      </c>
      <c r="J201" s="135"/>
      <c r="K201" s="135">
        <v>1</v>
      </c>
      <c r="L201" s="135">
        <v>1</v>
      </c>
      <c r="M201" s="135">
        <v>1</v>
      </c>
      <c r="N201" s="135">
        <v>1</v>
      </c>
      <c r="O201" s="135">
        <v>1</v>
      </c>
      <c r="P201" s="135"/>
      <c r="Q201" s="135">
        <v>0</v>
      </c>
      <c r="R201" s="135"/>
      <c r="S201" s="135"/>
      <c r="T201" s="135" t="s">
        <v>30</v>
      </c>
      <c r="U201" s="135" t="s">
        <v>2120</v>
      </c>
      <c r="V201" s="135" t="s">
        <v>1255</v>
      </c>
      <c r="W201" s="135">
        <v>7</v>
      </c>
      <c r="X201" s="135" t="s">
        <v>2127</v>
      </c>
      <c r="Y201" s="135" t="s">
        <v>2128</v>
      </c>
      <c r="Z201" s="135" t="s">
        <v>1413</v>
      </c>
      <c r="AA201" s="5" t="str">
        <f>VLOOKUP(A201,'Form Responses 1'!$C$2:$K$532,6,FALSE)</f>
        <v>Kit delivery and pickup</v>
      </c>
      <c r="AB201" s="5" t="e">
        <f>VLOOKUP(A201,'Form Responses 1'!$C$2:$K$219,7,FALSE)</f>
        <v>#N/A</v>
      </c>
      <c r="AC201" s="6" t="e">
        <f>VLOOKUP(A201,'Form Responses 1'!$C$2:$K$219,8,FALSE)</f>
        <v>#N/A</v>
      </c>
      <c r="AD201" s="6" t="e">
        <f>VLOOKUP(A201,'Form Responses 1'!$C$2:$K$219,9,FALSE)</f>
        <v>#N/A</v>
      </c>
    </row>
    <row r="202" spans="1:30" ht="19.5" customHeight="1">
      <c r="A202" s="135" t="s">
        <v>2129</v>
      </c>
      <c r="B202" s="135" t="s">
        <v>343</v>
      </c>
      <c r="C202" s="135">
        <v>47331</v>
      </c>
      <c r="D202" s="135" t="s">
        <v>1616</v>
      </c>
      <c r="E202" s="135" t="s">
        <v>1617</v>
      </c>
      <c r="F202" s="135"/>
      <c r="G202" s="135">
        <v>131</v>
      </c>
      <c r="H202" s="135" t="s">
        <v>1282</v>
      </c>
      <c r="I202" s="135" t="str">
        <f>VLOOKUP(H202,list!$B$2:$C$14,2,FALSE)</f>
        <v>KITS</v>
      </c>
      <c r="J202" s="135"/>
      <c r="K202" s="135">
        <v>0</v>
      </c>
      <c r="L202" s="135">
        <v>0</v>
      </c>
      <c r="M202" s="135">
        <v>0</v>
      </c>
      <c r="N202" s="135">
        <v>0</v>
      </c>
      <c r="O202" s="135">
        <v>0</v>
      </c>
      <c r="P202" s="135"/>
      <c r="Q202" s="135">
        <v>0</v>
      </c>
      <c r="R202" s="135"/>
      <c r="S202" s="135"/>
      <c r="T202" s="135" t="s">
        <v>19</v>
      </c>
      <c r="U202" s="135"/>
      <c r="V202" s="135" t="s">
        <v>1255</v>
      </c>
      <c r="W202" s="135">
        <v>3</v>
      </c>
      <c r="X202" s="135" t="s">
        <v>2130</v>
      </c>
      <c r="Y202" s="135" t="s">
        <v>2131</v>
      </c>
      <c r="Z202" s="135" t="s">
        <v>1620</v>
      </c>
      <c r="AA202" s="5" t="s">
        <v>18</v>
      </c>
      <c r="AB202" s="5" t="s">
        <v>1298</v>
      </c>
      <c r="AC202" s="6">
        <f>G202</f>
        <v>131</v>
      </c>
      <c r="AD202" s="6"/>
    </row>
    <row r="203" spans="1:30" ht="19.5" customHeight="1">
      <c r="A203" s="135" t="s">
        <v>415</v>
      </c>
      <c r="B203" s="135"/>
      <c r="C203" s="135">
        <v>46835</v>
      </c>
      <c r="D203" s="135" t="s">
        <v>1343</v>
      </c>
      <c r="E203" s="135" t="s">
        <v>1252</v>
      </c>
      <c r="F203" s="135"/>
      <c r="G203" s="135">
        <v>135</v>
      </c>
      <c r="H203" s="135" t="s">
        <v>1282</v>
      </c>
      <c r="I203" s="135" t="str">
        <f>VLOOKUP(H203,list!$B$2:$C$14,2,FALSE)</f>
        <v>KITS</v>
      </c>
      <c r="J203" s="135"/>
      <c r="K203" s="135">
        <v>0</v>
      </c>
      <c r="L203" s="135">
        <v>0</v>
      </c>
      <c r="M203" s="135">
        <v>0</v>
      </c>
      <c r="N203" s="135">
        <v>0</v>
      </c>
      <c r="O203" s="135">
        <v>0</v>
      </c>
      <c r="P203" s="135"/>
      <c r="Q203" s="135">
        <v>0</v>
      </c>
      <c r="R203" s="135"/>
      <c r="S203" s="135"/>
      <c r="T203" s="135" t="s">
        <v>19</v>
      </c>
      <c r="U203" s="135"/>
      <c r="V203" s="135" t="s">
        <v>1255</v>
      </c>
      <c r="W203" s="135">
        <v>3</v>
      </c>
      <c r="X203" s="135" t="s">
        <v>2132</v>
      </c>
      <c r="Y203" s="135" t="s">
        <v>2133</v>
      </c>
      <c r="Z203" s="135" t="s">
        <v>1520</v>
      </c>
      <c r="AA203" s="5" t="str">
        <f>VLOOKUP(A203,'Form Responses 1'!$C$2:$K$532,6,FALSE)</f>
        <v>Kit delivery and pickup</v>
      </c>
      <c r="AB203" s="5" t="str">
        <f>VLOOKUP(A203,'Form Responses 1'!$C$2:$K$219,7,FALSE)</f>
        <v>No</v>
      </c>
      <c r="AC203" s="6">
        <f>VLOOKUP(A203,'Form Responses 1'!$C$2:$K$219,8,FALSE)</f>
        <v>130</v>
      </c>
      <c r="AD203" s="6">
        <f>VLOOKUP(A203,'Form Responses 1'!$C$2:$K$219,9,FALSE)</f>
        <v>0</v>
      </c>
    </row>
    <row r="204" spans="1:30" ht="19.5" customHeight="1">
      <c r="A204" s="135" t="s">
        <v>419</v>
      </c>
      <c r="B204" s="135"/>
      <c r="C204" s="135">
        <v>46750</v>
      </c>
      <c r="D204" s="135" t="s">
        <v>2134</v>
      </c>
      <c r="E204" s="135" t="s">
        <v>2134</v>
      </c>
      <c r="F204" s="135" t="s">
        <v>30</v>
      </c>
      <c r="G204" s="135">
        <v>180</v>
      </c>
      <c r="H204" s="135" t="s">
        <v>1282</v>
      </c>
      <c r="I204" s="135" t="str">
        <f>VLOOKUP(H204,list!$B$2:$C$14,2,FALSE)</f>
        <v>KITS</v>
      </c>
      <c r="J204" s="135"/>
      <c r="K204" s="135">
        <v>0</v>
      </c>
      <c r="L204" s="135">
        <v>0</v>
      </c>
      <c r="M204" s="135">
        <v>0</v>
      </c>
      <c r="N204" s="135">
        <v>0</v>
      </c>
      <c r="O204" s="135">
        <v>0</v>
      </c>
      <c r="P204" s="135"/>
      <c r="Q204" s="135">
        <v>0</v>
      </c>
      <c r="R204" s="135"/>
      <c r="S204" s="135"/>
      <c r="T204" s="135" t="s">
        <v>30</v>
      </c>
      <c r="U204" s="135"/>
      <c r="V204" s="135" t="s">
        <v>1255</v>
      </c>
      <c r="W204" s="135">
        <v>3</v>
      </c>
      <c r="X204" s="135" t="s">
        <v>2135</v>
      </c>
      <c r="Y204" s="135" t="s">
        <v>2136</v>
      </c>
      <c r="Z204" s="135" t="s">
        <v>2137</v>
      </c>
      <c r="AA204" s="5" t="str">
        <f>VLOOKUP(A204,'Form Responses 1'!$C$2:$K$532,6,FALSE)</f>
        <v>Kit delivery and pickup</v>
      </c>
      <c r="AB204" s="5" t="str">
        <f>VLOOKUP(A204,'Form Responses 1'!$C$2:$K$219,7,FALSE)</f>
        <v>Yes</v>
      </c>
      <c r="AC204" s="6">
        <f>VLOOKUP(A204,'Form Responses 1'!$C$2:$K$219,8,FALSE)</f>
        <v>160</v>
      </c>
      <c r="AD204" s="6" t="str">
        <f>VLOOKUP(A204,'Form Responses 1'!$C$2:$K$219,9,FALSE)</f>
        <v>Plans to send some staff to OPTUM site</v>
      </c>
    </row>
    <row r="205" spans="1:30" ht="19.5" customHeight="1">
      <c r="A205" s="135" t="s">
        <v>2138</v>
      </c>
      <c r="B205" s="135" t="s">
        <v>343</v>
      </c>
      <c r="C205" s="135">
        <v>46825</v>
      </c>
      <c r="D205" s="135" t="s">
        <v>1343</v>
      </c>
      <c r="E205" s="135" t="s">
        <v>1252</v>
      </c>
      <c r="F205" s="135"/>
      <c r="G205" s="135">
        <v>240</v>
      </c>
      <c r="H205" s="135" t="s">
        <v>1282</v>
      </c>
      <c r="I205" s="135" t="str">
        <f>VLOOKUP(H205,list!$B$2:$C$14,2,FALSE)</f>
        <v>KITS</v>
      </c>
      <c r="J205" s="135"/>
      <c r="K205" s="135">
        <v>0</v>
      </c>
      <c r="L205" s="135">
        <v>0</v>
      </c>
      <c r="M205" s="135">
        <v>0</v>
      </c>
      <c r="N205" s="135">
        <v>0</v>
      </c>
      <c r="O205" s="135">
        <v>0</v>
      </c>
      <c r="P205" s="135"/>
      <c r="Q205" s="135">
        <v>0</v>
      </c>
      <c r="R205" s="135"/>
      <c r="S205" s="135"/>
      <c r="T205" s="135" t="s">
        <v>19</v>
      </c>
      <c r="U205" s="135"/>
      <c r="V205" s="135" t="s">
        <v>1255</v>
      </c>
      <c r="W205" s="135">
        <v>3</v>
      </c>
      <c r="X205" s="135" t="s">
        <v>2139</v>
      </c>
      <c r="Y205" s="135" t="s">
        <v>2140</v>
      </c>
      <c r="Z205" s="135" t="s">
        <v>1895</v>
      </c>
      <c r="AA205" s="5" t="s">
        <v>18</v>
      </c>
      <c r="AB205" s="5" t="s">
        <v>1298</v>
      </c>
      <c r="AC205" s="6">
        <f>G205</f>
        <v>240</v>
      </c>
      <c r="AD205" s="6"/>
    </row>
    <row r="206" spans="1:30" ht="19.5" customHeight="1">
      <c r="A206" s="135" t="s">
        <v>424</v>
      </c>
      <c r="B206" s="135"/>
      <c r="C206" s="135">
        <v>46792</v>
      </c>
      <c r="D206" s="135" t="s">
        <v>2141</v>
      </c>
      <c r="E206" s="135" t="s">
        <v>2134</v>
      </c>
      <c r="F206" s="135" t="s">
        <v>30</v>
      </c>
      <c r="G206" s="135">
        <v>345</v>
      </c>
      <c r="H206" s="135" t="s">
        <v>2142</v>
      </c>
      <c r="I206" s="135" t="str">
        <f>VLOOKUP(H206,list!$B$2:$C$14,2,FALSE)</f>
        <v>KITS</v>
      </c>
      <c r="J206" s="135"/>
      <c r="K206" s="135">
        <v>0</v>
      </c>
      <c r="L206" s="135">
        <v>0</v>
      </c>
      <c r="M206" s="135">
        <v>0</v>
      </c>
      <c r="N206" s="135">
        <v>0</v>
      </c>
      <c r="O206" s="135">
        <v>0</v>
      </c>
      <c r="P206" s="135">
        <v>1</v>
      </c>
      <c r="Q206" s="135">
        <v>0</v>
      </c>
      <c r="R206" s="135"/>
      <c r="S206" s="135" t="s">
        <v>2143</v>
      </c>
      <c r="T206" s="135" t="s">
        <v>30</v>
      </c>
      <c r="U206" s="135" t="s">
        <v>2144</v>
      </c>
      <c r="V206" s="135" t="s">
        <v>1255</v>
      </c>
      <c r="W206" s="135">
        <v>1</v>
      </c>
      <c r="X206" s="135" t="s">
        <v>2145</v>
      </c>
      <c r="Y206" s="135" t="s">
        <v>2146</v>
      </c>
      <c r="Z206" s="135" t="s">
        <v>2147</v>
      </c>
      <c r="AA206" s="5" t="str">
        <f>VLOOKUP(A206,'Form Responses 1'!$C$2:$K$532,6,FALSE)</f>
        <v>Onsite sample collection by ISDH team</v>
      </c>
      <c r="AB206" s="5">
        <f>VLOOKUP(A206,'Form Responses 1'!$C$2:$K$219,7,FALSE)</f>
        <v>0</v>
      </c>
      <c r="AC206" s="6">
        <f>VLOOKUP(A206,'Form Responses 1'!$C$2:$K$219,8,FALSE)</f>
        <v>345</v>
      </c>
      <c r="AD206" s="6">
        <f>VLOOKUP(A206,'Form Responses 1'!$C$2:$K$219,9,FALSE)</f>
        <v>0</v>
      </c>
    </row>
    <row r="207" spans="1:30" ht="19.5" customHeight="1">
      <c r="A207" s="135" t="s">
        <v>428</v>
      </c>
      <c r="B207" s="135" t="s">
        <v>2148</v>
      </c>
      <c r="C207" s="135">
        <v>47203</v>
      </c>
      <c r="D207" s="135" t="s">
        <v>1698</v>
      </c>
      <c r="E207" s="135" t="s">
        <v>1699</v>
      </c>
      <c r="F207" s="135"/>
      <c r="G207" s="135">
        <v>40</v>
      </c>
      <c r="H207" s="135" t="s">
        <v>1282</v>
      </c>
      <c r="I207" s="135" t="str">
        <f>VLOOKUP(H207,list!$B$2:$C$14,2,FALSE)</f>
        <v>KITS</v>
      </c>
      <c r="J207" s="135"/>
      <c r="K207" s="135">
        <v>0</v>
      </c>
      <c r="L207" s="135">
        <v>0</v>
      </c>
      <c r="M207" s="135">
        <v>0</v>
      </c>
      <c r="N207" s="135">
        <v>0</v>
      </c>
      <c r="O207" s="135">
        <v>0</v>
      </c>
      <c r="P207" s="135"/>
      <c r="Q207" s="135">
        <v>0</v>
      </c>
      <c r="R207" s="135"/>
      <c r="S207" s="135"/>
      <c r="T207" s="135" t="s">
        <v>30</v>
      </c>
      <c r="U207" s="135" t="s">
        <v>2149</v>
      </c>
      <c r="V207" s="135" t="s">
        <v>1255</v>
      </c>
      <c r="W207" s="135">
        <v>3</v>
      </c>
      <c r="X207" s="135" t="s">
        <v>2150</v>
      </c>
      <c r="Y207" s="135" t="s">
        <v>2151</v>
      </c>
      <c r="Z207" s="135" t="s">
        <v>1854</v>
      </c>
      <c r="AA207" s="5" t="s">
        <v>18</v>
      </c>
      <c r="AB207" s="5" t="s">
        <v>1298</v>
      </c>
      <c r="AC207" s="6">
        <f t="shared" ref="AC207:AC222" si="16">G207</f>
        <v>40</v>
      </c>
      <c r="AD207" s="6"/>
    </row>
    <row r="208" spans="1:30" ht="19.5" customHeight="1">
      <c r="A208" s="135" t="s">
        <v>433</v>
      </c>
      <c r="B208" s="135" t="s">
        <v>2148</v>
      </c>
      <c r="C208" s="135">
        <v>47331</v>
      </c>
      <c r="D208" s="135" t="s">
        <v>1616</v>
      </c>
      <c r="E208" s="135" t="s">
        <v>1617</v>
      </c>
      <c r="F208" s="135"/>
      <c r="G208" s="135">
        <v>38</v>
      </c>
      <c r="H208" s="135" t="s">
        <v>1282</v>
      </c>
      <c r="I208" s="135" t="str">
        <f>VLOOKUP(H208,list!$B$2:$C$14,2,FALSE)</f>
        <v>KITS</v>
      </c>
      <c r="J208" s="135"/>
      <c r="K208" s="135">
        <v>0</v>
      </c>
      <c r="L208" s="135">
        <v>0</v>
      </c>
      <c r="M208" s="135">
        <v>0</v>
      </c>
      <c r="N208" s="135">
        <v>0</v>
      </c>
      <c r="O208" s="135">
        <v>0</v>
      </c>
      <c r="P208" s="135"/>
      <c r="Q208" s="135">
        <v>0</v>
      </c>
      <c r="R208" s="135"/>
      <c r="S208" s="135"/>
      <c r="T208" s="135" t="s">
        <v>30</v>
      </c>
      <c r="U208" s="135" t="s">
        <v>2152</v>
      </c>
      <c r="V208" s="135" t="s">
        <v>1255</v>
      </c>
      <c r="W208" s="135">
        <v>3</v>
      </c>
      <c r="X208" s="135" t="s">
        <v>2153</v>
      </c>
      <c r="Y208" s="135" t="s">
        <v>2154</v>
      </c>
      <c r="Z208" s="135" t="s">
        <v>1620</v>
      </c>
      <c r="AA208" s="5" t="s">
        <v>18</v>
      </c>
      <c r="AB208" s="5" t="s">
        <v>1298</v>
      </c>
      <c r="AC208" s="6">
        <f t="shared" si="16"/>
        <v>38</v>
      </c>
      <c r="AD208" s="6"/>
    </row>
    <row r="209" spans="1:30" ht="19.5" customHeight="1">
      <c r="A209" s="135" t="s">
        <v>2155</v>
      </c>
      <c r="B209" s="135" t="s">
        <v>2148</v>
      </c>
      <c r="C209" s="135">
        <v>47933</v>
      </c>
      <c r="D209" s="135" t="s">
        <v>1486</v>
      </c>
      <c r="E209" s="135" t="s">
        <v>1487</v>
      </c>
      <c r="F209" s="135"/>
      <c r="G209" s="135">
        <v>37</v>
      </c>
      <c r="H209" s="135" t="s">
        <v>1268</v>
      </c>
      <c r="I209" s="135" t="str">
        <f>VLOOKUP(H209,list!$B$2:$C$14,2,FALSE)</f>
        <v>KITS</v>
      </c>
      <c r="J209" s="135"/>
      <c r="K209" s="135">
        <v>0</v>
      </c>
      <c r="L209" s="135">
        <v>0</v>
      </c>
      <c r="M209" s="135">
        <v>0</v>
      </c>
      <c r="N209" s="135">
        <v>0</v>
      </c>
      <c r="O209" s="135">
        <v>0</v>
      </c>
      <c r="P209" s="135"/>
      <c r="Q209" s="135">
        <v>0</v>
      </c>
      <c r="R209" s="135"/>
      <c r="S209" s="135"/>
      <c r="T209" s="135" t="s">
        <v>30</v>
      </c>
      <c r="U209" s="135" t="s">
        <v>1298</v>
      </c>
      <c r="V209" s="135" t="s">
        <v>1255</v>
      </c>
      <c r="W209" s="135">
        <v>5</v>
      </c>
      <c r="X209" s="135" t="s">
        <v>2156</v>
      </c>
      <c r="Y209" s="135" t="s">
        <v>2157</v>
      </c>
      <c r="Z209" s="135" t="s">
        <v>1490</v>
      </c>
      <c r="AA209" s="5" t="s">
        <v>18</v>
      </c>
      <c r="AB209" s="5" t="s">
        <v>1298</v>
      </c>
      <c r="AC209" s="6">
        <f t="shared" si="16"/>
        <v>37</v>
      </c>
      <c r="AD209" s="6"/>
    </row>
    <row r="210" spans="1:30" ht="19.5" customHeight="1">
      <c r="A210" s="135" t="s">
        <v>2158</v>
      </c>
      <c r="B210" s="135" t="s">
        <v>2148</v>
      </c>
      <c r="C210" s="135">
        <v>46131</v>
      </c>
      <c r="D210" s="135" t="s">
        <v>1577</v>
      </c>
      <c r="E210" s="135" t="s">
        <v>1420</v>
      </c>
      <c r="F210" s="135"/>
      <c r="G210" s="135">
        <v>25</v>
      </c>
      <c r="H210" s="135" t="s">
        <v>1282</v>
      </c>
      <c r="I210" s="135" t="str">
        <f>VLOOKUP(H210,list!$B$2:$C$14,2,FALSE)</f>
        <v>KITS</v>
      </c>
      <c r="J210" s="135"/>
      <c r="K210" s="135">
        <v>0</v>
      </c>
      <c r="L210" s="135">
        <v>0</v>
      </c>
      <c r="M210" s="135">
        <v>0</v>
      </c>
      <c r="N210" s="135">
        <v>0</v>
      </c>
      <c r="O210" s="135">
        <v>0</v>
      </c>
      <c r="P210" s="135"/>
      <c r="Q210" s="135">
        <v>0</v>
      </c>
      <c r="R210" s="135"/>
      <c r="S210" s="135"/>
      <c r="T210" s="135" t="s">
        <v>30</v>
      </c>
      <c r="U210" s="135"/>
      <c r="V210" s="135" t="s">
        <v>1255</v>
      </c>
      <c r="W210" s="135">
        <v>3</v>
      </c>
      <c r="X210" s="135" t="s">
        <v>2159</v>
      </c>
      <c r="Y210" s="135" t="s">
        <v>2160</v>
      </c>
      <c r="Z210" s="135" t="s">
        <v>1858</v>
      </c>
      <c r="AA210" s="5" t="s">
        <v>18</v>
      </c>
      <c r="AB210" s="5" t="s">
        <v>1298</v>
      </c>
      <c r="AC210" s="6">
        <f t="shared" si="16"/>
        <v>25</v>
      </c>
      <c r="AD210" s="6"/>
    </row>
    <row r="211" spans="1:30" ht="19.5" customHeight="1">
      <c r="A211" s="135" t="s">
        <v>438</v>
      </c>
      <c r="B211" s="135" t="s">
        <v>2148</v>
      </c>
      <c r="C211" s="135">
        <v>47240</v>
      </c>
      <c r="D211" s="135" t="s">
        <v>1388</v>
      </c>
      <c r="E211" s="135" t="s">
        <v>1259</v>
      </c>
      <c r="F211" s="135"/>
      <c r="G211" s="135">
        <v>35</v>
      </c>
      <c r="H211" s="135" t="s">
        <v>1282</v>
      </c>
      <c r="I211" s="135" t="str">
        <f>VLOOKUP(H211,list!$B$2:$C$14,2,FALSE)</f>
        <v>KITS</v>
      </c>
      <c r="J211" s="135"/>
      <c r="K211" s="135">
        <v>0</v>
      </c>
      <c r="L211" s="135">
        <v>0</v>
      </c>
      <c r="M211" s="135">
        <v>0</v>
      </c>
      <c r="N211" s="135">
        <v>0</v>
      </c>
      <c r="O211" s="135">
        <v>0</v>
      </c>
      <c r="P211" s="135"/>
      <c r="Q211" s="135">
        <v>0</v>
      </c>
      <c r="R211" s="135"/>
      <c r="S211" s="135"/>
      <c r="T211" s="135" t="s">
        <v>30</v>
      </c>
      <c r="U211" s="135"/>
      <c r="V211" s="135" t="s">
        <v>1255</v>
      </c>
      <c r="W211" s="135">
        <v>3</v>
      </c>
      <c r="X211" s="135" t="s">
        <v>2161</v>
      </c>
      <c r="Y211" s="135" t="s">
        <v>2162</v>
      </c>
      <c r="Z211" s="135" t="s">
        <v>1392</v>
      </c>
      <c r="AA211" s="5" t="s">
        <v>18</v>
      </c>
      <c r="AB211" s="5" t="s">
        <v>1298</v>
      </c>
      <c r="AC211" s="6">
        <f t="shared" si="16"/>
        <v>35</v>
      </c>
      <c r="AD211" s="6"/>
    </row>
    <row r="212" spans="1:30" ht="19.5" customHeight="1">
      <c r="A212" s="135" t="s">
        <v>2163</v>
      </c>
      <c r="B212" s="135" t="s">
        <v>2148</v>
      </c>
      <c r="C212" s="135">
        <v>46750</v>
      </c>
      <c r="D212" s="135" t="s">
        <v>2134</v>
      </c>
      <c r="E212" s="135" t="s">
        <v>2134</v>
      </c>
      <c r="F212" s="135"/>
      <c r="G212" s="135">
        <v>31</v>
      </c>
      <c r="H212" s="135" t="s">
        <v>1282</v>
      </c>
      <c r="I212" s="135" t="str">
        <f>VLOOKUP(H212,list!$B$2:$C$14,2,FALSE)</f>
        <v>KITS</v>
      </c>
      <c r="J212" s="135"/>
      <c r="K212" s="135">
        <v>0</v>
      </c>
      <c r="L212" s="135">
        <v>0</v>
      </c>
      <c r="M212" s="135">
        <v>0</v>
      </c>
      <c r="N212" s="135">
        <v>0</v>
      </c>
      <c r="O212" s="135">
        <v>0</v>
      </c>
      <c r="P212" s="135"/>
      <c r="Q212" s="135">
        <v>0</v>
      </c>
      <c r="R212" s="135"/>
      <c r="S212" s="135"/>
      <c r="T212" s="135" t="s">
        <v>30</v>
      </c>
      <c r="U212" s="135"/>
      <c r="V212" s="135" t="s">
        <v>1255</v>
      </c>
      <c r="W212" s="135">
        <v>3</v>
      </c>
      <c r="X212" s="135" t="s">
        <v>2164</v>
      </c>
      <c r="Y212" s="135" t="s">
        <v>2165</v>
      </c>
      <c r="Z212" s="135" t="s">
        <v>2137</v>
      </c>
      <c r="AA212" s="5" t="s">
        <v>18</v>
      </c>
      <c r="AB212" s="5" t="s">
        <v>1298</v>
      </c>
      <c r="AC212" s="6">
        <f t="shared" si="16"/>
        <v>31</v>
      </c>
      <c r="AD212" s="6"/>
    </row>
    <row r="213" spans="1:30" ht="19.5" customHeight="1">
      <c r="A213" s="135" t="s">
        <v>2166</v>
      </c>
      <c r="B213" s="135" t="s">
        <v>2148</v>
      </c>
      <c r="C213" s="135">
        <v>46755</v>
      </c>
      <c r="D213" s="135" t="s">
        <v>2167</v>
      </c>
      <c r="E213" s="135" t="s">
        <v>1453</v>
      </c>
      <c r="F213" s="135"/>
      <c r="G213" s="135">
        <v>35</v>
      </c>
      <c r="H213" s="135" t="s">
        <v>1282</v>
      </c>
      <c r="I213" s="135" t="str">
        <f>VLOOKUP(H213,list!$B$2:$C$14,2,FALSE)</f>
        <v>KITS</v>
      </c>
      <c r="J213" s="135"/>
      <c r="K213" s="135">
        <v>0</v>
      </c>
      <c r="L213" s="135">
        <v>0</v>
      </c>
      <c r="M213" s="135">
        <v>0</v>
      </c>
      <c r="N213" s="135">
        <v>0</v>
      </c>
      <c r="O213" s="135">
        <v>0</v>
      </c>
      <c r="P213" s="135"/>
      <c r="Q213" s="135">
        <v>0</v>
      </c>
      <c r="R213" s="135"/>
      <c r="S213" s="135"/>
      <c r="T213" s="135" t="s">
        <v>30</v>
      </c>
      <c r="U213" s="135"/>
      <c r="V213" s="135" t="s">
        <v>1255</v>
      </c>
      <c r="W213" s="135">
        <v>3</v>
      </c>
      <c r="X213" s="135" t="s">
        <v>2168</v>
      </c>
      <c r="Y213" s="135" t="s">
        <v>2169</v>
      </c>
      <c r="Z213" s="135" t="s">
        <v>2170</v>
      </c>
      <c r="AA213" s="5" t="s">
        <v>18</v>
      </c>
      <c r="AB213" s="5" t="s">
        <v>1298</v>
      </c>
      <c r="AC213" s="6">
        <f t="shared" si="16"/>
        <v>35</v>
      </c>
      <c r="AD213" s="6"/>
    </row>
    <row r="214" spans="1:30" ht="19.5" customHeight="1">
      <c r="A214" s="135" t="s">
        <v>442</v>
      </c>
      <c r="B214" s="135" t="s">
        <v>2148</v>
      </c>
      <c r="C214" s="135">
        <v>47250</v>
      </c>
      <c r="D214" s="135" t="s">
        <v>1281</v>
      </c>
      <c r="E214" s="135" t="s">
        <v>2079</v>
      </c>
      <c r="F214" s="135"/>
      <c r="G214" s="135">
        <v>40</v>
      </c>
      <c r="H214" s="135" t="s">
        <v>1268</v>
      </c>
      <c r="I214" s="135" t="str">
        <f>VLOOKUP(H214,list!$B$2:$C$14,2,FALSE)</f>
        <v>KITS</v>
      </c>
      <c r="J214" s="135"/>
      <c r="K214" s="135">
        <v>0</v>
      </c>
      <c r="L214" s="135">
        <v>0</v>
      </c>
      <c r="M214" s="135">
        <v>0</v>
      </c>
      <c r="N214" s="135">
        <v>0</v>
      </c>
      <c r="O214" s="135">
        <v>0</v>
      </c>
      <c r="P214" s="135"/>
      <c r="Q214" s="135">
        <v>0</v>
      </c>
      <c r="R214" s="135"/>
      <c r="S214" s="135"/>
      <c r="T214" s="135" t="s">
        <v>30</v>
      </c>
      <c r="U214" s="135"/>
      <c r="V214" s="135" t="s">
        <v>1255</v>
      </c>
      <c r="W214" s="135">
        <v>5</v>
      </c>
      <c r="X214" s="135" t="s">
        <v>2171</v>
      </c>
      <c r="Y214" s="135" t="s">
        <v>2172</v>
      </c>
      <c r="Z214" s="135" t="s">
        <v>2173</v>
      </c>
      <c r="AA214" s="5" t="s">
        <v>18</v>
      </c>
      <c r="AB214" s="5" t="s">
        <v>1298</v>
      </c>
      <c r="AC214" s="6">
        <f t="shared" si="16"/>
        <v>40</v>
      </c>
      <c r="AD214" s="6"/>
    </row>
    <row r="215" spans="1:30" ht="19.5" customHeight="1">
      <c r="A215" s="135" t="s">
        <v>447</v>
      </c>
      <c r="B215" s="135" t="s">
        <v>2148</v>
      </c>
      <c r="C215" s="135">
        <v>47362</v>
      </c>
      <c r="D215" s="135" t="s">
        <v>1887</v>
      </c>
      <c r="E215" s="135" t="s">
        <v>1888</v>
      </c>
      <c r="F215" s="135"/>
      <c r="G215" s="135">
        <v>34</v>
      </c>
      <c r="H215" s="135" t="s">
        <v>1268</v>
      </c>
      <c r="I215" s="135" t="str">
        <f>VLOOKUP(H215,list!$B$2:$C$14,2,FALSE)</f>
        <v>KITS</v>
      </c>
      <c r="J215" s="135"/>
      <c r="K215" s="135">
        <v>0</v>
      </c>
      <c r="L215" s="135">
        <v>0</v>
      </c>
      <c r="M215" s="135">
        <v>0</v>
      </c>
      <c r="N215" s="135">
        <v>0</v>
      </c>
      <c r="O215" s="135">
        <v>0</v>
      </c>
      <c r="P215" s="135"/>
      <c r="Q215" s="135">
        <v>0</v>
      </c>
      <c r="R215" s="135"/>
      <c r="S215" s="135"/>
      <c r="T215" s="135" t="s">
        <v>30</v>
      </c>
      <c r="U215" s="135"/>
      <c r="V215" s="135" t="s">
        <v>1255</v>
      </c>
      <c r="W215" s="135">
        <v>5</v>
      </c>
      <c r="X215" s="135" t="s">
        <v>2174</v>
      </c>
      <c r="Y215" s="135" t="s">
        <v>2175</v>
      </c>
      <c r="Z215" s="135" t="s">
        <v>1891</v>
      </c>
      <c r="AA215" s="5" t="s">
        <v>18</v>
      </c>
      <c r="AB215" s="5" t="s">
        <v>1298</v>
      </c>
      <c r="AC215" s="6">
        <f t="shared" si="16"/>
        <v>34</v>
      </c>
      <c r="AD215" s="6"/>
    </row>
    <row r="216" spans="1:30" ht="19.5" customHeight="1">
      <c r="A216" s="135" t="s">
        <v>2176</v>
      </c>
      <c r="B216" s="135" t="s">
        <v>2148</v>
      </c>
      <c r="C216" s="135">
        <v>46970</v>
      </c>
      <c r="D216" s="135" t="s">
        <v>1364</v>
      </c>
      <c r="E216" s="135" t="s">
        <v>1365</v>
      </c>
      <c r="F216" s="135"/>
      <c r="G216" s="135">
        <v>42</v>
      </c>
      <c r="H216" s="135" t="s">
        <v>1282</v>
      </c>
      <c r="I216" s="135" t="str">
        <f>VLOOKUP(H216,list!$B$2:$C$14,2,FALSE)</f>
        <v>KITS</v>
      </c>
      <c r="J216" s="135"/>
      <c r="K216" s="135">
        <v>0</v>
      </c>
      <c r="L216" s="135">
        <v>0</v>
      </c>
      <c r="M216" s="135">
        <v>0</v>
      </c>
      <c r="N216" s="135">
        <v>0</v>
      </c>
      <c r="O216" s="135">
        <v>0</v>
      </c>
      <c r="P216" s="135"/>
      <c r="Q216" s="135">
        <v>0</v>
      </c>
      <c r="R216" s="135"/>
      <c r="S216" s="135"/>
      <c r="T216" s="135" t="s">
        <v>30</v>
      </c>
      <c r="U216" s="135" t="s">
        <v>2177</v>
      </c>
      <c r="V216" s="135" t="s">
        <v>1255</v>
      </c>
      <c r="W216" s="135">
        <v>3</v>
      </c>
      <c r="X216" s="135" t="s">
        <v>2178</v>
      </c>
      <c r="Y216" s="135" t="s">
        <v>2179</v>
      </c>
      <c r="Z216" s="135" t="s">
        <v>1369</v>
      </c>
      <c r="AA216" s="5" t="s">
        <v>18</v>
      </c>
      <c r="AB216" s="5" t="s">
        <v>1298</v>
      </c>
      <c r="AC216" s="6">
        <f t="shared" si="16"/>
        <v>42</v>
      </c>
      <c r="AD216" s="6"/>
    </row>
    <row r="217" spans="1:30" ht="19.5" customHeight="1">
      <c r="A217" s="135" t="s">
        <v>451</v>
      </c>
      <c r="B217" s="135" t="s">
        <v>2148</v>
      </c>
      <c r="C217" s="135">
        <v>46975</v>
      </c>
      <c r="D217" s="135" t="s">
        <v>2180</v>
      </c>
      <c r="E217" s="135" t="s">
        <v>1630</v>
      </c>
      <c r="F217" s="135"/>
      <c r="G217" s="135">
        <v>35</v>
      </c>
      <c r="H217" s="135" t="s">
        <v>1268</v>
      </c>
      <c r="I217" s="135" t="str">
        <f>VLOOKUP(H217,list!$B$2:$C$14,2,FALSE)</f>
        <v>KITS</v>
      </c>
      <c r="J217" s="135"/>
      <c r="K217" s="135">
        <v>0</v>
      </c>
      <c r="L217" s="135">
        <v>0</v>
      </c>
      <c r="M217" s="135">
        <v>0</v>
      </c>
      <c r="N217" s="135">
        <v>0</v>
      </c>
      <c r="O217" s="135">
        <v>0</v>
      </c>
      <c r="P217" s="135"/>
      <c r="Q217" s="135">
        <v>0</v>
      </c>
      <c r="R217" s="135"/>
      <c r="S217" s="135"/>
      <c r="T217" s="135" t="s">
        <v>30</v>
      </c>
      <c r="U217" s="135"/>
      <c r="V217" s="135" t="s">
        <v>1255</v>
      </c>
      <c r="W217" s="135">
        <v>5</v>
      </c>
      <c r="X217" s="135" t="s">
        <v>2181</v>
      </c>
      <c r="Y217" s="135" t="s">
        <v>2182</v>
      </c>
      <c r="Z217" s="135" t="s">
        <v>2183</v>
      </c>
      <c r="AA217" s="5" t="s">
        <v>18</v>
      </c>
      <c r="AB217" s="5" t="s">
        <v>1298</v>
      </c>
      <c r="AC217" s="6">
        <f t="shared" si="16"/>
        <v>35</v>
      </c>
      <c r="AD217" s="6"/>
    </row>
    <row r="218" spans="1:30" ht="19.5" customHeight="1">
      <c r="A218" s="135" t="s">
        <v>455</v>
      </c>
      <c r="B218" s="135" t="s">
        <v>2148</v>
      </c>
      <c r="C218" s="135">
        <v>47170</v>
      </c>
      <c r="D218" s="135" t="s">
        <v>2073</v>
      </c>
      <c r="E218" s="135" t="s">
        <v>2074</v>
      </c>
      <c r="F218" s="135"/>
      <c r="G218" s="135">
        <v>46</v>
      </c>
      <c r="H218" s="135" t="s">
        <v>1268</v>
      </c>
      <c r="I218" s="135" t="str">
        <f>VLOOKUP(H218,list!$B$2:$C$14,2,FALSE)</f>
        <v>KITS</v>
      </c>
      <c r="J218" s="135"/>
      <c r="K218" s="135">
        <v>0</v>
      </c>
      <c r="L218" s="135">
        <v>0</v>
      </c>
      <c r="M218" s="135">
        <v>0</v>
      </c>
      <c r="N218" s="135">
        <v>0</v>
      </c>
      <c r="O218" s="135">
        <v>0</v>
      </c>
      <c r="P218" s="135"/>
      <c r="Q218" s="135">
        <v>0</v>
      </c>
      <c r="R218" s="135"/>
      <c r="S218" s="135" t="s">
        <v>2184</v>
      </c>
      <c r="T218" s="135" t="s">
        <v>19</v>
      </c>
      <c r="U218" s="135"/>
      <c r="V218" s="135" t="s">
        <v>1255</v>
      </c>
      <c r="W218" s="135">
        <v>5</v>
      </c>
      <c r="X218" s="135" t="s">
        <v>2185</v>
      </c>
      <c r="Y218" s="135" t="s">
        <v>2186</v>
      </c>
      <c r="Z218" s="135" t="s">
        <v>2077</v>
      </c>
      <c r="AA218" s="5" t="s">
        <v>18</v>
      </c>
      <c r="AB218" s="5" t="s">
        <v>1298</v>
      </c>
      <c r="AC218" s="6">
        <f t="shared" si="16"/>
        <v>46</v>
      </c>
      <c r="AD218" s="6"/>
    </row>
    <row r="219" spans="1:30" ht="19.5" customHeight="1">
      <c r="A219" s="135" t="s">
        <v>2187</v>
      </c>
      <c r="B219" s="135" t="s">
        <v>2148</v>
      </c>
      <c r="C219" s="135">
        <v>46135</v>
      </c>
      <c r="D219" s="135" t="s">
        <v>1403</v>
      </c>
      <c r="E219" s="135" t="s">
        <v>1404</v>
      </c>
      <c r="F219" s="135"/>
      <c r="G219" s="135">
        <v>65</v>
      </c>
      <c r="H219" s="135" t="s">
        <v>1282</v>
      </c>
      <c r="I219" s="135" t="str">
        <f>VLOOKUP(H219,list!$B$2:$C$14,2,FALSE)</f>
        <v>KITS</v>
      </c>
      <c r="J219" s="135"/>
      <c r="K219" s="135">
        <v>0</v>
      </c>
      <c r="L219" s="135">
        <v>0</v>
      </c>
      <c r="M219" s="135">
        <v>0</v>
      </c>
      <c r="N219" s="135">
        <v>0</v>
      </c>
      <c r="O219" s="135">
        <v>0</v>
      </c>
      <c r="P219" s="135"/>
      <c r="Q219" s="135">
        <v>0</v>
      </c>
      <c r="R219" s="135"/>
      <c r="S219" s="135"/>
      <c r="T219" s="135" t="s">
        <v>30</v>
      </c>
      <c r="U219" s="135" t="s">
        <v>2188</v>
      </c>
      <c r="V219" s="135" t="s">
        <v>1255</v>
      </c>
      <c r="W219" s="135">
        <v>3</v>
      </c>
      <c r="X219" s="135" t="s">
        <v>2189</v>
      </c>
      <c r="Y219" s="135" t="s">
        <v>2190</v>
      </c>
      <c r="Z219" s="135" t="s">
        <v>1408</v>
      </c>
      <c r="AA219" s="5" t="s">
        <v>18</v>
      </c>
      <c r="AB219" s="5" t="s">
        <v>1298</v>
      </c>
      <c r="AC219" s="6">
        <f t="shared" si="16"/>
        <v>65</v>
      </c>
      <c r="AD219" s="6"/>
    </row>
    <row r="220" spans="1:30" ht="19.5" customHeight="1">
      <c r="A220" s="135" t="s">
        <v>460</v>
      </c>
      <c r="B220" s="135" t="s">
        <v>2148</v>
      </c>
      <c r="C220" s="135">
        <v>46996</v>
      </c>
      <c r="D220" s="135" t="s">
        <v>2191</v>
      </c>
      <c r="E220" s="135" t="s">
        <v>2192</v>
      </c>
      <c r="F220" s="135" t="s">
        <v>30</v>
      </c>
      <c r="G220" s="135">
        <v>29</v>
      </c>
      <c r="H220" s="135" t="s">
        <v>1282</v>
      </c>
      <c r="I220" s="135" t="str">
        <f>VLOOKUP(H220,list!$B$2:$C$14,2,FALSE)</f>
        <v>KITS</v>
      </c>
      <c r="J220" s="135"/>
      <c r="K220" s="135">
        <v>0</v>
      </c>
      <c r="L220" s="135">
        <v>0</v>
      </c>
      <c r="M220" s="135">
        <v>0</v>
      </c>
      <c r="N220" s="135">
        <v>0</v>
      </c>
      <c r="O220" s="135">
        <v>0</v>
      </c>
      <c r="P220" s="135"/>
      <c r="Q220" s="135">
        <v>0</v>
      </c>
      <c r="R220" s="135"/>
      <c r="S220" s="135"/>
      <c r="T220" s="135" t="s">
        <v>30</v>
      </c>
      <c r="U220" s="135" t="s">
        <v>30</v>
      </c>
      <c r="V220" s="135" t="s">
        <v>1255</v>
      </c>
      <c r="W220" s="135">
        <v>3</v>
      </c>
      <c r="X220" s="135" t="s">
        <v>2193</v>
      </c>
      <c r="Y220" s="135" t="s">
        <v>2194</v>
      </c>
      <c r="Z220" s="135" t="s">
        <v>2195</v>
      </c>
      <c r="AA220" s="5" t="s">
        <v>18</v>
      </c>
      <c r="AB220" s="5" t="s">
        <v>1298</v>
      </c>
      <c r="AC220" s="6">
        <f t="shared" si="16"/>
        <v>29</v>
      </c>
      <c r="AD220" s="6"/>
    </row>
    <row r="221" spans="1:30" ht="19.5" customHeight="1">
      <c r="A221" s="135" t="s">
        <v>2196</v>
      </c>
      <c r="B221" s="135" t="s">
        <v>2148</v>
      </c>
      <c r="C221" s="135">
        <v>47532</v>
      </c>
      <c r="D221" s="135" t="s">
        <v>2197</v>
      </c>
      <c r="E221" s="135" t="s">
        <v>1574</v>
      </c>
      <c r="F221" s="135" t="s">
        <v>30</v>
      </c>
      <c r="G221" s="135">
        <v>38</v>
      </c>
      <c r="H221" s="135" t="s">
        <v>1253</v>
      </c>
      <c r="I221" s="135" t="str">
        <f>VLOOKUP(H221,list!$B$2:$C$14,2,FALSE)</f>
        <v>KITS</v>
      </c>
      <c r="J221" s="135"/>
      <c r="K221" s="135">
        <v>0</v>
      </c>
      <c r="L221" s="135">
        <v>0</v>
      </c>
      <c r="M221" s="135">
        <v>0</v>
      </c>
      <c r="N221" s="135">
        <v>0</v>
      </c>
      <c r="O221" s="135">
        <v>0</v>
      </c>
      <c r="P221" s="135"/>
      <c r="Q221" s="135">
        <v>0</v>
      </c>
      <c r="R221" s="135"/>
      <c r="S221" s="135"/>
      <c r="T221" s="135" t="s">
        <v>19</v>
      </c>
      <c r="U221" s="135"/>
      <c r="V221" s="135" t="s">
        <v>1255</v>
      </c>
      <c r="W221" s="135">
        <v>6</v>
      </c>
      <c r="X221" s="135" t="s">
        <v>2198</v>
      </c>
      <c r="Y221" s="135" t="s">
        <v>2199</v>
      </c>
      <c r="Z221" s="135" t="s">
        <v>2200</v>
      </c>
      <c r="AA221" s="5" t="s">
        <v>18</v>
      </c>
      <c r="AB221" s="5" t="s">
        <v>1298</v>
      </c>
      <c r="AC221" s="6">
        <f t="shared" si="16"/>
        <v>38</v>
      </c>
      <c r="AD221" s="6"/>
    </row>
    <row r="222" spans="1:30" ht="19.5" customHeight="1">
      <c r="A222" s="135" t="s">
        <v>2201</v>
      </c>
      <c r="B222" s="135" t="s">
        <v>343</v>
      </c>
      <c r="C222" s="135">
        <v>47130</v>
      </c>
      <c r="D222" s="135" t="s">
        <v>2202</v>
      </c>
      <c r="E222" s="135" t="s">
        <v>1665</v>
      </c>
      <c r="F222" s="135"/>
      <c r="G222" s="135">
        <v>95</v>
      </c>
      <c r="H222" s="135" t="s">
        <v>1276</v>
      </c>
      <c r="I222" s="135" t="str">
        <f>VLOOKUP(H222,list!$B$2:$C$14,2,FALSE)</f>
        <v>GREEN</v>
      </c>
      <c r="J222" s="135"/>
      <c r="K222" s="135">
        <v>0</v>
      </c>
      <c r="L222" s="135">
        <v>0</v>
      </c>
      <c r="M222" s="135">
        <v>0</v>
      </c>
      <c r="N222" s="135">
        <v>0</v>
      </c>
      <c r="O222" s="135">
        <v>0</v>
      </c>
      <c r="P222" s="135"/>
      <c r="Q222" s="135">
        <v>0</v>
      </c>
      <c r="R222" s="135"/>
      <c r="S222" s="135"/>
      <c r="T222" s="135" t="s">
        <v>19</v>
      </c>
      <c r="U222" s="135"/>
      <c r="V222" s="135" t="s">
        <v>1255</v>
      </c>
      <c r="W222" s="135">
        <v>2</v>
      </c>
      <c r="X222" s="135" t="s">
        <v>2203</v>
      </c>
      <c r="Y222" s="135" t="s">
        <v>2204</v>
      </c>
      <c r="Z222" s="135" t="s">
        <v>2205</v>
      </c>
      <c r="AA222" s="5" t="s">
        <v>18</v>
      </c>
      <c r="AB222" s="5" t="s">
        <v>1298</v>
      </c>
      <c r="AC222" s="6">
        <f t="shared" si="16"/>
        <v>95</v>
      </c>
      <c r="AD222" s="6"/>
    </row>
    <row r="223" spans="1:30" ht="19.5" customHeight="1">
      <c r="A223" s="135" t="s">
        <v>1063</v>
      </c>
      <c r="B223" s="135"/>
      <c r="C223" s="135">
        <v>47501</v>
      </c>
      <c r="D223" s="135" t="s">
        <v>1795</v>
      </c>
      <c r="E223" s="135" t="s">
        <v>1492</v>
      </c>
      <c r="F223" s="135"/>
      <c r="G223" s="135"/>
      <c r="H223" s="135"/>
      <c r="I223" s="135"/>
      <c r="J223" s="135"/>
      <c r="K223" s="135"/>
      <c r="L223" s="135"/>
      <c r="M223" s="135"/>
      <c r="N223" s="135"/>
      <c r="O223" s="135"/>
      <c r="P223" s="135"/>
      <c r="Q223" s="135"/>
      <c r="R223" s="135"/>
      <c r="S223" s="135"/>
      <c r="T223" s="135"/>
      <c r="U223" s="135"/>
      <c r="V223" s="135"/>
      <c r="W223" s="135"/>
      <c r="X223" s="135">
        <v>8122547159</v>
      </c>
      <c r="Y223" s="135" t="s">
        <v>2206</v>
      </c>
      <c r="Z223" s="135"/>
      <c r="AA223" s="5" t="str">
        <f>VLOOKUP(A223,'Form Responses 1'!$C$2:$K$532,6,FALSE)</f>
        <v>Kit delivery and pickup</v>
      </c>
      <c r="AB223" s="5" t="e">
        <f>VLOOKUP(A223,'Form Responses 1'!$C$2:$K$219,7,FALSE)</f>
        <v>#N/A</v>
      </c>
      <c r="AC223" s="6" t="e">
        <f>VLOOKUP(A223,'Form Responses 1'!$C$2:$K$219,8,FALSE)</f>
        <v>#N/A</v>
      </c>
      <c r="AD223" s="6" t="e">
        <f>VLOOKUP(A223,'Form Responses 1'!$C$2:$K$219,9,FALSE)</f>
        <v>#N/A</v>
      </c>
    </row>
    <row r="224" spans="1:30" ht="19.5" customHeight="1">
      <c r="A224" s="135" t="s">
        <v>464</v>
      </c>
      <c r="B224" s="135"/>
      <c r="C224" s="135">
        <v>46556</v>
      </c>
      <c r="D224" s="135" t="s">
        <v>2207</v>
      </c>
      <c r="E224" s="135" t="s">
        <v>1480</v>
      </c>
      <c r="F224" s="135"/>
      <c r="G224" s="135">
        <v>99</v>
      </c>
      <c r="H224" s="135" t="s">
        <v>1425</v>
      </c>
      <c r="I224" s="135" t="str">
        <f>VLOOKUP(H224,list!$B$2:$C$14,2,FALSE)</f>
        <v>ONSITE</v>
      </c>
      <c r="J224" s="135"/>
      <c r="K224" s="135">
        <v>1</v>
      </c>
      <c r="L224" s="135">
        <v>0</v>
      </c>
      <c r="M224" s="135">
        <v>0</v>
      </c>
      <c r="N224" s="135">
        <v>1</v>
      </c>
      <c r="O224" s="135">
        <v>0</v>
      </c>
      <c r="P224" s="135"/>
      <c r="Q224" s="135">
        <v>0</v>
      </c>
      <c r="R224" s="135"/>
      <c r="S224" s="135"/>
      <c r="T224" s="135" t="s">
        <v>30</v>
      </c>
      <c r="U224" s="135" t="s">
        <v>2208</v>
      </c>
      <c r="V224" s="135" t="s">
        <v>1255</v>
      </c>
      <c r="W224" s="135">
        <v>7</v>
      </c>
      <c r="X224" s="135" t="s">
        <v>2209</v>
      </c>
      <c r="Y224" s="135" t="s">
        <v>2210</v>
      </c>
      <c r="Z224" s="135" t="s">
        <v>2211</v>
      </c>
      <c r="AA224" s="5" t="str">
        <f>VLOOKUP(A224,'Form Responses 1'!$C$2:$K$532,6,FALSE)</f>
        <v>Kit delivery and pickup</v>
      </c>
      <c r="AB224" s="5" t="str">
        <f>VLOOKUP(A224,'Form Responses 1'!$C$2:$K$219,7,FALSE)</f>
        <v>No</v>
      </c>
      <c r="AC224" s="6">
        <f>VLOOKUP(A224,'Form Responses 1'!$C$2:$K$219,8,FALSE)</f>
        <v>190</v>
      </c>
      <c r="AD224" s="6">
        <f>VLOOKUP(A224,'Form Responses 1'!$C$2:$K$219,9,FALSE)</f>
        <v>0</v>
      </c>
    </row>
    <row r="225" spans="1:30" ht="19.5" customHeight="1">
      <c r="A225" s="135" t="s">
        <v>469</v>
      </c>
      <c r="B225" s="135" t="s">
        <v>1288</v>
      </c>
      <c r="C225" s="135">
        <v>46227</v>
      </c>
      <c r="D225" s="135" t="s">
        <v>1289</v>
      </c>
      <c r="E225" s="135" t="s">
        <v>1290</v>
      </c>
      <c r="F225" s="135"/>
      <c r="G225" s="135">
        <v>80</v>
      </c>
      <c r="H225" s="135" t="s">
        <v>1425</v>
      </c>
      <c r="I225" s="135" t="str">
        <f>VLOOKUP(H225,list!$B$2:$C$14,2,FALSE)</f>
        <v>ONSITE</v>
      </c>
      <c r="J225" s="135"/>
      <c r="K225" s="135">
        <v>1</v>
      </c>
      <c r="L225" s="135">
        <v>0</v>
      </c>
      <c r="M225" s="135">
        <v>0</v>
      </c>
      <c r="N225" s="135">
        <v>0</v>
      </c>
      <c r="O225" s="135">
        <v>0</v>
      </c>
      <c r="P225" s="135"/>
      <c r="Q225" s="135">
        <v>1</v>
      </c>
      <c r="R225" s="135" t="s">
        <v>2019</v>
      </c>
      <c r="S225" s="135"/>
      <c r="T225" s="135" t="s">
        <v>19</v>
      </c>
      <c r="U225" s="135" t="s">
        <v>2212</v>
      </c>
      <c r="V225" s="135" t="s">
        <v>1255</v>
      </c>
      <c r="W225" s="135">
        <v>7</v>
      </c>
      <c r="X225" s="135" t="s">
        <v>2213</v>
      </c>
      <c r="Y225" s="135" t="s">
        <v>2214</v>
      </c>
      <c r="Z225" s="135" t="s">
        <v>1505</v>
      </c>
      <c r="AA225" s="5" t="str">
        <f>VLOOKUP(A225,'Form Responses 1'!$C$2:$K$219,6,FALSE)</f>
        <v>Onsite sample collection by ISDH team</v>
      </c>
      <c r="AB225" s="5" t="str">
        <f>VLOOKUP(A225,'Form Responses 1'!$C$2:$K$219,7,FALSE)</f>
        <v>No</v>
      </c>
      <c r="AC225" s="6">
        <f>VLOOKUP(A225,'Form Responses 1'!$C$2:$K$219,8,FALSE)</f>
        <v>80</v>
      </c>
      <c r="AD225" s="6" t="str">
        <f>VLOOKUP(A225,'Form Responses 1'!$C$2:$K$219,9,FALSE)</f>
        <v>would like at least a couple days notice for established test date</v>
      </c>
    </row>
    <row r="226" spans="1:30" ht="19.5" customHeight="1">
      <c r="A226" s="135" t="s">
        <v>474</v>
      </c>
      <c r="B226" s="135" t="s">
        <v>1265</v>
      </c>
      <c r="C226" s="135">
        <v>46131</v>
      </c>
      <c r="D226" s="135" t="s">
        <v>1577</v>
      </c>
      <c r="E226" s="135" t="s">
        <v>1420</v>
      </c>
      <c r="F226" s="135"/>
      <c r="G226" s="135">
        <v>145</v>
      </c>
      <c r="H226" s="135" t="s">
        <v>1253</v>
      </c>
      <c r="I226" s="135" t="str">
        <f>VLOOKUP(H226,list!$B$2:$C$14,2,FALSE)</f>
        <v>KITS</v>
      </c>
      <c r="J226" s="135"/>
      <c r="K226" s="135">
        <v>0</v>
      </c>
      <c r="L226" s="135">
        <v>0</v>
      </c>
      <c r="M226" s="135">
        <v>0</v>
      </c>
      <c r="N226" s="135">
        <v>0</v>
      </c>
      <c r="O226" s="135">
        <v>0</v>
      </c>
      <c r="P226" s="135"/>
      <c r="Q226" s="135">
        <v>0</v>
      </c>
      <c r="R226" s="135"/>
      <c r="S226" s="135"/>
      <c r="T226" s="135" t="s">
        <v>30</v>
      </c>
      <c r="U226" s="135" t="s">
        <v>2215</v>
      </c>
      <c r="V226" s="135" t="s">
        <v>1255</v>
      </c>
      <c r="W226" s="135">
        <v>6</v>
      </c>
      <c r="X226" s="135" t="s">
        <v>2216</v>
      </c>
      <c r="Y226" s="135" t="s">
        <v>2217</v>
      </c>
      <c r="Z226" s="135" t="s">
        <v>1858</v>
      </c>
      <c r="AA226" s="5" t="str">
        <f>VLOOKUP(A226,'Form Responses 1'!$C$2:$K$532,6,FALSE)</f>
        <v>Kit delivery and pickup</v>
      </c>
      <c r="AB226" s="5" t="str">
        <f>VLOOKUP(A226,'Form Responses 1'!$C$2:$K$219,7,FALSE)</f>
        <v>No</v>
      </c>
      <c r="AC226" s="6">
        <f>VLOOKUP(A226,'Form Responses 1'!$C$2:$K$219,8,FALSE)</f>
        <v>145</v>
      </c>
      <c r="AD226" s="6">
        <f>VLOOKUP(A226,'Form Responses 1'!$C$2:$K$219,9,FALSE)</f>
        <v>0</v>
      </c>
    </row>
    <row r="227" spans="1:30" ht="19.5" customHeight="1">
      <c r="A227" s="135" t="s">
        <v>2218</v>
      </c>
      <c r="B227" s="321" t="s">
        <v>1312</v>
      </c>
      <c r="C227" s="135">
        <v>46052</v>
      </c>
      <c r="D227" s="135" t="s">
        <v>1817</v>
      </c>
      <c r="E227" s="135" t="s">
        <v>1818</v>
      </c>
      <c r="F227" s="135"/>
      <c r="G227" s="135">
        <v>70</v>
      </c>
      <c r="H227" s="135" t="s">
        <v>1276</v>
      </c>
      <c r="I227" s="135" t="str">
        <f>VLOOKUP(H227,list!$B$2:$C$14,2,FALSE)</f>
        <v>GREEN</v>
      </c>
      <c r="J227" s="135"/>
      <c r="K227" s="135">
        <v>0</v>
      </c>
      <c r="L227" s="135">
        <v>0</v>
      </c>
      <c r="M227" s="135">
        <v>0</v>
      </c>
      <c r="N227" s="135">
        <v>0</v>
      </c>
      <c r="O227" s="135">
        <v>0</v>
      </c>
      <c r="P227" s="135"/>
      <c r="Q227" s="135">
        <v>0</v>
      </c>
      <c r="R227" s="135"/>
      <c r="S227" s="135"/>
      <c r="T227" s="135" t="s">
        <v>19</v>
      </c>
      <c r="U227" s="135" t="s">
        <v>1315</v>
      </c>
      <c r="V227" s="135" t="s">
        <v>1255</v>
      </c>
      <c r="W227" s="135">
        <v>2</v>
      </c>
      <c r="X227" s="135" t="s">
        <v>2219</v>
      </c>
      <c r="Y227" s="135" t="s">
        <v>2220</v>
      </c>
      <c r="Z227" s="135" t="s">
        <v>1821</v>
      </c>
      <c r="AA227" s="5" t="s">
        <v>18</v>
      </c>
      <c r="AB227" s="5" t="s">
        <v>1298</v>
      </c>
      <c r="AC227" s="6">
        <f>G227</f>
        <v>70</v>
      </c>
      <c r="AD227" s="6"/>
    </row>
    <row r="228" spans="1:30" ht="19.5" customHeight="1">
      <c r="A228" s="135" t="s">
        <v>478</v>
      </c>
      <c r="B228" s="135"/>
      <c r="C228" s="135">
        <v>47220</v>
      </c>
      <c r="D228" s="135" t="s">
        <v>2221</v>
      </c>
      <c r="E228" s="135" t="s">
        <v>1732</v>
      </c>
      <c r="F228" s="135" t="s">
        <v>30</v>
      </c>
      <c r="G228" s="135">
        <v>123</v>
      </c>
      <c r="H228" s="135" t="s">
        <v>1253</v>
      </c>
      <c r="I228" s="135" t="str">
        <f>VLOOKUP(H228,list!$B$2:$C$14,2,FALSE)</f>
        <v>KITS</v>
      </c>
      <c r="J228" s="135"/>
      <c r="K228" s="135">
        <v>0</v>
      </c>
      <c r="L228" s="135">
        <v>0</v>
      </c>
      <c r="M228" s="135">
        <v>0</v>
      </c>
      <c r="N228" s="135">
        <v>0</v>
      </c>
      <c r="O228" s="135">
        <v>0</v>
      </c>
      <c r="P228" s="135"/>
      <c r="Q228" s="135">
        <v>0</v>
      </c>
      <c r="R228" s="135"/>
      <c r="S228" s="135"/>
      <c r="T228" s="135" t="s">
        <v>19</v>
      </c>
      <c r="U228" s="135" t="s">
        <v>2222</v>
      </c>
      <c r="V228" s="135" t="s">
        <v>1255</v>
      </c>
      <c r="W228" s="135">
        <v>6</v>
      </c>
      <c r="X228" s="135" t="s">
        <v>2223</v>
      </c>
      <c r="Y228" s="135" t="s">
        <v>2224</v>
      </c>
      <c r="Z228" s="135" t="s">
        <v>2225</v>
      </c>
      <c r="AA228" s="5" t="str">
        <f>VLOOKUP(A228,'Form Responses 1'!$C$2:$K$532,6,FALSE)</f>
        <v>Kit delivery and pickup</v>
      </c>
      <c r="AB228" s="5" t="str">
        <f>VLOOKUP(A228,'Form Responses 1'!$C$2:$K$219,7,FALSE)</f>
        <v>No</v>
      </c>
      <c r="AC228" s="6">
        <f>VLOOKUP(A228,'Form Responses 1'!$C$2:$K$219,8,FALSE)</f>
        <v>123</v>
      </c>
      <c r="AD228" s="6">
        <f>VLOOKUP(A228,'Form Responses 1'!$C$2:$K$219,9,FALSE)</f>
        <v>0</v>
      </c>
    </row>
    <row r="229" spans="1:30" ht="19.5" customHeight="1">
      <c r="A229" s="135" t="s">
        <v>482</v>
      </c>
      <c r="B229" s="135" t="s">
        <v>1463</v>
      </c>
      <c r="C229" s="135">
        <v>46268</v>
      </c>
      <c r="D229" s="135" t="s">
        <v>1289</v>
      </c>
      <c r="E229" s="135" t="s">
        <v>1290</v>
      </c>
      <c r="F229" s="135"/>
      <c r="G229" s="135">
        <v>207</v>
      </c>
      <c r="H229" s="135" t="s">
        <v>1268</v>
      </c>
      <c r="I229" s="135" t="str">
        <f>VLOOKUP(H229,list!$B$2:$C$14,2,FALSE)</f>
        <v>KITS</v>
      </c>
      <c r="J229" s="135"/>
      <c r="K229" s="135">
        <v>0</v>
      </c>
      <c r="L229" s="135">
        <v>0</v>
      </c>
      <c r="M229" s="135">
        <v>0</v>
      </c>
      <c r="N229" s="135">
        <v>0</v>
      </c>
      <c r="O229" s="135">
        <v>0</v>
      </c>
      <c r="P229" s="135"/>
      <c r="Q229" s="135">
        <v>0</v>
      </c>
      <c r="R229" s="135"/>
      <c r="S229" s="135"/>
      <c r="T229" s="135" t="s">
        <v>19</v>
      </c>
      <c r="U229" s="135" t="s">
        <v>2226</v>
      </c>
      <c r="V229" s="135" t="s">
        <v>1255</v>
      </c>
      <c r="W229" s="135">
        <v>5</v>
      </c>
      <c r="X229" s="135" t="s">
        <v>2227</v>
      </c>
      <c r="Y229" s="135" t="s">
        <v>2228</v>
      </c>
      <c r="Z229" s="135" t="s">
        <v>2229</v>
      </c>
      <c r="AA229" s="5" t="str">
        <f>VLOOKUP(A229,'Form Responses 1'!$C$2:$K$532,6,FALSE)</f>
        <v>Kit delivery and pickup</v>
      </c>
      <c r="AB229" s="5" t="str">
        <f>VLOOKUP(A229,'Form Responses 1'!$C$2:$K$219,7,FALSE)</f>
        <v>No</v>
      </c>
      <c r="AC229" s="6">
        <f>VLOOKUP(A229,'Form Responses 1'!$C$2:$K$219,8,FALSE)</f>
        <v>207</v>
      </c>
      <c r="AD229" s="6">
        <f>VLOOKUP(A229,'Form Responses 1'!$C$2:$K$219,9,FALSE)</f>
        <v>0</v>
      </c>
    </row>
    <row r="230" spans="1:30" ht="19.5" customHeight="1">
      <c r="A230" s="135" t="s">
        <v>486</v>
      </c>
      <c r="B230" s="135"/>
      <c r="C230" s="135">
        <v>46260</v>
      </c>
      <c r="D230" s="135" t="s">
        <v>1289</v>
      </c>
      <c r="E230" s="135" t="s">
        <v>1290</v>
      </c>
      <c r="F230" s="135"/>
      <c r="G230" s="135">
        <v>200</v>
      </c>
      <c r="H230" s="135" t="s">
        <v>1465</v>
      </c>
      <c r="I230" s="135" t="str">
        <f>VLOOKUP(H230,list!$B$2:$C$14,2,FALSE)</f>
        <v>GREEN</v>
      </c>
      <c r="J230" s="135"/>
      <c r="K230" s="135">
        <v>0</v>
      </c>
      <c r="L230" s="135">
        <v>0</v>
      </c>
      <c r="M230" s="135">
        <v>0</v>
      </c>
      <c r="N230" s="135">
        <v>0</v>
      </c>
      <c r="O230" s="135">
        <v>0</v>
      </c>
      <c r="P230" s="135"/>
      <c r="Q230" s="135">
        <v>0</v>
      </c>
      <c r="R230" s="135"/>
      <c r="S230" s="135"/>
      <c r="T230" s="135" t="s">
        <v>30</v>
      </c>
      <c r="U230" s="135" t="s">
        <v>2230</v>
      </c>
      <c r="V230" s="135" t="s">
        <v>1255</v>
      </c>
      <c r="W230" s="135">
        <v>4</v>
      </c>
      <c r="X230" s="135" t="s">
        <v>2231</v>
      </c>
      <c r="Y230" s="135" t="s">
        <v>2232</v>
      </c>
      <c r="Z230" s="135" t="s">
        <v>1908</v>
      </c>
      <c r="AA230" s="5" t="str">
        <f>VLOOKUP(A230,'Form Responses 1'!$C$2:$K$532,6,FALSE)</f>
        <v>Kit delivery and pickup</v>
      </c>
      <c r="AB230" s="5" t="str">
        <f>VLOOKUP(A230,'Form Responses 1'!$C$2:$K$219,7,FALSE)</f>
        <v>No</v>
      </c>
      <c r="AC230" s="6">
        <f>VLOOKUP(A230,'Form Responses 1'!$C$2:$K$219,8,FALSE)</f>
        <v>315</v>
      </c>
      <c r="AD230" s="6">
        <f>VLOOKUP(A230,'Form Responses 1'!$C$2:$K$219,9,FALSE)</f>
        <v>0</v>
      </c>
    </row>
    <row r="231" spans="1:30" ht="19.5" customHeight="1">
      <c r="A231" s="135" t="s">
        <v>1046</v>
      </c>
      <c r="B231" s="135"/>
      <c r="C231" s="135">
        <v>46517</v>
      </c>
      <c r="D231" s="135" t="s">
        <v>1723</v>
      </c>
      <c r="E231" s="135" t="s">
        <v>1723</v>
      </c>
      <c r="F231" s="135"/>
      <c r="G231" s="135"/>
      <c r="H231" s="135"/>
      <c r="I231" s="135"/>
      <c r="J231" s="135"/>
      <c r="K231" s="135"/>
      <c r="L231" s="135"/>
      <c r="M231" s="135"/>
      <c r="N231" s="135"/>
      <c r="O231" s="135"/>
      <c r="P231" s="135"/>
      <c r="Q231" s="135"/>
      <c r="R231" s="135"/>
      <c r="S231" s="135"/>
      <c r="T231" s="135"/>
      <c r="U231" s="135"/>
      <c r="V231" s="135"/>
      <c r="W231" s="135"/>
      <c r="X231" s="135">
        <v>5742956260</v>
      </c>
      <c r="Y231" s="135" t="s">
        <v>2233</v>
      </c>
      <c r="Z231" s="135"/>
      <c r="AA231" s="5" t="str">
        <f>VLOOKUP(A231,'Form Responses 1'!$C$2:$K$532,6,FALSE)</f>
        <v>Onsite sample collection by ISDH team</v>
      </c>
      <c r="AB231" s="5" t="e">
        <f>VLOOKUP(A231,'Form Responses 1'!$C$2:$K$219,7,FALSE)</f>
        <v>#N/A</v>
      </c>
      <c r="AC231" s="6" t="e">
        <f>VLOOKUP(A231,'Form Responses 1'!$C$2:$K$219,8,FALSE)</f>
        <v>#N/A</v>
      </c>
      <c r="AD231" s="6" t="e">
        <f>VLOOKUP(A231,'Form Responses 1'!$C$2:$K$219,9,FALSE)</f>
        <v>#N/A</v>
      </c>
    </row>
    <row r="232" spans="1:30" ht="19.5" customHeight="1">
      <c r="A232" s="135" t="s">
        <v>490</v>
      </c>
      <c r="B232" s="135" t="s">
        <v>1288</v>
      </c>
      <c r="C232" s="135">
        <v>47112</v>
      </c>
      <c r="D232" s="135" t="s">
        <v>2087</v>
      </c>
      <c r="E232" s="135" t="s">
        <v>2088</v>
      </c>
      <c r="F232" s="135"/>
      <c r="G232" s="135">
        <v>200</v>
      </c>
      <c r="H232" s="135" t="s">
        <v>1276</v>
      </c>
      <c r="I232" s="135" t="str">
        <f>VLOOKUP(H232,list!$B$2:$C$14,2,FALSE)</f>
        <v>GREEN</v>
      </c>
      <c r="J232" s="135"/>
      <c r="K232" s="135">
        <v>0</v>
      </c>
      <c r="L232" s="135">
        <v>0</v>
      </c>
      <c r="M232" s="135">
        <v>0</v>
      </c>
      <c r="N232" s="135">
        <v>0</v>
      </c>
      <c r="O232" s="135">
        <v>0</v>
      </c>
      <c r="P232" s="135"/>
      <c r="Q232" s="135">
        <v>0</v>
      </c>
      <c r="R232" s="135"/>
      <c r="S232" s="135"/>
      <c r="T232" s="135" t="s">
        <v>19</v>
      </c>
      <c r="U232" s="135" t="s">
        <v>2234</v>
      </c>
      <c r="V232" s="135" t="s">
        <v>1255</v>
      </c>
      <c r="W232" s="135">
        <v>2</v>
      </c>
      <c r="X232" s="135" t="s">
        <v>2235</v>
      </c>
      <c r="Y232" s="135" t="s">
        <v>2236</v>
      </c>
      <c r="Z232" s="135" t="s">
        <v>2093</v>
      </c>
      <c r="AA232" s="5" t="s">
        <v>91</v>
      </c>
      <c r="AB232" s="5" t="s">
        <v>30</v>
      </c>
      <c r="AC232" s="6">
        <f>G232</f>
        <v>200</v>
      </c>
      <c r="AD232" s="6"/>
    </row>
    <row r="233" spans="1:30" ht="19.5" customHeight="1">
      <c r="A233" s="135" t="s">
        <v>495</v>
      </c>
      <c r="B233" s="135"/>
      <c r="C233" s="135">
        <v>46131</v>
      </c>
      <c r="D233" s="135" t="s">
        <v>1577</v>
      </c>
      <c r="E233" s="135" t="s">
        <v>1420</v>
      </c>
      <c r="F233" s="135"/>
      <c r="G233" s="135">
        <v>350</v>
      </c>
      <c r="H233" s="135" t="s">
        <v>1276</v>
      </c>
      <c r="I233" s="135" t="str">
        <f>VLOOKUP(H233,list!$B$2:$C$14,2,FALSE)</f>
        <v>GREEN</v>
      </c>
      <c r="J233" s="135"/>
      <c r="K233" s="135">
        <v>0</v>
      </c>
      <c r="L233" s="135">
        <v>0</v>
      </c>
      <c r="M233" s="135">
        <v>0</v>
      </c>
      <c r="N233" s="135">
        <v>0</v>
      </c>
      <c r="O233" s="135">
        <v>0</v>
      </c>
      <c r="P233" s="135"/>
      <c r="Q233" s="135">
        <v>0</v>
      </c>
      <c r="R233" s="135"/>
      <c r="S233" s="135"/>
      <c r="T233" s="135" t="s">
        <v>30</v>
      </c>
      <c r="U233" s="135" t="s">
        <v>2237</v>
      </c>
      <c r="V233" s="135" t="s">
        <v>1255</v>
      </c>
      <c r="W233" s="135">
        <v>2</v>
      </c>
      <c r="X233" s="135" t="s">
        <v>2238</v>
      </c>
      <c r="Y233" s="135" t="s">
        <v>2239</v>
      </c>
      <c r="Z233" s="135" t="s">
        <v>1858</v>
      </c>
      <c r="AA233" s="5" t="str">
        <f>VLOOKUP(A233,'Form Responses 1'!$C$2:$K$532,6,FALSE)</f>
        <v>Kit delivery and pickup</v>
      </c>
      <c r="AB233" s="5" t="str">
        <f>VLOOKUP(A233,'Form Responses 1'!$C$2:$K$219,7,FALSE)</f>
        <v>No</v>
      </c>
      <c r="AC233" s="6">
        <f>VLOOKUP(A233,'Form Responses 1'!$C$2:$K$219,8,FALSE)</f>
        <v>325</v>
      </c>
      <c r="AD233" s="6">
        <f>VLOOKUP(A233,'Form Responses 1'!$C$2:$K$219,9,FALSE)</f>
        <v>0</v>
      </c>
    </row>
    <row r="234" spans="1:30" ht="19.5" customHeight="1">
      <c r="A234" s="135" t="s">
        <v>1090</v>
      </c>
      <c r="B234" s="135"/>
      <c r="C234" s="135">
        <v>47906</v>
      </c>
      <c r="D234" s="135" t="s">
        <v>1753</v>
      </c>
      <c r="E234" s="135" t="s">
        <v>1424</v>
      </c>
      <c r="F234" s="135"/>
      <c r="G234" s="135">
        <v>275</v>
      </c>
      <c r="H234" s="135" t="s">
        <v>1282</v>
      </c>
      <c r="I234" s="135" t="str">
        <f>VLOOKUP(H234,list!$B$2:$C$14,2,FALSE)</f>
        <v>KITS</v>
      </c>
      <c r="J234" s="135"/>
      <c r="K234" s="135">
        <v>0</v>
      </c>
      <c r="L234" s="135">
        <v>0</v>
      </c>
      <c r="M234" s="135">
        <v>0</v>
      </c>
      <c r="N234" s="135">
        <v>0</v>
      </c>
      <c r="O234" s="135">
        <v>0</v>
      </c>
      <c r="P234" s="135"/>
      <c r="Q234" s="135">
        <v>0</v>
      </c>
      <c r="R234" s="135"/>
      <c r="S234" s="135"/>
      <c r="T234" s="135" t="s">
        <v>30</v>
      </c>
      <c r="U234" s="135"/>
      <c r="V234" s="135" t="s">
        <v>1255</v>
      </c>
      <c r="W234" s="135">
        <v>3</v>
      </c>
      <c r="X234" s="135" t="s">
        <v>2240</v>
      </c>
      <c r="Y234" s="135" t="s">
        <v>2241</v>
      </c>
      <c r="Z234" s="135" t="s">
        <v>1756</v>
      </c>
      <c r="AA234" s="5" t="str">
        <f>VLOOKUP(A234,'Form Responses 1'!$C$2:$K$532,6,FALSE)</f>
        <v>Kit delivery and pickup</v>
      </c>
      <c r="AB234" s="5" t="e">
        <f>VLOOKUP(A234,'Form Responses 1'!$C$2:$K$219,7,FALSE)</f>
        <v>#N/A</v>
      </c>
      <c r="AC234" s="6" t="e">
        <f>VLOOKUP(A234,'Form Responses 1'!$C$2:$K$219,8,FALSE)</f>
        <v>#N/A</v>
      </c>
      <c r="AD234" s="6" t="e">
        <f>VLOOKUP(A234,'Form Responses 1'!$C$2:$K$219,9,FALSE)</f>
        <v>#N/A</v>
      </c>
    </row>
    <row r="235" spans="1:30" ht="19.5" customHeight="1">
      <c r="A235" s="135" t="s">
        <v>499</v>
      </c>
      <c r="B235" s="135" t="s">
        <v>1624</v>
      </c>
      <c r="C235" s="135">
        <v>46755</v>
      </c>
      <c r="D235" s="135" t="s">
        <v>2167</v>
      </c>
      <c r="E235" s="135" t="s">
        <v>1453</v>
      </c>
      <c r="F235" s="135"/>
      <c r="G235" s="135">
        <v>49</v>
      </c>
      <c r="H235" s="135" t="s">
        <v>1282</v>
      </c>
      <c r="I235" s="135" t="str">
        <f>VLOOKUP(H235,list!$B$2:$C$14,2,FALSE)</f>
        <v>KITS</v>
      </c>
      <c r="J235" s="135"/>
      <c r="K235" s="135">
        <v>0</v>
      </c>
      <c r="L235" s="135">
        <v>0</v>
      </c>
      <c r="M235" s="135">
        <v>0</v>
      </c>
      <c r="N235" s="135">
        <v>0</v>
      </c>
      <c r="O235" s="135">
        <v>0</v>
      </c>
      <c r="P235" s="135"/>
      <c r="Q235" s="135">
        <v>0</v>
      </c>
      <c r="R235" s="135"/>
      <c r="S235" s="135"/>
      <c r="T235" s="135" t="s">
        <v>19</v>
      </c>
      <c r="U235" s="135" t="s">
        <v>1657</v>
      </c>
      <c r="V235" s="135" t="s">
        <v>1255</v>
      </c>
      <c r="W235" s="135">
        <v>3</v>
      </c>
      <c r="X235" s="135" t="s">
        <v>2242</v>
      </c>
      <c r="Y235" s="135" t="s">
        <v>2243</v>
      </c>
      <c r="Z235" s="135" t="s">
        <v>2170</v>
      </c>
      <c r="AA235" s="5" t="str">
        <f>VLOOKUP(A235,'Form Responses 1'!$C$2:$K$532,6,FALSE)</f>
        <v>Onsite sample collection by ISDH team</v>
      </c>
      <c r="AB235" s="5">
        <f>VLOOKUP(A235,'Form Responses 1'!$C$2:$K$219,7,FALSE)</f>
        <v>0</v>
      </c>
      <c r="AC235" s="6">
        <f>VLOOKUP(A235,'Form Responses 1'!$C$2:$K$219,8,FALSE)</f>
        <v>45</v>
      </c>
      <c r="AD235" s="6" t="str">
        <f>VLOOKUP(A235,'Form Responses 1'!$C$2:$K$219,9,FALSE)</f>
        <v>Facility started testing staff on 5/27 and completed them on 6/1.  They will retest the the May staff if needed.</v>
      </c>
    </row>
    <row r="236" spans="1:30" ht="19.5" customHeight="1">
      <c r="A236" s="135" t="s">
        <v>996</v>
      </c>
      <c r="B236" s="135" t="s">
        <v>2244</v>
      </c>
      <c r="C236" s="135">
        <v>46825</v>
      </c>
      <c r="D236" s="135" t="s">
        <v>1343</v>
      </c>
      <c r="E236" s="135" t="s">
        <v>1252</v>
      </c>
      <c r="F236" s="135"/>
      <c r="G236" s="135">
        <v>230</v>
      </c>
      <c r="H236" s="135" t="s">
        <v>1282</v>
      </c>
      <c r="I236" s="135" t="str">
        <f>VLOOKUP(H236,list!$B$2:$C$14,2,FALSE)</f>
        <v>KITS</v>
      </c>
      <c r="J236" s="135"/>
      <c r="K236" s="135">
        <v>0</v>
      </c>
      <c r="L236" s="135">
        <v>0</v>
      </c>
      <c r="M236" s="135">
        <v>0</v>
      </c>
      <c r="N236" s="135">
        <v>0</v>
      </c>
      <c r="O236" s="135">
        <v>0</v>
      </c>
      <c r="P236" s="135"/>
      <c r="Q236" s="135">
        <v>0</v>
      </c>
      <c r="R236" s="135"/>
      <c r="S236" s="135"/>
      <c r="T236" s="135" t="s">
        <v>30</v>
      </c>
      <c r="U236" s="135" t="s">
        <v>2245</v>
      </c>
      <c r="V236" s="135" t="s">
        <v>1255</v>
      </c>
      <c r="W236" s="135">
        <v>3</v>
      </c>
      <c r="X236" s="135" t="s">
        <v>2246</v>
      </c>
      <c r="Y236" s="135" t="s">
        <v>2247</v>
      </c>
      <c r="Z236" s="135" t="s">
        <v>1379</v>
      </c>
      <c r="AA236" s="5" t="str">
        <f>VLOOKUP(A236,'Form Responses 1'!$C$2:$K$532,6,FALSE)</f>
        <v>Onsite sample collection by ISDH team</v>
      </c>
      <c r="AB236" s="5" t="e">
        <f>VLOOKUP(A236,'Form Responses 1'!$C$2:$K$219,7,FALSE)</f>
        <v>#N/A</v>
      </c>
      <c r="AC236" s="6" t="e">
        <f>VLOOKUP(A236,'Form Responses 1'!$C$2:$K$219,8,FALSE)</f>
        <v>#N/A</v>
      </c>
      <c r="AD236" s="6" t="e">
        <f>VLOOKUP(A236,'Form Responses 1'!$C$2:$K$219,9,FALSE)</f>
        <v>#N/A</v>
      </c>
    </row>
    <row r="237" spans="1:30" ht="19.5" customHeight="1">
      <c r="A237" s="135" t="s">
        <v>2248</v>
      </c>
      <c r="B237" s="135" t="s">
        <v>2244</v>
      </c>
      <c r="C237" s="135">
        <v>46819</v>
      </c>
      <c r="D237" s="135" t="s">
        <v>1343</v>
      </c>
      <c r="E237" s="135" t="s">
        <v>1252</v>
      </c>
      <c r="F237" s="135"/>
      <c r="G237" s="135">
        <v>55</v>
      </c>
      <c r="H237" s="135" t="s">
        <v>1425</v>
      </c>
      <c r="I237" s="135" t="str">
        <f>VLOOKUP(H237,list!$B$2:$C$14,2,FALSE)</f>
        <v>ONSITE</v>
      </c>
      <c r="J237" s="135"/>
      <c r="K237" s="135">
        <v>1</v>
      </c>
      <c r="L237" s="135">
        <v>1</v>
      </c>
      <c r="M237" s="135">
        <v>0</v>
      </c>
      <c r="N237" s="135">
        <v>1</v>
      </c>
      <c r="O237" s="135">
        <v>1</v>
      </c>
      <c r="P237" s="135"/>
      <c r="Q237" s="135">
        <v>1</v>
      </c>
      <c r="R237" s="135" t="s">
        <v>2249</v>
      </c>
      <c r="S237" s="135"/>
      <c r="T237" s="135" t="s">
        <v>30</v>
      </c>
      <c r="U237" s="135"/>
      <c r="V237" s="135" t="s">
        <v>1255</v>
      </c>
      <c r="W237" s="135">
        <v>7</v>
      </c>
      <c r="X237" s="135" t="s">
        <v>2250</v>
      </c>
      <c r="Y237" s="135" t="s">
        <v>2251</v>
      </c>
      <c r="Z237" s="135" t="s">
        <v>2252</v>
      </c>
      <c r="AA237" s="5" t="e">
        <f>VLOOKUP(A237,'Form Responses 1'!$C$2:$K$532,6,FALSE)</f>
        <v>#N/A</v>
      </c>
      <c r="AB237" s="5" t="e">
        <f>VLOOKUP(A237,'Form Responses 1'!$C$2:$K$219,7,FALSE)</f>
        <v>#N/A</v>
      </c>
      <c r="AC237" s="6" t="e">
        <f>VLOOKUP(A237,'Form Responses 1'!$C$2:$K$219,8,FALSE)</f>
        <v>#N/A</v>
      </c>
      <c r="AD237" s="6" t="e">
        <f>VLOOKUP(A237,'Form Responses 1'!$C$2:$K$219,9,FALSE)</f>
        <v>#N/A</v>
      </c>
    </row>
    <row r="238" spans="1:30" ht="19.5" customHeight="1">
      <c r="A238" s="135" t="s">
        <v>504</v>
      </c>
      <c r="B238" s="135" t="s">
        <v>1288</v>
      </c>
      <c r="C238" s="135">
        <v>46902</v>
      </c>
      <c r="D238" s="135" t="s">
        <v>1355</v>
      </c>
      <c r="E238" s="135" t="s">
        <v>1356</v>
      </c>
      <c r="F238" s="135"/>
      <c r="G238" s="135">
        <v>100</v>
      </c>
      <c r="H238" s="135" t="s">
        <v>1276</v>
      </c>
      <c r="I238" s="135" t="str">
        <f>VLOOKUP(H238,list!$B$2:$C$14,2,FALSE)</f>
        <v>GREEN</v>
      </c>
      <c r="J238" s="135"/>
      <c r="K238" s="135">
        <v>0</v>
      </c>
      <c r="L238" s="135">
        <v>0</v>
      </c>
      <c r="M238" s="135">
        <v>0</v>
      </c>
      <c r="N238" s="135">
        <v>0</v>
      </c>
      <c r="O238" s="135">
        <v>0</v>
      </c>
      <c r="P238" s="135"/>
      <c r="Q238" s="135">
        <v>0</v>
      </c>
      <c r="R238" s="135"/>
      <c r="S238" s="135"/>
      <c r="T238" s="135" t="s">
        <v>19</v>
      </c>
      <c r="U238" s="135" t="s">
        <v>2253</v>
      </c>
      <c r="V238" s="135" t="s">
        <v>1255</v>
      </c>
      <c r="W238" s="135">
        <v>2</v>
      </c>
      <c r="X238" s="135" t="s">
        <v>2254</v>
      </c>
      <c r="Y238" s="135" t="s">
        <v>2255</v>
      </c>
      <c r="Z238" s="135" t="s">
        <v>1359</v>
      </c>
      <c r="AA238" s="5" t="s">
        <v>91</v>
      </c>
      <c r="AB238" s="5" t="s">
        <v>30</v>
      </c>
      <c r="AC238" s="6">
        <f>G238</f>
        <v>100</v>
      </c>
      <c r="AD238" s="6"/>
    </row>
    <row r="239" spans="1:30" ht="19.5" customHeight="1">
      <c r="A239" s="135" t="s">
        <v>508</v>
      </c>
      <c r="B239" s="135"/>
      <c r="C239" s="135">
        <v>46312</v>
      </c>
      <c r="D239" s="135" t="s">
        <v>2256</v>
      </c>
      <c r="E239" s="135" t="s">
        <v>1375</v>
      </c>
      <c r="F239" s="135"/>
      <c r="G239" s="135">
        <v>85</v>
      </c>
      <c r="H239" s="135" t="s">
        <v>1282</v>
      </c>
      <c r="I239" s="135" t="str">
        <f>VLOOKUP(H239,list!$B$2:$C$14,2,FALSE)</f>
        <v>KITS</v>
      </c>
      <c r="J239" s="135"/>
      <c r="K239" s="135">
        <v>0</v>
      </c>
      <c r="L239" s="135">
        <v>0</v>
      </c>
      <c r="M239" s="135">
        <v>0</v>
      </c>
      <c r="N239" s="135">
        <v>0</v>
      </c>
      <c r="O239" s="135">
        <v>0</v>
      </c>
      <c r="P239" s="135"/>
      <c r="Q239" s="135">
        <v>0</v>
      </c>
      <c r="R239" s="135"/>
      <c r="S239" s="135"/>
      <c r="T239" s="135" t="s">
        <v>30</v>
      </c>
      <c r="U239" s="135" t="s">
        <v>2257</v>
      </c>
      <c r="V239" s="135" t="s">
        <v>1255</v>
      </c>
      <c r="W239" s="135">
        <v>3</v>
      </c>
      <c r="X239" s="135" t="s">
        <v>2258</v>
      </c>
      <c r="Y239" s="135" t="s">
        <v>2259</v>
      </c>
      <c r="Z239" s="135" t="s">
        <v>2260</v>
      </c>
      <c r="AA239" s="5" t="str">
        <f>VLOOKUP(A239,'Form Responses 1'!$C$2:$K$532,6,FALSE)</f>
        <v>Kit delivery and pickup</v>
      </c>
      <c r="AB239" s="5" t="str">
        <f>VLOOKUP(A239,'Form Responses 1'!$C$2:$K$219,7,FALSE)</f>
        <v>No</v>
      </c>
      <c r="AC239" s="6">
        <f>VLOOKUP(A239,'Form Responses 1'!$C$2:$K$219,8,FALSE)</f>
        <v>100</v>
      </c>
      <c r="AD239" s="6">
        <f>VLOOKUP(A239,'Form Responses 1'!$C$2:$K$219,9,FALSE)</f>
        <v>0</v>
      </c>
    </row>
    <row r="240" spans="1:30" ht="19.5" customHeight="1">
      <c r="A240" s="135" t="s">
        <v>2261</v>
      </c>
      <c r="B240" s="135" t="s">
        <v>343</v>
      </c>
      <c r="C240" s="135">
        <v>47170</v>
      </c>
      <c r="D240" s="135" t="s">
        <v>2073</v>
      </c>
      <c r="E240" s="135" t="s">
        <v>2074</v>
      </c>
      <c r="F240" s="135"/>
      <c r="G240" s="135">
        <v>79</v>
      </c>
      <c r="H240" s="135" t="s">
        <v>1282</v>
      </c>
      <c r="I240" s="135" t="str">
        <f>VLOOKUP(H240,list!$B$2:$C$14,2,FALSE)</f>
        <v>KITS</v>
      </c>
      <c r="J240" s="135"/>
      <c r="K240" s="135">
        <v>0</v>
      </c>
      <c r="L240" s="135">
        <v>0</v>
      </c>
      <c r="M240" s="135">
        <v>0</v>
      </c>
      <c r="N240" s="135">
        <v>0</v>
      </c>
      <c r="O240" s="135">
        <v>0</v>
      </c>
      <c r="P240" s="135"/>
      <c r="Q240" s="135">
        <v>0</v>
      </c>
      <c r="R240" s="135"/>
      <c r="S240" s="135"/>
      <c r="T240" s="135" t="s">
        <v>19</v>
      </c>
      <c r="U240" s="135"/>
      <c r="V240" s="135" t="s">
        <v>1255</v>
      </c>
      <c r="W240" s="135">
        <v>3</v>
      </c>
      <c r="X240" s="135" t="s">
        <v>2262</v>
      </c>
      <c r="Y240" s="135" t="s">
        <v>2263</v>
      </c>
      <c r="Z240" s="135" t="s">
        <v>2077</v>
      </c>
      <c r="AA240" s="5" t="s">
        <v>18</v>
      </c>
      <c r="AB240" s="5" t="s">
        <v>1298</v>
      </c>
      <c r="AC240" s="6">
        <f>G240</f>
        <v>79</v>
      </c>
      <c r="AD240" s="6"/>
    </row>
    <row r="241" spans="1:30" ht="19.5" customHeight="1">
      <c r="A241" s="135" t="s">
        <v>516</v>
      </c>
      <c r="B241" s="135"/>
      <c r="C241" s="135">
        <v>46037</v>
      </c>
      <c r="D241" s="135" t="s">
        <v>1293</v>
      </c>
      <c r="E241" s="135" t="s">
        <v>1294</v>
      </c>
      <c r="F241" s="135"/>
      <c r="G241" s="135">
        <v>94</v>
      </c>
      <c r="H241" s="135" t="s">
        <v>1282</v>
      </c>
      <c r="I241" s="135" t="str">
        <f>VLOOKUP(H241,list!$B$2:$C$14,2,FALSE)</f>
        <v>KITS</v>
      </c>
      <c r="J241" s="135"/>
      <c r="K241" s="135">
        <v>0</v>
      </c>
      <c r="L241" s="135">
        <v>0</v>
      </c>
      <c r="M241" s="135">
        <v>0</v>
      </c>
      <c r="N241" s="135">
        <v>0</v>
      </c>
      <c r="O241" s="135">
        <v>0</v>
      </c>
      <c r="P241" s="135"/>
      <c r="Q241" s="135">
        <v>0</v>
      </c>
      <c r="R241" s="135"/>
      <c r="S241" s="135"/>
      <c r="T241" s="135" t="s">
        <v>30</v>
      </c>
      <c r="U241" s="135" t="s">
        <v>2264</v>
      </c>
      <c r="V241" s="135" t="s">
        <v>1255</v>
      </c>
      <c r="W241" s="135">
        <v>3</v>
      </c>
      <c r="X241" s="135" t="s">
        <v>2265</v>
      </c>
      <c r="Y241" s="135" t="s">
        <v>2266</v>
      </c>
      <c r="Z241" s="135" t="s">
        <v>2267</v>
      </c>
      <c r="AA241" s="5" t="str">
        <f>VLOOKUP(A241,'Form Responses 1'!$C$2:$K$532,6,FALSE)</f>
        <v>Kit delivery and pickup</v>
      </c>
      <c r="AB241" s="5" t="str">
        <f>VLOOKUP(A241,'Form Responses 1'!$C$2:$K$219,7,FALSE)</f>
        <v>No</v>
      </c>
      <c r="AC241" s="6">
        <f>VLOOKUP(A241,'Form Responses 1'!$C$2:$K$219,8,FALSE)</f>
        <v>94</v>
      </c>
      <c r="AD241" s="6">
        <f>VLOOKUP(A241,'Form Responses 1'!$C$2:$K$219,9,FALSE)</f>
        <v>0</v>
      </c>
    </row>
    <row r="242" spans="1:30" ht="19.5" customHeight="1">
      <c r="A242" s="135" t="s">
        <v>1013</v>
      </c>
      <c r="B242" s="135" t="s">
        <v>2268</v>
      </c>
      <c r="C242" s="135">
        <v>47933</v>
      </c>
      <c r="D242" s="135" t="s">
        <v>1486</v>
      </c>
      <c r="E242" s="135" t="s">
        <v>1487</v>
      </c>
      <c r="F242" s="135"/>
      <c r="G242" s="135">
        <v>60</v>
      </c>
      <c r="H242" s="135" t="s">
        <v>1282</v>
      </c>
      <c r="I242" s="135" t="str">
        <f>VLOOKUP(H242,list!$B$2:$C$14,2,FALSE)</f>
        <v>KITS</v>
      </c>
      <c r="J242" s="135"/>
      <c r="K242" s="135">
        <v>0</v>
      </c>
      <c r="L242" s="135">
        <v>0</v>
      </c>
      <c r="M242" s="135">
        <v>0</v>
      </c>
      <c r="N242" s="135">
        <v>0</v>
      </c>
      <c r="O242" s="135">
        <v>0</v>
      </c>
      <c r="P242" s="135"/>
      <c r="Q242" s="135">
        <v>0</v>
      </c>
      <c r="R242" s="135"/>
      <c r="S242" s="135"/>
      <c r="T242" s="135" t="s">
        <v>19</v>
      </c>
      <c r="U242" s="135"/>
      <c r="V242" s="135" t="s">
        <v>1255</v>
      </c>
      <c r="W242" s="135">
        <v>3</v>
      </c>
      <c r="X242" s="135" t="s">
        <v>2269</v>
      </c>
      <c r="Y242" s="135" t="s">
        <v>2270</v>
      </c>
      <c r="Z242" s="135" t="s">
        <v>1490</v>
      </c>
      <c r="AA242" s="5" t="str">
        <f>VLOOKUP(A242,'Form Responses 1'!$C$2:$K$532,6,FALSE)</f>
        <v>Kit delivery and pickup</v>
      </c>
      <c r="AB242" s="5" t="e">
        <f>VLOOKUP(A242,'Form Responses 1'!$C$2:$K$219,7,FALSE)</f>
        <v>#N/A</v>
      </c>
      <c r="AC242" s="6" t="e">
        <f>VLOOKUP(A242,'Form Responses 1'!$C$2:$K$219,8,FALSE)</f>
        <v>#N/A</v>
      </c>
      <c r="AD242" s="6" t="e">
        <f>VLOOKUP(A242,'Form Responses 1'!$C$2:$K$219,9,FALSE)</f>
        <v>#N/A</v>
      </c>
    </row>
    <row r="243" spans="1:30" ht="19.5" customHeight="1">
      <c r="A243" s="135" t="s">
        <v>524</v>
      </c>
      <c r="B243" s="135"/>
      <c r="C243" s="135">
        <v>47303</v>
      </c>
      <c r="D243" s="135" t="s">
        <v>1513</v>
      </c>
      <c r="E243" s="135" t="s">
        <v>1275</v>
      </c>
      <c r="F243" s="135"/>
      <c r="G243" s="135">
        <v>69</v>
      </c>
      <c r="H243" s="135" t="s">
        <v>1282</v>
      </c>
      <c r="I243" s="135" t="str">
        <f>VLOOKUP(H243,list!$B$2:$C$14,2,FALSE)</f>
        <v>KITS</v>
      </c>
      <c r="J243" s="135"/>
      <c r="K243" s="135">
        <v>0</v>
      </c>
      <c r="L243" s="135">
        <v>0</v>
      </c>
      <c r="M243" s="135">
        <v>0</v>
      </c>
      <c r="N243" s="135">
        <v>0</v>
      </c>
      <c r="O243" s="135">
        <v>0</v>
      </c>
      <c r="P243" s="135"/>
      <c r="Q243" s="135">
        <v>0</v>
      </c>
      <c r="R243" s="135"/>
      <c r="S243" s="135"/>
      <c r="T243" s="135" t="s">
        <v>30</v>
      </c>
      <c r="U243" s="135" t="s">
        <v>2271</v>
      </c>
      <c r="V243" s="135" t="s">
        <v>1255</v>
      </c>
      <c r="W243" s="135">
        <v>3</v>
      </c>
      <c r="X243" s="135" t="s">
        <v>2272</v>
      </c>
      <c r="Y243" s="135" t="s">
        <v>2273</v>
      </c>
      <c r="Z243" s="135" t="s">
        <v>1572</v>
      </c>
      <c r="AA243" s="5" t="str">
        <f>VLOOKUP(A243,'Form Responses 1'!$C$2:$K$532,6,FALSE)</f>
        <v>Kit delivery and pickup</v>
      </c>
      <c r="AB243" s="5">
        <f>VLOOKUP(A243,'Form Responses 1'!$C$2:$K$219,7,FALSE)</f>
        <v>0</v>
      </c>
      <c r="AC243" s="6">
        <f>VLOOKUP(A243,'Form Responses 1'!$C$2:$K$219,8,FALSE)</f>
        <v>0</v>
      </c>
      <c r="AD243" s="6">
        <f>VLOOKUP(A243,'Form Responses 1'!$C$2:$K$219,9,FALSE)</f>
        <v>0</v>
      </c>
    </row>
    <row r="244" spans="1:30" ht="19.5" customHeight="1">
      <c r="A244" s="135" t="s">
        <v>529</v>
      </c>
      <c r="B244" s="135" t="s">
        <v>2274</v>
      </c>
      <c r="C244" s="135">
        <v>46805</v>
      </c>
      <c r="D244" s="135" t="s">
        <v>1343</v>
      </c>
      <c r="E244" s="135" t="s">
        <v>1252</v>
      </c>
      <c r="F244" s="135"/>
      <c r="G244" s="135">
        <v>75</v>
      </c>
      <c r="H244" s="135" t="s">
        <v>1276</v>
      </c>
      <c r="I244" s="135" t="str">
        <f>VLOOKUP(H244,list!$B$2:$C$14,2,FALSE)</f>
        <v>GREEN</v>
      </c>
      <c r="J244" s="135"/>
      <c r="K244" s="135">
        <v>0</v>
      </c>
      <c r="L244" s="135">
        <v>0</v>
      </c>
      <c r="M244" s="135">
        <v>0</v>
      </c>
      <c r="N244" s="135">
        <v>0</v>
      </c>
      <c r="O244" s="135">
        <v>0</v>
      </c>
      <c r="P244" s="135"/>
      <c r="Q244" s="135">
        <v>0</v>
      </c>
      <c r="R244" s="135"/>
      <c r="S244" s="135"/>
      <c r="T244" s="135" t="s">
        <v>30</v>
      </c>
      <c r="U244" s="135"/>
      <c r="V244" s="135" t="s">
        <v>1255</v>
      </c>
      <c r="W244" s="135">
        <v>2</v>
      </c>
      <c r="X244" s="135" t="s">
        <v>532</v>
      </c>
      <c r="Y244" s="135" t="s">
        <v>2275</v>
      </c>
      <c r="Z244" s="135" t="s">
        <v>1895</v>
      </c>
      <c r="AA244" s="5" t="str">
        <f>VLOOKUP(A244,'Form Responses 1'!$C$2:$K$532,6,FALSE)</f>
        <v>Kit delivery and pickup</v>
      </c>
      <c r="AB244" s="5" t="str">
        <f>VLOOKUP(A244,'Form Responses 1'!$C$2:$K$219,7,FALSE)</f>
        <v>No</v>
      </c>
      <c r="AC244" s="6">
        <f>VLOOKUP(A244,'Form Responses 1'!$C$2:$K$219,8,FALSE)</f>
        <v>75</v>
      </c>
      <c r="AD244" s="6" t="str">
        <f>VLOOKUP(A244,'Form Responses 1'!$C$2:$K$219,9,FALSE)</f>
        <v>-if new staff prior to 7/3 - will they need to be tested
-agency staff - if someone new comes to facility that was not tested, what will need to be done</v>
      </c>
    </row>
    <row r="245" spans="1:30" ht="19.5" customHeight="1">
      <c r="A245" s="135" t="s">
        <v>534</v>
      </c>
      <c r="B245" s="135" t="s">
        <v>2274</v>
      </c>
      <c r="C245" s="135">
        <v>46761</v>
      </c>
      <c r="D245" s="135" t="s">
        <v>2276</v>
      </c>
      <c r="E245" s="135" t="s">
        <v>2277</v>
      </c>
      <c r="F245" s="135"/>
      <c r="G245" s="135">
        <v>71</v>
      </c>
      <c r="H245" s="135" t="s">
        <v>1268</v>
      </c>
      <c r="I245" s="135" t="str">
        <f>VLOOKUP(H245,list!$B$2:$C$14,2,FALSE)</f>
        <v>KITS</v>
      </c>
      <c r="J245" s="135"/>
      <c r="K245" s="135">
        <v>0</v>
      </c>
      <c r="L245" s="135">
        <v>0</v>
      </c>
      <c r="M245" s="135">
        <v>0</v>
      </c>
      <c r="N245" s="135">
        <v>0</v>
      </c>
      <c r="O245" s="135">
        <v>0</v>
      </c>
      <c r="P245" s="135"/>
      <c r="Q245" s="135">
        <v>0</v>
      </c>
      <c r="R245" s="135"/>
      <c r="S245" s="135"/>
      <c r="T245" s="135" t="s">
        <v>30</v>
      </c>
      <c r="U245" s="135" t="s">
        <v>2278</v>
      </c>
      <c r="V245" s="135" t="s">
        <v>1255</v>
      </c>
      <c r="W245" s="135">
        <v>5</v>
      </c>
      <c r="X245" s="135" t="s">
        <v>537</v>
      </c>
      <c r="Y245" s="135" t="s">
        <v>2279</v>
      </c>
      <c r="Z245" s="135" t="s">
        <v>2280</v>
      </c>
      <c r="AA245" s="5" t="str">
        <f>VLOOKUP(A245,'Form Responses 1'!$C$2:$K$532,6,FALSE)</f>
        <v>Kit delivery and pickup</v>
      </c>
      <c r="AB245" s="5" t="str">
        <f>VLOOKUP(A245,'Form Responses 1'!$C$2:$K$219,7,FALSE)</f>
        <v>No</v>
      </c>
      <c r="AC245" s="6">
        <f>VLOOKUP(A245,'Form Responses 1'!$C$2:$K$219,8,FALSE)</f>
        <v>80</v>
      </c>
      <c r="AD245" s="6" t="str">
        <f>VLOOKUP(A245,'Form Responses 1'!$C$2:$K$219,9,FALSE)</f>
        <v>need to provide feedback -if staff + in a neg bldg. - are they considered +</v>
      </c>
    </row>
    <row r="246" spans="1:30" ht="19.5" customHeight="1">
      <c r="A246" s="135" t="s">
        <v>1058</v>
      </c>
      <c r="B246" s="135" t="s">
        <v>2274</v>
      </c>
      <c r="C246" s="135">
        <v>46360</v>
      </c>
      <c r="D246" s="135" t="s">
        <v>1332</v>
      </c>
      <c r="E246" s="135" t="s">
        <v>1333</v>
      </c>
      <c r="F246" s="135" t="s">
        <v>30</v>
      </c>
      <c r="G246" s="135">
        <v>115</v>
      </c>
      <c r="H246" s="135" t="s">
        <v>1282</v>
      </c>
      <c r="I246" s="135" t="str">
        <f>VLOOKUP(H246,list!$B$2:$C$14,2,FALSE)</f>
        <v>KITS</v>
      </c>
      <c r="J246" s="135"/>
      <c r="K246" s="135">
        <v>0</v>
      </c>
      <c r="L246" s="135">
        <v>0</v>
      </c>
      <c r="M246" s="135">
        <v>0</v>
      </c>
      <c r="N246" s="135">
        <v>0</v>
      </c>
      <c r="O246" s="135">
        <v>0</v>
      </c>
      <c r="P246" s="135"/>
      <c r="Q246" s="135">
        <v>0</v>
      </c>
      <c r="R246" s="135"/>
      <c r="S246" s="135"/>
      <c r="T246" s="135" t="s">
        <v>19</v>
      </c>
      <c r="U246" s="135" t="s">
        <v>2281</v>
      </c>
      <c r="V246" s="135" t="s">
        <v>1255</v>
      </c>
      <c r="W246" s="135">
        <v>3</v>
      </c>
      <c r="X246" s="135" t="s">
        <v>2282</v>
      </c>
      <c r="Y246" s="135" t="s">
        <v>2283</v>
      </c>
      <c r="Z246" s="135" t="s">
        <v>1336</v>
      </c>
      <c r="AA246" s="5" t="str">
        <f>VLOOKUP(A246,'Form Responses 1'!$C$2:$K$532,6,FALSE)</f>
        <v>Kit delivery and pickup</v>
      </c>
      <c r="AB246" s="5" t="e">
        <f>VLOOKUP(A246,'Form Responses 1'!$C$2:$K$219,7,FALSE)</f>
        <v>#N/A</v>
      </c>
      <c r="AC246" s="6" t="e">
        <f>VLOOKUP(A246,'Form Responses 1'!$C$2:$K$219,8,FALSE)</f>
        <v>#N/A</v>
      </c>
      <c r="AD246" s="6" t="e">
        <f>VLOOKUP(A246,'Form Responses 1'!$C$2:$K$219,9,FALSE)</f>
        <v>#N/A</v>
      </c>
    </row>
    <row r="247" spans="1:30" ht="19.5" customHeight="1">
      <c r="A247" s="135" t="s">
        <v>539</v>
      </c>
      <c r="B247" s="135" t="s">
        <v>2274</v>
      </c>
      <c r="C247" s="135">
        <v>46975</v>
      </c>
      <c r="D247" s="135" t="s">
        <v>2180</v>
      </c>
      <c r="E247" s="135" t="s">
        <v>1630</v>
      </c>
      <c r="F247" s="135"/>
      <c r="G247" s="135">
        <v>80</v>
      </c>
      <c r="H247" s="135" t="s">
        <v>1253</v>
      </c>
      <c r="I247" s="135" t="str">
        <f>VLOOKUP(H247,list!$B$2:$C$14,2,FALSE)</f>
        <v>KITS</v>
      </c>
      <c r="J247" s="135"/>
      <c r="K247" s="135">
        <v>0</v>
      </c>
      <c r="L247" s="135">
        <v>0</v>
      </c>
      <c r="M247" s="135">
        <v>0</v>
      </c>
      <c r="N247" s="135">
        <v>0</v>
      </c>
      <c r="O247" s="135">
        <v>0</v>
      </c>
      <c r="P247" s="135"/>
      <c r="Q247" s="135">
        <v>0</v>
      </c>
      <c r="R247" s="135"/>
      <c r="S247" s="135"/>
      <c r="T247" s="135" t="s">
        <v>30</v>
      </c>
      <c r="U247" s="135" t="s">
        <v>2284</v>
      </c>
      <c r="V247" s="135" t="s">
        <v>1255</v>
      </c>
      <c r="W247" s="135">
        <v>6</v>
      </c>
      <c r="X247" s="135" t="s">
        <v>2285</v>
      </c>
      <c r="Y247" s="135" t="s">
        <v>2286</v>
      </c>
      <c r="Z247" s="135" t="s">
        <v>2183</v>
      </c>
      <c r="AA247" s="5" t="str">
        <f>VLOOKUP(A247,'Form Responses 1'!$C$2:$K$532,6,FALSE)</f>
        <v>Kit delivery and pickup</v>
      </c>
      <c r="AB247" s="5" t="str">
        <f>VLOOKUP(A247,'Form Responses 1'!$C$2:$K$219,7,FALSE)</f>
        <v>No</v>
      </c>
      <c r="AC247" s="6">
        <f>VLOOKUP(A247,'Form Responses 1'!$C$2:$K$219,8,FALSE)</f>
        <v>80</v>
      </c>
      <c r="AD247" s="6">
        <f>VLOOKUP(A247,'Form Responses 1'!$C$2:$K$219,9,FALSE)</f>
        <v>0</v>
      </c>
    </row>
    <row r="248" spans="1:30" ht="19.5" customHeight="1">
      <c r="A248" s="135" t="s">
        <v>543</v>
      </c>
      <c r="B248" s="135" t="s">
        <v>2274</v>
      </c>
      <c r="C248" s="135">
        <v>46383</v>
      </c>
      <c r="D248" s="135" t="s">
        <v>1447</v>
      </c>
      <c r="E248" s="135" t="s">
        <v>1267</v>
      </c>
      <c r="F248" s="135"/>
      <c r="G248" s="135">
        <v>94</v>
      </c>
      <c r="H248" s="135" t="s">
        <v>1282</v>
      </c>
      <c r="I248" s="135" t="str">
        <f>VLOOKUP(H248,list!$B$2:$C$14,2,FALSE)</f>
        <v>KITS</v>
      </c>
      <c r="J248" s="135"/>
      <c r="K248" s="135">
        <v>0</v>
      </c>
      <c r="L248" s="135">
        <v>0</v>
      </c>
      <c r="M248" s="135">
        <v>0</v>
      </c>
      <c r="N248" s="135">
        <v>0</v>
      </c>
      <c r="O248" s="135">
        <v>0</v>
      </c>
      <c r="P248" s="135"/>
      <c r="Q248" s="135">
        <v>0</v>
      </c>
      <c r="R248" s="135"/>
      <c r="S248" s="135"/>
      <c r="T248" s="135" t="s">
        <v>30</v>
      </c>
      <c r="U248" s="135" t="s">
        <v>2287</v>
      </c>
      <c r="V248" s="135" t="s">
        <v>1255</v>
      </c>
      <c r="W248" s="135">
        <v>3</v>
      </c>
      <c r="X248" s="135" t="s">
        <v>2288</v>
      </c>
      <c r="Y248" s="135" t="s">
        <v>2289</v>
      </c>
      <c r="Z248" s="135" t="s">
        <v>1450</v>
      </c>
      <c r="AA248" s="5" t="str">
        <f>VLOOKUP(A248,'Form Responses 1'!$C$2:$K$532,6,FALSE)</f>
        <v>Kit delivery and pickup</v>
      </c>
      <c r="AB248" s="5" t="str">
        <f>VLOOKUP(A248,'Form Responses 1'!$C$2:$K$219,7,FALSE)</f>
        <v>No</v>
      </c>
      <c r="AC248" s="6">
        <f>VLOOKUP(A248,'Form Responses 1'!$C$2:$K$219,8,FALSE)</f>
        <v>130</v>
      </c>
      <c r="AD248" s="6">
        <f>VLOOKUP(A248,'Form Responses 1'!$C$2:$K$219,9,FALSE)</f>
        <v>0</v>
      </c>
    </row>
    <row r="249" spans="1:30" ht="19.5" customHeight="1">
      <c r="A249" s="135" t="s">
        <v>547</v>
      </c>
      <c r="B249" s="135" t="s">
        <v>2274</v>
      </c>
      <c r="C249" s="135">
        <v>46385</v>
      </c>
      <c r="D249" s="135" t="s">
        <v>1447</v>
      </c>
      <c r="E249" s="135" t="s">
        <v>1267</v>
      </c>
      <c r="F249" s="135"/>
      <c r="G249" s="135">
        <v>150</v>
      </c>
      <c r="H249" s="135" t="s">
        <v>1253</v>
      </c>
      <c r="I249" s="135" t="str">
        <f>VLOOKUP(H249,list!$B$2:$C$14,2,FALSE)</f>
        <v>KITS</v>
      </c>
      <c r="J249" s="135"/>
      <c r="K249" s="135">
        <v>0</v>
      </c>
      <c r="L249" s="135">
        <v>0</v>
      </c>
      <c r="M249" s="135">
        <v>0</v>
      </c>
      <c r="N249" s="135">
        <v>0</v>
      </c>
      <c r="O249" s="135">
        <v>0</v>
      </c>
      <c r="P249" s="135"/>
      <c r="Q249" s="135">
        <v>0</v>
      </c>
      <c r="R249" s="135"/>
      <c r="S249" s="135"/>
      <c r="T249" s="135" t="s">
        <v>19</v>
      </c>
      <c r="U249" s="135" t="s">
        <v>2290</v>
      </c>
      <c r="V249" s="135" t="s">
        <v>1255</v>
      </c>
      <c r="W249" s="135">
        <v>6</v>
      </c>
      <c r="X249" s="135" t="s">
        <v>2291</v>
      </c>
      <c r="Y249" s="135" t="s">
        <v>2292</v>
      </c>
      <c r="Z249" s="135" t="s">
        <v>2293</v>
      </c>
      <c r="AA249" s="5" t="str">
        <f>VLOOKUP(A249,'Form Responses 1'!$C$2:$K$532,6,FALSE)</f>
        <v>Kit delivery and pickup</v>
      </c>
      <c r="AB249" s="5" t="str">
        <f>VLOOKUP(A249,'Form Responses 1'!$C$2:$K$219,7,FALSE)</f>
        <v>No</v>
      </c>
      <c r="AC249" s="6">
        <f>VLOOKUP(A249,'Form Responses 1'!$C$2:$K$219,8,FALSE)</f>
        <v>165</v>
      </c>
      <c r="AD249" s="6">
        <f>VLOOKUP(A249,'Form Responses 1'!$C$2:$K$219,9,FALSE)</f>
        <v>0</v>
      </c>
    </row>
    <row r="250" spans="1:30" ht="19.5" customHeight="1">
      <c r="A250" s="135" t="s">
        <v>2294</v>
      </c>
      <c r="B250" s="135" t="s">
        <v>1303</v>
      </c>
      <c r="C250" s="135">
        <v>47586</v>
      </c>
      <c r="D250" s="135" t="s">
        <v>2295</v>
      </c>
      <c r="E250" s="135" t="s">
        <v>2296</v>
      </c>
      <c r="F250" s="135"/>
      <c r="G250" s="135">
        <v>79</v>
      </c>
      <c r="H250" s="135" t="s">
        <v>1326</v>
      </c>
      <c r="I250" s="135" t="str">
        <f>VLOOKUP(H250,list!$B$2:$C$14,2,FALSE)</f>
        <v>ONSITE</v>
      </c>
      <c r="J250" s="135"/>
      <c r="K250" s="135">
        <v>0</v>
      </c>
      <c r="L250" s="135">
        <v>0</v>
      </c>
      <c r="M250" s="135">
        <v>0</v>
      </c>
      <c r="N250" s="135">
        <v>0</v>
      </c>
      <c r="O250" s="135">
        <v>1</v>
      </c>
      <c r="P250" s="135"/>
      <c r="Q250" s="135">
        <v>0</v>
      </c>
      <c r="R250" s="135"/>
      <c r="S250" s="135" t="s">
        <v>2297</v>
      </c>
      <c r="T250" s="135" t="s">
        <v>30</v>
      </c>
      <c r="U250" s="135" t="s">
        <v>1557</v>
      </c>
      <c r="V250" s="135" t="s">
        <v>1255</v>
      </c>
      <c r="W250" s="135">
        <v>1</v>
      </c>
      <c r="X250" s="135" t="e">
        <v>#N/A</v>
      </c>
      <c r="Y250" s="135" t="e">
        <v>#N/A</v>
      </c>
      <c r="Z250" s="135" t="e">
        <v>#N/A</v>
      </c>
      <c r="AA250" s="5" t="s">
        <v>18</v>
      </c>
      <c r="AB250" s="5" t="s">
        <v>1298</v>
      </c>
      <c r="AC250" s="11"/>
      <c r="AD250" s="11"/>
    </row>
    <row r="251" spans="1:30" ht="19.5" customHeight="1">
      <c r="A251" s="135" t="s">
        <v>551</v>
      </c>
      <c r="B251" s="135"/>
      <c r="C251" s="135">
        <v>46410</v>
      </c>
      <c r="D251" s="135" t="s">
        <v>1958</v>
      </c>
      <c r="E251" s="135" t="s">
        <v>1375</v>
      </c>
      <c r="F251" s="135"/>
      <c r="G251" s="135">
        <v>100</v>
      </c>
      <c r="H251" s="135" t="s">
        <v>1276</v>
      </c>
      <c r="I251" s="135" t="str">
        <f>VLOOKUP(H251,list!$B$2:$C$14,2,FALSE)</f>
        <v>GREEN</v>
      </c>
      <c r="J251" s="135"/>
      <c r="K251" s="135">
        <v>0</v>
      </c>
      <c r="L251" s="135">
        <v>0</v>
      </c>
      <c r="M251" s="135">
        <v>0</v>
      </c>
      <c r="N251" s="135">
        <v>0</v>
      </c>
      <c r="O251" s="135">
        <v>0</v>
      </c>
      <c r="P251" s="135"/>
      <c r="Q251" s="135">
        <v>0</v>
      </c>
      <c r="R251" s="135"/>
      <c r="S251" s="135" t="s">
        <v>2298</v>
      </c>
      <c r="T251" s="135" t="s">
        <v>19</v>
      </c>
      <c r="U251" s="135" t="s">
        <v>2299</v>
      </c>
      <c r="V251" s="135" t="s">
        <v>1255</v>
      </c>
      <c r="W251" s="135">
        <v>2</v>
      </c>
      <c r="X251" s="135" t="s">
        <v>2300</v>
      </c>
      <c r="Y251" s="135" t="s">
        <v>2301</v>
      </c>
      <c r="Z251" s="135" t="s">
        <v>1961</v>
      </c>
      <c r="AA251" s="5" t="str">
        <f>VLOOKUP(A251,'Form Responses 1'!$C$2:$K$532,6,FALSE)</f>
        <v>Kit delivery and pickup</v>
      </c>
      <c r="AB251" s="5" t="str">
        <f>VLOOKUP(A251,'Form Responses 1'!$C$2:$K$219,7,FALSE)</f>
        <v>No</v>
      </c>
      <c r="AC251" s="6">
        <f>VLOOKUP(A251,'Form Responses 1'!$C$2:$K$219,8,FALSE)</f>
        <v>120</v>
      </c>
      <c r="AD251" s="6">
        <f>VLOOKUP(A251,'Form Responses 1'!$C$2:$K$219,9,FALSE)</f>
        <v>0</v>
      </c>
    </row>
    <row r="252" spans="1:30" ht="19.5" customHeight="1">
      <c r="A252" s="135" t="s">
        <v>555</v>
      </c>
      <c r="B252" s="135"/>
      <c r="C252" s="135">
        <v>46012</v>
      </c>
      <c r="D252" s="135" t="s">
        <v>1498</v>
      </c>
      <c r="E252" s="135" t="s">
        <v>1281</v>
      </c>
      <c r="F252" s="135"/>
      <c r="G252" s="135">
        <v>69</v>
      </c>
      <c r="H252" s="135" t="s">
        <v>1282</v>
      </c>
      <c r="I252" s="135" t="str">
        <f>VLOOKUP(H252,list!$B$2:$C$14,2,FALSE)</f>
        <v>KITS</v>
      </c>
      <c r="J252" s="135"/>
      <c r="K252" s="135">
        <v>0</v>
      </c>
      <c r="L252" s="135">
        <v>0</v>
      </c>
      <c r="M252" s="135">
        <v>0</v>
      </c>
      <c r="N252" s="135">
        <v>0</v>
      </c>
      <c r="O252" s="135">
        <v>0</v>
      </c>
      <c r="P252" s="135"/>
      <c r="Q252" s="135">
        <v>0</v>
      </c>
      <c r="R252" s="135"/>
      <c r="S252" s="135"/>
      <c r="T252" s="135" t="s">
        <v>30</v>
      </c>
      <c r="U252" s="135"/>
      <c r="V252" s="135" t="s">
        <v>1255</v>
      </c>
      <c r="W252" s="135">
        <v>3</v>
      </c>
      <c r="X252" s="135" t="s">
        <v>2302</v>
      </c>
      <c r="Y252" s="135" t="s">
        <v>2303</v>
      </c>
      <c r="Z252" s="135" t="s">
        <v>1501</v>
      </c>
      <c r="AA252" s="5" t="str">
        <f>VLOOKUP(A252,'Form Responses 1'!$C$2:$K$532,6,FALSE)</f>
        <v>Kit delivery and pickup</v>
      </c>
      <c r="AB252" s="5">
        <f>VLOOKUP(A252,'Form Responses 1'!$C$2:$K$219,7,FALSE)</f>
        <v>0</v>
      </c>
      <c r="AC252" s="6">
        <f>VLOOKUP(A252,'Form Responses 1'!$C$2:$K$219,8,FALSE)</f>
        <v>0</v>
      </c>
      <c r="AD252" s="6" t="str">
        <f>VLOOKUP(A252,'Form Responses 1'!$C$2:$K$219,9,FALSE)</f>
        <v>Spoke with Chloe, DON at facility re: Mandated ISDH LTC Staff Testing in June.  Per DON, facility has chosen Option #1:  Kit Delivery &amp; Pickup.  Email address confirmed at don@lindbergcrossing.com
ED currently out, unsure of return to office, per Chloe.  OK to cc admin, Cindi Cooper at administrator@lindbergcrossing.com</v>
      </c>
    </row>
    <row r="253" spans="1:30" ht="19.5" customHeight="1">
      <c r="A253" s="135" t="s">
        <v>560</v>
      </c>
      <c r="B253" s="135"/>
      <c r="C253" s="135">
        <v>47591</v>
      </c>
      <c r="D253" s="135" t="s">
        <v>1552</v>
      </c>
      <c r="E253" s="135" t="s">
        <v>1553</v>
      </c>
      <c r="F253" s="135"/>
      <c r="G253" s="135">
        <v>65</v>
      </c>
      <c r="H253" s="135" t="s">
        <v>1282</v>
      </c>
      <c r="I253" s="135" t="str">
        <f>VLOOKUP(H253,list!$B$2:$C$14,2,FALSE)</f>
        <v>KITS</v>
      </c>
      <c r="J253" s="135"/>
      <c r="K253" s="135">
        <v>0</v>
      </c>
      <c r="L253" s="135">
        <v>0</v>
      </c>
      <c r="M253" s="135">
        <v>0</v>
      </c>
      <c r="N253" s="135">
        <v>0</v>
      </c>
      <c r="O253" s="135">
        <v>0</v>
      </c>
      <c r="P253" s="135"/>
      <c r="Q253" s="135">
        <v>0</v>
      </c>
      <c r="R253" s="135"/>
      <c r="S253" s="135"/>
      <c r="T253" s="135" t="s">
        <v>19</v>
      </c>
      <c r="U253" s="135"/>
      <c r="V253" s="135" t="s">
        <v>1255</v>
      </c>
      <c r="W253" s="135">
        <v>3</v>
      </c>
      <c r="X253" s="135" t="s">
        <v>2304</v>
      </c>
      <c r="Y253" s="135" t="s">
        <v>2305</v>
      </c>
      <c r="Z253" s="135" t="s">
        <v>1556</v>
      </c>
      <c r="AA253" s="5" t="str">
        <f>VLOOKUP(A253,'Form Responses 1'!$C$2:$K$532,6,FALSE)</f>
        <v>Kit delivery and pickup</v>
      </c>
      <c r="AB253" s="5" t="str">
        <f>VLOOKUP(A253,'Form Responses 1'!$C$2:$K$219,7,FALSE)</f>
        <v>Yes</v>
      </c>
      <c r="AC253" s="6">
        <f>VLOOKUP(A253,'Form Responses 1'!$C$2:$K$219,8,FALSE)</f>
        <v>70</v>
      </c>
      <c r="AD253" s="6" t="str">
        <f>VLOOKUP(A253,'Form Responses 1'!$C$2:$K$219,9,FALSE)</f>
        <v xml:space="preserve">Answered 5 questions </v>
      </c>
    </row>
    <row r="254" spans="1:30" ht="19.5" customHeight="1">
      <c r="A254" s="135" t="s">
        <v>565</v>
      </c>
      <c r="B254" s="135"/>
      <c r="C254" s="135">
        <v>47553</v>
      </c>
      <c r="D254" s="135" t="s">
        <v>2306</v>
      </c>
      <c r="E254" s="135" t="s">
        <v>2307</v>
      </c>
      <c r="F254" s="135"/>
      <c r="G254" s="135">
        <v>40</v>
      </c>
      <c r="H254" s="135" t="s">
        <v>1282</v>
      </c>
      <c r="I254" s="135" t="str">
        <f>VLOOKUP(H254,list!$B$2:$C$14,2,FALSE)</f>
        <v>KITS</v>
      </c>
      <c r="J254" s="135"/>
      <c r="K254" s="135">
        <v>0</v>
      </c>
      <c r="L254" s="135">
        <v>0</v>
      </c>
      <c r="M254" s="135">
        <v>0</v>
      </c>
      <c r="N254" s="135">
        <v>0</v>
      </c>
      <c r="O254" s="135">
        <v>0</v>
      </c>
      <c r="P254" s="135"/>
      <c r="Q254" s="135">
        <v>0</v>
      </c>
      <c r="R254" s="135"/>
      <c r="S254" s="135"/>
      <c r="T254" s="135" t="s">
        <v>19</v>
      </c>
      <c r="U254" s="135" t="s">
        <v>2308</v>
      </c>
      <c r="V254" s="135" t="s">
        <v>1255</v>
      </c>
      <c r="W254" s="135">
        <v>3</v>
      </c>
      <c r="X254" s="135" t="s">
        <v>2309</v>
      </c>
      <c r="Y254" s="135" t="s">
        <v>2310</v>
      </c>
      <c r="Z254" s="135" t="s">
        <v>2311</v>
      </c>
      <c r="AA254" s="5" t="str">
        <f>VLOOKUP(A254,'Form Responses 1'!$C$2:$K$532,6,FALSE)</f>
        <v>Kit delivery and pickup</v>
      </c>
      <c r="AB254" s="5" t="str">
        <f>VLOOKUP(A254,'Form Responses 1'!$C$2:$K$219,7,FALSE)</f>
        <v>No</v>
      </c>
      <c r="AC254" s="6">
        <f>VLOOKUP(A254,'Form Responses 1'!$C$2:$K$219,8,FALSE)</f>
        <v>90</v>
      </c>
      <c r="AD254" s="6" t="str">
        <f>VLOOKUP(A254,'Form Responses 1'!$C$2:$K$219,9,FALSE)</f>
        <v>This is total for both Loogootee HC Rehab and Loogootee Nursing Center SNFs -2 facilities.</v>
      </c>
    </row>
    <row r="255" spans="1:30" ht="19.5" customHeight="1">
      <c r="A255" s="135" t="s">
        <v>2312</v>
      </c>
      <c r="B255" s="135" t="s">
        <v>343</v>
      </c>
      <c r="C255" s="135">
        <v>46356</v>
      </c>
      <c r="D255" s="135" t="s">
        <v>1635</v>
      </c>
      <c r="E255" s="135" t="s">
        <v>1375</v>
      </c>
      <c r="F255" s="135" t="s">
        <v>30</v>
      </c>
      <c r="G255" s="135">
        <v>122</v>
      </c>
      <c r="H255" s="135" t="s">
        <v>1282</v>
      </c>
      <c r="I255" s="135" t="str">
        <f>VLOOKUP(H255,list!$B$2:$C$14,2,FALSE)</f>
        <v>KITS</v>
      </c>
      <c r="J255" s="135"/>
      <c r="K255" s="135">
        <v>0</v>
      </c>
      <c r="L255" s="135">
        <v>0</v>
      </c>
      <c r="M255" s="135">
        <v>0</v>
      </c>
      <c r="N255" s="135">
        <v>0</v>
      </c>
      <c r="O255" s="135">
        <v>0</v>
      </c>
      <c r="P255" s="135"/>
      <c r="Q255" s="135">
        <v>0</v>
      </c>
      <c r="R255" s="135"/>
      <c r="S255" s="135"/>
      <c r="T255" s="135" t="s">
        <v>19</v>
      </c>
      <c r="U255" s="135"/>
      <c r="V255" s="135" t="s">
        <v>1255</v>
      </c>
      <c r="W255" s="135">
        <v>3</v>
      </c>
      <c r="X255" s="135" t="s">
        <v>2313</v>
      </c>
      <c r="Y255" s="135" t="s">
        <v>2314</v>
      </c>
      <c r="Z255" s="135" t="s">
        <v>1639</v>
      </c>
      <c r="AA255" s="5" t="s">
        <v>18</v>
      </c>
      <c r="AB255" s="5" t="s">
        <v>1298</v>
      </c>
      <c r="AC255" s="6">
        <f>G255</f>
        <v>122</v>
      </c>
      <c r="AD255" s="6"/>
    </row>
    <row r="256" spans="1:30" ht="19.5" customHeight="1">
      <c r="A256" s="135" t="s">
        <v>570</v>
      </c>
      <c r="B256" s="135"/>
      <c r="C256" s="135">
        <v>47274</v>
      </c>
      <c r="D256" s="135" t="s">
        <v>1731</v>
      </c>
      <c r="E256" s="135" t="s">
        <v>1732</v>
      </c>
      <c r="F256" s="135"/>
      <c r="G256" s="135">
        <v>175</v>
      </c>
      <c r="H256" s="135" t="s">
        <v>1253</v>
      </c>
      <c r="I256" s="135" t="str">
        <f>VLOOKUP(H256,list!$B$2:$C$14,2,FALSE)</f>
        <v>KITS</v>
      </c>
      <c r="J256" s="135"/>
      <c r="K256" s="135">
        <v>0</v>
      </c>
      <c r="L256" s="135">
        <v>0</v>
      </c>
      <c r="M256" s="135">
        <v>0</v>
      </c>
      <c r="N256" s="135">
        <v>0</v>
      </c>
      <c r="O256" s="135">
        <v>0</v>
      </c>
      <c r="P256" s="135"/>
      <c r="Q256" s="135">
        <v>0</v>
      </c>
      <c r="R256" s="135"/>
      <c r="S256" s="135"/>
      <c r="T256" s="135" t="s">
        <v>30</v>
      </c>
      <c r="U256" s="135"/>
      <c r="V256" s="135" t="s">
        <v>1255</v>
      </c>
      <c r="W256" s="135">
        <v>6</v>
      </c>
      <c r="X256" s="135" t="s">
        <v>2315</v>
      </c>
      <c r="Y256" s="135" t="s">
        <v>2316</v>
      </c>
      <c r="Z256" s="135" t="s">
        <v>1735</v>
      </c>
      <c r="AA256" s="5" t="str">
        <f>VLOOKUP(A256,'Form Responses 1'!$C$2:$K$532,6,FALSE)</f>
        <v>Prefer not to use ISDH resources for employee testing</v>
      </c>
      <c r="AB256" s="5">
        <f>VLOOKUP(A256,'Form Responses 1'!$C$2:$K$219,7,FALSE)</f>
        <v>0</v>
      </c>
      <c r="AC256" s="6">
        <f>VLOOKUP(A256,'Form Responses 1'!$C$2:$K$219,8,FALSE)</f>
        <v>0</v>
      </c>
      <c r="AD256" s="6">
        <f>VLOOKUP(A256,'Form Responses 1'!$C$2:$K$219,9,FALSE)</f>
        <v>0</v>
      </c>
    </row>
    <row r="257" spans="1:30" ht="19.5" customHeight="1">
      <c r="A257" s="135" t="s">
        <v>574</v>
      </c>
      <c r="B257" s="135"/>
      <c r="C257" s="135">
        <v>46816</v>
      </c>
      <c r="D257" s="135" t="s">
        <v>1343</v>
      </c>
      <c r="E257" s="135" t="s">
        <v>1252</v>
      </c>
      <c r="F257" s="135"/>
      <c r="G257" s="135">
        <v>260</v>
      </c>
      <c r="H257" s="135" t="s">
        <v>1253</v>
      </c>
      <c r="I257" s="135" t="str">
        <f>VLOOKUP(H257,list!$B$2:$C$14,2,FALSE)</f>
        <v>KITS</v>
      </c>
      <c r="J257" s="135"/>
      <c r="K257" s="135">
        <v>0</v>
      </c>
      <c r="L257" s="135">
        <v>0</v>
      </c>
      <c r="M257" s="135">
        <v>0</v>
      </c>
      <c r="N257" s="135">
        <v>0</v>
      </c>
      <c r="O257" s="135">
        <v>0</v>
      </c>
      <c r="P257" s="135"/>
      <c r="Q257" s="135">
        <v>0</v>
      </c>
      <c r="R257" s="135"/>
      <c r="S257" s="135"/>
      <c r="T257" s="135" t="s">
        <v>19</v>
      </c>
      <c r="U257" s="135" t="s">
        <v>2317</v>
      </c>
      <c r="V257" s="135" t="s">
        <v>1255</v>
      </c>
      <c r="W257" s="135">
        <v>6</v>
      </c>
      <c r="X257" s="135" t="s">
        <v>577</v>
      </c>
      <c r="Y257" s="135" t="s">
        <v>2318</v>
      </c>
      <c r="Z257" s="135" t="s">
        <v>2319</v>
      </c>
      <c r="AA257" s="5" t="str">
        <f>VLOOKUP(A257,'Form Responses 1'!$C$2:$K$532,6,FALSE)</f>
        <v>Kit delivery and pickup</v>
      </c>
      <c r="AB257" s="5" t="str">
        <f>VLOOKUP(A257,'Form Responses 1'!$C$2:$K$219,7,FALSE)</f>
        <v>No</v>
      </c>
      <c r="AC257" s="6">
        <f>VLOOKUP(A257,'Form Responses 1'!$C$2:$K$219,8,FALSE)</f>
        <v>325</v>
      </c>
      <c r="AD257" s="6">
        <f>VLOOKUP(A257,'Form Responses 1'!$C$2:$K$219,9,FALSE)</f>
        <v>0</v>
      </c>
    </row>
    <row r="258" spans="1:30" ht="19.5" customHeight="1">
      <c r="A258" s="135" t="s">
        <v>1067</v>
      </c>
      <c r="B258" s="135" t="s">
        <v>2320</v>
      </c>
      <c r="C258" s="135">
        <v>46755</v>
      </c>
      <c r="D258" s="135" t="s">
        <v>2167</v>
      </c>
      <c r="E258" s="135" t="s">
        <v>1453</v>
      </c>
      <c r="F258" s="135"/>
      <c r="G258" s="135">
        <v>152</v>
      </c>
      <c r="H258" s="135" t="s">
        <v>1282</v>
      </c>
      <c r="I258" s="135" t="str">
        <f>VLOOKUP(H258,list!$B$2:$C$14,2,FALSE)</f>
        <v>KITS</v>
      </c>
      <c r="J258" s="135"/>
      <c r="K258" s="135">
        <v>0</v>
      </c>
      <c r="L258" s="135">
        <v>0</v>
      </c>
      <c r="M258" s="135">
        <v>0</v>
      </c>
      <c r="N258" s="135">
        <v>0</v>
      </c>
      <c r="O258" s="135">
        <v>0</v>
      </c>
      <c r="P258" s="135"/>
      <c r="Q258" s="135">
        <v>0</v>
      </c>
      <c r="R258" s="135"/>
      <c r="S258" s="135"/>
      <c r="T258" s="135" t="s">
        <v>19</v>
      </c>
      <c r="U258" s="135" t="s">
        <v>2321</v>
      </c>
      <c r="V258" s="135" t="s">
        <v>1255</v>
      </c>
      <c r="W258" s="135">
        <v>3</v>
      </c>
      <c r="X258" s="135" t="s">
        <v>581</v>
      </c>
      <c r="Y258" s="135" t="s">
        <v>2322</v>
      </c>
      <c r="Z258" s="135" t="s">
        <v>2323</v>
      </c>
      <c r="AA258" s="5" t="str">
        <f>VLOOKUP(A258,'Form Responses 1'!$C$2:$K$532,6,FALSE)</f>
        <v>Kit delivery and pickup</v>
      </c>
      <c r="AB258" s="5" t="e">
        <f>VLOOKUP(A258,'Form Responses 1'!$C$2:$K$219,7,FALSE)</f>
        <v>#N/A</v>
      </c>
      <c r="AC258" s="6" t="e">
        <f>VLOOKUP(A258,'Form Responses 1'!$C$2:$K$219,8,FALSE)</f>
        <v>#N/A</v>
      </c>
      <c r="AD258" s="6" t="e">
        <f>VLOOKUP(A258,'Form Responses 1'!$C$2:$K$219,9,FALSE)</f>
        <v>#N/A</v>
      </c>
    </row>
    <row r="259" spans="1:30" ht="19.5" customHeight="1">
      <c r="A259" s="135" t="s">
        <v>578</v>
      </c>
      <c r="B259" s="135" t="s">
        <v>2320</v>
      </c>
      <c r="C259" s="135">
        <v>46825</v>
      </c>
      <c r="D259" s="135" t="s">
        <v>1343</v>
      </c>
      <c r="E259" s="135" t="s">
        <v>1252</v>
      </c>
      <c r="F259" s="135"/>
      <c r="G259" s="135">
        <v>140</v>
      </c>
      <c r="H259" s="135" t="s">
        <v>1282</v>
      </c>
      <c r="I259" s="135" t="str">
        <f>VLOOKUP(H259,list!$B$2:$C$14,2,FALSE)</f>
        <v>KITS</v>
      </c>
      <c r="J259" s="135"/>
      <c r="K259" s="135">
        <v>0</v>
      </c>
      <c r="L259" s="135">
        <v>0</v>
      </c>
      <c r="M259" s="135">
        <v>0</v>
      </c>
      <c r="N259" s="135">
        <v>0</v>
      </c>
      <c r="O259" s="135">
        <v>0</v>
      </c>
      <c r="P259" s="135"/>
      <c r="Q259" s="135">
        <v>0</v>
      </c>
      <c r="R259" s="135"/>
      <c r="S259" s="135"/>
      <c r="T259" s="135" t="s">
        <v>19</v>
      </c>
      <c r="U259" s="135" t="s">
        <v>2317</v>
      </c>
      <c r="V259" s="135" t="s">
        <v>1255</v>
      </c>
      <c r="W259" s="135">
        <v>3</v>
      </c>
      <c r="X259" s="135" t="s">
        <v>2324</v>
      </c>
      <c r="Y259" s="135" t="s">
        <v>2325</v>
      </c>
      <c r="Z259" s="135" t="s">
        <v>2326</v>
      </c>
      <c r="AA259" s="5" t="str">
        <f>VLOOKUP(A259,'Form Responses 1'!$C$2:$K$532,6,FALSE)</f>
        <v>Kit delivery and pickup</v>
      </c>
      <c r="AB259" s="5" t="str">
        <f>VLOOKUP(A259,'Form Responses 1'!$C$2:$K$219,7,FALSE)</f>
        <v>No</v>
      </c>
      <c r="AC259" s="6">
        <f>VLOOKUP(A259,'Form Responses 1'!$C$2:$K$219,8,FALSE)</f>
        <v>211</v>
      </c>
      <c r="AD259" s="6">
        <f>VLOOKUP(A259,'Form Responses 1'!$C$2:$K$219,9,FALSE)</f>
        <v>0</v>
      </c>
    </row>
    <row r="260" spans="1:30" ht="19.5" customHeight="1">
      <c r="A260" s="135" t="s">
        <v>2327</v>
      </c>
      <c r="B260" s="135"/>
      <c r="C260" s="135">
        <v>46241</v>
      </c>
      <c r="D260" s="135" t="s">
        <v>1289</v>
      </c>
      <c r="E260" s="135" t="s">
        <v>1290</v>
      </c>
      <c r="F260" s="135"/>
      <c r="G260" s="135"/>
      <c r="H260" s="135"/>
      <c r="I260" s="135"/>
      <c r="J260" s="135"/>
      <c r="K260" s="135"/>
      <c r="L260" s="135"/>
      <c r="M260" s="135"/>
      <c r="N260" s="135"/>
      <c r="O260" s="135"/>
      <c r="P260" s="135"/>
      <c r="Q260" s="135"/>
      <c r="R260" s="135"/>
      <c r="S260" s="135"/>
      <c r="T260" s="135"/>
      <c r="U260" s="135"/>
      <c r="V260" s="135"/>
      <c r="W260" s="135"/>
      <c r="X260" s="135">
        <v>3173819405</v>
      </c>
      <c r="Y260" s="135" t="s">
        <v>2328</v>
      </c>
      <c r="Z260" s="135"/>
      <c r="AA260" s="5" t="e">
        <f>VLOOKUP(A260,'Form Responses 1'!$C$2:$K$532,6,FALSE)</f>
        <v>#N/A</v>
      </c>
      <c r="AB260" s="5" t="e">
        <f>VLOOKUP(A260,'Form Responses 1'!$C$2:$K$219,7,FALSE)</f>
        <v>#N/A</v>
      </c>
      <c r="AC260" s="6" t="e">
        <f>VLOOKUP(A260,'Form Responses 1'!$C$2:$K$219,8,FALSE)</f>
        <v>#N/A</v>
      </c>
      <c r="AD260" s="6" t="e">
        <f>VLOOKUP(A260,'Form Responses 1'!$C$2:$K$219,9,FALSE)</f>
        <v>#N/A</v>
      </c>
    </row>
    <row r="261" spans="1:30" ht="19.5" customHeight="1">
      <c r="A261" s="135" t="s">
        <v>582</v>
      </c>
      <c r="B261" s="135" t="s">
        <v>2329</v>
      </c>
      <c r="C261" s="135">
        <v>46123</v>
      </c>
      <c r="D261" s="135" t="s">
        <v>1457</v>
      </c>
      <c r="E261" s="135" t="s">
        <v>1458</v>
      </c>
      <c r="F261" s="135"/>
      <c r="G261" s="135">
        <v>90</v>
      </c>
      <c r="H261" s="135" t="s">
        <v>1276</v>
      </c>
      <c r="I261" s="135" t="str">
        <f>VLOOKUP(H261,list!$B$2:$C$14,2,FALSE)</f>
        <v>GREEN</v>
      </c>
      <c r="J261" s="135"/>
      <c r="K261" s="135">
        <v>0</v>
      </c>
      <c r="L261" s="135">
        <v>0</v>
      </c>
      <c r="M261" s="135">
        <v>0</v>
      </c>
      <c r="N261" s="135">
        <v>0</v>
      </c>
      <c r="O261" s="135">
        <v>0</v>
      </c>
      <c r="P261" s="135"/>
      <c r="Q261" s="135">
        <v>0</v>
      </c>
      <c r="R261" s="135"/>
      <c r="S261" s="135"/>
      <c r="T261" s="135" t="s">
        <v>30</v>
      </c>
      <c r="U261" s="135" t="s">
        <v>2330</v>
      </c>
      <c r="V261" s="135" t="s">
        <v>1255</v>
      </c>
      <c r="W261" s="135">
        <v>2</v>
      </c>
      <c r="X261" s="135" t="s">
        <v>2331</v>
      </c>
      <c r="Y261" s="135" t="s">
        <v>2332</v>
      </c>
      <c r="Z261" s="135" t="s">
        <v>1461</v>
      </c>
      <c r="AA261" s="5" t="s">
        <v>18</v>
      </c>
      <c r="AB261" s="5" t="s">
        <v>1298</v>
      </c>
      <c r="AC261" s="6">
        <f t="shared" ref="AC261:AC266" si="17">G261</f>
        <v>90</v>
      </c>
      <c r="AD261" s="6"/>
    </row>
    <row r="262" spans="1:30" ht="19.5" customHeight="1">
      <c r="A262" s="135" t="s">
        <v>586</v>
      </c>
      <c r="B262" s="135" t="s">
        <v>2329</v>
      </c>
      <c r="C262" s="135">
        <v>46819</v>
      </c>
      <c r="D262" s="135" t="s">
        <v>1343</v>
      </c>
      <c r="E262" s="135" t="s">
        <v>1252</v>
      </c>
      <c r="F262" s="135"/>
      <c r="G262" s="135">
        <v>86</v>
      </c>
      <c r="H262" s="135" t="s">
        <v>1253</v>
      </c>
      <c r="I262" s="135" t="str">
        <f>VLOOKUP(H262,list!$B$2:$C$14,2,FALSE)</f>
        <v>KITS</v>
      </c>
      <c r="J262" s="135"/>
      <c r="K262" s="135">
        <v>0</v>
      </c>
      <c r="L262" s="135">
        <v>0</v>
      </c>
      <c r="M262" s="135">
        <v>0</v>
      </c>
      <c r="N262" s="135">
        <v>0</v>
      </c>
      <c r="O262" s="135">
        <v>0</v>
      </c>
      <c r="P262" s="135"/>
      <c r="Q262" s="135">
        <v>0</v>
      </c>
      <c r="R262" s="135"/>
      <c r="S262" s="135"/>
      <c r="T262" s="135" t="s">
        <v>30</v>
      </c>
      <c r="U262" s="135" t="s">
        <v>2333</v>
      </c>
      <c r="V262" s="135" t="s">
        <v>1255</v>
      </c>
      <c r="W262" s="135">
        <v>6</v>
      </c>
      <c r="X262" s="135" t="s">
        <v>2334</v>
      </c>
      <c r="Y262" s="135" t="s">
        <v>2335</v>
      </c>
      <c r="Z262" s="135" t="s">
        <v>2252</v>
      </c>
      <c r="AA262" s="5" t="s">
        <v>18</v>
      </c>
      <c r="AB262" s="5" t="s">
        <v>1298</v>
      </c>
      <c r="AC262" s="6">
        <f t="shared" si="17"/>
        <v>86</v>
      </c>
      <c r="AD262" s="6"/>
    </row>
    <row r="263" spans="1:30" ht="19.5" customHeight="1">
      <c r="A263" s="135" t="s">
        <v>591</v>
      </c>
      <c r="B263" s="135" t="s">
        <v>2329</v>
      </c>
      <c r="C263" s="135">
        <v>46774</v>
      </c>
      <c r="D263" s="135" t="s">
        <v>2336</v>
      </c>
      <c r="E263" s="135" t="s">
        <v>1252</v>
      </c>
      <c r="F263" s="135"/>
      <c r="G263" s="135">
        <v>126</v>
      </c>
      <c r="H263" s="135" t="s">
        <v>1282</v>
      </c>
      <c r="I263" s="135" t="str">
        <f>VLOOKUP(H263,list!$B$2:$C$14,2,FALSE)</f>
        <v>KITS</v>
      </c>
      <c r="J263" s="135"/>
      <c r="K263" s="135">
        <v>0</v>
      </c>
      <c r="L263" s="135">
        <v>0</v>
      </c>
      <c r="M263" s="135">
        <v>0</v>
      </c>
      <c r="N263" s="135">
        <v>0</v>
      </c>
      <c r="O263" s="135">
        <v>0</v>
      </c>
      <c r="P263" s="135"/>
      <c r="Q263" s="135">
        <v>0</v>
      </c>
      <c r="R263" s="135"/>
      <c r="S263" s="135"/>
      <c r="T263" s="135" t="s">
        <v>19</v>
      </c>
      <c r="U263" s="135" t="s">
        <v>2337</v>
      </c>
      <c r="V263" s="135" t="s">
        <v>1255</v>
      </c>
      <c r="W263" s="135">
        <v>3</v>
      </c>
      <c r="X263" s="135" t="s">
        <v>2338</v>
      </c>
      <c r="Y263" s="135" t="s">
        <v>2339</v>
      </c>
      <c r="Z263" s="135" t="s">
        <v>2340</v>
      </c>
      <c r="AA263" s="5" t="s">
        <v>18</v>
      </c>
      <c r="AB263" s="5" t="s">
        <v>1298</v>
      </c>
      <c r="AC263" s="6">
        <f t="shared" si="17"/>
        <v>126</v>
      </c>
      <c r="AD263" s="6"/>
    </row>
    <row r="264" spans="1:30" ht="19.5" customHeight="1">
      <c r="A264" s="135" t="s">
        <v>595</v>
      </c>
      <c r="B264" s="135" t="s">
        <v>2329</v>
      </c>
      <c r="C264" s="135">
        <v>47265</v>
      </c>
      <c r="D264" s="135" t="s">
        <v>2341</v>
      </c>
      <c r="E264" s="135" t="s">
        <v>2342</v>
      </c>
      <c r="F264" s="135"/>
      <c r="G264" s="135">
        <v>100</v>
      </c>
      <c r="H264" s="135" t="s">
        <v>1253</v>
      </c>
      <c r="I264" s="135" t="str">
        <f>VLOOKUP(H264,list!$B$2:$C$14,2,FALSE)</f>
        <v>KITS</v>
      </c>
      <c r="J264" s="135"/>
      <c r="K264" s="135">
        <v>0</v>
      </c>
      <c r="L264" s="135">
        <v>0</v>
      </c>
      <c r="M264" s="135">
        <v>0</v>
      </c>
      <c r="N264" s="135">
        <v>0</v>
      </c>
      <c r="O264" s="135">
        <v>0</v>
      </c>
      <c r="P264" s="135"/>
      <c r="Q264" s="135">
        <v>0</v>
      </c>
      <c r="R264" s="135"/>
      <c r="S264" s="135"/>
      <c r="T264" s="135" t="s">
        <v>19</v>
      </c>
      <c r="U264" s="135"/>
      <c r="V264" s="135" t="s">
        <v>1255</v>
      </c>
      <c r="W264" s="135">
        <v>6</v>
      </c>
      <c r="X264" s="135" t="s">
        <v>2343</v>
      </c>
      <c r="Y264" s="135" t="s">
        <v>2344</v>
      </c>
      <c r="Z264" s="135" t="s">
        <v>2345</v>
      </c>
      <c r="AA264" s="5" t="s">
        <v>18</v>
      </c>
      <c r="AB264" s="5" t="s">
        <v>1298</v>
      </c>
      <c r="AC264" s="6">
        <f t="shared" si="17"/>
        <v>100</v>
      </c>
      <c r="AD264" s="6"/>
    </row>
    <row r="265" spans="1:30" ht="19.5" customHeight="1">
      <c r="A265" s="135" t="s">
        <v>600</v>
      </c>
      <c r="B265" s="135" t="s">
        <v>2329</v>
      </c>
      <c r="C265" s="135">
        <v>46069</v>
      </c>
      <c r="D265" s="135" t="s">
        <v>2346</v>
      </c>
      <c r="E265" s="135" t="s">
        <v>1294</v>
      </c>
      <c r="F265" s="135"/>
      <c r="G265" s="135">
        <v>100</v>
      </c>
      <c r="H265" s="135" t="s">
        <v>1282</v>
      </c>
      <c r="I265" s="135" t="str">
        <f>VLOOKUP(H265,list!$B$2:$C$14,2,FALSE)</f>
        <v>KITS</v>
      </c>
      <c r="J265" s="135"/>
      <c r="K265" s="135">
        <v>0</v>
      </c>
      <c r="L265" s="135">
        <v>0</v>
      </c>
      <c r="M265" s="135">
        <v>0</v>
      </c>
      <c r="N265" s="135">
        <v>0</v>
      </c>
      <c r="O265" s="135">
        <v>0</v>
      </c>
      <c r="P265" s="135"/>
      <c r="Q265" s="135">
        <v>0</v>
      </c>
      <c r="R265" s="135"/>
      <c r="S265" s="135"/>
      <c r="T265" s="135" t="s">
        <v>30</v>
      </c>
      <c r="U265" s="135" t="s">
        <v>2347</v>
      </c>
      <c r="V265" s="135" t="s">
        <v>1255</v>
      </c>
      <c r="W265" s="135">
        <v>3</v>
      </c>
      <c r="X265" s="135" t="s">
        <v>2348</v>
      </c>
      <c r="Y265" s="135" t="s">
        <v>2349</v>
      </c>
      <c r="Z265" s="135" t="s">
        <v>2350</v>
      </c>
      <c r="AA265" s="5" t="s">
        <v>18</v>
      </c>
      <c r="AB265" s="5" t="s">
        <v>1298</v>
      </c>
      <c r="AC265" s="6">
        <f t="shared" si="17"/>
        <v>100</v>
      </c>
      <c r="AD265" s="6"/>
    </row>
    <row r="266" spans="1:30" ht="19.5" customHeight="1">
      <c r="A266" s="135" t="s">
        <v>604</v>
      </c>
      <c r="B266" s="135" t="s">
        <v>2329</v>
      </c>
      <c r="C266" s="135">
        <v>46814</v>
      </c>
      <c r="D266" s="135" t="s">
        <v>1343</v>
      </c>
      <c r="E266" s="135" t="s">
        <v>1252</v>
      </c>
      <c r="F266" s="135"/>
      <c r="G266" s="135">
        <v>77</v>
      </c>
      <c r="H266" s="135" t="s">
        <v>1425</v>
      </c>
      <c r="I266" s="135" t="str">
        <f>VLOOKUP(H266,list!$B$2:$C$14,2,FALSE)</f>
        <v>ONSITE</v>
      </c>
      <c r="J266" s="135"/>
      <c r="K266" s="135">
        <v>1</v>
      </c>
      <c r="L266" s="135">
        <v>1</v>
      </c>
      <c r="M266" s="135">
        <v>0</v>
      </c>
      <c r="N266" s="135">
        <v>0</v>
      </c>
      <c r="O266" s="135">
        <v>1</v>
      </c>
      <c r="P266" s="135"/>
      <c r="Q266" s="135">
        <v>0</v>
      </c>
      <c r="R266" s="135"/>
      <c r="S266" s="135"/>
      <c r="T266" s="135" t="s">
        <v>19</v>
      </c>
      <c r="U266" s="135" t="s">
        <v>2351</v>
      </c>
      <c r="V266" s="135" t="s">
        <v>1255</v>
      </c>
      <c r="W266" s="135">
        <v>7</v>
      </c>
      <c r="X266" s="135" t="s">
        <v>2352</v>
      </c>
      <c r="Y266" s="135" t="s">
        <v>2353</v>
      </c>
      <c r="Z266" s="135" t="s">
        <v>2354</v>
      </c>
      <c r="AA266" s="5" t="s">
        <v>18</v>
      </c>
      <c r="AB266" s="5" t="s">
        <v>1298</v>
      </c>
      <c r="AC266" s="6">
        <f t="shared" si="17"/>
        <v>77</v>
      </c>
      <c r="AD266" s="6"/>
    </row>
    <row r="267" spans="1:30" ht="19.5" customHeight="1">
      <c r="A267" s="135" t="s">
        <v>608</v>
      </c>
      <c r="B267" s="135"/>
      <c r="C267" s="135">
        <v>47037</v>
      </c>
      <c r="D267" s="135" t="s">
        <v>2355</v>
      </c>
      <c r="E267" s="135" t="s">
        <v>2356</v>
      </c>
      <c r="F267" s="135"/>
      <c r="G267" s="135">
        <v>80</v>
      </c>
      <c r="H267" s="135" t="s">
        <v>1282</v>
      </c>
      <c r="I267" s="135" t="str">
        <f>VLOOKUP(H267,list!$B$2:$C$14,2,FALSE)</f>
        <v>KITS</v>
      </c>
      <c r="J267" s="135"/>
      <c r="K267" s="135">
        <v>0</v>
      </c>
      <c r="L267" s="135">
        <v>0</v>
      </c>
      <c r="M267" s="135">
        <v>0</v>
      </c>
      <c r="N267" s="135">
        <v>0</v>
      </c>
      <c r="O267" s="135">
        <v>0</v>
      </c>
      <c r="P267" s="135"/>
      <c r="Q267" s="135">
        <v>0</v>
      </c>
      <c r="R267" s="135"/>
      <c r="S267" s="135"/>
      <c r="T267" s="135" t="s">
        <v>30</v>
      </c>
      <c r="U267" s="135"/>
      <c r="V267" s="135" t="s">
        <v>1255</v>
      </c>
      <c r="W267" s="135">
        <v>3</v>
      </c>
      <c r="X267" s="135" t="s">
        <v>2357</v>
      </c>
      <c r="Y267" s="135" t="s">
        <v>2358</v>
      </c>
      <c r="Z267" s="135" t="s">
        <v>2359</v>
      </c>
      <c r="AA267" s="5" t="str">
        <f>VLOOKUP(A267,'Form Responses 1'!$C$2:$K$532,6,FALSE)</f>
        <v>Kit delivery and pickup</v>
      </c>
      <c r="AB267" s="5" t="str">
        <f>VLOOKUP(A267,'Form Responses 1'!$C$2:$K$219,7,FALSE)</f>
        <v>No</v>
      </c>
      <c r="AC267" s="6">
        <f>VLOOKUP(A267,'Form Responses 1'!$C$2:$K$219,8,FALSE)</f>
        <v>80</v>
      </c>
      <c r="AD267" s="6" t="str">
        <f>VLOOKUP(A267,'Form Responses 1'!$C$2:$K$219,9,FALSE)</f>
        <v>staggering the testing in case of positives would be needed - no sister facilities to rely on or agency to help</v>
      </c>
    </row>
    <row r="268" spans="1:30" ht="19.5" customHeight="1">
      <c r="A268" s="135" t="s">
        <v>613</v>
      </c>
      <c r="B268" s="135"/>
      <c r="C268" s="135">
        <v>46032</v>
      </c>
      <c r="D268" s="135" t="s">
        <v>1464</v>
      </c>
      <c r="E268" s="135" t="s">
        <v>1294</v>
      </c>
      <c r="F268" s="135"/>
      <c r="G268" s="135">
        <v>150</v>
      </c>
      <c r="H268" s="135" t="s">
        <v>1276</v>
      </c>
      <c r="I268" s="135" t="str">
        <f>VLOOKUP(H268,list!$B$2:$C$14,2,FALSE)</f>
        <v>GREEN</v>
      </c>
      <c r="J268" s="135"/>
      <c r="K268" s="135">
        <v>0</v>
      </c>
      <c r="L268" s="135">
        <v>0</v>
      </c>
      <c r="M268" s="135">
        <v>0</v>
      </c>
      <c r="N268" s="135">
        <v>0</v>
      </c>
      <c r="O268" s="135">
        <v>0</v>
      </c>
      <c r="P268" s="135"/>
      <c r="Q268" s="135">
        <v>0</v>
      </c>
      <c r="R268" s="135"/>
      <c r="S268" s="135"/>
      <c r="T268" s="135"/>
      <c r="U268" s="135" t="s">
        <v>2360</v>
      </c>
      <c r="V268" s="135" t="s">
        <v>1255</v>
      </c>
      <c r="W268" s="135">
        <v>2</v>
      </c>
      <c r="X268" s="135" t="s">
        <v>2361</v>
      </c>
      <c r="Y268" s="135" t="s">
        <v>2362</v>
      </c>
      <c r="Z268" s="135" t="s">
        <v>1469</v>
      </c>
      <c r="AA268" s="5" t="str">
        <f>VLOOKUP(A268,'Form Responses 1'!$C$2:$K$532,6,FALSE)</f>
        <v>Kit delivery and pickup</v>
      </c>
      <c r="AB268" s="5" t="str">
        <f>VLOOKUP(A268,'Form Responses 1'!$C$2:$K$219,7,FALSE)</f>
        <v>Yes</v>
      </c>
      <c r="AC268" s="6">
        <f>VLOOKUP(A268,'Form Responses 1'!$C$2:$K$219,8,FALSE)</f>
        <v>175</v>
      </c>
      <c r="AD268" s="6">
        <f>VLOOKUP(A268,'Form Responses 1'!$C$2:$K$219,9,FALSE)</f>
        <v>0</v>
      </c>
    </row>
    <row r="269" spans="1:30" ht="19.5" customHeight="1">
      <c r="A269" s="135" t="s">
        <v>617</v>
      </c>
      <c r="B269" s="135"/>
      <c r="C269" s="135">
        <v>46227</v>
      </c>
      <c r="D269" s="135" t="s">
        <v>1289</v>
      </c>
      <c r="E269" s="135" t="s">
        <v>1290</v>
      </c>
      <c r="F269" s="135"/>
      <c r="G269" s="135">
        <v>180</v>
      </c>
      <c r="H269" s="135" t="s">
        <v>1253</v>
      </c>
      <c r="I269" s="135" t="str">
        <f>VLOOKUP(H269,list!$B$2:$C$14,2,FALSE)</f>
        <v>KITS</v>
      </c>
      <c r="J269" s="135"/>
      <c r="K269" s="135">
        <v>0</v>
      </c>
      <c r="L269" s="135">
        <v>0</v>
      </c>
      <c r="M269" s="135">
        <v>0</v>
      </c>
      <c r="N269" s="135">
        <v>0</v>
      </c>
      <c r="O269" s="135">
        <v>0</v>
      </c>
      <c r="P269" s="135"/>
      <c r="Q269" s="135">
        <v>0</v>
      </c>
      <c r="R269" s="135"/>
      <c r="S269" s="135"/>
      <c r="T269" s="135" t="s">
        <v>19</v>
      </c>
      <c r="U269" s="135" t="s">
        <v>2363</v>
      </c>
      <c r="V269" s="135" t="s">
        <v>1255</v>
      </c>
      <c r="W269" s="135">
        <v>6</v>
      </c>
      <c r="X269" s="135" t="s">
        <v>2364</v>
      </c>
      <c r="Y269" s="135" t="s">
        <v>2365</v>
      </c>
      <c r="Z269" s="135" t="s">
        <v>1505</v>
      </c>
      <c r="AA269" s="5" t="str">
        <f>VLOOKUP(A269,'Form Responses 1'!$C$2:$K$532,6,FALSE)</f>
        <v>Kit delivery and pickup</v>
      </c>
      <c r="AB269" s="5" t="str">
        <f>VLOOKUP(A269,'Form Responses 1'!$C$2:$K$219,7,FALSE)</f>
        <v>Yes</v>
      </c>
      <c r="AC269" s="6">
        <f>VLOOKUP(A269,'Form Responses 1'!$C$2:$K$219,8,FALSE)</f>
        <v>150</v>
      </c>
      <c r="AD269" s="6">
        <f>VLOOKUP(A269,'Form Responses 1'!$C$2:$K$219,9,FALSE)</f>
        <v>0</v>
      </c>
    </row>
    <row r="270" spans="1:30" ht="19.5" customHeight="1">
      <c r="A270" s="135" t="s">
        <v>621</v>
      </c>
      <c r="B270" s="135"/>
      <c r="C270" s="135">
        <v>47172</v>
      </c>
      <c r="D270" s="135" t="s">
        <v>2366</v>
      </c>
      <c r="E270" s="135" t="s">
        <v>1665</v>
      </c>
      <c r="F270" s="135"/>
      <c r="G270" s="135">
        <v>60</v>
      </c>
      <c r="H270" s="135" t="s">
        <v>1282</v>
      </c>
      <c r="I270" s="135" t="str">
        <f>VLOOKUP(H270,list!$B$2:$C$14,2,FALSE)</f>
        <v>KITS</v>
      </c>
      <c r="J270" s="135"/>
      <c r="K270" s="135">
        <v>0</v>
      </c>
      <c r="L270" s="135">
        <v>0</v>
      </c>
      <c r="M270" s="135">
        <v>0</v>
      </c>
      <c r="N270" s="135">
        <v>0</v>
      </c>
      <c r="O270" s="135">
        <v>0</v>
      </c>
      <c r="P270" s="135"/>
      <c r="Q270" s="135">
        <v>0</v>
      </c>
      <c r="R270" s="135"/>
      <c r="S270" s="135"/>
      <c r="T270" s="135" t="s">
        <v>30</v>
      </c>
      <c r="U270" s="135" t="s">
        <v>2367</v>
      </c>
      <c r="V270" s="135" t="s">
        <v>1255</v>
      </c>
      <c r="W270" s="135">
        <v>3</v>
      </c>
      <c r="X270" s="135" t="s">
        <v>2368</v>
      </c>
      <c r="Y270" s="135" t="s">
        <v>2369</v>
      </c>
      <c r="Z270" s="135" t="s">
        <v>2370</v>
      </c>
      <c r="AA270" s="5" t="str">
        <f>VLOOKUP(A270,'Form Responses 1'!$C$2:$K$532,6,FALSE)</f>
        <v>Onsite sample collection by ISDH team</v>
      </c>
      <c r="AB270" s="5">
        <f>VLOOKUP(A270,'Form Responses 1'!$C$2:$K$219,7,FALSE)</f>
        <v>0</v>
      </c>
      <c r="AC270" s="6">
        <f>VLOOKUP(A270,'Form Responses 1'!$C$2:$K$219,8,FALSE)</f>
        <v>60</v>
      </c>
      <c r="AD270" s="6" t="str">
        <f>VLOOKUP(A270,'Form Responses 1'!$C$2:$K$219,9,FALSE)</f>
        <v>spoke with Infection Prevention Nurse, but email address is for administrator. they understand the scheduling limitations of having the team come out for testing, but they think it's the best option for their facility</v>
      </c>
    </row>
    <row r="271" spans="1:30" ht="19.5" customHeight="1">
      <c r="A271" s="135" t="s">
        <v>2371</v>
      </c>
      <c r="B271" s="135" t="s">
        <v>343</v>
      </c>
      <c r="C271" s="135">
        <v>46074</v>
      </c>
      <c r="D271" s="135" t="s">
        <v>1707</v>
      </c>
      <c r="E271" s="135" t="s">
        <v>1294</v>
      </c>
      <c r="F271" s="135"/>
      <c r="G271" s="135">
        <v>85</v>
      </c>
      <c r="H271" s="135" t="s">
        <v>1282</v>
      </c>
      <c r="I271" s="135" t="str">
        <f>VLOOKUP(H271,list!$B$2:$C$14,2,FALSE)</f>
        <v>KITS</v>
      </c>
      <c r="J271" s="135"/>
      <c r="K271" s="135">
        <v>0</v>
      </c>
      <c r="L271" s="135">
        <v>0</v>
      </c>
      <c r="M271" s="135">
        <v>0</v>
      </c>
      <c r="N271" s="135">
        <v>0</v>
      </c>
      <c r="O271" s="135">
        <v>0</v>
      </c>
      <c r="P271" s="135"/>
      <c r="Q271" s="135">
        <v>0</v>
      </c>
      <c r="R271" s="135"/>
      <c r="S271" s="135"/>
      <c r="T271" s="135" t="s">
        <v>19</v>
      </c>
      <c r="U271" s="135"/>
      <c r="V271" s="135" t="s">
        <v>1255</v>
      </c>
      <c r="W271" s="135">
        <v>3</v>
      </c>
      <c r="X271" s="135" t="s">
        <v>2372</v>
      </c>
      <c r="Y271" s="135" t="s">
        <v>2373</v>
      </c>
      <c r="Z271" s="135" t="s">
        <v>2374</v>
      </c>
      <c r="AA271" s="5" t="s">
        <v>18</v>
      </c>
      <c r="AB271" s="5" t="s">
        <v>1298</v>
      </c>
      <c r="AC271" s="6">
        <f t="shared" ref="AC271:AC272" si="18">G271</f>
        <v>85</v>
      </c>
      <c r="AD271" s="6"/>
    </row>
    <row r="272" spans="1:30" ht="19.5" customHeight="1">
      <c r="A272" s="135" t="s">
        <v>2375</v>
      </c>
      <c r="B272" s="135" t="s">
        <v>343</v>
      </c>
      <c r="C272" s="135">
        <v>46770</v>
      </c>
      <c r="D272" s="135" t="s">
        <v>2376</v>
      </c>
      <c r="E272" s="135" t="s">
        <v>1534</v>
      </c>
      <c r="F272" s="135"/>
      <c r="G272" s="135">
        <v>115</v>
      </c>
      <c r="H272" s="135" t="s">
        <v>1282</v>
      </c>
      <c r="I272" s="135" t="str">
        <f>VLOOKUP(H272,list!$B$2:$C$14,2,FALSE)</f>
        <v>KITS</v>
      </c>
      <c r="J272" s="135"/>
      <c r="K272" s="135">
        <v>0</v>
      </c>
      <c r="L272" s="135">
        <v>0</v>
      </c>
      <c r="M272" s="135">
        <v>0</v>
      </c>
      <c r="N272" s="135">
        <v>0</v>
      </c>
      <c r="O272" s="135">
        <v>0</v>
      </c>
      <c r="P272" s="135"/>
      <c r="Q272" s="135">
        <v>0</v>
      </c>
      <c r="R272" s="135"/>
      <c r="S272" s="135"/>
      <c r="T272" s="135" t="s">
        <v>19</v>
      </c>
      <c r="U272" s="135"/>
      <c r="V272" s="135" t="s">
        <v>1255</v>
      </c>
      <c r="W272" s="135">
        <v>3</v>
      </c>
      <c r="X272" s="135" t="s">
        <v>2377</v>
      </c>
      <c r="Y272" s="135" t="s">
        <v>2378</v>
      </c>
      <c r="Z272" s="135" t="s">
        <v>2379</v>
      </c>
      <c r="AA272" s="5" t="s">
        <v>18</v>
      </c>
      <c r="AB272" s="5" t="s">
        <v>1298</v>
      </c>
      <c r="AC272" s="6">
        <f t="shared" si="18"/>
        <v>115</v>
      </c>
      <c r="AD272" s="6"/>
    </row>
    <row r="273" spans="1:30" ht="19.5" customHeight="1">
      <c r="A273" s="135" t="s">
        <v>627</v>
      </c>
      <c r="B273" s="135"/>
      <c r="C273" s="135">
        <v>46240</v>
      </c>
      <c r="D273" s="135" t="s">
        <v>1289</v>
      </c>
      <c r="E273" s="135" t="s">
        <v>1290</v>
      </c>
      <c r="F273" s="135"/>
      <c r="G273" s="135">
        <v>330</v>
      </c>
      <c r="H273" s="135" t="s">
        <v>1268</v>
      </c>
      <c r="I273" s="135" t="str">
        <f>VLOOKUP(H273,list!$B$2:$C$14,2,FALSE)</f>
        <v>KITS</v>
      </c>
      <c r="J273" s="135"/>
      <c r="K273" s="135">
        <v>0</v>
      </c>
      <c r="L273" s="135">
        <v>0</v>
      </c>
      <c r="M273" s="135">
        <v>0</v>
      </c>
      <c r="N273" s="135">
        <v>0</v>
      </c>
      <c r="O273" s="135">
        <v>0</v>
      </c>
      <c r="P273" s="135"/>
      <c r="Q273" s="135">
        <v>0</v>
      </c>
      <c r="R273" s="135"/>
      <c r="S273" s="135"/>
      <c r="T273" s="135" t="s">
        <v>30</v>
      </c>
      <c r="U273" s="135"/>
      <c r="V273" s="135" t="s">
        <v>1255</v>
      </c>
      <c r="W273" s="135">
        <v>5</v>
      </c>
      <c r="X273" s="135" t="s">
        <v>2380</v>
      </c>
      <c r="Y273" s="135" t="s">
        <v>2381</v>
      </c>
      <c r="Z273" s="135" t="s">
        <v>1908</v>
      </c>
      <c r="AA273" s="5" t="str">
        <f>VLOOKUP(A273,'Form Responses 1'!$C$2:$K$532,6,FALSE)</f>
        <v>Kit delivery and pickup</v>
      </c>
      <c r="AB273" s="5" t="str">
        <f>VLOOKUP(A273,'Form Responses 1'!$C$2:$K$219,7,FALSE)</f>
        <v>No</v>
      </c>
      <c r="AC273" s="6">
        <f>VLOOKUP(A273,'Form Responses 1'!$C$2:$K$219,8,FALSE)</f>
        <v>330</v>
      </c>
      <c r="AD273" s="6">
        <f>VLOOKUP(A273,'Form Responses 1'!$C$2:$K$219,9,FALSE)</f>
        <v>0</v>
      </c>
    </row>
    <row r="274" spans="1:30" ht="19.5" customHeight="1">
      <c r="A274" s="135" t="s">
        <v>631</v>
      </c>
      <c r="B274" s="135" t="s">
        <v>1265</v>
      </c>
      <c r="C274" s="135">
        <v>46580</v>
      </c>
      <c r="D274" s="135" t="s">
        <v>2382</v>
      </c>
      <c r="E274" s="135" t="s">
        <v>2011</v>
      </c>
      <c r="F274" s="135"/>
      <c r="G274" s="135">
        <v>115</v>
      </c>
      <c r="H274" s="135" t="s">
        <v>1253</v>
      </c>
      <c r="I274" s="135" t="str">
        <f>VLOOKUP(H274,list!$B$2:$C$14,2,FALSE)</f>
        <v>KITS</v>
      </c>
      <c r="J274" s="135"/>
      <c r="K274" s="135">
        <v>0</v>
      </c>
      <c r="L274" s="135">
        <v>0</v>
      </c>
      <c r="M274" s="135">
        <v>0</v>
      </c>
      <c r="N274" s="135">
        <v>0</v>
      </c>
      <c r="O274" s="135">
        <v>0</v>
      </c>
      <c r="P274" s="135"/>
      <c r="Q274" s="135">
        <v>0</v>
      </c>
      <c r="R274" s="135"/>
      <c r="S274" s="135"/>
      <c r="T274" s="135" t="s">
        <v>30</v>
      </c>
      <c r="U274" s="135" t="s">
        <v>2383</v>
      </c>
      <c r="V274" s="135" t="s">
        <v>1255</v>
      </c>
      <c r="W274" s="135">
        <v>6</v>
      </c>
      <c r="X274" s="135" t="s">
        <v>2384</v>
      </c>
      <c r="Y274" s="135" t="s">
        <v>2385</v>
      </c>
      <c r="Z274" s="135" t="s">
        <v>2386</v>
      </c>
      <c r="AA274" s="5" t="str">
        <f>VLOOKUP(A274,'Form Responses 1'!$C$2:$K$532,6,FALSE)</f>
        <v>Kit delivery and pickup</v>
      </c>
      <c r="AB274" s="5" t="str">
        <f>VLOOKUP(A274,'Form Responses 1'!$C$2:$K$219,7,FALSE)</f>
        <v>No</v>
      </c>
      <c r="AC274" s="6">
        <f>VLOOKUP(A274,'Form Responses 1'!$C$2:$K$219,8,FALSE)</f>
        <v>117</v>
      </c>
      <c r="AD274" s="6">
        <f>VLOOKUP(A274,'Form Responses 1'!$C$2:$K$219,9,FALSE)</f>
        <v>0</v>
      </c>
    </row>
    <row r="275" spans="1:30" ht="19.5" customHeight="1">
      <c r="A275" s="135" t="s">
        <v>635</v>
      </c>
      <c r="B275" s="135"/>
      <c r="C275" s="135">
        <v>46033</v>
      </c>
      <c r="D275" s="135" t="s">
        <v>1464</v>
      </c>
      <c r="E275" s="135" t="s">
        <v>1294</v>
      </c>
      <c r="F275" s="135"/>
      <c r="G275" s="135">
        <v>45</v>
      </c>
      <c r="H275" s="135" t="s">
        <v>1282</v>
      </c>
      <c r="I275" s="135" t="str">
        <f>VLOOKUP(H275,list!$B$2:$C$14,2,FALSE)</f>
        <v>KITS</v>
      </c>
      <c r="J275" s="135"/>
      <c r="K275" s="135">
        <v>0</v>
      </c>
      <c r="L275" s="135">
        <v>0</v>
      </c>
      <c r="M275" s="135">
        <v>0</v>
      </c>
      <c r="N275" s="135">
        <v>0</v>
      </c>
      <c r="O275" s="135">
        <v>0</v>
      </c>
      <c r="P275" s="135"/>
      <c r="Q275" s="135">
        <v>0</v>
      </c>
      <c r="R275" s="135"/>
      <c r="S275" s="135"/>
      <c r="T275" s="135" t="s">
        <v>19</v>
      </c>
      <c r="U275" s="135" t="s">
        <v>2387</v>
      </c>
      <c r="V275" s="135" t="s">
        <v>1255</v>
      </c>
      <c r="W275" s="135">
        <v>3</v>
      </c>
      <c r="X275" s="135" t="s">
        <v>2388</v>
      </c>
      <c r="Y275" s="135" t="s">
        <v>2389</v>
      </c>
      <c r="Z275" s="135" t="s">
        <v>1560</v>
      </c>
      <c r="AA275" s="5" t="str">
        <f>VLOOKUP(A275,'Form Responses 1'!$C$2:$K$532,6,FALSE)</f>
        <v>Onsite sample collection by ISDH team</v>
      </c>
      <c r="AB275" s="5" t="str">
        <f>VLOOKUP(A275,'Form Responses 1'!$C$2:$K$219,7,FALSE)</f>
        <v>No</v>
      </c>
      <c r="AC275" s="6">
        <f>VLOOKUP(A275,'Form Responses 1'!$C$2:$K$219,8,FALSE)</f>
        <v>45</v>
      </c>
      <c r="AD275" s="6" t="str">
        <f>VLOOKUP(A275,'Form Responses 1'!$C$2:$K$219,9,FALSE)</f>
        <v>Not stocked about testing everyone</v>
      </c>
    </row>
    <row r="276" spans="1:30" ht="19.5" customHeight="1">
      <c r="A276" s="135" t="s">
        <v>2390</v>
      </c>
      <c r="B276" s="135" t="s">
        <v>343</v>
      </c>
      <c r="C276" s="135">
        <v>46158</v>
      </c>
      <c r="D276" s="135" t="s">
        <v>2391</v>
      </c>
      <c r="E276" s="135" t="s">
        <v>1911</v>
      </c>
      <c r="F276" s="135"/>
      <c r="G276" s="135">
        <v>180</v>
      </c>
      <c r="H276" s="135" t="s">
        <v>1282</v>
      </c>
      <c r="I276" s="135" t="str">
        <f>VLOOKUP(H276,list!$B$2:$C$14,2,FALSE)</f>
        <v>KITS</v>
      </c>
      <c r="J276" s="135"/>
      <c r="K276" s="135">
        <v>0</v>
      </c>
      <c r="L276" s="135">
        <v>0</v>
      </c>
      <c r="M276" s="135">
        <v>0</v>
      </c>
      <c r="N276" s="135">
        <v>0</v>
      </c>
      <c r="O276" s="135">
        <v>0</v>
      </c>
      <c r="P276" s="135"/>
      <c r="Q276" s="135">
        <v>0</v>
      </c>
      <c r="R276" s="135"/>
      <c r="S276" s="135"/>
      <c r="T276" s="135" t="s">
        <v>19</v>
      </c>
      <c r="U276" s="135" t="s">
        <v>2392</v>
      </c>
      <c r="V276" s="135" t="s">
        <v>1255</v>
      </c>
      <c r="W276" s="135">
        <v>3</v>
      </c>
      <c r="X276" s="135" t="s">
        <v>2393</v>
      </c>
      <c r="Y276" s="135" t="s">
        <v>2394</v>
      </c>
      <c r="Z276" s="135" t="s">
        <v>2395</v>
      </c>
      <c r="AA276" s="5" t="s">
        <v>18</v>
      </c>
      <c r="AB276" s="5" t="s">
        <v>1298</v>
      </c>
      <c r="AC276" s="6">
        <f t="shared" ref="AC276:AC277" si="19">G276</f>
        <v>180</v>
      </c>
      <c r="AD276" s="6"/>
    </row>
    <row r="277" spans="1:30" ht="19.5" customHeight="1">
      <c r="A277" s="135" t="s">
        <v>2396</v>
      </c>
      <c r="B277" s="135" t="s">
        <v>343</v>
      </c>
      <c r="C277" s="135">
        <v>47167</v>
      </c>
      <c r="D277" s="135" t="s">
        <v>2397</v>
      </c>
      <c r="E277" s="135" t="s">
        <v>1795</v>
      </c>
      <c r="F277" s="135"/>
      <c r="G277" s="135">
        <v>102</v>
      </c>
      <c r="H277" s="135" t="s">
        <v>1282</v>
      </c>
      <c r="I277" s="135" t="str">
        <f>VLOOKUP(H277,list!$B$2:$C$14,2,FALSE)</f>
        <v>KITS</v>
      </c>
      <c r="J277" s="135"/>
      <c r="K277" s="135">
        <v>0</v>
      </c>
      <c r="L277" s="135">
        <v>0</v>
      </c>
      <c r="M277" s="135">
        <v>0</v>
      </c>
      <c r="N277" s="135">
        <v>0</v>
      </c>
      <c r="O277" s="135">
        <v>0</v>
      </c>
      <c r="P277" s="135"/>
      <c r="Q277" s="135">
        <v>0</v>
      </c>
      <c r="R277" s="135"/>
      <c r="S277" s="135"/>
      <c r="T277" s="135" t="s">
        <v>19</v>
      </c>
      <c r="U277" s="135"/>
      <c r="V277" s="135" t="s">
        <v>1255</v>
      </c>
      <c r="W277" s="135">
        <v>3</v>
      </c>
      <c r="X277" s="135" t="s">
        <v>2398</v>
      </c>
      <c r="Y277" s="135" t="s">
        <v>2399</v>
      </c>
      <c r="Z277" s="135" t="s">
        <v>2400</v>
      </c>
      <c r="AA277" s="5" t="s">
        <v>18</v>
      </c>
      <c r="AB277" s="5" t="s">
        <v>1298</v>
      </c>
      <c r="AC277" s="6">
        <f t="shared" si="19"/>
        <v>102</v>
      </c>
      <c r="AD277" s="6"/>
    </row>
    <row r="278" spans="1:30" ht="19.5" customHeight="1">
      <c r="A278" s="135" t="s">
        <v>640</v>
      </c>
      <c r="B278" s="135"/>
      <c r="C278" s="135">
        <v>47408</v>
      </c>
      <c r="D278" s="135" t="s">
        <v>1476</v>
      </c>
      <c r="E278" s="135" t="s">
        <v>1477</v>
      </c>
      <c r="F278" s="135"/>
      <c r="G278" s="135">
        <v>75</v>
      </c>
      <c r="H278" s="135" t="s">
        <v>1276</v>
      </c>
      <c r="I278" s="135" t="str">
        <f>VLOOKUP(H278,list!$B$2:$C$14,2,FALSE)</f>
        <v>GREEN</v>
      </c>
      <c r="J278" s="135"/>
      <c r="K278" s="135">
        <v>0</v>
      </c>
      <c r="L278" s="135">
        <v>0</v>
      </c>
      <c r="M278" s="135">
        <v>0</v>
      </c>
      <c r="N278" s="135">
        <v>0</v>
      </c>
      <c r="O278" s="135">
        <v>0</v>
      </c>
      <c r="P278" s="135"/>
      <c r="Q278" s="135">
        <v>0</v>
      </c>
      <c r="R278" s="135"/>
      <c r="S278" s="135"/>
      <c r="T278" s="135" t="s">
        <v>19</v>
      </c>
      <c r="U278" s="135" t="s">
        <v>2401</v>
      </c>
      <c r="V278" s="135" t="s">
        <v>1255</v>
      </c>
      <c r="W278" s="135">
        <v>2</v>
      </c>
      <c r="X278" s="135" t="s">
        <v>2402</v>
      </c>
      <c r="Y278" s="135" t="s">
        <v>2403</v>
      </c>
      <c r="Z278" s="135" t="s">
        <v>2404</v>
      </c>
      <c r="AA278" s="5" t="str">
        <f>VLOOKUP(A278,'Form Responses 1'!$C$2:$K$532,6,FALSE)</f>
        <v>Kit delivery and pickup</v>
      </c>
      <c r="AB278" s="5" t="str">
        <f>VLOOKUP(A278,'Form Responses 1'!$C$2:$K$219,7,FALSE)</f>
        <v>No</v>
      </c>
      <c r="AC278" s="6">
        <f>VLOOKUP(A278,'Form Responses 1'!$C$2:$K$219,8,FALSE)</f>
        <v>140</v>
      </c>
      <c r="AD278" s="6">
        <f>VLOOKUP(A278,'Form Responses 1'!$C$2:$K$219,9,FALSE)</f>
        <v>0</v>
      </c>
    </row>
    <row r="279" spans="1:30" ht="19.5" customHeight="1">
      <c r="A279" s="135" t="s">
        <v>644</v>
      </c>
      <c r="B279" s="135"/>
      <c r="C279" s="135">
        <v>47803</v>
      </c>
      <c r="D279" s="135" t="s">
        <v>1684</v>
      </c>
      <c r="E279" s="135" t="s">
        <v>1685</v>
      </c>
      <c r="F279" s="135"/>
      <c r="G279" s="135">
        <v>95</v>
      </c>
      <c r="H279" s="135" t="s">
        <v>1282</v>
      </c>
      <c r="I279" s="135" t="str">
        <f>VLOOKUP(H279,list!$B$2:$C$14,2,FALSE)</f>
        <v>KITS</v>
      </c>
      <c r="J279" s="135"/>
      <c r="K279" s="135">
        <v>0</v>
      </c>
      <c r="L279" s="135">
        <v>0</v>
      </c>
      <c r="M279" s="135">
        <v>0</v>
      </c>
      <c r="N279" s="135">
        <v>0</v>
      </c>
      <c r="O279" s="135">
        <v>0</v>
      </c>
      <c r="P279" s="135"/>
      <c r="Q279" s="135">
        <v>0</v>
      </c>
      <c r="R279" s="135"/>
      <c r="S279" s="135"/>
      <c r="T279" s="135" t="s">
        <v>30</v>
      </c>
      <c r="U279" s="135"/>
      <c r="V279" s="135" t="s">
        <v>1255</v>
      </c>
      <c r="W279" s="135">
        <v>3</v>
      </c>
      <c r="X279" s="135" t="s">
        <v>2405</v>
      </c>
      <c r="Y279" s="135" t="s">
        <v>2406</v>
      </c>
      <c r="Z279" s="135" t="s">
        <v>2407</v>
      </c>
      <c r="AA279" s="5" t="str">
        <f>VLOOKUP(A279,'Form Responses 1'!$C$2:$K$532,6,FALSE)</f>
        <v>Kit delivery and pickup</v>
      </c>
      <c r="AB279" s="5" t="str">
        <f>VLOOKUP(A279,'Form Responses 1'!$C$2:$K$219,7,FALSE)</f>
        <v>No</v>
      </c>
      <c r="AC279" s="6">
        <f>VLOOKUP(A279,'Form Responses 1'!$C$2:$K$219,8,FALSE)</f>
        <v>100</v>
      </c>
      <c r="AD279" s="6">
        <f>VLOOKUP(A279,'Form Responses 1'!$C$2:$K$219,9,FALSE)</f>
        <v>0</v>
      </c>
    </row>
    <row r="280" spans="1:30" ht="19.5" customHeight="1">
      <c r="A280" s="135" t="s">
        <v>647</v>
      </c>
      <c r="B280" s="135"/>
      <c r="C280" s="135">
        <v>47804</v>
      </c>
      <c r="D280" s="135" t="s">
        <v>1684</v>
      </c>
      <c r="E280" s="135" t="s">
        <v>1685</v>
      </c>
      <c r="F280" s="135"/>
      <c r="G280" s="135">
        <v>120</v>
      </c>
      <c r="H280" s="135" t="s">
        <v>1268</v>
      </c>
      <c r="I280" s="135" t="str">
        <f>VLOOKUP(H280,list!$B$2:$C$14,2,FALSE)</f>
        <v>KITS</v>
      </c>
      <c r="J280" s="135"/>
      <c r="K280" s="135">
        <v>0</v>
      </c>
      <c r="L280" s="135">
        <v>0</v>
      </c>
      <c r="M280" s="135">
        <v>0</v>
      </c>
      <c r="N280" s="135">
        <v>0</v>
      </c>
      <c r="O280" s="135">
        <v>0</v>
      </c>
      <c r="P280" s="135"/>
      <c r="Q280" s="135">
        <v>0</v>
      </c>
      <c r="R280" s="135"/>
      <c r="S280" s="135"/>
      <c r="T280" s="135" t="s">
        <v>19</v>
      </c>
      <c r="U280" s="135" t="s">
        <v>2408</v>
      </c>
      <c r="V280" s="135" t="s">
        <v>1255</v>
      </c>
      <c r="W280" s="135">
        <v>5</v>
      </c>
      <c r="X280" s="135" t="s">
        <v>2409</v>
      </c>
      <c r="Y280" s="135" t="s">
        <v>2410</v>
      </c>
      <c r="Z280" s="135" t="s">
        <v>2103</v>
      </c>
      <c r="AA280" s="5" t="str">
        <f>VLOOKUP(A280,'Form Responses 1'!$C$2:$K$532,6,FALSE)</f>
        <v>Kit delivery and pickup</v>
      </c>
      <c r="AB280" s="5" t="str">
        <f>VLOOKUP(A280,'Form Responses 1'!$C$2:$K$219,7,FALSE)</f>
        <v>Yes</v>
      </c>
      <c r="AC280" s="6">
        <f>VLOOKUP(A280,'Form Responses 1'!$C$2:$K$219,8,FALSE)</f>
        <v>113</v>
      </c>
      <c r="AD280" s="6">
        <f>VLOOKUP(A280,'Form Responses 1'!$C$2:$K$219,9,FALSE)</f>
        <v>0</v>
      </c>
    </row>
    <row r="281" spans="1:30" ht="19.5" customHeight="1">
      <c r="A281" s="135" t="s">
        <v>651</v>
      </c>
      <c r="B281" s="135" t="s">
        <v>1527</v>
      </c>
      <c r="C281" s="135">
        <v>46225</v>
      </c>
      <c r="D281" s="135" t="s">
        <v>1289</v>
      </c>
      <c r="E281" s="135" t="s">
        <v>1290</v>
      </c>
      <c r="F281" s="135"/>
      <c r="G281" s="135">
        <v>38</v>
      </c>
      <c r="H281" s="135" t="s">
        <v>1282</v>
      </c>
      <c r="I281" s="135" t="str">
        <f>VLOOKUP(H281,list!$B$2:$C$14,2,FALSE)</f>
        <v>KITS</v>
      </c>
      <c r="J281" s="135"/>
      <c r="K281" s="135">
        <v>0</v>
      </c>
      <c r="L281" s="135">
        <v>0</v>
      </c>
      <c r="M281" s="135">
        <v>0</v>
      </c>
      <c r="N281" s="135">
        <v>0</v>
      </c>
      <c r="O281" s="135">
        <v>0</v>
      </c>
      <c r="P281" s="135"/>
      <c r="Q281" s="135">
        <v>0</v>
      </c>
      <c r="R281" s="135"/>
      <c r="S281" s="135"/>
      <c r="T281" s="135" t="s">
        <v>19</v>
      </c>
      <c r="U281" s="135"/>
      <c r="V281" s="135" t="s">
        <v>1255</v>
      </c>
      <c r="W281" s="135">
        <v>3</v>
      </c>
      <c r="X281" s="135" t="s">
        <v>2411</v>
      </c>
      <c r="Y281" s="135" t="s">
        <v>2412</v>
      </c>
      <c r="Z281" s="135" t="s">
        <v>2413</v>
      </c>
      <c r="AA281" s="5" t="str">
        <f>VLOOKUP(A281,'Form Responses 1'!$C$2:$K$532,6,FALSE)</f>
        <v>Kit delivery and pickup</v>
      </c>
      <c r="AB281" s="5" t="str">
        <f>VLOOKUP(A281,'Form Responses 1'!$C$2:$K$219,7,FALSE)</f>
        <v>No</v>
      </c>
      <c r="AC281" s="6">
        <f>VLOOKUP(A281,'Form Responses 1'!$C$2:$K$219,8,FALSE)</f>
        <v>40</v>
      </c>
      <c r="AD281" s="6">
        <f>VLOOKUP(A281,'Form Responses 1'!$C$2:$K$219,9,FALSE)</f>
        <v>0</v>
      </c>
    </row>
    <row r="282" spans="1:30" ht="19.5" customHeight="1">
      <c r="A282" s="135" t="s">
        <v>655</v>
      </c>
      <c r="B282" s="135"/>
      <c r="C282" s="135">
        <v>47356</v>
      </c>
      <c r="D282" s="135" t="s">
        <v>2414</v>
      </c>
      <c r="E282" s="135" t="s">
        <v>1888</v>
      </c>
      <c r="F282" s="135"/>
      <c r="G282" s="135">
        <v>38</v>
      </c>
      <c r="H282" s="135" t="s">
        <v>1282</v>
      </c>
      <c r="I282" s="135" t="str">
        <f>VLOOKUP(H282,list!$B$2:$C$14,2,FALSE)</f>
        <v>KITS</v>
      </c>
      <c r="J282" s="135"/>
      <c r="K282" s="135">
        <v>0</v>
      </c>
      <c r="L282" s="135">
        <v>0</v>
      </c>
      <c r="M282" s="135">
        <v>0</v>
      </c>
      <c r="N282" s="135">
        <v>0</v>
      </c>
      <c r="O282" s="135">
        <v>0</v>
      </c>
      <c r="P282" s="135"/>
      <c r="Q282" s="135">
        <v>0</v>
      </c>
      <c r="R282" s="135"/>
      <c r="S282" s="135"/>
      <c r="T282" s="135" t="s">
        <v>19</v>
      </c>
      <c r="U282" s="135" t="s">
        <v>2415</v>
      </c>
      <c r="V282" s="135" t="s">
        <v>1255</v>
      </c>
      <c r="W282" s="135">
        <v>3</v>
      </c>
      <c r="X282" s="135" t="s">
        <v>2416</v>
      </c>
      <c r="Y282" s="135" t="s">
        <v>2417</v>
      </c>
      <c r="Z282" s="135" t="s">
        <v>2418</v>
      </c>
      <c r="AA282" s="5" t="str">
        <f>VLOOKUP(A282,'Form Responses 1'!$C$2:$K$532,6,FALSE)</f>
        <v>Onsite sample collection by ISDH team</v>
      </c>
      <c r="AB282" s="5">
        <f>VLOOKUP(A282,'Form Responses 1'!$C$2:$K$219,7,FALSE)</f>
        <v>0</v>
      </c>
      <c r="AC282" s="6">
        <f>VLOOKUP(A282,'Form Responses 1'!$C$2:$K$219,8,FALSE)</f>
        <v>0</v>
      </c>
      <c r="AD282" s="6" t="str">
        <f>VLOOKUP(A282,'Form Responses 1'!$C$2:$K$219,9,FALSE)</f>
        <v>Per ED Jared, leaning towards Option #2: Onsite sample collection by ISDH team, but will talk it over with team.</v>
      </c>
    </row>
    <row r="283" spans="1:30" ht="19.5" customHeight="1">
      <c r="A283" s="135" t="s">
        <v>2419</v>
      </c>
      <c r="B283" s="321" t="s">
        <v>1312</v>
      </c>
      <c r="C283" s="135">
        <v>46135</v>
      </c>
      <c r="D283" s="135" t="s">
        <v>1403</v>
      </c>
      <c r="E283" s="135" t="s">
        <v>1404</v>
      </c>
      <c r="F283" s="135"/>
      <c r="G283" s="135">
        <v>108</v>
      </c>
      <c r="H283" s="135" t="s">
        <v>1276</v>
      </c>
      <c r="I283" s="135" t="str">
        <f>VLOOKUP(H283,list!$B$2:$C$14,2,FALSE)</f>
        <v>GREEN</v>
      </c>
      <c r="J283" s="135"/>
      <c r="K283" s="135">
        <v>0</v>
      </c>
      <c r="L283" s="135">
        <v>0</v>
      </c>
      <c r="M283" s="135">
        <v>0</v>
      </c>
      <c r="N283" s="135">
        <v>0</v>
      </c>
      <c r="O283" s="135">
        <v>0</v>
      </c>
      <c r="P283" s="135"/>
      <c r="Q283" s="135">
        <v>0</v>
      </c>
      <c r="R283" s="135"/>
      <c r="S283" s="135"/>
      <c r="T283" s="135" t="s">
        <v>19</v>
      </c>
      <c r="U283" s="135" t="s">
        <v>1315</v>
      </c>
      <c r="V283" s="135" t="s">
        <v>1255</v>
      </c>
      <c r="W283" s="135">
        <v>2</v>
      </c>
      <c r="X283" s="135" t="s">
        <v>2420</v>
      </c>
      <c r="Y283" s="135" t="s">
        <v>2421</v>
      </c>
      <c r="Z283" s="135" t="s">
        <v>1408</v>
      </c>
      <c r="AA283" s="5" t="s">
        <v>18</v>
      </c>
      <c r="AB283" s="5" t="s">
        <v>1298</v>
      </c>
      <c r="AC283" s="6">
        <f t="shared" ref="AC283:AC316" si="20">G283</f>
        <v>108</v>
      </c>
      <c r="AD283" s="6"/>
    </row>
    <row r="284" spans="1:30" ht="19.5" customHeight="1">
      <c r="A284" s="135" t="s">
        <v>2422</v>
      </c>
      <c r="B284" s="135" t="s">
        <v>2423</v>
      </c>
      <c r="C284" s="135">
        <v>46725</v>
      </c>
      <c r="D284" s="135" t="s">
        <v>2424</v>
      </c>
      <c r="E284" s="135" t="s">
        <v>2425</v>
      </c>
      <c r="F284" s="135"/>
      <c r="G284" s="135">
        <v>93</v>
      </c>
      <c r="H284" s="135" t="s">
        <v>2426</v>
      </c>
      <c r="I284" s="135" t="str">
        <f>VLOOKUP(H284,list!$B$2:$C$14,2,FALSE)</f>
        <v>KITS</v>
      </c>
      <c r="J284" s="135"/>
      <c r="K284" s="135">
        <v>0</v>
      </c>
      <c r="L284" s="135">
        <v>0</v>
      </c>
      <c r="M284" s="135">
        <v>0</v>
      </c>
      <c r="N284" s="135">
        <v>0</v>
      </c>
      <c r="O284" s="135">
        <v>0</v>
      </c>
      <c r="P284" s="135"/>
      <c r="Q284" s="135">
        <v>0</v>
      </c>
      <c r="R284" s="135"/>
      <c r="S284" s="135"/>
      <c r="T284" s="135" t="s">
        <v>30</v>
      </c>
      <c r="U284" s="135"/>
      <c r="V284" s="135" t="s">
        <v>1255</v>
      </c>
      <c r="W284" s="135">
        <v>2</v>
      </c>
      <c r="X284" s="135" t="s">
        <v>2427</v>
      </c>
      <c r="Y284" s="135" t="s">
        <v>2428</v>
      </c>
      <c r="Z284" s="135" t="s">
        <v>2429</v>
      </c>
      <c r="AA284" s="5" t="s">
        <v>18</v>
      </c>
      <c r="AB284" s="5" t="s">
        <v>1298</v>
      </c>
      <c r="AC284" s="6">
        <f t="shared" si="20"/>
        <v>93</v>
      </c>
      <c r="AD284" s="6"/>
    </row>
    <row r="285" spans="1:30" ht="19.5" customHeight="1">
      <c r="A285" s="135" t="s">
        <v>2430</v>
      </c>
      <c r="B285" s="135" t="s">
        <v>2423</v>
      </c>
      <c r="C285" s="135">
        <v>46352</v>
      </c>
      <c r="D285" s="135" t="s">
        <v>1945</v>
      </c>
      <c r="E285" s="135" t="s">
        <v>1333</v>
      </c>
      <c r="F285" s="135"/>
      <c r="G285" s="135">
        <v>109</v>
      </c>
      <c r="H285" s="135" t="s">
        <v>2426</v>
      </c>
      <c r="I285" s="135" t="str">
        <f>VLOOKUP(H285,list!$B$2:$C$14,2,FALSE)</f>
        <v>KITS</v>
      </c>
      <c r="J285" s="135"/>
      <c r="K285" s="135">
        <v>0</v>
      </c>
      <c r="L285" s="135">
        <v>0</v>
      </c>
      <c r="M285" s="135">
        <v>0</v>
      </c>
      <c r="N285" s="135">
        <v>0</v>
      </c>
      <c r="O285" s="135">
        <v>0</v>
      </c>
      <c r="P285" s="135"/>
      <c r="Q285" s="135">
        <v>0</v>
      </c>
      <c r="R285" s="135"/>
      <c r="S285" s="135"/>
      <c r="T285" s="135" t="s">
        <v>30</v>
      </c>
      <c r="U285" s="135"/>
      <c r="V285" s="135" t="s">
        <v>1255</v>
      </c>
      <c r="W285" s="135">
        <v>2</v>
      </c>
      <c r="X285" s="7" t="s">
        <v>2431</v>
      </c>
      <c r="Y285" s="135" t="s">
        <v>2432</v>
      </c>
      <c r="Z285" s="135" t="s">
        <v>1948</v>
      </c>
      <c r="AA285" s="5" t="s">
        <v>18</v>
      </c>
      <c r="AB285" s="5" t="s">
        <v>1298</v>
      </c>
      <c r="AC285" s="6">
        <f t="shared" si="20"/>
        <v>109</v>
      </c>
      <c r="AD285" s="6"/>
    </row>
    <row r="286" spans="1:30" ht="19.5" customHeight="1">
      <c r="A286" s="135" t="s">
        <v>2433</v>
      </c>
      <c r="B286" s="135" t="s">
        <v>2423</v>
      </c>
      <c r="C286" s="135">
        <v>46017</v>
      </c>
      <c r="D286" s="135" t="s">
        <v>1498</v>
      </c>
      <c r="E286" s="135" t="s">
        <v>1281</v>
      </c>
      <c r="F286" s="135"/>
      <c r="G286" s="135">
        <v>72</v>
      </c>
      <c r="H286" s="135" t="s">
        <v>2426</v>
      </c>
      <c r="I286" s="135" t="str">
        <f>VLOOKUP(H286,list!$B$2:$C$14,2,FALSE)</f>
        <v>KITS</v>
      </c>
      <c r="J286" s="135"/>
      <c r="K286" s="135">
        <v>0</v>
      </c>
      <c r="L286" s="135">
        <v>0</v>
      </c>
      <c r="M286" s="135">
        <v>0</v>
      </c>
      <c r="N286" s="135">
        <v>0</v>
      </c>
      <c r="O286" s="135">
        <v>0</v>
      </c>
      <c r="P286" s="135"/>
      <c r="Q286" s="135">
        <v>0</v>
      </c>
      <c r="R286" s="135"/>
      <c r="S286" s="135"/>
      <c r="T286" s="135" t="s">
        <v>30</v>
      </c>
      <c r="U286" s="135" t="s">
        <v>2434</v>
      </c>
      <c r="V286" s="135" t="s">
        <v>1255</v>
      </c>
      <c r="W286" s="135">
        <v>2</v>
      </c>
      <c r="X286" s="7" t="s">
        <v>2435</v>
      </c>
      <c r="Y286" s="135" t="s">
        <v>2436</v>
      </c>
      <c r="Z286" s="135" t="s">
        <v>2437</v>
      </c>
      <c r="AA286" s="5" t="s">
        <v>18</v>
      </c>
      <c r="AB286" s="5" t="s">
        <v>1298</v>
      </c>
      <c r="AC286" s="6">
        <f t="shared" si="20"/>
        <v>72</v>
      </c>
      <c r="AD286" s="6"/>
    </row>
    <row r="287" spans="1:30" ht="19.5" customHeight="1">
      <c r="A287" s="135" t="s">
        <v>2438</v>
      </c>
      <c r="B287" s="135" t="s">
        <v>2423</v>
      </c>
      <c r="C287" s="135">
        <v>46725</v>
      </c>
      <c r="D287" s="135" t="s">
        <v>2424</v>
      </c>
      <c r="E287" s="135" t="s">
        <v>2425</v>
      </c>
      <c r="F287" s="135"/>
      <c r="G287" s="135">
        <v>54</v>
      </c>
      <c r="H287" s="135" t="s">
        <v>2426</v>
      </c>
      <c r="I287" s="135" t="str">
        <f>VLOOKUP(H287,list!$B$2:$C$14,2,FALSE)</f>
        <v>KITS</v>
      </c>
      <c r="J287" s="135"/>
      <c r="K287" s="135">
        <v>0</v>
      </c>
      <c r="L287" s="135">
        <v>0</v>
      </c>
      <c r="M287" s="135">
        <v>0</v>
      </c>
      <c r="N287" s="135">
        <v>0</v>
      </c>
      <c r="O287" s="135">
        <v>0</v>
      </c>
      <c r="P287" s="135"/>
      <c r="Q287" s="135">
        <v>0</v>
      </c>
      <c r="R287" s="135"/>
      <c r="S287" s="135"/>
      <c r="T287" s="135" t="s">
        <v>30</v>
      </c>
      <c r="U287" s="135"/>
      <c r="V287" s="135" t="s">
        <v>1255</v>
      </c>
      <c r="W287" s="135">
        <v>2</v>
      </c>
      <c r="X287" s="7" t="s">
        <v>2439</v>
      </c>
      <c r="Y287" s="135" t="s">
        <v>2440</v>
      </c>
      <c r="Z287" s="135" t="s">
        <v>2429</v>
      </c>
      <c r="AA287" s="5" t="s">
        <v>18</v>
      </c>
      <c r="AB287" s="5" t="s">
        <v>1298</v>
      </c>
      <c r="AC287" s="6">
        <f t="shared" si="20"/>
        <v>54</v>
      </c>
      <c r="AD287" s="6"/>
    </row>
    <row r="288" spans="1:30" ht="19.5" customHeight="1">
      <c r="A288" s="135" t="s">
        <v>2441</v>
      </c>
      <c r="B288" s="135" t="s">
        <v>2423</v>
      </c>
      <c r="C288" s="135">
        <v>46511</v>
      </c>
      <c r="D288" s="135" t="s">
        <v>2442</v>
      </c>
      <c r="E288" s="135" t="s">
        <v>1630</v>
      </c>
      <c r="F288" s="135" t="s">
        <v>30</v>
      </c>
      <c r="G288" s="135">
        <v>67</v>
      </c>
      <c r="H288" s="135" t="s">
        <v>2426</v>
      </c>
      <c r="I288" s="135" t="str">
        <f>VLOOKUP(H288,list!$B$2:$C$14,2,FALSE)</f>
        <v>KITS</v>
      </c>
      <c r="J288" s="135"/>
      <c r="K288" s="135">
        <v>0</v>
      </c>
      <c r="L288" s="135">
        <v>0</v>
      </c>
      <c r="M288" s="135">
        <v>0</v>
      </c>
      <c r="N288" s="135">
        <v>0</v>
      </c>
      <c r="O288" s="135">
        <v>0</v>
      </c>
      <c r="P288" s="135"/>
      <c r="Q288" s="135">
        <v>0</v>
      </c>
      <c r="R288" s="135"/>
      <c r="S288" s="135"/>
      <c r="T288" s="135" t="s">
        <v>30</v>
      </c>
      <c r="U288" s="135"/>
      <c r="V288" s="135" t="s">
        <v>1255</v>
      </c>
      <c r="W288" s="135">
        <v>2</v>
      </c>
      <c r="X288" s="7" t="s">
        <v>2443</v>
      </c>
      <c r="Y288" s="135" t="s">
        <v>2444</v>
      </c>
      <c r="Z288" s="135" t="s">
        <v>2445</v>
      </c>
      <c r="AA288" s="5" t="s">
        <v>18</v>
      </c>
      <c r="AB288" s="5" t="s">
        <v>1298</v>
      </c>
      <c r="AC288" s="6">
        <f t="shared" si="20"/>
        <v>67</v>
      </c>
      <c r="AD288" s="6"/>
    </row>
    <row r="289" spans="1:30" ht="19.5" customHeight="1">
      <c r="A289" s="135" t="s">
        <v>2446</v>
      </c>
      <c r="B289" s="135" t="s">
        <v>2423</v>
      </c>
      <c r="C289" s="135">
        <v>47336</v>
      </c>
      <c r="D289" s="135" t="s">
        <v>2447</v>
      </c>
      <c r="E289" s="135" t="s">
        <v>1563</v>
      </c>
      <c r="F289" s="135"/>
      <c r="G289" s="135">
        <v>54</v>
      </c>
      <c r="H289" s="135" t="s">
        <v>2426</v>
      </c>
      <c r="I289" s="135" t="str">
        <f>VLOOKUP(H289,list!$B$2:$C$14,2,FALSE)</f>
        <v>KITS</v>
      </c>
      <c r="J289" s="135"/>
      <c r="K289" s="135">
        <v>0</v>
      </c>
      <c r="L289" s="135">
        <v>0</v>
      </c>
      <c r="M289" s="135">
        <v>0</v>
      </c>
      <c r="N289" s="135">
        <v>0</v>
      </c>
      <c r="O289" s="135">
        <v>0</v>
      </c>
      <c r="P289" s="135"/>
      <c r="Q289" s="135">
        <v>0</v>
      </c>
      <c r="R289" s="135"/>
      <c r="S289" s="135"/>
      <c r="T289" s="135" t="s">
        <v>30</v>
      </c>
      <c r="U289" s="135"/>
      <c r="V289" s="135" t="s">
        <v>1255</v>
      </c>
      <c r="W289" s="135">
        <v>2</v>
      </c>
      <c r="X289" s="7" t="s">
        <v>2448</v>
      </c>
      <c r="Y289" s="135" t="s">
        <v>2449</v>
      </c>
      <c r="Z289" s="135" t="s">
        <v>2450</v>
      </c>
      <c r="AA289" s="5" t="s">
        <v>18</v>
      </c>
      <c r="AB289" s="5" t="s">
        <v>1298</v>
      </c>
      <c r="AC289" s="6">
        <f t="shared" si="20"/>
        <v>54</v>
      </c>
      <c r="AD289" s="6"/>
    </row>
    <row r="290" spans="1:30" ht="19.5" customHeight="1">
      <c r="A290" s="135" t="s">
        <v>2451</v>
      </c>
      <c r="B290" s="135" t="s">
        <v>2423</v>
      </c>
      <c r="C290" s="135">
        <v>46815</v>
      </c>
      <c r="D290" s="135" t="s">
        <v>1343</v>
      </c>
      <c r="E290" s="135" t="s">
        <v>1252</v>
      </c>
      <c r="F290" s="135"/>
      <c r="G290" s="135">
        <v>80</v>
      </c>
      <c r="H290" s="135" t="s">
        <v>2426</v>
      </c>
      <c r="I290" s="135" t="str">
        <f>VLOOKUP(H290,list!$B$2:$C$14,2,FALSE)</f>
        <v>KITS</v>
      </c>
      <c r="J290" s="135"/>
      <c r="K290" s="135">
        <v>0</v>
      </c>
      <c r="L290" s="135">
        <v>0</v>
      </c>
      <c r="M290" s="135">
        <v>0</v>
      </c>
      <c r="N290" s="135">
        <v>0</v>
      </c>
      <c r="O290" s="135">
        <v>0</v>
      </c>
      <c r="P290" s="135"/>
      <c r="Q290" s="135">
        <v>0</v>
      </c>
      <c r="R290" s="135"/>
      <c r="S290" s="135"/>
      <c r="T290" s="135" t="s">
        <v>30</v>
      </c>
      <c r="U290" s="135"/>
      <c r="V290" s="135" t="s">
        <v>1255</v>
      </c>
      <c r="W290" s="135">
        <v>2</v>
      </c>
      <c r="X290" s="7" t="s">
        <v>2452</v>
      </c>
      <c r="Y290" s="135" t="s">
        <v>2453</v>
      </c>
      <c r="Z290" s="135" t="s">
        <v>1993</v>
      </c>
      <c r="AA290" s="5" t="s">
        <v>18</v>
      </c>
      <c r="AB290" s="5" t="s">
        <v>1298</v>
      </c>
      <c r="AC290" s="6">
        <f t="shared" si="20"/>
        <v>80</v>
      </c>
      <c r="AD290" s="6"/>
    </row>
    <row r="291" spans="1:30" ht="19.5" customHeight="1">
      <c r="A291" s="135" t="s">
        <v>2454</v>
      </c>
      <c r="B291" s="135" t="s">
        <v>2423</v>
      </c>
      <c r="C291" s="135">
        <v>46738</v>
      </c>
      <c r="D291" s="135" t="s">
        <v>2455</v>
      </c>
      <c r="E291" s="135" t="s">
        <v>1430</v>
      </c>
      <c r="F291" s="135"/>
      <c r="G291" s="135">
        <v>87</v>
      </c>
      <c r="H291" s="135" t="s">
        <v>2426</v>
      </c>
      <c r="I291" s="135" t="str">
        <f>VLOOKUP(H291,list!$B$2:$C$14,2,FALSE)</f>
        <v>KITS</v>
      </c>
      <c r="J291" s="135"/>
      <c r="K291" s="135">
        <v>0</v>
      </c>
      <c r="L291" s="135">
        <v>0</v>
      </c>
      <c r="M291" s="135">
        <v>0</v>
      </c>
      <c r="N291" s="135">
        <v>0</v>
      </c>
      <c r="O291" s="135">
        <v>0</v>
      </c>
      <c r="P291" s="135"/>
      <c r="Q291" s="135">
        <v>0</v>
      </c>
      <c r="R291" s="135"/>
      <c r="S291" s="135"/>
      <c r="T291" s="135" t="s">
        <v>30</v>
      </c>
      <c r="U291" s="135"/>
      <c r="V291" s="135" t="s">
        <v>1255</v>
      </c>
      <c r="W291" s="135">
        <v>2</v>
      </c>
      <c r="X291" s="7" t="s">
        <v>2456</v>
      </c>
      <c r="Y291" s="135" t="s">
        <v>2457</v>
      </c>
      <c r="Z291" s="135" t="s">
        <v>2458</v>
      </c>
      <c r="AA291" s="5" t="s">
        <v>18</v>
      </c>
      <c r="AB291" s="5" t="s">
        <v>1298</v>
      </c>
      <c r="AC291" s="6">
        <f t="shared" si="20"/>
        <v>87</v>
      </c>
      <c r="AD291" s="6"/>
    </row>
    <row r="292" spans="1:30" ht="19.5" customHeight="1">
      <c r="A292" s="135" t="s">
        <v>2459</v>
      </c>
      <c r="B292" s="135" t="s">
        <v>2423</v>
      </c>
      <c r="C292" s="135">
        <v>47348</v>
      </c>
      <c r="D292" s="135" t="s">
        <v>1562</v>
      </c>
      <c r="E292" s="135" t="s">
        <v>1563</v>
      </c>
      <c r="F292" s="135" t="s">
        <v>30</v>
      </c>
      <c r="G292" s="135">
        <v>65</v>
      </c>
      <c r="H292" s="135" t="s">
        <v>2426</v>
      </c>
      <c r="I292" s="135" t="str">
        <f>VLOOKUP(H292,list!$B$2:$C$14,2,FALSE)</f>
        <v>KITS</v>
      </c>
      <c r="J292" s="135"/>
      <c r="K292" s="135">
        <v>0</v>
      </c>
      <c r="L292" s="135">
        <v>0</v>
      </c>
      <c r="M292" s="135">
        <v>0</v>
      </c>
      <c r="N292" s="135">
        <v>0</v>
      </c>
      <c r="O292" s="135">
        <v>0</v>
      </c>
      <c r="P292" s="135"/>
      <c r="Q292" s="135">
        <v>0</v>
      </c>
      <c r="R292" s="135"/>
      <c r="S292" s="135"/>
      <c r="T292" s="135" t="s">
        <v>30</v>
      </c>
      <c r="U292" s="135"/>
      <c r="V292" s="135" t="s">
        <v>1255</v>
      </c>
      <c r="W292" s="135">
        <v>2</v>
      </c>
      <c r="X292" s="7" t="s">
        <v>2460</v>
      </c>
      <c r="Y292" s="135" t="s">
        <v>2461</v>
      </c>
      <c r="Z292" s="135" t="s">
        <v>1567</v>
      </c>
      <c r="AA292" s="5" t="s">
        <v>18</v>
      </c>
      <c r="AB292" s="5" t="s">
        <v>1298</v>
      </c>
      <c r="AC292" s="6">
        <f t="shared" si="20"/>
        <v>65</v>
      </c>
      <c r="AD292" s="6"/>
    </row>
    <row r="293" spans="1:30" ht="19.5" customHeight="1">
      <c r="A293" s="135" t="s">
        <v>2462</v>
      </c>
      <c r="B293" s="135" t="s">
        <v>2423</v>
      </c>
      <c r="C293" s="135">
        <v>46342</v>
      </c>
      <c r="D293" s="135" t="s">
        <v>2463</v>
      </c>
      <c r="E293" s="135" t="s">
        <v>1375</v>
      </c>
      <c r="F293" s="135"/>
      <c r="G293" s="135">
        <v>75</v>
      </c>
      <c r="H293" s="135" t="s">
        <v>2426</v>
      </c>
      <c r="I293" s="135" t="str">
        <f>VLOOKUP(H293,list!$B$2:$C$14,2,FALSE)</f>
        <v>KITS</v>
      </c>
      <c r="J293" s="135"/>
      <c r="K293" s="135">
        <v>0</v>
      </c>
      <c r="L293" s="135">
        <v>0</v>
      </c>
      <c r="M293" s="135">
        <v>0</v>
      </c>
      <c r="N293" s="135">
        <v>0</v>
      </c>
      <c r="O293" s="135">
        <v>0</v>
      </c>
      <c r="P293" s="135"/>
      <c r="Q293" s="135">
        <v>0</v>
      </c>
      <c r="R293" s="135"/>
      <c r="S293" s="135"/>
      <c r="T293" s="135" t="s">
        <v>30</v>
      </c>
      <c r="U293" s="135"/>
      <c r="V293" s="135" t="s">
        <v>1255</v>
      </c>
      <c r="W293" s="135">
        <v>2</v>
      </c>
      <c r="X293" s="7" t="s">
        <v>2464</v>
      </c>
      <c r="Y293" s="135" t="s">
        <v>2465</v>
      </c>
      <c r="Z293" s="135" t="s">
        <v>2466</v>
      </c>
      <c r="AA293" s="5" t="s">
        <v>18</v>
      </c>
      <c r="AB293" s="5" t="s">
        <v>1298</v>
      </c>
      <c r="AC293" s="6">
        <f t="shared" si="20"/>
        <v>75</v>
      </c>
      <c r="AD293" s="6"/>
    </row>
    <row r="294" spans="1:30" ht="19.5" customHeight="1">
      <c r="A294" s="135" t="s">
        <v>2467</v>
      </c>
      <c r="B294" s="135" t="s">
        <v>2423</v>
      </c>
      <c r="C294" s="135">
        <v>47246</v>
      </c>
      <c r="D294" s="135" t="s">
        <v>2468</v>
      </c>
      <c r="E294" s="135" t="s">
        <v>1699</v>
      </c>
      <c r="F294" s="135"/>
      <c r="G294" s="135">
        <v>68</v>
      </c>
      <c r="H294" s="135" t="s">
        <v>2426</v>
      </c>
      <c r="I294" s="135" t="str">
        <f>VLOOKUP(H294,list!$B$2:$C$14,2,FALSE)</f>
        <v>KITS</v>
      </c>
      <c r="J294" s="135"/>
      <c r="K294" s="135">
        <v>0</v>
      </c>
      <c r="L294" s="135">
        <v>0</v>
      </c>
      <c r="M294" s="135">
        <v>0</v>
      </c>
      <c r="N294" s="135">
        <v>0</v>
      </c>
      <c r="O294" s="135">
        <v>0</v>
      </c>
      <c r="P294" s="135"/>
      <c r="Q294" s="135">
        <v>0</v>
      </c>
      <c r="R294" s="135"/>
      <c r="S294" s="135"/>
      <c r="T294" s="135" t="s">
        <v>30</v>
      </c>
      <c r="U294" s="135"/>
      <c r="V294" s="135" t="s">
        <v>1255</v>
      </c>
      <c r="W294" s="135">
        <v>2</v>
      </c>
      <c r="X294" s="7" t="s">
        <v>2469</v>
      </c>
      <c r="Y294" s="135" t="s">
        <v>2470</v>
      </c>
      <c r="Z294" s="135" t="s">
        <v>2471</v>
      </c>
      <c r="AA294" s="5" t="s">
        <v>18</v>
      </c>
      <c r="AB294" s="5" t="s">
        <v>1298</v>
      </c>
      <c r="AC294" s="6">
        <f t="shared" si="20"/>
        <v>68</v>
      </c>
      <c r="AD294" s="6"/>
    </row>
    <row r="295" spans="1:30" ht="19.5" customHeight="1">
      <c r="A295" s="135" t="s">
        <v>2472</v>
      </c>
      <c r="B295" s="135" t="s">
        <v>2423</v>
      </c>
      <c r="C295" s="135">
        <v>46750</v>
      </c>
      <c r="D295" s="135" t="s">
        <v>2134</v>
      </c>
      <c r="E295" s="135" t="s">
        <v>2134</v>
      </c>
      <c r="F295" s="135"/>
      <c r="G295" s="135">
        <v>92</v>
      </c>
      <c r="H295" s="135" t="s">
        <v>2426</v>
      </c>
      <c r="I295" s="135" t="str">
        <f>VLOOKUP(H295,list!$B$2:$C$14,2,FALSE)</f>
        <v>KITS</v>
      </c>
      <c r="J295" s="135"/>
      <c r="K295" s="135">
        <v>0</v>
      </c>
      <c r="L295" s="135">
        <v>0</v>
      </c>
      <c r="M295" s="135">
        <v>0</v>
      </c>
      <c r="N295" s="135">
        <v>0</v>
      </c>
      <c r="O295" s="135">
        <v>0</v>
      </c>
      <c r="P295" s="135"/>
      <c r="Q295" s="135">
        <v>0</v>
      </c>
      <c r="R295" s="135"/>
      <c r="S295" s="135"/>
      <c r="T295" s="135" t="s">
        <v>30</v>
      </c>
      <c r="U295" s="135"/>
      <c r="V295" s="135" t="s">
        <v>1255</v>
      </c>
      <c r="W295" s="135">
        <v>2</v>
      </c>
      <c r="X295" s="7" t="s">
        <v>2473</v>
      </c>
      <c r="Y295" s="135" t="s">
        <v>2474</v>
      </c>
      <c r="Z295" s="135" t="s">
        <v>2137</v>
      </c>
      <c r="AA295" s="5" t="s">
        <v>18</v>
      </c>
      <c r="AB295" s="5" t="s">
        <v>1298</v>
      </c>
      <c r="AC295" s="6">
        <f t="shared" si="20"/>
        <v>92</v>
      </c>
      <c r="AD295" s="6"/>
    </row>
    <row r="296" spans="1:30" ht="19.5" customHeight="1">
      <c r="A296" s="135" t="s">
        <v>2475</v>
      </c>
      <c r="B296" s="135" t="s">
        <v>2423</v>
      </c>
      <c r="C296" s="135">
        <v>46218</v>
      </c>
      <c r="D296" s="135" t="s">
        <v>1289</v>
      </c>
      <c r="E296" s="135" t="s">
        <v>1290</v>
      </c>
      <c r="F296" s="135"/>
      <c r="G296" s="135">
        <v>93</v>
      </c>
      <c r="H296" s="135" t="s">
        <v>2426</v>
      </c>
      <c r="I296" s="135" t="str">
        <f>VLOOKUP(H296,list!$B$2:$C$14,2,FALSE)</f>
        <v>KITS</v>
      </c>
      <c r="J296" s="135"/>
      <c r="K296" s="135">
        <v>0</v>
      </c>
      <c r="L296" s="135">
        <v>0</v>
      </c>
      <c r="M296" s="135">
        <v>0</v>
      </c>
      <c r="N296" s="135">
        <v>0</v>
      </c>
      <c r="O296" s="135">
        <v>0</v>
      </c>
      <c r="P296" s="135"/>
      <c r="Q296" s="135">
        <v>0</v>
      </c>
      <c r="R296" s="135"/>
      <c r="S296" s="135"/>
      <c r="T296" s="135" t="s">
        <v>30</v>
      </c>
      <c r="U296" s="135"/>
      <c r="V296" s="135" t="s">
        <v>1255</v>
      </c>
      <c r="W296" s="135">
        <v>2</v>
      </c>
      <c r="X296" s="7" t="s">
        <v>2476</v>
      </c>
      <c r="Y296" s="135" t="s">
        <v>2477</v>
      </c>
      <c r="Z296" s="135" t="s">
        <v>1402</v>
      </c>
      <c r="AA296" s="5" t="s">
        <v>18</v>
      </c>
      <c r="AB296" s="5" t="s">
        <v>1298</v>
      </c>
      <c r="AC296" s="6">
        <f t="shared" si="20"/>
        <v>93</v>
      </c>
      <c r="AD296" s="6"/>
    </row>
    <row r="297" spans="1:30" ht="19.5" customHeight="1">
      <c r="A297" s="135" t="s">
        <v>2478</v>
      </c>
      <c r="B297" s="135" t="s">
        <v>2423</v>
      </c>
      <c r="C297" s="135">
        <v>46761</v>
      </c>
      <c r="D297" s="135" t="s">
        <v>2276</v>
      </c>
      <c r="E297" s="135" t="s">
        <v>2277</v>
      </c>
      <c r="F297" s="135"/>
      <c r="G297" s="135">
        <v>97</v>
      </c>
      <c r="H297" s="135" t="s">
        <v>2426</v>
      </c>
      <c r="I297" s="135" t="str">
        <f>VLOOKUP(H297,list!$B$2:$C$14,2,FALSE)</f>
        <v>KITS</v>
      </c>
      <c r="J297" s="135"/>
      <c r="K297" s="135">
        <v>0</v>
      </c>
      <c r="L297" s="135">
        <v>0</v>
      </c>
      <c r="M297" s="135">
        <v>0</v>
      </c>
      <c r="N297" s="135">
        <v>0</v>
      </c>
      <c r="O297" s="135">
        <v>0</v>
      </c>
      <c r="P297" s="135"/>
      <c r="Q297" s="135">
        <v>0</v>
      </c>
      <c r="R297" s="135"/>
      <c r="S297" s="135"/>
      <c r="T297" s="135" t="s">
        <v>30</v>
      </c>
      <c r="U297" s="135"/>
      <c r="V297" s="135" t="s">
        <v>1255</v>
      </c>
      <c r="W297" s="135">
        <v>2</v>
      </c>
      <c r="X297" s="7" t="s">
        <v>2479</v>
      </c>
      <c r="Y297" s="135" t="s">
        <v>2480</v>
      </c>
      <c r="Z297" s="135" t="s">
        <v>2280</v>
      </c>
      <c r="AA297" s="5" t="s">
        <v>18</v>
      </c>
      <c r="AB297" s="5" t="s">
        <v>1298</v>
      </c>
      <c r="AC297" s="6">
        <f t="shared" si="20"/>
        <v>97</v>
      </c>
      <c r="AD297" s="6"/>
    </row>
    <row r="298" spans="1:30" ht="19.5" customHeight="1">
      <c r="A298" s="135" t="s">
        <v>2481</v>
      </c>
      <c r="B298" s="135" t="s">
        <v>2423</v>
      </c>
      <c r="C298" s="135">
        <v>46947</v>
      </c>
      <c r="D298" s="135" t="s">
        <v>1600</v>
      </c>
      <c r="E298" s="135" t="s">
        <v>1601</v>
      </c>
      <c r="F298" s="135"/>
      <c r="G298" s="135">
        <v>134</v>
      </c>
      <c r="H298" s="135" t="s">
        <v>2426</v>
      </c>
      <c r="I298" s="135" t="str">
        <f>VLOOKUP(H298,list!$B$2:$C$14,2,FALSE)</f>
        <v>KITS</v>
      </c>
      <c r="J298" s="135"/>
      <c r="K298" s="135">
        <v>0</v>
      </c>
      <c r="L298" s="135">
        <v>0</v>
      </c>
      <c r="M298" s="135">
        <v>0</v>
      </c>
      <c r="N298" s="135">
        <v>0</v>
      </c>
      <c r="O298" s="135">
        <v>0</v>
      </c>
      <c r="P298" s="135"/>
      <c r="Q298" s="135">
        <v>0</v>
      </c>
      <c r="R298" s="135"/>
      <c r="S298" s="135"/>
      <c r="T298" s="135" t="s">
        <v>30</v>
      </c>
      <c r="U298" s="135"/>
      <c r="V298" s="135" t="s">
        <v>1255</v>
      </c>
      <c r="W298" s="135">
        <v>2</v>
      </c>
      <c r="X298" s="7" t="s">
        <v>2482</v>
      </c>
      <c r="Y298" s="135" t="s">
        <v>2483</v>
      </c>
      <c r="Z298" s="135" t="s">
        <v>1605</v>
      </c>
      <c r="AA298" s="5" t="s">
        <v>18</v>
      </c>
      <c r="AB298" s="5" t="s">
        <v>1298</v>
      </c>
      <c r="AC298" s="6">
        <f t="shared" si="20"/>
        <v>134</v>
      </c>
      <c r="AD298" s="6"/>
    </row>
    <row r="299" spans="1:30" ht="19.5" customHeight="1">
      <c r="A299" s="135" t="s">
        <v>2484</v>
      </c>
      <c r="B299" s="135" t="s">
        <v>2423</v>
      </c>
      <c r="C299" s="135">
        <v>46952</v>
      </c>
      <c r="D299" s="135" t="s">
        <v>1290</v>
      </c>
      <c r="E299" s="135" t="s">
        <v>1360</v>
      </c>
      <c r="F299" s="135"/>
      <c r="G299" s="135">
        <v>95</v>
      </c>
      <c r="H299" s="135" t="s">
        <v>2426</v>
      </c>
      <c r="I299" s="135" t="str">
        <f>VLOOKUP(H299,list!$B$2:$C$14,2,FALSE)</f>
        <v>KITS</v>
      </c>
      <c r="J299" s="135"/>
      <c r="K299" s="135">
        <v>0</v>
      </c>
      <c r="L299" s="135">
        <v>0</v>
      </c>
      <c r="M299" s="135">
        <v>0</v>
      </c>
      <c r="N299" s="135">
        <v>0</v>
      </c>
      <c r="O299" s="135">
        <v>0</v>
      </c>
      <c r="P299" s="135"/>
      <c r="Q299" s="135">
        <v>0</v>
      </c>
      <c r="R299" s="135"/>
      <c r="S299" s="135"/>
      <c r="T299" s="135" t="s">
        <v>30</v>
      </c>
      <c r="U299" s="135"/>
      <c r="V299" s="135" t="s">
        <v>1255</v>
      </c>
      <c r="W299" s="135">
        <v>2</v>
      </c>
      <c r="X299" s="7" t="s">
        <v>2485</v>
      </c>
      <c r="Y299" s="135" t="s">
        <v>2486</v>
      </c>
      <c r="Z299" s="135" t="s">
        <v>2487</v>
      </c>
      <c r="AA299" s="5" t="s">
        <v>18</v>
      </c>
      <c r="AB299" s="5" t="s">
        <v>1298</v>
      </c>
      <c r="AC299" s="6">
        <f t="shared" si="20"/>
        <v>95</v>
      </c>
      <c r="AD299" s="6"/>
    </row>
    <row r="300" spans="1:30" ht="19.5" customHeight="1">
      <c r="A300" s="135" t="s">
        <v>2488</v>
      </c>
      <c r="B300" s="135" t="s">
        <v>2423</v>
      </c>
      <c r="C300" s="135">
        <v>47356</v>
      </c>
      <c r="D300" s="135" t="s">
        <v>2414</v>
      </c>
      <c r="E300" s="135" t="s">
        <v>1888</v>
      </c>
      <c r="F300" s="135"/>
      <c r="G300" s="135">
        <v>43</v>
      </c>
      <c r="H300" s="135" t="s">
        <v>2426</v>
      </c>
      <c r="I300" s="135" t="str">
        <f>VLOOKUP(H300,list!$B$2:$C$14,2,FALSE)</f>
        <v>KITS</v>
      </c>
      <c r="J300" s="135"/>
      <c r="K300" s="135">
        <v>0</v>
      </c>
      <c r="L300" s="135">
        <v>0</v>
      </c>
      <c r="M300" s="135">
        <v>0</v>
      </c>
      <c r="N300" s="135">
        <v>0</v>
      </c>
      <c r="O300" s="135">
        <v>0</v>
      </c>
      <c r="P300" s="135"/>
      <c r="Q300" s="135">
        <v>0</v>
      </c>
      <c r="R300" s="135"/>
      <c r="S300" s="135"/>
      <c r="T300" s="135" t="s">
        <v>30</v>
      </c>
      <c r="U300" s="135"/>
      <c r="V300" s="135" t="s">
        <v>1255</v>
      </c>
      <c r="W300" s="135">
        <v>2</v>
      </c>
      <c r="X300" s="7" t="s">
        <v>2489</v>
      </c>
      <c r="Y300" s="135" t="s">
        <v>2490</v>
      </c>
      <c r="Z300" s="135" t="s">
        <v>2418</v>
      </c>
      <c r="AA300" s="5" t="s">
        <v>18</v>
      </c>
      <c r="AB300" s="5" t="s">
        <v>1298</v>
      </c>
      <c r="AC300" s="6">
        <f t="shared" si="20"/>
        <v>43</v>
      </c>
      <c r="AD300" s="6"/>
    </row>
    <row r="301" spans="1:30" ht="19.5" customHeight="1">
      <c r="A301" s="135" t="s">
        <v>2491</v>
      </c>
      <c r="B301" s="135" t="s">
        <v>2423</v>
      </c>
      <c r="C301" s="135">
        <v>46158</v>
      </c>
      <c r="D301" s="135" t="s">
        <v>2391</v>
      </c>
      <c r="E301" s="135" t="s">
        <v>1911</v>
      </c>
      <c r="F301" s="135"/>
      <c r="G301" s="135">
        <v>90</v>
      </c>
      <c r="H301" s="135" t="s">
        <v>2426</v>
      </c>
      <c r="I301" s="135" t="str">
        <f>VLOOKUP(H301,list!$B$2:$C$14,2,FALSE)</f>
        <v>KITS</v>
      </c>
      <c r="J301" s="135"/>
      <c r="K301" s="135">
        <v>0</v>
      </c>
      <c r="L301" s="135">
        <v>0</v>
      </c>
      <c r="M301" s="135">
        <v>0</v>
      </c>
      <c r="N301" s="135">
        <v>0</v>
      </c>
      <c r="O301" s="135">
        <v>0</v>
      </c>
      <c r="P301" s="135"/>
      <c r="Q301" s="135">
        <v>0</v>
      </c>
      <c r="R301" s="135"/>
      <c r="S301" s="135"/>
      <c r="T301" s="135" t="s">
        <v>30</v>
      </c>
      <c r="U301" s="135"/>
      <c r="V301" s="135" t="s">
        <v>1255</v>
      </c>
      <c r="W301" s="135">
        <v>2</v>
      </c>
      <c r="X301" s="7" t="s">
        <v>2492</v>
      </c>
      <c r="Y301" s="135" t="s">
        <v>2493</v>
      </c>
      <c r="Z301" s="135" t="s">
        <v>2395</v>
      </c>
      <c r="AA301" s="5" t="s">
        <v>18</v>
      </c>
      <c r="AB301" s="5" t="s">
        <v>1298</v>
      </c>
      <c r="AC301" s="6">
        <f t="shared" si="20"/>
        <v>90</v>
      </c>
      <c r="AD301" s="6"/>
    </row>
    <row r="302" spans="1:30" ht="19.5" customHeight="1">
      <c r="A302" s="135" t="s">
        <v>2494</v>
      </c>
      <c r="B302" s="135" t="s">
        <v>2423</v>
      </c>
      <c r="C302" s="135">
        <v>46552</v>
      </c>
      <c r="D302" s="135" t="s">
        <v>2059</v>
      </c>
      <c r="E302" s="135" t="s">
        <v>1480</v>
      </c>
      <c r="F302" s="135" t="s">
        <v>30</v>
      </c>
      <c r="G302" s="135">
        <v>77</v>
      </c>
      <c r="H302" s="135" t="s">
        <v>2426</v>
      </c>
      <c r="I302" s="135" t="str">
        <f>VLOOKUP(H302,list!$B$2:$C$14,2,FALSE)</f>
        <v>KITS</v>
      </c>
      <c r="J302" s="135"/>
      <c r="K302" s="135">
        <v>0</v>
      </c>
      <c r="L302" s="135">
        <v>0</v>
      </c>
      <c r="M302" s="135">
        <v>0</v>
      </c>
      <c r="N302" s="135">
        <v>0</v>
      </c>
      <c r="O302" s="135">
        <v>0</v>
      </c>
      <c r="P302" s="135"/>
      <c r="Q302" s="135">
        <v>0</v>
      </c>
      <c r="R302" s="135"/>
      <c r="S302" s="135"/>
      <c r="T302" s="135" t="s">
        <v>30</v>
      </c>
      <c r="U302" s="135"/>
      <c r="V302" s="135" t="s">
        <v>1255</v>
      </c>
      <c r="W302" s="135">
        <v>2</v>
      </c>
      <c r="X302" s="7" t="s">
        <v>2495</v>
      </c>
      <c r="Y302" s="135" t="s">
        <v>2496</v>
      </c>
      <c r="Z302" s="135" t="s">
        <v>2062</v>
      </c>
      <c r="AA302" s="5" t="s">
        <v>18</v>
      </c>
      <c r="AB302" s="5" t="s">
        <v>1298</v>
      </c>
      <c r="AC302" s="6">
        <f t="shared" si="20"/>
        <v>77</v>
      </c>
      <c r="AD302" s="6"/>
    </row>
    <row r="303" spans="1:30" ht="19.5" customHeight="1">
      <c r="A303" s="135" t="s">
        <v>2497</v>
      </c>
      <c r="B303" s="135" t="s">
        <v>2423</v>
      </c>
      <c r="C303" s="135">
        <v>46970</v>
      </c>
      <c r="D303" s="135" t="s">
        <v>1364</v>
      </c>
      <c r="E303" s="135" t="s">
        <v>1365</v>
      </c>
      <c r="F303" s="135"/>
      <c r="G303" s="135">
        <v>95</v>
      </c>
      <c r="H303" s="135" t="s">
        <v>2426</v>
      </c>
      <c r="I303" s="135" t="str">
        <f>VLOOKUP(H303,list!$B$2:$C$14,2,FALSE)</f>
        <v>KITS</v>
      </c>
      <c r="J303" s="135"/>
      <c r="K303" s="135">
        <v>0</v>
      </c>
      <c r="L303" s="135">
        <v>0</v>
      </c>
      <c r="M303" s="135">
        <v>0</v>
      </c>
      <c r="N303" s="135">
        <v>0</v>
      </c>
      <c r="O303" s="135">
        <v>0</v>
      </c>
      <c r="P303" s="135"/>
      <c r="Q303" s="135">
        <v>0</v>
      </c>
      <c r="R303" s="135"/>
      <c r="S303" s="135"/>
      <c r="T303" s="135" t="s">
        <v>30</v>
      </c>
      <c r="U303" s="135"/>
      <c r="V303" s="135" t="s">
        <v>1255</v>
      </c>
      <c r="W303" s="135">
        <v>2</v>
      </c>
      <c r="X303" s="7" t="s">
        <v>2498</v>
      </c>
      <c r="Y303" s="135" t="s">
        <v>2499</v>
      </c>
      <c r="Z303" s="135" t="s">
        <v>1369</v>
      </c>
      <c r="AA303" s="5" t="s">
        <v>18</v>
      </c>
      <c r="AB303" s="5" t="s">
        <v>1298</v>
      </c>
      <c r="AC303" s="6">
        <f t="shared" si="20"/>
        <v>95</v>
      </c>
      <c r="AD303" s="6"/>
    </row>
    <row r="304" spans="1:30" ht="19.5" customHeight="1">
      <c r="A304" s="135" t="s">
        <v>2500</v>
      </c>
      <c r="B304" s="135" t="s">
        <v>2423</v>
      </c>
      <c r="C304" s="135">
        <v>46563</v>
      </c>
      <c r="D304" s="135" t="s">
        <v>2501</v>
      </c>
      <c r="E304" s="135" t="s">
        <v>2502</v>
      </c>
      <c r="F304" s="135"/>
      <c r="G304" s="135">
        <v>123</v>
      </c>
      <c r="H304" s="135" t="s">
        <v>2426</v>
      </c>
      <c r="I304" s="135" t="str">
        <f>VLOOKUP(H304,list!$B$2:$C$14,2,FALSE)</f>
        <v>KITS</v>
      </c>
      <c r="J304" s="135"/>
      <c r="K304" s="135">
        <v>0</v>
      </c>
      <c r="L304" s="135">
        <v>0</v>
      </c>
      <c r="M304" s="135">
        <v>0</v>
      </c>
      <c r="N304" s="135">
        <v>0</v>
      </c>
      <c r="O304" s="135">
        <v>0</v>
      </c>
      <c r="P304" s="135"/>
      <c r="Q304" s="135">
        <v>0</v>
      </c>
      <c r="R304" s="135"/>
      <c r="S304" s="135"/>
      <c r="T304" s="135" t="s">
        <v>30</v>
      </c>
      <c r="U304" s="135"/>
      <c r="V304" s="135" t="s">
        <v>1255</v>
      </c>
      <c r="W304" s="135">
        <v>2</v>
      </c>
      <c r="X304" s="7" t="s">
        <v>2503</v>
      </c>
      <c r="Y304" s="135" t="s">
        <v>2504</v>
      </c>
      <c r="Z304" s="135" t="s">
        <v>2505</v>
      </c>
      <c r="AA304" s="5" t="s">
        <v>18</v>
      </c>
      <c r="AB304" s="5" t="s">
        <v>1298</v>
      </c>
      <c r="AC304" s="6">
        <f t="shared" si="20"/>
        <v>123</v>
      </c>
      <c r="AD304" s="6"/>
    </row>
    <row r="305" spans="1:30" ht="19.5" customHeight="1">
      <c r="A305" s="135" t="s">
        <v>2506</v>
      </c>
      <c r="B305" s="135" t="s">
        <v>2423</v>
      </c>
      <c r="C305" s="135">
        <v>46368</v>
      </c>
      <c r="D305" s="135" t="s">
        <v>1939</v>
      </c>
      <c r="E305" s="135" t="s">
        <v>1267</v>
      </c>
      <c r="F305" s="135"/>
      <c r="G305" s="135">
        <v>95</v>
      </c>
      <c r="H305" s="135" t="s">
        <v>2426</v>
      </c>
      <c r="I305" s="135" t="str">
        <f>VLOOKUP(H305,list!$B$2:$C$14,2,FALSE)</f>
        <v>KITS</v>
      </c>
      <c r="J305" s="135"/>
      <c r="K305" s="135">
        <v>0</v>
      </c>
      <c r="L305" s="135">
        <v>0</v>
      </c>
      <c r="M305" s="135">
        <v>0</v>
      </c>
      <c r="N305" s="135">
        <v>0</v>
      </c>
      <c r="O305" s="135">
        <v>0</v>
      </c>
      <c r="P305" s="135"/>
      <c r="Q305" s="135">
        <v>0</v>
      </c>
      <c r="R305" s="135"/>
      <c r="S305" s="135"/>
      <c r="T305" s="135" t="s">
        <v>30</v>
      </c>
      <c r="U305" s="135"/>
      <c r="V305" s="135" t="s">
        <v>1255</v>
      </c>
      <c r="W305" s="135">
        <v>2</v>
      </c>
      <c r="X305" s="7" t="s">
        <v>2507</v>
      </c>
      <c r="Y305" s="135" t="s">
        <v>2508</v>
      </c>
      <c r="Z305" s="135" t="s">
        <v>1943</v>
      </c>
      <c r="AA305" s="5" t="s">
        <v>18</v>
      </c>
      <c r="AB305" s="5" t="s">
        <v>1298</v>
      </c>
      <c r="AC305" s="6">
        <f t="shared" si="20"/>
        <v>95</v>
      </c>
      <c r="AD305" s="6"/>
    </row>
    <row r="306" spans="1:30" ht="19.5" customHeight="1">
      <c r="A306" s="135" t="s">
        <v>2509</v>
      </c>
      <c r="B306" s="135" t="s">
        <v>2423</v>
      </c>
      <c r="C306" s="135">
        <v>47635</v>
      </c>
      <c r="D306" s="135" t="s">
        <v>2510</v>
      </c>
      <c r="E306" s="135" t="s">
        <v>1371</v>
      </c>
      <c r="F306" s="135" t="s">
        <v>30</v>
      </c>
      <c r="G306" s="135">
        <v>76</v>
      </c>
      <c r="H306" s="135" t="s">
        <v>2426</v>
      </c>
      <c r="I306" s="135" t="str">
        <f>VLOOKUP(H306,list!$B$2:$C$14,2,FALSE)</f>
        <v>KITS</v>
      </c>
      <c r="J306" s="135"/>
      <c r="K306" s="135">
        <v>0</v>
      </c>
      <c r="L306" s="135">
        <v>0</v>
      </c>
      <c r="M306" s="135">
        <v>0</v>
      </c>
      <c r="N306" s="135">
        <v>0</v>
      </c>
      <c r="O306" s="135">
        <v>0</v>
      </c>
      <c r="P306" s="135"/>
      <c r="Q306" s="135">
        <v>0</v>
      </c>
      <c r="R306" s="135"/>
      <c r="S306" s="135"/>
      <c r="T306" s="135" t="s">
        <v>30</v>
      </c>
      <c r="U306" s="135"/>
      <c r="V306" s="135" t="s">
        <v>1255</v>
      </c>
      <c r="W306" s="135">
        <v>2</v>
      </c>
      <c r="X306" s="7" t="s">
        <v>2511</v>
      </c>
      <c r="Y306" s="135" t="s">
        <v>2512</v>
      </c>
      <c r="Z306" s="135" t="s">
        <v>2513</v>
      </c>
      <c r="AA306" s="5" t="s">
        <v>18</v>
      </c>
      <c r="AB306" s="5" t="s">
        <v>1298</v>
      </c>
      <c r="AC306" s="6">
        <f t="shared" si="20"/>
        <v>76</v>
      </c>
      <c r="AD306" s="6"/>
    </row>
    <row r="307" spans="1:30" ht="19.5" customHeight="1">
      <c r="A307" s="135" t="s">
        <v>2514</v>
      </c>
      <c r="B307" s="135" t="s">
        <v>2423</v>
      </c>
      <c r="C307" s="135">
        <v>46173</v>
      </c>
      <c r="D307" s="135" t="s">
        <v>1838</v>
      </c>
      <c r="E307" s="135" t="s">
        <v>1839</v>
      </c>
      <c r="F307" s="135"/>
      <c r="G307" s="135">
        <v>82</v>
      </c>
      <c r="H307" s="135" t="s">
        <v>2426</v>
      </c>
      <c r="I307" s="135" t="str">
        <f>VLOOKUP(H307,list!$B$2:$C$14,2,FALSE)</f>
        <v>KITS</v>
      </c>
      <c r="J307" s="135"/>
      <c r="K307" s="135">
        <v>0</v>
      </c>
      <c r="L307" s="135">
        <v>0</v>
      </c>
      <c r="M307" s="135">
        <v>0</v>
      </c>
      <c r="N307" s="135">
        <v>0</v>
      </c>
      <c r="O307" s="135">
        <v>0</v>
      </c>
      <c r="P307" s="135"/>
      <c r="Q307" s="135">
        <v>0</v>
      </c>
      <c r="R307" s="135"/>
      <c r="S307" s="135"/>
      <c r="T307" s="135" t="s">
        <v>30</v>
      </c>
      <c r="U307" s="135"/>
      <c r="V307" s="135" t="s">
        <v>1255</v>
      </c>
      <c r="W307" s="135">
        <v>2</v>
      </c>
      <c r="X307" s="7" t="s">
        <v>2515</v>
      </c>
      <c r="Y307" s="135" t="s">
        <v>2516</v>
      </c>
      <c r="Z307" s="135" t="s">
        <v>1842</v>
      </c>
      <c r="AA307" s="5" t="s">
        <v>18</v>
      </c>
      <c r="AB307" s="5" t="s">
        <v>1298</v>
      </c>
      <c r="AC307" s="6">
        <f t="shared" si="20"/>
        <v>82</v>
      </c>
      <c r="AD307" s="6"/>
    </row>
    <row r="308" spans="1:30" ht="19.5" customHeight="1">
      <c r="A308" s="135" t="s">
        <v>2517</v>
      </c>
      <c r="B308" s="135" t="s">
        <v>2423</v>
      </c>
      <c r="C308" s="135">
        <v>47882</v>
      </c>
      <c r="D308" s="135" t="s">
        <v>1542</v>
      </c>
      <c r="E308" s="135" t="s">
        <v>1542</v>
      </c>
      <c r="F308" s="135"/>
      <c r="G308" s="135">
        <v>117</v>
      </c>
      <c r="H308" s="135" t="s">
        <v>2426</v>
      </c>
      <c r="I308" s="135" t="str">
        <f>VLOOKUP(H308,list!$B$2:$C$14,2,FALSE)</f>
        <v>KITS</v>
      </c>
      <c r="J308" s="135"/>
      <c r="K308" s="135">
        <v>0</v>
      </c>
      <c r="L308" s="135">
        <v>0</v>
      </c>
      <c r="M308" s="135">
        <v>0</v>
      </c>
      <c r="N308" s="135">
        <v>0</v>
      </c>
      <c r="O308" s="135">
        <v>0</v>
      </c>
      <c r="P308" s="135"/>
      <c r="Q308" s="135">
        <v>0</v>
      </c>
      <c r="R308" s="135"/>
      <c r="S308" s="135"/>
      <c r="T308" s="135" t="s">
        <v>30</v>
      </c>
      <c r="U308" s="135"/>
      <c r="V308" s="135" t="s">
        <v>1255</v>
      </c>
      <c r="W308" s="135">
        <v>2</v>
      </c>
      <c r="X308" s="7" t="s">
        <v>2518</v>
      </c>
      <c r="Y308" s="135" t="s">
        <v>2519</v>
      </c>
      <c r="Z308" s="135" t="s">
        <v>1546</v>
      </c>
      <c r="AA308" s="5" t="s">
        <v>18</v>
      </c>
      <c r="AB308" s="5" t="s">
        <v>1298</v>
      </c>
      <c r="AC308" s="6">
        <f t="shared" si="20"/>
        <v>117</v>
      </c>
      <c r="AD308" s="6"/>
    </row>
    <row r="309" spans="1:30" ht="19.5" customHeight="1">
      <c r="A309" s="135" t="s">
        <v>2520</v>
      </c>
      <c r="B309" s="135" t="s">
        <v>2423</v>
      </c>
      <c r="C309" s="135">
        <v>46567</v>
      </c>
      <c r="D309" s="135" t="s">
        <v>2521</v>
      </c>
      <c r="E309" s="135" t="s">
        <v>2011</v>
      </c>
      <c r="F309" s="135"/>
      <c r="G309" s="135">
        <v>80</v>
      </c>
      <c r="H309" s="135" t="s">
        <v>2426</v>
      </c>
      <c r="I309" s="135" t="str">
        <f>VLOOKUP(H309,list!$B$2:$C$14,2,FALSE)</f>
        <v>KITS</v>
      </c>
      <c r="J309" s="135"/>
      <c r="K309" s="135">
        <v>0</v>
      </c>
      <c r="L309" s="135">
        <v>0</v>
      </c>
      <c r="M309" s="135">
        <v>0</v>
      </c>
      <c r="N309" s="135">
        <v>0</v>
      </c>
      <c r="O309" s="135">
        <v>0</v>
      </c>
      <c r="P309" s="135"/>
      <c r="Q309" s="135">
        <v>0</v>
      </c>
      <c r="R309" s="135"/>
      <c r="S309" s="135"/>
      <c r="T309" s="135" t="s">
        <v>30</v>
      </c>
      <c r="U309" s="135"/>
      <c r="V309" s="135" t="s">
        <v>1255</v>
      </c>
      <c r="W309" s="135">
        <v>2</v>
      </c>
      <c r="X309" s="7" t="s">
        <v>2522</v>
      </c>
      <c r="Y309" s="135" t="s">
        <v>2523</v>
      </c>
      <c r="Z309" s="135" t="s">
        <v>2524</v>
      </c>
      <c r="AA309" s="5" t="s">
        <v>18</v>
      </c>
      <c r="AB309" s="5" t="s">
        <v>1298</v>
      </c>
      <c r="AC309" s="6">
        <f t="shared" si="20"/>
        <v>80</v>
      </c>
      <c r="AD309" s="6"/>
    </row>
    <row r="310" spans="1:30" ht="19.5" customHeight="1">
      <c r="A310" s="135" t="s">
        <v>2525</v>
      </c>
      <c r="B310" s="135" t="s">
        <v>2423</v>
      </c>
      <c r="C310" s="135">
        <v>46072</v>
      </c>
      <c r="D310" s="135" t="s">
        <v>2526</v>
      </c>
      <c r="E310" s="135" t="s">
        <v>2526</v>
      </c>
      <c r="F310" s="135" t="s">
        <v>30</v>
      </c>
      <c r="G310" s="135">
        <v>202</v>
      </c>
      <c r="H310" s="135" t="s">
        <v>2426</v>
      </c>
      <c r="I310" s="135" t="str">
        <f>VLOOKUP(H310,list!$B$2:$C$14,2,FALSE)</f>
        <v>KITS</v>
      </c>
      <c r="J310" s="135"/>
      <c r="K310" s="135">
        <v>0</v>
      </c>
      <c r="L310" s="135">
        <v>0</v>
      </c>
      <c r="M310" s="135">
        <v>0</v>
      </c>
      <c r="N310" s="135">
        <v>0</v>
      </c>
      <c r="O310" s="135">
        <v>0</v>
      </c>
      <c r="P310" s="135"/>
      <c r="Q310" s="135">
        <v>0</v>
      </c>
      <c r="R310" s="135"/>
      <c r="S310" s="135"/>
      <c r="T310" s="135" t="s">
        <v>30</v>
      </c>
      <c r="U310" s="135"/>
      <c r="V310" s="135" t="s">
        <v>1255</v>
      </c>
      <c r="W310" s="135">
        <v>2</v>
      </c>
      <c r="X310" s="7" t="s">
        <v>2527</v>
      </c>
      <c r="Y310" s="135" t="s">
        <v>2528</v>
      </c>
      <c r="Z310" s="135" t="s">
        <v>2529</v>
      </c>
      <c r="AA310" s="5" t="s">
        <v>18</v>
      </c>
      <c r="AB310" s="5" t="s">
        <v>1298</v>
      </c>
      <c r="AC310" s="6">
        <f t="shared" si="20"/>
        <v>202</v>
      </c>
      <c r="AD310" s="6"/>
    </row>
    <row r="311" spans="1:30" ht="19.5" customHeight="1">
      <c r="A311" s="135" t="s">
        <v>2530</v>
      </c>
      <c r="B311" s="135" t="s">
        <v>2423</v>
      </c>
      <c r="C311" s="135">
        <v>46992</v>
      </c>
      <c r="D311" s="135" t="s">
        <v>1436</v>
      </c>
      <c r="E311" s="135" t="s">
        <v>1436</v>
      </c>
      <c r="F311" s="135"/>
      <c r="G311" s="135">
        <v>96</v>
      </c>
      <c r="H311" s="135" t="s">
        <v>2426</v>
      </c>
      <c r="I311" s="135" t="str">
        <f>VLOOKUP(H311,list!$B$2:$C$14,2,FALSE)</f>
        <v>KITS</v>
      </c>
      <c r="J311" s="135"/>
      <c r="K311" s="135">
        <v>0</v>
      </c>
      <c r="L311" s="135">
        <v>0</v>
      </c>
      <c r="M311" s="135">
        <v>0</v>
      </c>
      <c r="N311" s="135">
        <v>0</v>
      </c>
      <c r="O311" s="135">
        <v>0</v>
      </c>
      <c r="P311" s="135"/>
      <c r="Q311" s="135">
        <v>0</v>
      </c>
      <c r="R311" s="135"/>
      <c r="S311" s="135"/>
      <c r="T311" s="135" t="s">
        <v>30</v>
      </c>
      <c r="U311" s="135"/>
      <c r="V311" s="135" t="s">
        <v>1255</v>
      </c>
      <c r="W311" s="135">
        <v>2</v>
      </c>
      <c r="X311" s="7" t="s">
        <v>2531</v>
      </c>
      <c r="Y311" s="135" t="s">
        <v>2532</v>
      </c>
      <c r="Z311" s="135" t="s">
        <v>1439</v>
      </c>
      <c r="AA311" s="5" t="s">
        <v>18</v>
      </c>
      <c r="AB311" s="5" t="s">
        <v>1298</v>
      </c>
      <c r="AC311" s="6">
        <f t="shared" si="20"/>
        <v>96</v>
      </c>
      <c r="AD311" s="6"/>
    </row>
    <row r="312" spans="1:30" ht="19.5" customHeight="1">
      <c r="A312" s="135" t="s">
        <v>2533</v>
      </c>
      <c r="B312" s="135" t="s">
        <v>2423</v>
      </c>
      <c r="C312" s="135">
        <v>46992</v>
      </c>
      <c r="D312" s="135" t="s">
        <v>1436</v>
      </c>
      <c r="E312" s="135" t="s">
        <v>1436</v>
      </c>
      <c r="F312" s="135"/>
      <c r="G312" s="135">
        <v>35</v>
      </c>
      <c r="H312" s="135" t="s">
        <v>2426</v>
      </c>
      <c r="I312" s="135" t="str">
        <f>VLOOKUP(H312,list!$B$2:$C$14,2,FALSE)</f>
        <v>KITS</v>
      </c>
      <c r="J312" s="135"/>
      <c r="K312" s="135">
        <v>0</v>
      </c>
      <c r="L312" s="135">
        <v>0</v>
      </c>
      <c r="M312" s="135">
        <v>0</v>
      </c>
      <c r="N312" s="135">
        <v>0</v>
      </c>
      <c r="O312" s="135">
        <v>0</v>
      </c>
      <c r="P312" s="135"/>
      <c r="Q312" s="135">
        <v>0</v>
      </c>
      <c r="R312" s="135"/>
      <c r="S312" s="135"/>
      <c r="T312" s="135" t="s">
        <v>30</v>
      </c>
      <c r="U312" s="135"/>
      <c r="V312" s="135" t="s">
        <v>1255</v>
      </c>
      <c r="W312" s="135">
        <v>2</v>
      </c>
      <c r="X312" s="7" t="s">
        <v>2534</v>
      </c>
      <c r="Y312" s="135" t="s">
        <v>2535</v>
      </c>
      <c r="Z312" s="135" t="s">
        <v>1439</v>
      </c>
      <c r="AA312" s="5" t="s">
        <v>18</v>
      </c>
      <c r="AB312" s="5" t="s">
        <v>1298</v>
      </c>
      <c r="AC312" s="6">
        <f t="shared" si="20"/>
        <v>35</v>
      </c>
      <c r="AD312" s="6"/>
    </row>
    <row r="313" spans="1:30" ht="19.5" customHeight="1">
      <c r="A313" s="135" t="s">
        <v>2536</v>
      </c>
      <c r="B313" s="135" t="s">
        <v>2423</v>
      </c>
      <c r="C313" s="135">
        <v>46573</v>
      </c>
      <c r="D313" s="135" t="s">
        <v>2537</v>
      </c>
      <c r="E313" s="135" t="s">
        <v>1723</v>
      </c>
      <c r="F313" s="135"/>
      <c r="G313" s="135">
        <v>164</v>
      </c>
      <c r="H313" s="135" t="s">
        <v>2426</v>
      </c>
      <c r="I313" s="135" t="str">
        <f>VLOOKUP(H313,list!$B$2:$C$14,2,FALSE)</f>
        <v>KITS</v>
      </c>
      <c r="J313" s="135"/>
      <c r="K313" s="135">
        <v>0</v>
      </c>
      <c r="L313" s="135">
        <v>0</v>
      </c>
      <c r="M313" s="135">
        <v>0</v>
      </c>
      <c r="N313" s="135">
        <v>0</v>
      </c>
      <c r="O313" s="135">
        <v>0</v>
      </c>
      <c r="P313" s="135"/>
      <c r="Q313" s="135">
        <v>0</v>
      </c>
      <c r="R313" s="135"/>
      <c r="S313" s="135"/>
      <c r="T313" s="135" t="s">
        <v>30</v>
      </c>
      <c r="U313" s="135"/>
      <c r="V313" s="135" t="s">
        <v>1255</v>
      </c>
      <c r="W313" s="135">
        <v>2</v>
      </c>
      <c r="X313" s="7" t="s">
        <v>2538</v>
      </c>
      <c r="Y313" s="135" t="s">
        <v>2539</v>
      </c>
      <c r="Z313" s="135" t="s">
        <v>2540</v>
      </c>
      <c r="AA313" s="5" t="s">
        <v>18</v>
      </c>
      <c r="AB313" s="5" t="s">
        <v>1298</v>
      </c>
      <c r="AC313" s="6">
        <f t="shared" si="20"/>
        <v>164</v>
      </c>
      <c r="AD313" s="6"/>
    </row>
    <row r="314" spans="1:30" ht="19.5" customHeight="1">
      <c r="A314" s="135" t="s">
        <v>2541</v>
      </c>
      <c r="B314" s="135" t="s">
        <v>2423</v>
      </c>
      <c r="C314" s="135">
        <v>46574</v>
      </c>
      <c r="D314" s="135" t="s">
        <v>2542</v>
      </c>
      <c r="E314" s="135" t="s">
        <v>1480</v>
      </c>
      <c r="F314" s="135" t="s">
        <v>30</v>
      </c>
      <c r="G314" s="135">
        <v>59</v>
      </c>
      <c r="H314" s="135" t="s">
        <v>2426</v>
      </c>
      <c r="I314" s="135" t="str">
        <f>VLOOKUP(H314,list!$B$2:$C$14,2,FALSE)</f>
        <v>KITS</v>
      </c>
      <c r="J314" s="135"/>
      <c r="K314" s="135">
        <v>0</v>
      </c>
      <c r="L314" s="135">
        <v>0</v>
      </c>
      <c r="M314" s="135">
        <v>0</v>
      </c>
      <c r="N314" s="135">
        <v>0</v>
      </c>
      <c r="O314" s="135">
        <v>0</v>
      </c>
      <c r="P314" s="135"/>
      <c r="Q314" s="135">
        <v>0</v>
      </c>
      <c r="R314" s="135"/>
      <c r="S314" s="135"/>
      <c r="T314" s="135" t="s">
        <v>30</v>
      </c>
      <c r="U314" s="135"/>
      <c r="V314" s="135" t="s">
        <v>1255</v>
      </c>
      <c r="W314" s="135">
        <v>2</v>
      </c>
      <c r="X314" s="7" t="s">
        <v>2543</v>
      </c>
      <c r="Y314" s="135" t="s">
        <v>2544</v>
      </c>
      <c r="Z314" s="135" t="s">
        <v>2545</v>
      </c>
      <c r="AA314" s="5" t="s">
        <v>18</v>
      </c>
      <c r="AB314" s="5" t="s">
        <v>1298</v>
      </c>
      <c r="AC314" s="6">
        <f t="shared" si="20"/>
        <v>59</v>
      </c>
      <c r="AD314" s="6"/>
    </row>
    <row r="315" spans="1:30" ht="19.5" customHeight="1">
      <c r="A315" s="135" t="s">
        <v>2546</v>
      </c>
      <c r="B315" s="135" t="s">
        <v>2423</v>
      </c>
      <c r="C315" s="135">
        <v>46580</v>
      </c>
      <c r="D315" s="135" t="s">
        <v>2382</v>
      </c>
      <c r="E315" s="135" t="s">
        <v>2011</v>
      </c>
      <c r="F315" s="135"/>
      <c r="G315" s="135">
        <v>144</v>
      </c>
      <c r="H315" s="135" t="s">
        <v>2426</v>
      </c>
      <c r="I315" s="135" t="str">
        <f>VLOOKUP(H315,list!$B$2:$C$14,2,FALSE)</f>
        <v>KITS</v>
      </c>
      <c r="J315" s="135"/>
      <c r="K315" s="135">
        <v>0</v>
      </c>
      <c r="L315" s="135">
        <v>0</v>
      </c>
      <c r="M315" s="135">
        <v>0</v>
      </c>
      <c r="N315" s="135">
        <v>0</v>
      </c>
      <c r="O315" s="135">
        <v>0</v>
      </c>
      <c r="P315" s="135"/>
      <c r="Q315" s="135">
        <v>0</v>
      </c>
      <c r="R315" s="135"/>
      <c r="S315" s="135"/>
      <c r="T315" s="135" t="s">
        <v>30</v>
      </c>
      <c r="U315" s="135"/>
      <c r="V315" s="135" t="s">
        <v>1255</v>
      </c>
      <c r="W315" s="135">
        <v>2</v>
      </c>
      <c r="X315" s="7" t="s">
        <v>2547</v>
      </c>
      <c r="Y315" s="135" t="s">
        <v>2548</v>
      </c>
      <c r="Z315" s="135" t="s">
        <v>2386</v>
      </c>
      <c r="AA315" s="5" t="s">
        <v>18</v>
      </c>
      <c r="AB315" s="5" t="s">
        <v>1298</v>
      </c>
      <c r="AC315" s="6">
        <f t="shared" si="20"/>
        <v>144</v>
      </c>
      <c r="AD315" s="6"/>
    </row>
    <row r="316" spans="1:30" ht="19.5" customHeight="1">
      <c r="A316" s="135" t="s">
        <v>2549</v>
      </c>
      <c r="B316" s="135" t="s">
        <v>2423</v>
      </c>
      <c r="C316" s="135">
        <v>46256</v>
      </c>
      <c r="D316" s="135" t="s">
        <v>1289</v>
      </c>
      <c r="E316" s="135" t="s">
        <v>1290</v>
      </c>
      <c r="F316" s="135"/>
      <c r="G316" s="135">
        <v>83</v>
      </c>
      <c r="H316" s="135" t="s">
        <v>2426</v>
      </c>
      <c r="I316" s="135" t="str">
        <f>VLOOKUP(H316,list!$B$2:$C$14,2,FALSE)</f>
        <v>KITS</v>
      </c>
      <c r="J316" s="135"/>
      <c r="K316" s="135">
        <v>0</v>
      </c>
      <c r="L316" s="135">
        <v>0</v>
      </c>
      <c r="M316" s="135">
        <v>0</v>
      </c>
      <c r="N316" s="135">
        <v>0</v>
      </c>
      <c r="O316" s="135">
        <v>0</v>
      </c>
      <c r="P316" s="135"/>
      <c r="Q316" s="135">
        <v>0</v>
      </c>
      <c r="R316" s="135"/>
      <c r="S316" s="135"/>
      <c r="T316" s="135" t="s">
        <v>30</v>
      </c>
      <c r="U316" s="135"/>
      <c r="V316" s="135" t="s">
        <v>1255</v>
      </c>
      <c r="W316" s="135">
        <v>2</v>
      </c>
      <c r="X316" s="135" t="s">
        <v>2550</v>
      </c>
      <c r="Y316" s="135" t="s">
        <v>2551</v>
      </c>
      <c r="Z316" s="135" t="s">
        <v>1623</v>
      </c>
      <c r="AA316" s="5" t="s">
        <v>18</v>
      </c>
      <c r="AB316" s="5" t="s">
        <v>1298</v>
      </c>
      <c r="AC316" s="6">
        <f t="shared" si="20"/>
        <v>83</v>
      </c>
      <c r="AD316" s="6"/>
    </row>
    <row r="317" spans="1:30" ht="19.5" customHeight="1">
      <c r="A317" s="135" t="s">
        <v>660</v>
      </c>
      <c r="B317" s="135"/>
      <c r="C317" s="135">
        <v>46065</v>
      </c>
      <c r="D317" s="135" t="s">
        <v>2552</v>
      </c>
      <c r="E317" s="135" t="s">
        <v>1349</v>
      </c>
      <c r="F317" s="135" t="s">
        <v>30</v>
      </c>
      <c r="G317" s="135">
        <v>101</v>
      </c>
      <c r="H317" s="135" t="s">
        <v>1282</v>
      </c>
      <c r="I317" s="135" t="str">
        <f>VLOOKUP(H317,list!$B$2:$C$14,2,FALSE)</f>
        <v>KITS</v>
      </c>
      <c r="J317" s="135"/>
      <c r="K317" s="135">
        <v>1</v>
      </c>
      <c r="L317" s="135">
        <v>0</v>
      </c>
      <c r="M317" s="135">
        <v>0</v>
      </c>
      <c r="N317" s="135">
        <v>0</v>
      </c>
      <c r="O317" s="135">
        <v>0</v>
      </c>
      <c r="P317" s="135"/>
      <c r="Q317" s="135">
        <v>0</v>
      </c>
      <c r="R317" s="135"/>
      <c r="S317" s="135"/>
      <c r="T317" s="135" t="s">
        <v>19</v>
      </c>
      <c r="U317" s="135" t="s">
        <v>2553</v>
      </c>
      <c r="V317" s="135" t="s">
        <v>1255</v>
      </c>
      <c r="W317" s="135">
        <v>7</v>
      </c>
      <c r="X317" s="135" t="s">
        <v>2554</v>
      </c>
      <c r="Y317" s="135" t="s">
        <v>2555</v>
      </c>
      <c r="Z317" s="135" t="s">
        <v>2556</v>
      </c>
      <c r="AA317" s="5" t="str">
        <f>VLOOKUP(A317,'Form Responses 1'!$C$2:$K$532,6,FALSE)</f>
        <v>Onsite sample collection by ISDH team</v>
      </c>
      <c r="AB317" s="5">
        <f>VLOOKUP(A317,'Form Responses 1'!$C$2:$K$219,7,FALSE)</f>
        <v>0</v>
      </c>
      <c r="AC317" s="6">
        <f>VLOOKUP(A317,'Form Responses 1'!$C$2:$K$219,8,FALSE)</f>
        <v>100</v>
      </c>
      <c r="AD317" s="6" t="str">
        <f>VLOOKUP(A317,'Form Responses 1'!$C$2:$K$219,9,FALSE)</f>
        <v>was utilizing local OPTUM, but still too far away.  would like to have the onsite help</v>
      </c>
    </row>
    <row r="318" spans="1:30" ht="19.5" customHeight="1">
      <c r="A318" s="135" t="s">
        <v>664</v>
      </c>
      <c r="B318" s="135"/>
      <c r="C318" s="135">
        <v>46601</v>
      </c>
      <c r="D318" s="135" t="s">
        <v>1547</v>
      </c>
      <c r="E318" s="135" t="s">
        <v>1480</v>
      </c>
      <c r="F318" s="135"/>
      <c r="G318" s="135">
        <v>60</v>
      </c>
      <c r="H318" s="135" t="s">
        <v>1465</v>
      </c>
      <c r="I318" s="135" t="str">
        <f>VLOOKUP(H318,list!$B$2:$C$14,2,FALSE)</f>
        <v>GREEN</v>
      </c>
      <c r="J318" s="135"/>
      <c r="K318" s="135">
        <v>0</v>
      </c>
      <c r="L318" s="135">
        <v>0</v>
      </c>
      <c r="M318" s="135">
        <v>0</v>
      </c>
      <c r="N318" s="135">
        <v>0</v>
      </c>
      <c r="O318" s="135">
        <v>0</v>
      </c>
      <c r="P318" s="135"/>
      <c r="Q318" s="135">
        <v>0</v>
      </c>
      <c r="R318" s="135"/>
      <c r="S318" s="135"/>
      <c r="T318" s="135" t="s">
        <v>19</v>
      </c>
      <c r="U318" s="135" t="s">
        <v>2557</v>
      </c>
      <c r="V318" s="135" t="s">
        <v>1255</v>
      </c>
      <c r="W318" s="135">
        <v>4</v>
      </c>
      <c r="X318" s="135" t="s">
        <v>2558</v>
      </c>
      <c r="Y318" s="135" t="s">
        <v>2559</v>
      </c>
      <c r="Z318" s="135" t="s">
        <v>2560</v>
      </c>
      <c r="AA318" s="5" t="str">
        <f>VLOOKUP(A318,'Form Responses 1'!$C$2:$K$532,6,FALSE)</f>
        <v>Kit delivery and pickup</v>
      </c>
      <c r="AB318" s="5" t="str">
        <f>VLOOKUP(A318,'Form Responses 1'!$C$2:$K$219,7,FALSE)</f>
        <v>No</v>
      </c>
      <c r="AC318" s="6">
        <f>VLOOKUP(A318,'Form Responses 1'!$C$2:$K$219,8,FALSE)</f>
        <v>60</v>
      </c>
      <c r="AD318" s="6">
        <f>VLOOKUP(A318,'Form Responses 1'!$C$2:$K$219,9,FALSE)</f>
        <v>0</v>
      </c>
    </row>
    <row r="319" spans="1:30" ht="19.5" customHeight="1">
      <c r="A319" s="135" t="s">
        <v>668</v>
      </c>
      <c r="B319" s="135" t="s">
        <v>2027</v>
      </c>
      <c r="C319" s="135">
        <v>47446</v>
      </c>
      <c r="D319" s="135" t="s">
        <v>2561</v>
      </c>
      <c r="E319" s="135" t="s">
        <v>1711</v>
      </c>
      <c r="F319" s="135"/>
      <c r="G319" s="135">
        <v>67</v>
      </c>
      <c r="H319" s="135" t="s">
        <v>1465</v>
      </c>
      <c r="I319" s="135" t="str">
        <f>VLOOKUP(H319,list!$B$2:$C$14,2,FALSE)</f>
        <v>GREEN</v>
      </c>
      <c r="J319" s="135"/>
      <c r="K319" s="135">
        <v>0</v>
      </c>
      <c r="L319" s="135">
        <v>0</v>
      </c>
      <c r="M319" s="135">
        <v>0</v>
      </c>
      <c r="N319" s="135">
        <v>0</v>
      </c>
      <c r="O319" s="135">
        <v>0</v>
      </c>
      <c r="P319" s="135"/>
      <c r="Q319" s="135">
        <v>0</v>
      </c>
      <c r="R319" s="135"/>
      <c r="S319" s="135"/>
      <c r="T319" s="135" t="s">
        <v>19</v>
      </c>
      <c r="U319" s="135" t="s">
        <v>2562</v>
      </c>
      <c r="V319" s="135" t="s">
        <v>1255</v>
      </c>
      <c r="W319" s="135">
        <v>4</v>
      </c>
      <c r="X319" s="135" t="s">
        <v>2563</v>
      </c>
      <c r="Y319" s="135" t="s">
        <v>2564</v>
      </c>
      <c r="Z319" s="135" t="s">
        <v>2565</v>
      </c>
      <c r="AA319" s="5" t="str">
        <f>VLOOKUP(A319,'Form Responses 1'!$C$2:$K$532,6,FALSE)</f>
        <v>Kit delivery and pickup</v>
      </c>
      <c r="AB319" s="5" t="str">
        <f>VLOOKUP(A319,'Form Responses 1'!$C$2:$K$219,7,FALSE)</f>
        <v>No</v>
      </c>
      <c r="AC319" s="6">
        <f>VLOOKUP(A319,'Form Responses 1'!$C$2:$K$219,8,FALSE)</f>
        <v>80</v>
      </c>
      <c r="AD319" s="6" t="str">
        <f>VLOOKUP(A319,'Form Responses 1'!$C$2:$K$219,9,FALSE)</f>
        <v>They tested all employees May 13th and 14th, do they need to repeat testing?</v>
      </c>
    </row>
    <row r="320" spans="1:30" ht="19.5" customHeight="1">
      <c r="A320" s="135" t="s">
        <v>2566</v>
      </c>
      <c r="B320" s="135" t="s">
        <v>343</v>
      </c>
      <c r="C320" s="135">
        <v>47960</v>
      </c>
      <c r="D320" s="135" t="s">
        <v>2567</v>
      </c>
      <c r="E320" s="135" t="s">
        <v>2568</v>
      </c>
      <c r="F320" s="135" t="s">
        <v>30</v>
      </c>
      <c r="G320" s="135">
        <v>115</v>
      </c>
      <c r="H320" s="135" t="s">
        <v>1282</v>
      </c>
      <c r="I320" s="135" t="str">
        <f>VLOOKUP(H320,list!$B$2:$C$14,2,FALSE)</f>
        <v>KITS</v>
      </c>
      <c r="J320" s="135"/>
      <c r="K320" s="135">
        <v>0</v>
      </c>
      <c r="L320" s="135">
        <v>0</v>
      </c>
      <c r="M320" s="135">
        <v>0</v>
      </c>
      <c r="N320" s="135">
        <v>0</v>
      </c>
      <c r="O320" s="135">
        <v>0</v>
      </c>
      <c r="P320" s="135"/>
      <c r="Q320" s="135">
        <v>0</v>
      </c>
      <c r="R320" s="135"/>
      <c r="S320" s="135"/>
      <c r="T320" s="135" t="s">
        <v>19</v>
      </c>
      <c r="U320" s="135"/>
      <c r="V320" s="135" t="s">
        <v>1255</v>
      </c>
      <c r="W320" s="135">
        <v>3</v>
      </c>
      <c r="X320" s="135" t="s">
        <v>2569</v>
      </c>
      <c r="Y320" s="135" t="s">
        <v>2570</v>
      </c>
      <c r="Z320" s="135" t="s">
        <v>2571</v>
      </c>
      <c r="AA320" s="5" t="s">
        <v>18</v>
      </c>
      <c r="AB320" s="5" t="s">
        <v>1298</v>
      </c>
      <c r="AC320" s="6">
        <f>G320</f>
        <v>115</v>
      </c>
      <c r="AD320" s="6"/>
    </row>
    <row r="321" spans="1:30" ht="19.5" customHeight="1">
      <c r="A321" s="135" t="s">
        <v>673</v>
      </c>
      <c r="B321" s="135"/>
      <c r="C321" s="135">
        <v>46160</v>
      </c>
      <c r="D321" s="135" t="s">
        <v>2572</v>
      </c>
      <c r="E321" s="135" t="s">
        <v>1584</v>
      </c>
      <c r="F321" s="135" t="s">
        <v>30</v>
      </c>
      <c r="G321" s="135">
        <v>30</v>
      </c>
      <c r="H321" s="135" t="s">
        <v>2142</v>
      </c>
      <c r="I321" s="135" t="str">
        <f>VLOOKUP(H321,list!$B$2:$C$14,2,FALSE)</f>
        <v>KITS</v>
      </c>
      <c r="J321" s="135"/>
      <c r="K321" s="135">
        <v>0</v>
      </c>
      <c r="L321" s="135">
        <v>0</v>
      </c>
      <c r="M321" s="135">
        <v>0</v>
      </c>
      <c r="N321" s="135">
        <v>0</v>
      </c>
      <c r="O321" s="135">
        <v>0</v>
      </c>
      <c r="P321" s="135"/>
      <c r="Q321" s="135">
        <v>1</v>
      </c>
      <c r="R321" s="135" t="s">
        <v>2573</v>
      </c>
      <c r="S321" s="135"/>
      <c r="T321" s="135" t="s">
        <v>30</v>
      </c>
      <c r="U321" s="135"/>
      <c r="V321" s="135" t="s">
        <v>1255</v>
      </c>
      <c r="W321" s="135">
        <v>7</v>
      </c>
      <c r="X321" s="135" t="s">
        <v>2574</v>
      </c>
      <c r="Y321" s="135" t="s">
        <v>2575</v>
      </c>
      <c r="Z321" s="135" t="s">
        <v>2576</v>
      </c>
      <c r="AA321" s="5" t="str">
        <f>VLOOKUP(A321,'Form Responses 1'!$C$2:$K$532,6,FALSE)</f>
        <v>Kit delivery and pickup</v>
      </c>
      <c r="AB321" s="5" t="str">
        <f>VLOOKUP(A321,'Form Responses 1'!$C$2:$K$219,7,FALSE)</f>
        <v>No</v>
      </c>
      <c r="AC321" s="6">
        <f>VLOOKUP(A321,'Form Responses 1'!$C$2:$K$219,8,FALSE)</f>
        <v>33</v>
      </c>
      <c r="AD321" s="6">
        <f>VLOOKUP(A321,'Form Responses 1'!$C$2:$K$219,9,FALSE)</f>
        <v>0</v>
      </c>
    </row>
    <row r="322" spans="1:30" ht="19.5" customHeight="1">
      <c r="A322" s="135" t="s">
        <v>2577</v>
      </c>
      <c r="B322" s="135" t="s">
        <v>1646</v>
      </c>
      <c r="C322" s="135">
        <v>47240</v>
      </c>
      <c r="D322" s="135" t="s">
        <v>1388</v>
      </c>
      <c r="E322" s="135" t="s">
        <v>1259</v>
      </c>
      <c r="F322" s="135"/>
      <c r="G322" s="135"/>
      <c r="H322" s="135"/>
      <c r="I322" s="135"/>
      <c r="J322" s="135"/>
      <c r="K322" s="135"/>
      <c r="L322" s="135"/>
      <c r="M322" s="135"/>
      <c r="N322" s="135"/>
      <c r="O322" s="135"/>
      <c r="P322" s="135"/>
      <c r="Q322" s="135"/>
      <c r="R322" s="135"/>
      <c r="S322" s="135"/>
      <c r="T322" s="135"/>
      <c r="U322" s="135"/>
      <c r="V322" s="135"/>
      <c r="W322" s="135"/>
      <c r="X322" s="135">
        <v>8126627778</v>
      </c>
      <c r="Y322" s="135" t="s">
        <v>2578</v>
      </c>
      <c r="Z322" s="135"/>
      <c r="AA322" s="5" t="str">
        <f>VLOOKUP(A322,'Form Responses 1'!$C$2:$K$532,6,FALSE)</f>
        <v>Kit delivery and pickup</v>
      </c>
      <c r="AB322" s="5" t="e">
        <f>VLOOKUP(A322,'Form Responses 1'!$C$2:$K$219,7,FALSE)</f>
        <v>#N/A</v>
      </c>
      <c r="AC322" s="6" t="e">
        <f>VLOOKUP(A322,'Form Responses 1'!$C$2:$K$219,8,FALSE)</f>
        <v>#N/A</v>
      </c>
      <c r="AD322" s="6" t="e">
        <f>VLOOKUP(A322,'Form Responses 1'!$C$2:$K$219,9,FALSE)</f>
        <v>#N/A</v>
      </c>
    </row>
    <row r="323" spans="1:30" ht="19.5" customHeight="1">
      <c r="A323" s="135" t="s">
        <v>2579</v>
      </c>
      <c r="B323" s="321" t="s">
        <v>1312</v>
      </c>
      <c r="C323" s="135">
        <v>47304</v>
      </c>
      <c r="D323" s="135" t="s">
        <v>1513</v>
      </c>
      <c r="E323" s="135" t="s">
        <v>1275</v>
      </c>
      <c r="F323" s="135"/>
      <c r="G323" s="135">
        <v>156</v>
      </c>
      <c r="H323" s="135" t="s">
        <v>1276</v>
      </c>
      <c r="I323" s="135" t="str">
        <f>VLOOKUP(H323,list!$B$2:$C$14,2,FALSE)</f>
        <v>GREEN</v>
      </c>
      <c r="J323" s="135"/>
      <c r="K323" s="135">
        <v>0</v>
      </c>
      <c r="L323" s="135">
        <v>0</v>
      </c>
      <c r="M323" s="135">
        <v>0</v>
      </c>
      <c r="N323" s="135">
        <v>0</v>
      </c>
      <c r="O323" s="135">
        <v>0</v>
      </c>
      <c r="P323" s="135"/>
      <c r="Q323" s="135">
        <v>0</v>
      </c>
      <c r="R323" s="135"/>
      <c r="S323" s="135"/>
      <c r="T323" s="135" t="s">
        <v>19</v>
      </c>
      <c r="U323" s="135" t="s">
        <v>1315</v>
      </c>
      <c r="V323" s="135" t="s">
        <v>1255</v>
      </c>
      <c r="W323" s="135">
        <v>2</v>
      </c>
      <c r="X323" s="135" t="s">
        <v>2580</v>
      </c>
      <c r="Y323" s="135" t="s">
        <v>2581</v>
      </c>
      <c r="Z323" s="135" t="s">
        <v>1516</v>
      </c>
      <c r="AA323" s="5" t="s">
        <v>18</v>
      </c>
      <c r="AB323" s="5" t="s">
        <v>1298</v>
      </c>
      <c r="AC323" s="6">
        <f>G323</f>
        <v>156</v>
      </c>
      <c r="AD323" s="6"/>
    </row>
    <row r="324" spans="1:30" ht="19.5" customHeight="1">
      <c r="A324" s="135" t="s">
        <v>2582</v>
      </c>
      <c r="B324" s="135" t="s">
        <v>1303</v>
      </c>
      <c r="C324" s="135">
        <v>46161</v>
      </c>
      <c r="D324" s="135" t="s">
        <v>2583</v>
      </c>
      <c r="E324" s="135" t="s">
        <v>1381</v>
      </c>
      <c r="F324" s="135"/>
      <c r="G324" s="135"/>
      <c r="H324" s="135"/>
      <c r="I324" s="135"/>
      <c r="J324" s="135"/>
      <c r="K324" s="135"/>
      <c r="L324" s="135"/>
      <c r="M324" s="135"/>
      <c r="N324" s="135"/>
      <c r="O324" s="135"/>
      <c r="P324" s="135"/>
      <c r="Q324" s="135"/>
      <c r="R324" s="135"/>
      <c r="S324" s="135"/>
      <c r="T324" s="135"/>
      <c r="U324" s="135"/>
      <c r="V324" s="135"/>
      <c r="W324" s="135"/>
      <c r="X324" s="135">
        <v>7657636012</v>
      </c>
      <c r="Y324" s="135" t="s">
        <v>2584</v>
      </c>
      <c r="Z324" s="135"/>
      <c r="AA324" s="5" t="s">
        <v>18</v>
      </c>
      <c r="AB324" s="5" t="s">
        <v>1298</v>
      </c>
      <c r="AC324" s="6"/>
      <c r="AD324" s="6"/>
    </row>
    <row r="325" spans="1:30" ht="19.5" customHeight="1">
      <c r="A325" s="135" t="s">
        <v>2585</v>
      </c>
      <c r="B325" s="135" t="s">
        <v>343</v>
      </c>
      <c r="C325" s="135">
        <v>47620</v>
      </c>
      <c r="D325" s="135" t="s">
        <v>2586</v>
      </c>
      <c r="E325" s="135" t="s">
        <v>2587</v>
      </c>
      <c r="F325" s="135"/>
      <c r="G325" s="135">
        <v>80</v>
      </c>
      <c r="H325" s="135" t="s">
        <v>1268</v>
      </c>
      <c r="I325" s="135" t="str">
        <f>VLOOKUP(H325,list!$B$2:$C$14,2,FALSE)</f>
        <v>KITS</v>
      </c>
      <c r="J325" s="135"/>
      <c r="K325" s="135">
        <v>0</v>
      </c>
      <c r="L325" s="135">
        <v>0</v>
      </c>
      <c r="M325" s="135">
        <v>0</v>
      </c>
      <c r="N325" s="135">
        <v>0</v>
      </c>
      <c r="O325" s="135">
        <v>0</v>
      </c>
      <c r="P325" s="135"/>
      <c r="Q325" s="135">
        <v>0</v>
      </c>
      <c r="R325" s="135"/>
      <c r="S325" s="135" t="s">
        <v>2588</v>
      </c>
      <c r="T325" s="135" t="s">
        <v>19</v>
      </c>
      <c r="U325" s="135" t="s">
        <v>2589</v>
      </c>
      <c r="V325" s="135" t="s">
        <v>1255</v>
      </c>
      <c r="W325" s="135">
        <v>5</v>
      </c>
      <c r="X325" s="135" t="s">
        <v>2590</v>
      </c>
      <c r="Y325" s="135" t="s">
        <v>2591</v>
      </c>
      <c r="Z325" s="135" t="s">
        <v>2592</v>
      </c>
      <c r="AA325" s="5" t="s">
        <v>18</v>
      </c>
      <c r="AB325" s="5" t="s">
        <v>1298</v>
      </c>
      <c r="AC325" s="6">
        <f>G325</f>
        <v>80</v>
      </c>
      <c r="AD325" s="6"/>
    </row>
    <row r="326" spans="1:30" ht="19.5" customHeight="1">
      <c r="A326" s="135" t="s">
        <v>1033</v>
      </c>
      <c r="B326" s="135"/>
      <c r="C326" s="135">
        <v>46058</v>
      </c>
      <c r="D326" s="135" t="s">
        <v>2593</v>
      </c>
      <c r="E326" s="135" t="s">
        <v>1349</v>
      </c>
      <c r="F326" s="135"/>
      <c r="G326" s="135">
        <v>175</v>
      </c>
      <c r="H326" s="135" t="s">
        <v>1253</v>
      </c>
      <c r="I326" s="135" t="str">
        <f>VLOOKUP(H326,list!$B$2:$C$14,2,FALSE)</f>
        <v>KITS</v>
      </c>
      <c r="J326" s="135"/>
      <c r="K326" s="135">
        <v>0</v>
      </c>
      <c r="L326" s="135">
        <v>0</v>
      </c>
      <c r="M326" s="135">
        <v>0</v>
      </c>
      <c r="N326" s="135">
        <v>0</v>
      </c>
      <c r="O326" s="135">
        <v>0</v>
      </c>
      <c r="P326" s="135"/>
      <c r="Q326" s="135">
        <v>0</v>
      </c>
      <c r="R326" s="135"/>
      <c r="S326" s="135"/>
      <c r="T326" s="135" t="s">
        <v>19</v>
      </c>
      <c r="U326" s="135" t="s">
        <v>2594</v>
      </c>
      <c r="V326" s="135" t="s">
        <v>1255</v>
      </c>
      <c r="W326" s="135">
        <v>6</v>
      </c>
      <c r="X326" s="135" t="s">
        <v>2595</v>
      </c>
      <c r="Y326" s="135" t="s">
        <v>2596</v>
      </c>
      <c r="Z326" s="135" t="s">
        <v>2597</v>
      </c>
      <c r="AA326" s="5" t="str">
        <f>VLOOKUP(A326,'Form Responses 1'!$C$2:$K$532,6,FALSE)</f>
        <v>Kit delivery and pickup</v>
      </c>
      <c r="AB326" s="5" t="e">
        <f>VLOOKUP(A326,'Form Responses 1'!$C$2:$K$219,7,FALSE)</f>
        <v>#N/A</v>
      </c>
      <c r="AC326" s="6" t="e">
        <f>VLOOKUP(A326,'Form Responses 1'!$C$2:$K$219,8,FALSE)</f>
        <v>#N/A</v>
      </c>
      <c r="AD326" s="6" t="e">
        <f>VLOOKUP(A326,'Form Responses 1'!$C$2:$K$219,9,FALSE)</f>
        <v>#N/A</v>
      </c>
    </row>
    <row r="327" spans="1:30" ht="19.5" customHeight="1">
      <c r="A327" s="135" t="s">
        <v>2598</v>
      </c>
      <c r="B327" s="135"/>
      <c r="C327" s="135">
        <v>60477</v>
      </c>
      <c r="D327" s="135" t="s">
        <v>2599</v>
      </c>
      <c r="E327" s="135" t="s">
        <v>2600</v>
      </c>
      <c r="F327" s="135"/>
      <c r="G327" s="135">
        <v>236</v>
      </c>
      <c r="H327" s="135" t="s">
        <v>1276</v>
      </c>
      <c r="I327" s="135" t="str">
        <f>VLOOKUP(H327,list!$B$2:$C$14,2,FALSE)</f>
        <v>GREEN</v>
      </c>
      <c r="J327" s="135"/>
      <c r="K327" s="135">
        <v>0</v>
      </c>
      <c r="L327" s="135">
        <v>0</v>
      </c>
      <c r="M327" s="135">
        <v>0</v>
      </c>
      <c r="N327" s="135">
        <v>0</v>
      </c>
      <c r="O327" s="135">
        <v>0</v>
      </c>
      <c r="P327" s="135"/>
      <c r="Q327" s="135">
        <v>0</v>
      </c>
      <c r="R327" s="135"/>
      <c r="S327" s="135"/>
      <c r="T327" s="135" t="s">
        <v>19</v>
      </c>
      <c r="U327" s="135" t="s">
        <v>2601</v>
      </c>
      <c r="V327" s="135" t="s">
        <v>1255</v>
      </c>
      <c r="W327" s="135">
        <v>2</v>
      </c>
      <c r="X327" s="135" t="s">
        <v>2602</v>
      </c>
      <c r="Y327" s="135" t="s">
        <v>2603</v>
      </c>
      <c r="Z327" s="135" t="s">
        <v>2604</v>
      </c>
      <c r="AA327" s="5" t="e">
        <f>VLOOKUP(A327,'Form Responses 1'!$C$2:$K$532,6,FALSE)</f>
        <v>#N/A</v>
      </c>
      <c r="AB327" s="5" t="e">
        <f>VLOOKUP(A327,'Form Responses 1'!$C$2:$K$219,7,FALSE)</f>
        <v>#N/A</v>
      </c>
      <c r="AC327" s="6" t="e">
        <f>VLOOKUP(A327,'Form Responses 1'!$C$2:$K$219,8,FALSE)</f>
        <v>#N/A</v>
      </c>
      <c r="AD327" s="6" t="e">
        <f>VLOOKUP(A327,'Form Responses 1'!$C$2:$K$219,9,FALSE)</f>
        <v>#N/A</v>
      </c>
    </row>
    <row r="328" spans="1:30" ht="19.5" customHeight="1">
      <c r="A328" s="135" t="s">
        <v>677</v>
      </c>
      <c r="B328" s="135" t="s">
        <v>1527</v>
      </c>
      <c r="C328" s="135">
        <v>47150</v>
      </c>
      <c r="D328" s="135" t="s">
        <v>1441</v>
      </c>
      <c r="E328" s="135" t="s">
        <v>1442</v>
      </c>
      <c r="F328" s="135"/>
      <c r="G328" s="135">
        <v>120</v>
      </c>
      <c r="H328" s="135" t="s">
        <v>1253</v>
      </c>
      <c r="I328" s="135" t="str">
        <f>VLOOKUP(H328,list!$B$2:$C$14,2,FALSE)</f>
        <v>KITS</v>
      </c>
      <c r="J328" s="135"/>
      <c r="K328" s="135">
        <v>0</v>
      </c>
      <c r="L328" s="135">
        <v>0</v>
      </c>
      <c r="M328" s="135">
        <v>0</v>
      </c>
      <c r="N328" s="135">
        <v>0</v>
      </c>
      <c r="O328" s="135">
        <v>0</v>
      </c>
      <c r="P328" s="135"/>
      <c r="Q328" s="135">
        <v>0</v>
      </c>
      <c r="R328" s="135"/>
      <c r="S328" s="135"/>
      <c r="T328" s="135" t="s">
        <v>19</v>
      </c>
      <c r="U328" s="135" t="s">
        <v>2605</v>
      </c>
      <c r="V328" s="135" t="s">
        <v>1255</v>
      </c>
      <c r="W328" s="135">
        <v>6</v>
      </c>
      <c r="X328" s="135" t="s">
        <v>2606</v>
      </c>
      <c r="Y328" s="135" t="s">
        <v>2607</v>
      </c>
      <c r="Z328" s="135" t="s">
        <v>1445</v>
      </c>
      <c r="AA328" s="5" t="str">
        <f>VLOOKUP(A328,'Form Responses 1'!$C$2:$K$532,6,FALSE)</f>
        <v>Kit delivery and pickup</v>
      </c>
      <c r="AB328" s="5" t="str">
        <f>VLOOKUP(A328,'Form Responses 1'!$C$2:$K$219,7,FALSE)</f>
        <v>No</v>
      </c>
      <c r="AC328" s="6">
        <f>VLOOKUP(A328,'Form Responses 1'!$C$2:$K$219,8,FALSE)</f>
        <v>126</v>
      </c>
      <c r="AD328" s="6">
        <f>VLOOKUP(A328,'Form Responses 1'!$C$2:$K$219,9,FALSE)</f>
        <v>0</v>
      </c>
    </row>
    <row r="329" spans="1:30" ht="19.5" customHeight="1">
      <c r="A329" s="135" t="s">
        <v>681</v>
      </c>
      <c r="B329" s="135"/>
      <c r="C329" s="135">
        <v>47630</v>
      </c>
      <c r="D329" s="135" t="s">
        <v>1761</v>
      </c>
      <c r="E329" s="135" t="s">
        <v>1762</v>
      </c>
      <c r="F329" s="135"/>
      <c r="G329" s="135">
        <v>142</v>
      </c>
      <c r="H329" s="135" t="s">
        <v>1253</v>
      </c>
      <c r="I329" s="135" t="str">
        <f>VLOOKUP(H329,list!$B$2:$C$14,2,FALSE)</f>
        <v>KITS</v>
      </c>
      <c r="J329" s="135"/>
      <c r="K329" s="135">
        <v>0</v>
      </c>
      <c r="L329" s="135">
        <v>0</v>
      </c>
      <c r="M329" s="135">
        <v>0</v>
      </c>
      <c r="N329" s="135">
        <v>0</v>
      </c>
      <c r="O329" s="135">
        <v>0</v>
      </c>
      <c r="P329" s="135"/>
      <c r="Q329" s="135">
        <v>0</v>
      </c>
      <c r="R329" s="135"/>
      <c r="S329" s="135"/>
      <c r="T329" s="135" t="s">
        <v>19</v>
      </c>
      <c r="U329" s="135" t="s">
        <v>2608</v>
      </c>
      <c r="V329" s="135" t="s">
        <v>1255</v>
      </c>
      <c r="W329" s="135">
        <v>6</v>
      </c>
      <c r="X329" s="135" t="s">
        <v>2609</v>
      </c>
      <c r="Y329" s="135" t="s">
        <v>2610</v>
      </c>
      <c r="Z329" s="135" t="s">
        <v>1765</v>
      </c>
      <c r="AA329" s="5" t="str">
        <f>VLOOKUP(A329,'Form Responses 1'!$C$2:$K$532,6,FALSE)</f>
        <v>Prefer not to use ISDH resources for employee testing</v>
      </c>
      <c r="AB329" s="5">
        <f>VLOOKUP(A329,'Form Responses 1'!$C$2:$K$219,7,FALSE)</f>
        <v>0</v>
      </c>
      <c r="AC329" s="6">
        <f>VLOOKUP(A329,'Form Responses 1'!$C$2:$K$219,8,FALSE)</f>
        <v>142</v>
      </c>
      <c r="AD329" s="6" t="str">
        <f>VLOOKUP(A329,'Form Responses 1'!$C$2:$K$219,9,FALSE)</f>
        <v xml:space="preserve">Contracted with Labcore. </v>
      </c>
    </row>
    <row r="330" spans="1:30" ht="19.5" customHeight="1">
      <c r="A330" s="135" t="s">
        <v>2611</v>
      </c>
      <c r="B330" s="135" t="s">
        <v>343</v>
      </c>
      <c r="C330" s="135">
        <v>46202</v>
      </c>
      <c r="D330" s="135" t="s">
        <v>1289</v>
      </c>
      <c r="E330" s="135" t="s">
        <v>1290</v>
      </c>
      <c r="F330" s="135"/>
      <c r="G330" s="135">
        <v>111</v>
      </c>
      <c r="H330" s="135" t="s">
        <v>1282</v>
      </c>
      <c r="I330" s="135" t="str">
        <f>VLOOKUP(H330,list!$B$2:$C$14,2,FALSE)</f>
        <v>KITS</v>
      </c>
      <c r="J330" s="135"/>
      <c r="K330" s="135">
        <v>0</v>
      </c>
      <c r="L330" s="135">
        <v>0</v>
      </c>
      <c r="M330" s="135">
        <v>0</v>
      </c>
      <c r="N330" s="135">
        <v>0</v>
      </c>
      <c r="O330" s="135">
        <v>0</v>
      </c>
      <c r="P330" s="135"/>
      <c r="Q330" s="135">
        <v>0</v>
      </c>
      <c r="R330" s="135"/>
      <c r="S330" s="135"/>
      <c r="T330" s="135" t="s">
        <v>19</v>
      </c>
      <c r="U330" s="135"/>
      <c r="V330" s="135" t="s">
        <v>1255</v>
      </c>
      <c r="W330" s="135">
        <v>3</v>
      </c>
      <c r="X330" s="135" t="s">
        <v>2612</v>
      </c>
      <c r="Y330" s="135" t="s">
        <v>2613</v>
      </c>
      <c r="Z330" s="135" t="s">
        <v>2614</v>
      </c>
      <c r="AA330" s="5" t="s">
        <v>18</v>
      </c>
      <c r="AB330" s="5" t="s">
        <v>1298</v>
      </c>
      <c r="AC330" s="6">
        <f t="shared" ref="AC330:AC331" si="21">G330</f>
        <v>111</v>
      </c>
      <c r="AD330" s="6"/>
    </row>
    <row r="331" spans="1:30" ht="19.5" customHeight="1">
      <c r="A331" s="135" t="s">
        <v>2615</v>
      </c>
      <c r="B331" s="135" t="s">
        <v>343</v>
      </c>
      <c r="C331" s="135">
        <v>47710</v>
      </c>
      <c r="D331" s="135" t="s">
        <v>1506</v>
      </c>
      <c r="E331" s="135" t="s">
        <v>1507</v>
      </c>
      <c r="F331" s="135"/>
      <c r="G331" s="135">
        <v>132</v>
      </c>
      <c r="H331" s="135" t="s">
        <v>1253</v>
      </c>
      <c r="I331" s="135" t="str">
        <f>VLOOKUP(H331,list!$B$2:$C$14,2,FALSE)</f>
        <v>KITS</v>
      </c>
      <c r="J331" s="135"/>
      <c r="K331" s="135">
        <v>0</v>
      </c>
      <c r="L331" s="135">
        <v>0</v>
      </c>
      <c r="M331" s="135">
        <v>0</v>
      </c>
      <c r="N331" s="135">
        <v>0</v>
      </c>
      <c r="O331" s="135">
        <v>0</v>
      </c>
      <c r="P331" s="135"/>
      <c r="Q331" s="135">
        <v>0</v>
      </c>
      <c r="R331" s="135"/>
      <c r="S331" s="135"/>
      <c r="T331" s="135" t="s">
        <v>19</v>
      </c>
      <c r="U331" s="135"/>
      <c r="V331" s="135" t="s">
        <v>1255</v>
      </c>
      <c r="W331" s="135">
        <v>6</v>
      </c>
      <c r="X331" s="135" t="s">
        <v>2616</v>
      </c>
      <c r="Y331" s="135" t="s">
        <v>2617</v>
      </c>
      <c r="Z331" s="135" t="s">
        <v>1512</v>
      </c>
      <c r="AA331" s="5" t="s">
        <v>18</v>
      </c>
      <c r="AB331" s="5" t="s">
        <v>1298</v>
      </c>
      <c r="AC331" s="6">
        <f t="shared" si="21"/>
        <v>132</v>
      </c>
      <c r="AD331" s="6"/>
    </row>
    <row r="332" spans="1:30" ht="19.5" customHeight="1">
      <c r="A332" s="135" t="s">
        <v>686</v>
      </c>
      <c r="B332" s="135" t="s">
        <v>1527</v>
      </c>
      <c r="C332" s="135">
        <v>46701</v>
      </c>
      <c r="D332" s="135" t="s">
        <v>2618</v>
      </c>
      <c r="E332" s="135" t="s">
        <v>1453</v>
      </c>
      <c r="F332" s="135"/>
      <c r="G332" s="135">
        <v>70</v>
      </c>
      <c r="H332" s="135" t="s">
        <v>1282</v>
      </c>
      <c r="I332" s="135" t="str">
        <f>VLOOKUP(H332,list!$B$2:$C$14,2,FALSE)</f>
        <v>KITS</v>
      </c>
      <c r="J332" s="135"/>
      <c r="K332" s="135">
        <v>0</v>
      </c>
      <c r="L332" s="135">
        <v>0</v>
      </c>
      <c r="M332" s="135">
        <v>0</v>
      </c>
      <c r="N332" s="135">
        <v>0</v>
      </c>
      <c r="O332" s="135">
        <v>0</v>
      </c>
      <c r="P332" s="135"/>
      <c r="Q332" s="135">
        <v>0</v>
      </c>
      <c r="R332" s="135"/>
      <c r="S332" s="135"/>
      <c r="T332" s="135" t="s">
        <v>19</v>
      </c>
      <c r="U332" s="135"/>
      <c r="V332" s="135" t="s">
        <v>1255</v>
      </c>
      <c r="W332" s="135">
        <v>3</v>
      </c>
      <c r="X332" s="135" t="s">
        <v>2619</v>
      </c>
      <c r="Y332" s="135" t="s">
        <v>2620</v>
      </c>
      <c r="Z332" s="135" t="s">
        <v>2621</v>
      </c>
      <c r="AA332" s="5" t="str">
        <f>VLOOKUP(A332,'Form Responses 1'!$C$2:$K$532,6,FALSE)</f>
        <v>Kit delivery and pickup</v>
      </c>
      <c r="AB332" s="5" t="str">
        <f>VLOOKUP(A332,'Form Responses 1'!$C$2:$K$219,7,FALSE)</f>
        <v>No</v>
      </c>
      <c r="AC332" s="6">
        <f>VLOOKUP(A332,'Form Responses 1'!$C$2:$K$219,8,FALSE)</f>
        <v>65</v>
      </c>
      <c r="AD332" s="6">
        <f>VLOOKUP(A332,'Form Responses 1'!$C$2:$K$219,9,FALSE)</f>
        <v>0</v>
      </c>
    </row>
    <row r="333" spans="1:30" ht="19.5" customHeight="1">
      <c r="A333" s="135" t="s">
        <v>2622</v>
      </c>
      <c r="B333" s="321" t="s">
        <v>1312</v>
      </c>
      <c r="C333" s="135">
        <v>47725</v>
      </c>
      <c r="D333" s="135" t="s">
        <v>1506</v>
      </c>
      <c r="E333" s="135" t="s">
        <v>1507</v>
      </c>
      <c r="F333" s="135"/>
      <c r="G333" s="135">
        <v>124</v>
      </c>
      <c r="H333" s="135" t="s">
        <v>1276</v>
      </c>
      <c r="I333" s="135" t="str">
        <f>VLOOKUP(H333,list!$B$2:$C$14,2,FALSE)</f>
        <v>GREEN</v>
      </c>
      <c r="J333" s="135"/>
      <c r="K333" s="135">
        <v>0</v>
      </c>
      <c r="L333" s="135">
        <v>0</v>
      </c>
      <c r="M333" s="135">
        <v>0</v>
      </c>
      <c r="N333" s="135">
        <v>0</v>
      </c>
      <c r="O333" s="135">
        <v>0</v>
      </c>
      <c r="P333" s="135"/>
      <c r="Q333" s="135">
        <v>0</v>
      </c>
      <c r="R333" s="135"/>
      <c r="S333" s="135"/>
      <c r="T333" s="135" t="s">
        <v>19</v>
      </c>
      <c r="U333" s="135" t="s">
        <v>1315</v>
      </c>
      <c r="V333" s="135" t="s">
        <v>1255</v>
      </c>
      <c r="W333" s="135">
        <v>2</v>
      </c>
      <c r="X333" s="135" t="s">
        <v>2623</v>
      </c>
      <c r="Y333" s="135" t="s">
        <v>2624</v>
      </c>
      <c r="Z333" s="135" t="s">
        <v>2625</v>
      </c>
      <c r="AA333" s="5" t="s">
        <v>18</v>
      </c>
      <c r="AB333" s="5" t="s">
        <v>1298</v>
      </c>
      <c r="AC333" s="6">
        <f t="shared" ref="AC333:AC334" si="22">G333</f>
        <v>124</v>
      </c>
      <c r="AD333" s="6"/>
    </row>
    <row r="334" spans="1:30" ht="19.5" customHeight="1">
      <c r="A334" s="135" t="s">
        <v>2626</v>
      </c>
      <c r="B334" s="135" t="s">
        <v>343</v>
      </c>
      <c r="C334" s="135">
        <v>46804</v>
      </c>
      <c r="D334" s="135" t="s">
        <v>1343</v>
      </c>
      <c r="E334" s="135" t="s">
        <v>1252</v>
      </c>
      <c r="F334" s="135"/>
      <c r="G334" s="135">
        <v>55</v>
      </c>
      <c r="H334" s="135" t="s">
        <v>1276</v>
      </c>
      <c r="I334" s="135" t="str">
        <f>VLOOKUP(H334,list!$B$2:$C$14,2,FALSE)</f>
        <v>GREEN</v>
      </c>
      <c r="J334" s="135"/>
      <c r="K334" s="135">
        <v>0</v>
      </c>
      <c r="L334" s="135">
        <v>0</v>
      </c>
      <c r="M334" s="135">
        <v>0</v>
      </c>
      <c r="N334" s="135">
        <v>0</v>
      </c>
      <c r="O334" s="135">
        <v>0</v>
      </c>
      <c r="P334" s="135"/>
      <c r="Q334" s="135">
        <v>0</v>
      </c>
      <c r="R334" s="135"/>
      <c r="S334" s="135"/>
      <c r="T334" s="135" t="s">
        <v>19</v>
      </c>
      <c r="U334" s="135"/>
      <c r="V334" s="135" t="s">
        <v>1255</v>
      </c>
      <c r="W334" s="135">
        <v>2</v>
      </c>
      <c r="X334" s="135" t="s">
        <v>2627</v>
      </c>
      <c r="Y334" s="135" t="s">
        <v>2628</v>
      </c>
      <c r="Z334" s="135" t="s">
        <v>1979</v>
      </c>
      <c r="AA334" s="5" t="s">
        <v>18</v>
      </c>
      <c r="AB334" s="5" t="s">
        <v>1298</v>
      </c>
      <c r="AC334" s="6">
        <f t="shared" si="22"/>
        <v>55</v>
      </c>
      <c r="AD334" s="6"/>
    </row>
    <row r="335" spans="1:30" ht="19.5" customHeight="1">
      <c r="A335" s="135" t="s">
        <v>2629</v>
      </c>
      <c r="B335" s="135"/>
      <c r="C335" s="135">
        <v>46804</v>
      </c>
      <c r="D335" s="135" t="s">
        <v>1343</v>
      </c>
      <c r="E335" s="135" t="s">
        <v>1252</v>
      </c>
      <c r="F335" s="135"/>
      <c r="G335" s="135">
        <v>55</v>
      </c>
      <c r="H335" s="135" t="s">
        <v>1282</v>
      </c>
      <c r="I335" s="135" t="str">
        <f>VLOOKUP(H335,list!$B$2:$C$14,2,FALSE)</f>
        <v>KITS</v>
      </c>
      <c r="J335" s="135"/>
      <c r="K335" s="135">
        <v>0</v>
      </c>
      <c r="L335" s="135">
        <v>0</v>
      </c>
      <c r="M335" s="135">
        <v>0</v>
      </c>
      <c r="N335" s="135">
        <v>0</v>
      </c>
      <c r="O335" s="135">
        <v>0</v>
      </c>
      <c r="P335" s="135"/>
      <c r="Q335" s="135">
        <v>0</v>
      </c>
      <c r="R335" s="135"/>
      <c r="S335" s="135"/>
      <c r="T335" s="135" t="s">
        <v>30</v>
      </c>
      <c r="U335" s="135" t="s">
        <v>2630</v>
      </c>
      <c r="V335" s="135" t="s">
        <v>1255</v>
      </c>
      <c r="W335" s="135">
        <v>3</v>
      </c>
      <c r="X335" s="135" t="s">
        <v>2631</v>
      </c>
      <c r="Y335" s="135" t="s">
        <v>2632</v>
      </c>
      <c r="Z335" s="135" t="s">
        <v>1347</v>
      </c>
      <c r="AA335" s="5" t="e">
        <f>VLOOKUP(A335,'Form Responses 1'!$C$2:$K$532,6,FALSE)</f>
        <v>#N/A</v>
      </c>
      <c r="AB335" s="5" t="e">
        <f>VLOOKUP(A335,'Form Responses 1'!$C$2:$K$219,7,FALSE)</f>
        <v>#N/A</v>
      </c>
      <c r="AC335" s="6" t="e">
        <f>VLOOKUP(A335,'Form Responses 1'!$C$2:$K$219,8,FALSE)</f>
        <v>#N/A</v>
      </c>
      <c r="AD335" s="6" t="e">
        <f>VLOOKUP(A335,'Form Responses 1'!$C$2:$K$219,9,FALSE)</f>
        <v>#N/A</v>
      </c>
    </row>
    <row r="336" spans="1:30" ht="19.5" customHeight="1">
      <c r="A336" s="135" t="s">
        <v>690</v>
      </c>
      <c r="B336" s="135"/>
      <c r="C336" s="135">
        <v>46703</v>
      </c>
      <c r="D336" s="135" t="s">
        <v>1324</v>
      </c>
      <c r="E336" s="135" t="s">
        <v>1325</v>
      </c>
      <c r="F336" s="135"/>
      <c r="G336" s="135">
        <v>110</v>
      </c>
      <c r="H336" s="135" t="s">
        <v>1282</v>
      </c>
      <c r="I336" s="135" t="str">
        <f>VLOOKUP(H336,list!$B$2:$C$14,2,FALSE)</f>
        <v>KITS</v>
      </c>
      <c r="J336" s="135"/>
      <c r="K336" s="135">
        <v>0</v>
      </c>
      <c r="L336" s="135">
        <v>0</v>
      </c>
      <c r="M336" s="135">
        <v>0</v>
      </c>
      <c r="N336" s="135">
        <v>0</v>
      </c>
      <c r="O336" s="135">
        <v>0</v>
      </c>
      <c r="P336" s="135"/>
      <c r="Q336" s="135">
        <v>0</v>
      </c>
      <c r="R336" s="135"/>
      <c r="S336" s="135"/>
      <c r="T336" s="135" t="s">
        <v>30</v>
      </c>
      <c r="U336" s="135" t="s">
        <v>2633</v>
      </c>
      <c r="V336" s="135" t="s">
        <v>1255</v>
      </c>
      <c r="W336" s="135">
        <v>3</v>
      </c>
      <c r="X336" s="135" t="s">
        <v>2634</v>
      </c>
      <c r="Y336" s="135" t="s">
        <v>2635</v>
      </c>
      <c r="Z336" s="135" t="s">
        <v>1331</v>
      </c>
      <c r="AA336" s="5" t="str">
        <f>VLOOKUP(A336,'Form Responses 1'!$C$2:$K$532,6,FALSE)</f>
        <v>Prefer not to use ISDH resources for employee testing</v>
      </c>
      <c r="AB336" s="5">
        <f>VLOOKUP(A336,'Form Responses 1'!$C$2:$K$219,7,FALSE)</f>
        <v>0</v>
      </c>
      <c r="AC336" s="6">
        <f>VLOOKUP(A336,'Form Responses 1'!$C$2:$K$219,8,FALSE)</f>
        <v>0</v>
      </c>
      <c r="AD336" s="6" t="str">
        <f>VLOOKUP(A336,'Form Responses 1'!$C$2:$K$219,9,FALSE)</f>
        <v>using OPTUM at no charge - to continue</v>
      </c>
    </row>
    <row r="337" spans="1:30" ht="19.5" customHeight="1">
      <c r="A337" s="135" t="s">
        <v>695</v>
      </c>
      <c r="B337" s="135"/>
      <c r="C337" s="135">
        <v>46011</v>
      </c>
      <c r="D337" s="135" t="s">
        <v>1498</v>
      </c>
      <c r="E337" s="135" t="s">
        <v>1281</v>
      </c>
      <c r="F337" s="135"/>
      <c r="G337" s="135">
        <v>111</v>
      </c>
      <c r="H337" s="135" t="s">
        <v>1282</v>
      </c>
      <c r="I337" s="135" t="str">
        <f>VLOOKUP(H337,list!$B$2:$C$14,2,FALSE)</f>
        <v>KITS</v>
      </c>
      <c r="J337" s="135"/>
      <c r="K337" s="135">
        <v>0</v>
      </c>
      <c r="L337" s="135">
        <v>0</v>
      </c>
      <c r="M337" s="135">
        <v>0</v>
      </c>
      <c r="N337" s="135">
        <v>0</v>
      </c>
      <c r="O337" s="135">
        <v>0</v>
      </c>
      <c r="P337" s="135"/>
      <c r="Q337" s="135">
        <v>0</v>
      </c>
      <c r="R337" s="135"/>
      <c r="S337" s="135"/>
      <c r="T337" s="135" t="s">
        <v>30</v>
      </c>
      <c r="U337" s="135"/>
      <c r="V337" s="135" t="s">
        <v>1255</v>
      </c>
      <c r="W337" s="135">
        <v>3</v>
      </c>
      <c r="X337" s="135" t="s">
        <v>2636</v>
      </c>
      <c r="Y337" s="135" t="s">
        <v>2637</v>
      </c>
      <c r="Z337" s="135" t="s">
        <v>1802</v>
      </c>
      <c r="AA337" s="5" t="str">
        <f>VLOOKUP(A337,'Form Responses 1'!$C$2:$K$532,6,FALSE)</f>
        <v>Kit delivery and pickup</v>
      </c>
      <c r="AB337" s="5">
        <f>VLOOKUP(A337,'Form Responses 1'!$C$2:$K$219,7,FALSE)</f>
        <v>0</v>
      </c>
      <c r="AC337" s="6">
        <f>VLOOKUP(A337,'Form Responses 1'!$C$2:$K$219,8,FALSE)</f>
        <v>0</v>
      </c>
      <c r="AD337" s="6">
        <f>VLOOKUP(A337,'Form Responses 1'!$C$2:$K$219,9,FALSE)</f>
        <v>0</v>
      </c>
    </row>
    <row r="338" spans="1:30" ht="19.5" customHeight="1">
      <c r="A338" s="135" t="s">
        <v>699</v>
      </c>
      <c r="B338" s="135" t="s">
        <v>2638</v>
      </c>
      <c r="C338" s="135">
        <v>46224</v>
      </c>
      <c r="D338" s="135" t="s">
        <v>1289</v>
      </c>
      <c r="E338" s="135" t="s">
        <v>1290</v>
      </c>
      <c r="F338" s="135"/>
      <c r="G338" s="135">
        <v>146</v>
      </c>
      <c r="H338" s="135" t="s">
        <v>1282</v>
      </c>
      <c r="I338" s="135" t="str">
        <f>VLOOKUP(H338,list!$B$2:$C$14,2,FALSE)</f>
        <v>KITS</v>
      </c>
      <c r="J338" s="135"/>
      <c r="K338" s="135">
        <v>0</v>
      </c>
      <c r="L338" s="135">
        <v>0</v>
      </c>
      <c r="M338" s="135">
        <v>0</v>
      </c>
      <c r="N338" s="135">
        <v>0</v>
      </c>
      <c r="O338" s="135">
        <v>0</v>
      </c>
      <c r="P338" s="135"/>
      <c r="Q338" s="135">
        <v>0</v>
      </c>
      <c r="R338" s="135"/>
      <c r="S338" s="135"/>
      <c r="T338" s="135" t="s">
        <v>19</v>
      </c>
      <c r="U338" s="135" t="s">
        <v>2639</v>
      </c>
      <c r="V338" s="135" t="s">
        <v>1255</v>
      </c>
      <c r="W338" s="135">
        <v>3</v>
      </c>
      <c r="X338" s="135" t="s">
        <v>2640</v>
      </c>
      <c r="Y338" s="135" t="s">
        <v>2641</v>
      </c>
      <c r="Z338" s="135" t="s">
        <v>2267</v>
      </c>
      <c r="AA338" s="5" t="str">
        <f>VLOOKUP(A338,'Form Responses 1'!$C$2:$K$532,6,FALSE)</f>
        <v>Kit delivery and pickup</v>
      </c>
      <c r="AB338" s="5" t="str">
        <f>VLOOKUP(A338,'Form Responses 1'!$C$2:$K$219,7,FALSE)</f>
        <v>No</v>
      </c>
      <c r="AC338" s="6">
        <f>VLOOKUP(A338,'Form Responses 1'!$C$2:$K$219,8,FALSE)</f>
        <v>146</v>
      </c>
      <c r="AD338" s="6">
        <f>VLOOKUP(A338,'Form Responses 1'!$C$2:$K$219,9,FALSE)</f>
        <v>0</v>
      </c>
    </row>
    <row r="339" spans="1:30" ht="19.5" customHeight="1">
      <c r="A339" s="135" t="s">
        <v>703</v>
      </c>
      <c r="B339" s="135"/>
      <c r="C339" s="135">
        <v>47546</v>
      </c>
      <c r="D339" s="135" t="s">
        <v>1338</v>
      </c>
      <c r="E339" s="135" t="s">
        <v>1574</v>
      </c>
      <c r="F339" s="135"/>
      <c r="G339" s="135">
        <v>180</v>
      </c>
      <c r="H339" s="135" t="s">
        <v>1425</v>
      </c>
      <c r="I339" s="135" t="str">
        <f>VLOOKUP(H339,list!$B$2:$C$14,2,FALSE)</f>
        <v>ONSITE</v>
      </c>
      <c r="J339" s="135"/>
      <c r="K339" s="135">
        <v>0</v>
      </c>
      <c r="L339" s="135">
        <v>1</v>
      </c>
      <c r="M339" s="135">
        <v>0</v>
      </c>
      <c r="N339" s="135">
        <v>0</v>
      </c>
      <c r="O339" s="135">
        <v>0</v>
      </c>
      <c r="P339" s="135"/>
      <c r="Q339" s="135">
        <v>0</v>
      </c>
      <c r="R339" s="135"/>
      <c r="S339" s="135"/>
      <c r="T339" s="135" t="s">
        <v>30</v>
      </c>
      <c r="U339" s="135" t="s">
        <v>2642</v>
      </c>
      <c r="V339" s="135" t="s">
        <v>1255</v>
      </c>
      <c r="W339" s="135">
        <v>7</v>
      </c>
      <c r="X339" s="135" t="s">
        <v>2643</v>
      </c>
      <c r="Y339" s="135" t="s">
        <v>2644</v>
      </c>
      <c r="Z339" s="135" t="s">
        <v>2645</v>
      </c>
      <c r="AA339" s="5" t="str">
        <f>VLOOKUP(A339,'Form Responses 1'!$C$2:$K$532,6,FALSE)</f>
        <v>Kit delivery and pickup</v>
      </c>
      <c r="AB339" s="5" t="str">
        <f>VLOOKUP(A339,'Form Responses 1'!$C$2:$K$219,7,FALSE)</f>
        <v>No</v>
      </c>
      <c r="AC339" s="6">
        <f>VLOOKUP(A339,'Form Responses 1'!$C$2:$K$219,8,FALSE)</f>
        <v>180</v>
      </c>
      <c r="AD339" s="6" t="str">
        <f>VLOOKUP(A339,'Form Responses 1'!$C$2:$K$219,9,FALSE)</f>
        <v>Strike Team in yesterday to train 5 nurses d/t pos residents in facility.</v>
      </c>
    </row>
    <row r="340" spans="1:30" ht="19.5" customHeight="1">
      <c r="A340" s="135" t="s">
        <v>708</v>
      </c>
      <c r="B340" s="135"/>
      <c r="C340" s="135">
        <v>46310</v>
      </c>
      <c r="D340" s="135" t="s">
        <v>1337</v>
      </c>
      <c r="E340" s="135" t="s">
        <v>1338</v>
      </c>
      <c r="F340" s="135" t="s">
        <v>30</v>
      </c>
      <c r="G340" s="135">
        <v>120</v>
      </c>
      <c r="H340" s="135" t="s">
        <v>1326</v>
      </c>
      <c r="I340" s="135" t="str">
        <f>VLOOKUP(H340,list!$B$2:$C$14,2,FALSE)</f>
        <v>ONSITE</v>
      </c>
      <c r="J340" s="135"/>
      <c r="K340" s="135">
        <v>1</v>
      </c>
      <c r="L340" s="135">
        <v>0</v>
      </c>
      <c r="M340" s="135">
        <v>0</v>
      </c>
      <c r="N340" s="135">
        <v>0</v>
      </c>
      <c r="O340" s="135">
        <v>0</v>
      </c>
      <c r="P340" s="135"/>
      <c r="Q340" s="135">
        <v>0</v>
      </c>
      <c r="R340" s="135"/>
      <c r="S340" s="135" t="s">
        <v>2646</v>
      </c>
      <c r="T340" s="135" t="s">
        <v>30</v>
      </c>
      <c r="U340" s="135" t="s">
        <v>2647</v>
      </c>
      <c r="V340" s="135" t="s">
        <v>1255</v>
      </c>
      <c r="W340" s="135">
        <v>1</v>
      </c>
      <c r="X340" s="135" t="s">
        <v>2648</v>
      </c>
      <c r="Y340" s="135" t="s">
        <v>2649</v>
      </c>
      <c r="Z340" s="135" t="s">
        <v>1342</v>
      </c>
      <c r="AA340" s="5" t="str">
        <f>VLOOKUP(A340,'Form Responses 1'!$C$2:$K$532,6,FALSE)</f>
        <v>Kit delivery and pickup</v>
      </c>
      <c r="AB340" s="5" t="str">
        <f>VLOOKUP(A340,'Form Responses 1'!$C$2:$K$219,7,FALSE)</f>
        <v>No</v>
      </c>
      <c r="AC340" s="6">
        <f>VLOOKUP(A340,'Form Responses 1'!$C$2:$K$219,8,FALSE)</f>
        <v>150</v>
      </c>
      <c r="AD340" s="6">
        <f>VLOOKUP(A340,'Form Responses 1'!$C$2:$K$219,9,FALSE)</f>
        <v>0</v>
      </c>
    </row>
    <row r="341" spans="1:30" ht="19.5" customHeight="1">
      <c r="A341" s="135" t="s">
        <v>712</v>
      </c>
      <c r="B341" s="135" t="s">
        <v>1624</v>
      </c>
      <c r="C341" s="135">
        <v>47561</v>
      </c>
      <c r="D341" s="135" t="s">
        <v>2650</v>
      </c>
      <c r="E341" s="135" t="s">
        <v>1553</v>
      </c>
      <c r="F341" s="135" t="s">
        <v>30</v>
      </c>
      <c r="G341" s="135">
        <v>46</v>
      </c>
      <c r="H341" s="135" t="s">
        <v>1282</v>
      </c>
      <c r="I341" s="135" t="str">
        <f>VLOOKUP(H341,list!$B$2:$C$14,2,FALSE)</f>
        <v>KITS</v>
      </c>
      <c r="J341" s="135"/>
      <c r="K341" s="135">
        <v>0</v>
      </c>
      <c r="L341" s="135">
        <v>0</v>
      </c>
      <c r="M341" s="135">
        <v>0</v>
      </c>
      <c r="N341" s="135">
        <v>0</v>
      </c>
      <c r="O341" s="135">
        <v>0</v>
      </c>
      <c r="P341" s="135"/>
      <c r="Q341" s="135">
        <v>0</v>
      </c>
      <c r="R341" s="135"/>
      <c r="S341" s="135"/>
      <c r="T341" s="135" t="s">
        <v>19</v>
      </c>
      <c r="U341" s="135" t="s">
        <v>1657</v>
      </c>
      <c r="V341" s="135" t="s">
        <v>1255</v>
      </c>
      <c r="W341" s="135">
        <v>3</v>
      </c>
      <c r="X341" s="135" t="s">
        <v>2651</v>
      </c>
      <c r="Y341" s="135" t="s">
        <v>2652</v>
      </c>
      <c r="Z341" s="135" t="s">
        <v>2653</v>
      </c>
      <c r="AA341" s="5" t="str">
        <f>VLOOKUP(A341,'Form Responses 1'!$C$2:$K$532,6,FALSE)</f>
        <v>Onsite sample collection by ISDH team</v>
      </c>
      <c r="AB341" s="5">
        <f>VLOOKUP(A341,'Form Responses 1'!$C$2:$K$219,7,FALSE)</f>
        <v>0</v>
      </c>
      <c r="AC341" s="6">
        <f>VLOOKUP(A341,'Form Responses 1'!$C$2:$K$219,8,FALSE)</f>
        <v>45</v>
      </c>
      <c r="AD341" s="6">
        <f>VLOOKUP(A341,'Form Responses 1'!$C$2:$K$219,9,FALSE)</f>
        <v>0</v>
      </c>
    </row>
    <row r="342" spans="1:30" ht="19.5" customHeight="1">
      <c r="A342" s="135" t="s">
        <v>716</v>
      </c>
      <c r="B342" s="135"/>
      <c r="C342" s="135">
        <v>46750</v>
      </c>
      <c r="D342" s="135" t="s">
        <v>2134</v>
      </c>
      <c r="E342" s="135" t="s">
        <v>2134</v>
      </c>
      <c r="F342" s="135"/>
      <c r="G342" s="135">
        <v>45</v>
      </c>
      <c r="H342" s="135" t="s">
        <v>1282</v>
      </c>
      <c r="I342" s="135" t="str">
        <f>VLOOKUP(H342,list!$B$2:$C$14,2,FALSE)</f>
        <v>KITS</v>
      </c>
      <c r="J342" s="135"/>
      <c r="K342" s="135">
        <v>0</v>
      </c>
      <c r="L342" s="135">
        <v>0</v>
      </c>
      <c r="M342" s="135">
        <v>0</v>
      </c>
      <c r="N342" s="135">
        <v>0</v>
      </c>
      <c r="O342" s="135">
        <v>0</v>
      </c>
      <c r="P342" s="135"/>
      <c r="Q342" s="135">
        <v>0</v>
      </c>
      <c r="R342" s="135"/>
      <c r="S342" s="135"/>
      <c r="T342" s="135"/>
      <c r="U342" s="135" t="s">
        <v>2654</v>
      </c>
      <c r="V342" s="135" t="s">
        <v>1255</v>
      </c>
      <c r="W342" s="135">
        <v>3</v>
      </c>
      <c r="X342" s="135" t="s">
        <v>719</v>
      </c>
      <c r="Y342" s="135" t="s">
        <v>2655</v>
      </c>
      <c r="Z342" s="135" t="s">
        <v>2137</v>
      </c>
      <c r="AA342" s="5" t="str">
        <f>VLOOKUP(A342,'Form Responses 1'!$C$2:$K$532,6,FALSE)</f>
        <v>Kit delivery and pickup</v>
      </c>
      <c r="AB342" s="5" t="str">
        <f>VLOOKUP(A342,'Form Responses 1'!$C$2:$K$219,7,FALSE)</f>
        <v>No</v>
      </c>
      <c r="AC342" s="6">
        <f>VLOOKUP(A342,'Form Responses 1'!$C$2:$K$219,8,FALSE)</f>
        <v>40</v>
      </c>
      <c r="AD342" s="6">
        <f>VLOOKUP(A342,'Form Responses 1'!$C$2:$K$219,9,FALSE)</f>
        <v>0</v>
      </c>
    </row>
    <row r="343" spans="1:30" ht="19.5" customHeight="1">
      <c r="A343" s="135" t="s">
        <v>720</v>
      </c>
      <c r="B343" s="135"/>
      <c r="C343" s="135">
        <v>47586</v>
      </c>
      <c r="D343" s="135" t="s">
        <v>2295</v>
      </c>
      <c r="E343" s="135" t="s">
        <v>2296</v>
      </c>
      <c r="F343" s="135"/>
      <c r="G343" s="135">
        <v>149</v>
      </c>
      <c r="H343" s="135" t="s">
        <v>1276</v>
      </c>
      <c r="I343" s="135" t="str">
        <f>VLOOKUP(H343,list!$B$2:$C$14,2,FALSE)</f>
        <v>GREEN</v>
      </c>
      <c r="J343" s="135"/>
      <c r="K343" s="135">
        <v>0</v>
      </c>
      <c r="L343" s="135">
        <v>0</v>
      </c>
      <c r="M343" s="135">
        <v>0</v>
      </c>
      <c r="N343" s="135">
        <v>0</v>
      </c>
      <c r="O343" s="135">
        <v>0</v>
      </c>
      <c r="P343" s="135"/>
      <c r="Q343" s="135">
        <v>0</v>
      </c>
      <c r="R343" s="135"/>
      <c r="S343" s="135"/>
      <c r="T343" s="135" t="s">
        <v>19</v>
      </c>
      <c r="U343" s="135" t="s">
        <v>1315</v>
      </c>
      <c r="V343" s="135" t="s">
        <v>1255</v>
      </c>
      <c r="W343" s="135">
        <v>2</v>
      </c>
      <c r="X343" s="135" t="s">
        <v>2656</v>
      </c>
      <c r="Y343" s="135" t="s">
        <v>2657</v>
      </c>
      <c r="Z343" s="135" t="s">
        <v>2658</v>
      </c>
      <c r="AA343" s="5" t="str">
        <f>VLOOKUP(A343,'Form Responses 1'!$C$2:$K$532,6,FALSE)</f>
        <v>Kit delivery and pickup</v>
      </c>
      <c r="AB343" s="5" t="str">
        <f>VLOOKUP(A343,'Form Responses 1'!$C$2:$K$219,7,FALSE)</f>
        <v>No</v>
      </c>
      <c r="AC343" s="6">
        <f>VLOOKUP(A343,'Form Responses 1'!$C$2:$K$219,8,FALSE)</f>
        <v>135</v>
      </c>
      <c r="AD343" s="6">
        <f>VLOOKUP(A343,'Form Responses 1'!$C$2:$K$219,9,FALSE)</f>
        <v>0</v>
      </c>
    </row>
    <row r="344" spans="1:30" ht="19.5" customHeight="1">
      <c r="A344" s="135" t="s">
        <v>2659</v>
      </c>
      <c r="B344" s="321" t="s">
        <v>1312</v>
      </c>
      <c r="C344" s="135">
        <v>46755</v>
      </c>
      <c r="D344" s="135" t="s">
        <v>2167</v>
      </c>
      <c r="E344" s="135" t="s">
        <v>1453</v>
      </c>
      <c r="F344" s="135"/>
      <c r="G344" s="135">
        <v>116</v>
      </c>
      <c r="H344" s="135" t="s">
        <v>1276</v>
      </c>
      <c r="I344" s="135" t="str">
        <f>VLOOKUP(H344,list!$B$2:$C$14,2,FALSE)</f>
        <v>GREEN</v>
      </c>
      <c r="J344" s="135"/>
      <c r="K344" s="135">
        <v>0</v>
      </c>
      <c r="L344" s="135">
        <v>0</v>
      </c>
      <c r="M344" s="135">
        <v>0</v>
      </c>
      <c r="N344" s="135">
        <v>0</v>
      </c>
      <c r="O344" s="135">
        <v>0</v>
      </c>
      <c r="P344" s="135"/>
      <c r="Q344" s="135">
        <v>0</v>
      </c>
      <c r="R344" s="135"/>
      <c r="S344" s="135"/>
      <c r="T344" s="135" t="s">
        <v>19</v>
      </c>
      <c r="U344" s="135" t="s">
        <v>1315</v>
      </c>
      <c r="V344" s="135" t="s">
        <v>1255</v>
      </c>
      <c r="W344" s="135">
        <v>2</v>
      </c>
      <c r="X344" s="135" t="s">
        <v>2660</v>
      </c>
      <c r="Y344" s="135" t="s">
        <v>2661</v>
      </c>
      <c r="Z344" s="135" t="s">
        <v>2170</v>
      </c>
      <c r="AA344" s="5" t="s">
        <v>18</v>
      </c>
      <c r="AB344" s="5" t="s">
        <v>1298</v>
      </c>
      <c r="AC344" s="6">
        <f>G344</f>
        <v>116</v>
      </c>
      <c r="AD344" s="6"/>
    </row>
    <row r="345" spans="1:30" ht="19.5" customHeight="1">
      <c r="A345" s="135" t="s">
        <v>2662</v>
      </c>
      <c r="B345" s="135" t="s">
        <v>1265</v>
      </c>
      <c r="C345" s="135">
        <v>46777</v>
      </c>
      <c r="D345" s="135" t="s">
        <v>2663</v>
      </c>
      <c r="E345" s="135" t="s">
        <v>1534</v>
      </c>
      <c r="F345" s="135"/>
      <c r="G345" s="135"/>
      <c r="H345" s="135"/>
      <c r="I345" s="135"/>
      <c r="J345" s="135"/>
      <c r="K345" s="135"/>
      <c r="L345" s="135"/>
      <c r="M345" s="135"/>
      <c r="N345" s="135"/>
      <c r="O345" s="135"/>
      <c r="P345" s="135"/>
      <c r="Q345" s="135"/>
      <c r="R345" s="135"/>
      <c r="S345" s="135"/>
      <c r="T345" s="135"/>
      <c r="U345" s="135"/>
      <c r="V345" s="135"/>
      <c r="W345" s="135"/>
      <c r="X345" s="135">
        <v>2606227821</v>
      </c>
      <c r="Y345" s="135" t="s">
        <v>2664</v>
      </c>
      <c r="Z345" s="135"/>
      <c r="AA345" s="5" t="str">
        <f>VLOOKUP(A345,'Form Responses 1'!$C$2:$K$532,6,FALSE)</f>
        <v>Kit delivery and pickup</v>
      </c>
      <c r="AB345" s="5" t="e">
        <f>VLOOKUP(A345,'Form Responses 1'!$C$2:$K$219,7,FALSE)</f>
        <v>#N/A</v>
      </c>
      <c r="AC345" s="6" t="e">
        <f>VLOOKUP(A345,'Form Responses 1'!$C$2:$K$219,8,FALSE)</f>
        <v>#N/A</v>
      </c>
      <c r="AD345" s="6" t="e">
        <f>VLOOKUP(A345,'Form Responses 1'!$C$2:$K$219,9,FALSE)</f>
        <v>#N/A</v>
      </c>
    </row>
    <row r="346" spans="1:30" ht="19.5" customHeight="1">
      <c r="A346" s="135" t="s">
        <v>2665</v>
      </c>
      <c r="B346" s="135"/>
      <c r="C346" s="135">
        <v>46131</v>
      </c>
      <c r="D346" s="135" t="s">
        <v>1577</v>
      </c>
      <c r="E346" s="135" t="s">
        <v>1420</v>
      </c>
      <c r="F346" s="135"/>
      <c r="G346" s="135">
        <v>360</v>
      </c>
      <c r="H346" s="135" t="s">
        <v>1465</v>
      </c>
      <c r="I346" s="135" t="str">
        <f>VLOOKUP(H346,list!$B$2:$C$14,2,FALSE)</f>
        <v>GREEN</v>
      </c>
      <c r="J346" s="135"/>
      <c r="K346" s="135">
        <v>0</v>
      </c>
      <c r="L346" s="135">
        <v>0</v>
      </c>
      <c r="M346" s="135">
        <v>0</v>
      </c>
      <c r="N346" s="135">
        <v>0</v>
      </c>
      <c r="O346" s="135">
        <v>0</v>
      </c>
      <c r="P346" s="135"/>
      <c r="Q346" s="135">
        <v>0</v>
      </c>
      <c r="R346" s="135"/>
      <c r="S346" s="135"/>
      <c r="T346" s="135" t="s">
        <v>19</v>
      </c>
      <c r="U346" s="135"/>
      <c r="V346" s="135" t="s">
        <v>1255</v>
      </c>
      <c r="W346" s="135">
        <v>4</v>
      </c>
      <c r="X346" s="135" t="s">
        <v>2666</v>
      </c>
      <c r="Y346" s="135" t="s">
        <v>2667</v>
      </c>
      <c r="Z346" s="135" t="s">
        <v>1858</v>
      </c>
      <c r="AA346" s="5" t="e">
        <f>VLOOKUP(A346,'Form Responses 1'!$C$2:$K$532,6,FALSE)</f>
        <v>#N/A</v>
      </c>
      <c r="AB346" s="5" t="e">
        <f>VLOOKUP(A346,'Form Responses 1'!$C$2:$K$219,7,FALSE)</f>
        <v>#N/A</v>
      </c>
      <c r="AC346" s="6" t="e">
        <f>VLOOKUP(A346,'Form Responses 1'!$C$2:$K$219,8,FALSE)</f>
        <v>#N/A</v>
      </c>
      <c r="AD346" s="6" t="e">
        <f>VLOOKUP(A346,'Form Responses 1'!$C$2:$K$219,9,FALSE)</f>
        <v>#N/A</v>
      </c>
    </row>
    <row r="347" spans="1:30" ht="19.5" customHeight="1">
      <c r="A347" s="135" t="s">
        <v>2668</v>
      </c>
      <c r="B347" s="321" t="s">
        <v>1312</v>
      </c>
      <c r="C347" s="135">
        <v>47460</v>
      </c>
      <c r="D347" s="135" t="s">
        <v>1371</v>
      </c>
      <c r="E347" s="135" t="s">
        <v>1372</v>
      </c>
      <c r="F347" s="135" t="s">
        <v>30</v>
      </c>
      <c r="G347" s="135">
        <v>102</v>
      </c>
      <c r="H347" s="135" t="s">
        <v>1276</v>
      </c>
      <c r="I347" s="135" t="str">
        <f>VLOOKUP(H347,list!$B$2:$C$14,2,FALSE)</f>
        <v>GREEN</v>
      </c>
      <c r="J347" s="135"/>
      <c r="K347" s="135">
        <v>0</v>
      </c>
      <c r="L347" s="135">
        <v>0</v>
      </c>
      <c r="M347" s="135">
        <v>0</v>
      </c>
      <c r="N347" s="135">
        <v>0</v>
      </c>
      <c r="O347" s="135">
        <v>0</v>
      </c>
      <c r="P347" s="135"/>
      <c r="Q347" s="135">
        <v>0</v>
      </c>
      <c r="R347" s="135"/>
      <c r="S347" s="135"/>
      <c r="T347" s="135" t="s">
        <v>19</v>
      </c>
      <c r="U347" s="135" t="s">
        <v>1315</v>
      </c>
      <c r="V347" s="135" t="s">
        <v>1255</v>
      </c>
      <c r="W347" s="135">
        <v>2</v>
      </c>
      <c r="X347" s="135" t="s">
        <v>2669</v>
      </c>
      <c r="Y347" s="135" t="s">
        <v>2670</v>
      </c>
      <c r="Z347" s="135" t="s">
        <v>2671</v>
      </c>
      <c r="AA347" s="5" t="s">
        <v>18</v>
      </c>
      <c r="AB347" s="5" t="s">
        <v>1298</v>
      </c>
      <c r="AC347" s="6">
        <f t="shared" ref="AC347:AC349" si="23">G347</f>
        <v>102</v>
      </c>
      <c r="AD347" s="6"/>
    </row>
    <row r="348" spans="1:30" ht="19.5" customHeight="1">
      <c r="A348" s="135" t="s">
        <v>2672</v>
      </c>
      <c r="B348" s="321" t="s">
        <v>1312</v>
      </c>
      <c r="C348" s="135">
        <v>46582</v>
      </c>
      <c r="D348" s="135" t="s">
        <v>2382</v>
      </c>
      <c r="E348" s="135" t="s">
        <v>2011</v>
      </c>
      <c r="F348" s="135"/>
      <c r="G348" s="135">
        <v>124</v>
      </c>
      <c r="H348" s="135" t="s">
        <v>1276</v>
      </c>
      <c r="I348" s="135" t="str">
        <f>VLOOKUP(H348,list!$B$2:$C$14,2,FALSE)</f>
        <v>GREEN</v>
      </c>
      <c r="J348" s="135"/>
      <c r="K348" s="135">
        <v>0</v>
      </c>
      <c r="L348" s="135">
        <v>0</v>
      </c>
      <c r="M348" s="135">
        <v>0</v>
      </c>
      <c r="N348" s="135">
        <v>0</v>
      </c>
      <c r="O348" s="135">
        <v>0</v>
      </c>
      <c r="P348" s="135"/>
      <c r="Q348" s="135">
        <v>0</v>
      </c>
      <c r="R348" s="135"/>
      <c r="S348" s="135"/>
      <c r="T348" s="135" t="s">
        <v>19</v>
      </c>
      <c r="U348" s="135" t="s">
        <v>1315</v>
      </c>
      <c r="V348" s="135" t="s">
        <v>1255</v>
      </c>
      <c r="W348" s="135">
        <v>2</v>
      </c>
      <c r="X348" s="135" t="s">
        <v>2673</v>
      </c>
      <c r="Y348" s="135" t="s">
        <v>2674</v>
      </c>
      <c r="Z348" s="135" t="s">
        <v>2675</v>
      </c>
      <c r="AA348" s="5" t="s">
        <v>18</v>
      </c>
      <c r="AB348" s="5" t="s">
        <v>1298</v>
      </c>
      <c r="AC348" s="6">
        <f t="shared" si="23"/>
        <v>124</v>
      </c>
      <c r="AD348" s="6"/>
    </row>
    <row r="349" spans="1:30" ht="19.5" customHeight="1">
      <c r="A349" s="135" t="s">
        <v>2676</v>
      </c>
      <c r="B349" s="135" t="s">
        <v>1303</v>
      </c>
      <c r="C349" s="135">
        <v>47454</v>
      </c>
      <c r="D349" s="135" t="s">
        <v>2677</v>
      </c>
      <c r="E349" s="135" t="s">
        <v>2678</v>
      </c>
      <c r="F349" s="135" t="s">
        <v>30</v>
      </c>
      <c r="G349" s="135">
        <v>73</v>
      </c>
      <c r="H349" s="135" t="s">
        <v>1465</v>
      </c>
      <c r="I349" s="135" t="str">
        <f>VLOOKUP(H349,list!$B$2:$C$14,2,FALSE)</f>
        <v>GREEN</v>
      </c>
      <c r="J349" s="135"/>
      <c r="K349" s="135">
        <v>0</v>
      </c>
      <c r="L349" s="135">
        <v>0</v>
      </c>
      <c r="M349" s="135">
        <v>0</v>
      </c>
      <c r="N349" s="135">
        <v>0</v>
      </c>
      <c r="O349" s="135">
        <v>0</v>
      </c>
      <c r="P349" s="135"/>
      <c r="Q349" s="135">
        <v>0</v>
      </c>
      <c r="R349" s="135"/>
      <c r="S349" s="135"/>
      <c r="T349" s="135" t="s">
        <v>19</v>
      </c>
      <c r="U349" s="135"/>
      <c r="V349" s="135" t="s">
        <v>1255</v>
      </c>
      <c r="W349" s="135">
        <v>4</v>
      </c>
      <c r="X349" s="135" t="s">
        <v>2679</v>
      </c>
      <c r="Y349" s="135" t="s">
        <v>2680</v>
      </c>
      <c r="Z349" s="135" t="s">
        <v>2681</v>
      </c>
      <c r="AA349" s="5" t="s">
        <v>18</v>
      </c>
      <c r="AB349" s="5" t="s">
        <v>1298</v>
      </c>
      <c r="AC349" s="6">
        <f t="shared" si="23"/>
        <v>73</v>
      </c>
      <c r="AD349" s="6"/>
    </row>
    <row r="350" spans="1:30" ht="19.5" customHeight="1">
      <c r="A350" s="135" t="s">
        <v>724</v>
      </c>
      <c r="B350" s="135"/>
      <c r="C350" s="135">
        <v>46373</v>
      </c>
      <c r="D350" s="135" t="s">
        <v>2682</v>
      </c>
      <c r="E350" s="135" t="s">
        <v>1375</v>
      </c>
      <c r="F350" s="135"/>
      <c r="G350" s="135">
        <v>105</v>
      </c>
      <c r="H350" s="135" t="s">
        <v>1268</v>
      </c>
      <c r="I350" s="135" t="str">
        <f>VLOOKUP(H350,list!$B$2:$C$14,2,FALSE)</f>
        <v>KITS</v>
      </c>
      <c r="J350" s="135"/>
      <c r="K350" s="135">
        <v>0</v>
      </c>
      <c r="L350" s="135">
        <v>0</v>
      </c>
      <c r="M350" s="135">
        <v>0</v>
      </c>
      <c r="N350" s="135">
        <v>0</v>
      </c>
      <c r="O350" s="135">
        <v>0</v>
      </c>
      <c r="P350" s="135"/>
      <c r="Q350" s="135">
        <v>0</v>
      </c>
      <c r="R350" s="135"/>
      <c r="S350" s="135" t="s">
        <v>2683</v>
      </c>
      <c r="T350" s="135" t="s">
        <v>19</v>
      </c>
      <c r="U350" s="135" t="s">
        <v>2684</v>
      </c>
      <c r="V350" s="135" t="s">
        <v>1255</v>
      </c>
      <c r="W350" s="135">
        <v>5</v>
      </c>
      <c r="X350" s="135" t="s">
        <v>2685</v>
      </c>
      <c r="Y350" s="135" t="s">
        <v>2686</v>
      </c>
      <c r="Z350" s="135" t="s">
        <v>2687</v>
      </c>
      <c r="AA350" s="5" t="str">
        <f>VLOOKUP(A350,'Form Responses 1'!$C$2:$K$532,6,FALSE)</f>
        <v>Kit delivery and pickup</v>
      </c>
      <c r="AB350" s="5" t="str">
        <f>VLOOKUP(A350,'Form Responses 1'!$C$2:$K$219,7,FALSE)</f>
        <v>No</v>
      </c>
      <c r="AC350" s="6">
        <f>VLOOKUP(A350,'Form Responses 1'!$C$2:$K$219,8,FALSE)</f>
        <v>150</v>
      </c>
      <c r="AD350" s="6">
        <f>VLOOKUP(A350,'Form Responses 1'!$C$2:$K$219,9,FALSE)</f>
        <v>0</v>
      </c>
    </row>
    <row r="351" spans="1:30" ht="19.5" customHeight="1">
      <c r="A351" s="135" t="s">
        <v>2688</v>
      </c>
      <c r="B351" s="135" t="s">
        <v>343</v>
      </c>
      <c r="C351" s="135">
        <v>47712</v>
      </c>
      <c r="D351" s="135" t="s">
        <v>1506</v>
      </c>
      <c r="E351" s="135" t="s">
        <v>1507</v>
      </c>
      <c r="F351" s="135"/>
      <c r="G351" s="135">
        <v>85</v>
      </c>
      <c r="H351" s="135" t="s">
        <v>1282</v>
      </c>
      <c r="I351" s="135" t="str">
        <f>VLOOKUP(H351,list!$B$2:$C$14,2,FALSE)</f>
        <v>KITS</v>
      </c>
      <c r="J351" s="135"/>
      <c r="K351" s="135">
        <v>0</v>
      </c>
      <c r="L351" s="135">
        <v>0</v>
      </c>
      <c r="M351" s="135">
        <v>0</v>
      </c>
      <c r="N351" s="135">
        <v>0</v>
      </c>
      <c r="O351" s="135">
        <v>0</v>
      </c>
      <c r="P351" s="135"/>
      <c r="Q351" s="135">
        <v>0</v>
      </c>
      <c r="R351" s="135"/>
      <c r="S351" s="135"/>
      <c r="T351" s="135" t="s">
        <v>19</v>
      </c>
      <c r="U351" s="135"/>
      <c r="V351" s="135" t="s">
        <v>1255</v>
      </c>
      <c r="W351" s="135">
        <v>3</v>
      </c>
      <c r="X351" s="135" t="s">
        <v>2689</v>
      </c>
      <c r="Y351" s="135" t="s">
        <v>2690</v>
      </c>
      <c r="Z351" s="135" t="s">
        <v>2691</v>
      </c>
      <c r="AA351" s="5" t="s">
        <v>18</v>
      </c>
      <c r="AB351" s="5" t="s">
        <v>1298</v>
      </c>
      <c r="AC351" s="6">
        <f>G351</f>
        <v>85</v>
      </c>
      <c r="AD351" s="6"/>
    </row>
    <row r="352" spans="1:30" ht="19.5" customHeight="1">
      <c r="A352" s="135" t="s">
        <v>2692</v>
      </c>
      <c r="B352" s="135" t="s">
        <v>1265</v>
      </c>
      <c r="C352" s="135">
        <v>47368</v>
      </c>
      <c r="D352" s="135" t="s">
        <v>2693</v>
      </c>
      <c r="E352" s="135" t="s">
        <v>2694</v>
      </c>
      <c r="F352" s="135"/>
      <c r="G352" s="135"/>
      <c r="H352" s="135"/>
      <c r="I352" s="135"/>
      <c r="J352" s="135"/>
      <c r="K352" s="135"/>
      <c r="L352" s="135"/>
      <c r="M352" s="135"/>
      <c r="N352" s="135"/>
      <c r="O352" s="135"/>
      <c r="P352" s="135"/>
      <c r="Q352" s="135"/>
      <c r="R352" s="135"/>
      <c r="S352" s="135"/>
      <c r="T352" s="135"/>
      <c r="U352" s="135"/>
      <c r="V352" s="135"/>
      <c r="W352" s="135"/>
      <c r="X352" s="135">
        <v>7654688280</v>
      </c>
      <c r="Y352" s="135" t="s">
        <v>2695</v>
      </c>
      <c r="Z352" s="135"/>
      <c r="AA352" s="5" t="e">
        <f>VLOOKUP(A352,'Form Responses 1'!$C$2:$K$532,6,FALSE)</f>
        <v>#N/A</v>
      </c>
      <c r="AB352" s="5" t="e">
        <f>VLOOKUP(A352,'Form Responses 1'!$C$2:$K$219,7,FALSE)</f>
        <v>#N/A</v>
      </c>
      <c r="AC352" s="6" t="e">
        <f>VLOOKUP(A352,'Form Responses 1'!$C$2:$K$219,8,FALSE)</f>
        <v>#N/A</v>
      </c>
      <c r="AD352" s="6" t="e">
        <f>VLOOKUP(A352,'Form Responses 1'!$C$2:$K$219,9,FALSE)</f>
        <v>#N/A</v>
      </c>
    </row>
    <row r="353" spans="1:30" ht="19.5" customHeight="1">
      <c r="A353" s="135" t="s">
        <v>2696</v>
      </c>
      <c r="B353" s="135"/>
      <c r="C353" s="135">
        <v>47720</v>
      </c>
      <c r="D353" s="135" t="s">
        <v>1506</v>
      </c>
      <c r="E353" s="135" t="s">
        <v>1507</v>
      </c>
      <c r="F353" s="135"/>
      <c r="G353" s="135"/>
      <c r="H353" s="135"/>
      <c r="I353" s="135"/>
      <c r="J353" s="135"/>
      <c r="K353" s="135"/>
      <c r="L353" s="135"/>
      <c r="M353" s="135"/>
      <c r="N353" s="135"/>
      <c r="O353" s="135"/>
      <c r="P353" s="135"/>
      <c r="Q353" s="135"/>
      <c r="R353" s="135"/>
      <c r="S353" s="135"/>
      <c r="T353" s="135"/>
      <c r="U353" s="135"/>
      <c r="V353" s="135"/>
      <c r="W353" s="135"/>
      <c r="X353" s="135">
        <v>8124242941</v>
      </c>
      <c r="Y353" s="135" t="s">
        <v>2697</v>
      </c>
      <c r="Z353" s="135"/>
      <c r="AA353" s="5" t="e">
        <f>VLOOKUP(A353,'Form Responses 1'!$C$2:$K$532,6,FALSE)</f>
        <v>#N/A</v>
      </c>
      <c r="AB353" s="5" t="e">
        <f>VLOOKUP(A353,'Form Responses 1'!$C$2:$K$219,7,FALSE)</f>
        <v>#N/A</v>
      </c>
      <c r="AC353" s="6" t="e">
        <f>VLOOKUP(A353,'Form Responses 1'!$C$2:$K$219,8,FALSE)</f>
        <v>#N/A</v>
      </c>
      <c r="AD353" s="6" t="e">
        <f>VLOOKUP(A353,'Form Responses 1'!$C$2:$K$219,9,FALSE)</f>
        <v>#N/A</v>
      </c>
    </row>
    <row r="354" spans="1:30" ht="19.5" customHeight="1">
      <c r="A354" s="135" t="s">
        <v>728</v>
      </c>
      <c r="B354" s="135"/>
      <c r="C354" s="135">
        <v>47946</v>
      </c>
      <c r="D354" s="135" t="s">
        <v>2698</v>
      </c>
      <c r="E354" s="135" t="s">
        <v>2192</v>
      </c>
      <c r="F354" s="135" t="s">
        <v>30</v>
      </c>
      <c r="G354" s="135">
        <v>85</v>
      </c>
      <c r="H354" s="135" t="s">
        <v>2699</v>
      </c>
      <c r="I354" s="135" t="str">
        <f>VLOOKUP(H354,list!$B$2:$C$14,2,FALSE)</f>
        <v>ONSITE</v>
      </c>
      <c r="J354" s="135" t="s">
        <v>2700</v>
      </c>
      <c r="K354" s="135">
        <v>0</v>
      </c>
      <c r="L354" s="135">
        <v>0</v>
      </c>
      <c r="M354" s="135">
        <v>0</v>
      </c>
      <c r="N354" s="135">
        <v>0</v>
      </c>
      <c r="O354" s="135">
        <v>0</v>
      </c>
      <c r="P354" s="135"/>
      <c r="Q354" s="135">
        <v>0</v>
      </c>
      <c r="R354" s="135"/>
      <c r="S354" s="135"/>
      <c r="T354" s="135" t="s">
        <v>30</v>
      </c>
      <c r="U354" s="135" t="s">
        <v>2701</v>
      </c>
      <c r="V354" s="135" t="s">
        <v>1255</v>
      </c>
      <c r="W354" s="135">
        <v>6</v>
      </c>
      <c r="X354" s="135" t="s">
        <v>2702</v>
      </c>
      <c r="Y354" s="135" t="s">
        <v>2703</v>
      </c>
      <c r="Z354" s="135" t="s">
        <v>2704</v>
      </c>
      <c r="AA354" s="5" t="str">
        <f>VLOOKUP(A354,'Form Responses 1'!$C$2:$K$532,6,FALSE)</f>
        <v>Kit delivery and pickup</v>
      </c>
      <c r="AB354" s="5" t="str">
        <f>VLOOKUP(A354,'Form Responses 1'!$C$2:$K$219,7,FALSE)</f>
        <v>Yes</v>
      </c>
      <c r="AC354" s="6">
        <f>VLOOKUP(A354,'Form Responses 1'!$C$2:$K$219,8,FALSE)</f>
        <v>100</v>
      </c>
      <c r="AD354" s="6" t="str">
        <f>VLOOKUP(A354,'Form Responses 1'!$C$2:$K$219,9,FALSE)</f>
        <v>Has a nurse that use to do NP test and can do but would like IP nurse also trained</v>
      </c>
    </row>
    <row r="355" spans="1:30" ht="19.5" customHeight="1">
      <c r="A355" s="135" t="s">
        <v>2705</v>
      </c>
      <c r="B355" s="135"/>
      <c r="C355" s="135">
        <v>46962</v>
      </c>
      <c r="D355" s="135" t="s">
        <v>2706</v>
      </c>
      <c r="E355" s="135" t="s">
        <v>1436</v>
      </c>
      <c r="F355" s="135" t="s">
        <v>30</v>
      </c>
      <c r="G355" s="135">
        <v>350</v>
      </c>
      <c r="H355" s="135" t="s">
        <v>1465</v>
      </c>
      <c r="I355" s="135" t="str">
        <f>VLOOKUP(H355,list!$B$2:$C$14,2,FALSE)</f>
        <v>GREEN</v>
      </c>
      <c r="J355" s="135"/>
      <c r="K355" s="135">
        <v>0</v>
      </c>
      <c r="L355" s="135">
        <v>0</v>
      </c>
      <c r="M355" s="135">
        <v>0</v>
      </c>
      <c r="N355" s="135">
        <v>0</v>
      </c>
      <c r="O355" s="135">
        <v>0</v>
      </c>
      <c r="P355" s="135"/>
      <c r="Q355" s="135">
        <v>0</v>
      </c>
      <c r="R355" s="135"/>
      <c r="S355" s="135"/>
      <c r="T355" s="135" t="s">
        <v>19</v>
      </c>
      <c r="U355" s="135"/>
      <c r="V355" s="135" t="s">
        <v>1255</v>
      </c>
      <c r="W355" s="135">
        <v>4</v>
      </c>
      <c r="X355" s="135" t="s">
        <v>2707</v>
      </c>
      <c r="Y355" s="135" t="s">
        <v>2708</v>
      </c>
      <c r="Z355" s="135" t="s">
        <v>2709</v>
      </c>
      <c r="AA355" s="5" t="e">
        <f>VLOOKUP(A355,'Form Responses 1'!$C$2:$K$532,6,FALSE)</f>
        <v>#N/A</v>
      </c>
      <c r="AB355" s="5" t="e">
        <f>VLOOKUP(A355,'Form Responses 1'!$C$2:$K$219,7,FALSE)</f>
        <v>#N/A</v>
      </c>
      <c r="AC355" s="6" t="e">
        <f>VLOOKUP(A355,'Form Responses 1'!$C$2:$K$219,8,FALSE)</f>
        <v>#N/A</v>
      </c>
      <c r="AD355" s="6" t="e">
        <f>VLOOKUP(A355,'Form Responses 1'!$C$2:$K$219,9,FALSE)</f>
        <v>#N/A</v>
      </c>
    </row>
    <row r="356" spans="1:30" ht="19.5" customHeight="1">
      <c r="A356" s="135" t="s">
        <v>733</v>
      </c>
      <c r="B356" s="135"/>
      <c r="C356" s="135">
        <v>47371</v>
      </c>
      <c r="D356" s="135" t="s">
        <v>2710</v>
      </c>
      <c r="E356" s="135" t="s">
        <v>2711</v>
      </c>
      <c r="F356" s="135"/>
      <c r="G356" s="135">
        <v>84</v>
      </c>
      <c r="H356" s="135" t="s">
        <v>1282</v>
      </c>
      <c r="I356" s="135" t="str">
        <f>VLOOKUP(H356,list!$B$2:$C$14,2,FALSE)</f>
        <v>KITS</v>
      </c>
      <c r="J356" s="135"/>
      <c r="K356" s="135">
        <v>0</v>
      </c>
      <c r="L356" s="135">
        <v>0</v>
      </c>
      <c r="M356" s="135">
        <v>0</v>
      </c>
      <c r="N356" s="135">
        <v>0</v>
      </c>
      <c r="O356" s="135">
        <v>0</v>
      </c>
      <c r="P356" s="135"/>
      <c r="Q356" s="135">
        <v>0</v>
      </c>
      <c r="R356" s="135"/>
      <c r="S356" s="135"/>
      <c r="T356" s="135" t="s">
        <v>19</v>
      </c>
      <c r="U356" s="135" t="s">
        <v>1543</v>
      </c>
      <c r="V356" s="135" t="s">
        <v>1255</v>
      </c>
      <c r="W356" s="135">
        <v>3</v>
      </c>
      <c r="X356" s="135" t="s">
        <v>2712</v>
      </c>
      <c r="Y356" s="135" t="s">
        <v>2713</v>
      </c>
      <c r="Z356" s="135" t="s">
        <v>2714</v>
      </c>
      <c r="AA356" s="5" t="str">
        <f>VLOOKUP(A356,'Form Responses 1'!$C$2:$K$532,6,FALSE)</f>
        <v>Kit delivery and pickup</v>
      </c>
      <c r="AB356" s="5">
        <f>VLOOKUP(A356,'Form Responses 1'!$C$2:$K$219,7,FALSE)</f>
        <v>0</v>
      </c>
      <c r="AC356" s="6">
        <f>VLOOKUP(A356,'Form Responses 1'!$C$2:$K$219,8,FALSE)</f>
        <v>0</v>
      </c>
      <c r="AD356" s="6">
        <f>VLOOKUP(A356,'Form Responses 1'!$C$2:$K$219,9,FALSE)</f>
        <v>0</v>
      </c>
    </row>
    <row r="357" spans="1:30" ht="19.5" customHeight="1">
      <c r="A357" s="135" t="s">
        <v>737</v>
      </c>
      <c r="B357" s="135"/>
      <c r="C357" s="135">
        <v>46563</v>
      </c>
      <c r="D357" s="135" t="s">
        <v>2501</v>
      </c>
      <c r="E357" s="135" t="s">
        <v>2502</v>
      </c>
      <c r="F357" s="135"/>
      <c r="G357" s="135">
        <v>114</v>
      </c>
      <c r="H357" s="135" t="s">
        <v>1282</v>
      </c>
      <c r="I357" s="135" t="str">
        <f>VLOOKUP(H357,list!$B$2:$C$14,2,FALSE)</f>
        <v>KITS</v>
      </c>
      <c r="J357" s="135"/>
      <c r="K357" s="135">
        <v>0</v>
      </c>
      <c r="L357" s="135">
        <v>0</v>
      </c>
      <c r="M357" s="135">
        <v>0</v>
      </c>
      <c r="N357" s="135">
        <v>0</v>
      </c>
      <c r="O357" s="135">
        <v>0</v>
      </c>
      <c r="P357" s="135"/>
      <c r="Q357" s="135">
        <v>0</v>
      </c>
      <c r="R357" s="135"/>
      <c r="S357" s="135"/>
      <c r="T357" s="135" t="s">
        <v>30</v>
      </c>
      <c r="U357" s="135" t="s">
        <v>2715</v>
      </c>
      <c r="V357" s="135" t="s">
        <v>1255</v>
      </c>
      <c r="W357" s="135">
        <v>3</v>
      </c>
      <c r="X357" s="135" t="s">
        <v>2716</v>
      </c>
      <c r="Y357" s="135" t="s">
        <v>2717</v>
      </c>
      <c r="Z357" s="135" t="s">
        <v>2505</v>
      </c>
      <c r="AA357" s="5" t="str">
        <f>VLOOKUP(A357,'Form Responses 1'!$C$2:$K$532,6,FALSE)</f>
        <v>Onsite sample collection by ISDH team</v>
      </c>
      <c r="AB357" s="5">
        <f>VLOOKUP(A357,'Form Responses 1'!$C$2:$K$219,7,FALSE)</f>
        <v>0</v>
      </c>
      <c r="AC357" s="6">
        <f>VLOOKUP(A357,'Form Responses 1'!$C$2:$K$219,8,FALSE)</f>
        <v>100</v>
      </c>
      <c r="AD357" s="6">
        <f>VLOOKUP(A357,'Form Responses 1'!$C$2:$K$219,9,FALSE)</f>
        <v>0</v>
      </c>
    </row>
    <row r="358" spans="1:30" ht="19.5" customHeight="1">
      <c r="A358" s="135" t="s">
        <v>2718</v>
      </c>
      <c r="B358" s="135"/>
      <c r="C358" s="135">
        <v>47720</v>
      </c>
      <c r="D358" s="135" t="s">
        <v>1506</v>
      </c>
      <c r="E358" s="135" t="s">
        <v>1507</v>
      </c>
      <c r="F358" s="135"/>
      <c r="G358" s="135"/>
      <c r="H358" s="135"/>
      <c r="I358" s="135"/>
      <c r="J358" s="135"/>
      <c r="K358" s="135"/>
      <c r="L358" s="135"/>
      <c r="M358" s="135"/>
      <c r="N358" s="135"/>
      <c r="O358" s="135"/>
      <c r="P358" s="135"/>
      <c r="Q358" s="135"/>
      <c r="R358" s="135"/>
      <c r="S358" s="135"/>
      <c r="T358" s="135"/>
      <c r="U358" s="135"/>
      <c r="V358" s="135"/>
      <c r="W358" s="135"/>
      <c r="X358" s="135">
        <v>8124248100</v>
      </c>
      <c r="Y358" s="135" t="s">
        <v>2719</v>
      </c>
      <c r="Z358" s="135"/>
      <c r="AA358" s="5" t="e">
        <f>VLOOKUP(A358,'Form Responses 1'!$C$2:$K$532,6,FALSE)</f>
        <v>#N/A</v>
      </c>
      <c r="AB358" s="5" t="e">
        <f>VLOOKUP(A358,'Form Responses 1'!$C$2:$K$219,7,FALSE)</f>
        <v>#N/A</v>
      </c>
      <c r="AC358" s="6" t="e">
        <f>VLOOKUP(A358,'Form Responses 1'!$C$2:$K$219,8,FALSE)</f>
        <v>#N/A</v>
      </c>
      <c r="AD358" s="6" t="e">
        <f>VLOOKUP(A358,'Form Responses 1'!$C$2:$K$219,9,FALSE)</f>
        <v>#N/A</v>
      </c>
    </row>
    <row r="359" spans="1:30" ht="19.5" customHeight="1">
      <c r="A359" s="135" t="s">
        <v>741</v>
      </c>
      <c r="B359" s="135"/>
      <c r="C359" s="135">
        <v>47394</v>
      </c>
      <c r="D359" s="135" t="s">
        <v>2720</v>
      </c>
      <c r="E359" s="135" t="s">
        <v>2694</v>
      </c>
      <c r="F359" s="135"/>
      <c r="G359" s="135">
        <v>85</v>
      </c>
      <c r="H359" s="135" t="s">
        <v>1282</v>
      </c>
      <c r="I359" s="135" t="str">
        <f>VLOOKUP(H359,list!$B$2:$C$14,2,FALSE)</f>
        <v>KITS</v>
      </c>
      <c r="J359" s="135"/>
      <c r="K359" s="135">
        <v>0</v>
      </c>
      <c r="L359" s="135">
        <v>0</v>
      </c>
      <c r="M359" s="135">
        <v>0</v>
      </c>
      <c r="N359" s="135">
        <v>0</v>
      </c>
      <c r="O359" s="135">
        <v>0</v>
      </c>
      <c r="P359" s="135"/>
      <c r="Q359" s="135">
        <v>0</v>
      </c>
      <c r="R359" s="135"/>
      <c r="S359" s="135"/>
      <c r="T359" s="135" t="s">
        <v>19</v>
      </c>
      <c r="U359" s="135" t="s">
        <v>1564</v>
      </c>
      <c r="V359" s="135" t="s">
        <v>1255</v>
      </c>
      <c r="W359" s="135">
        <v>3</v>
      </c>
      <c r="X359" s="135" t="s">
        <v>2721</v>
      </c>
      <c r="Y359" s="135" t="s">
        <v>2722</v>
      </c>
      <c r="Z359" s="135" t="s">
        <v>2723</v>
      </c>
      <c r="AA359" s="5" t="str">
        <f>VLOOKUP(A359,'Form Responses 1'!$C$2:$K$532,6,FALSE)</f>
        <v>Kit delivery and pickup</v>
      </c>
      <c r="AB359" s="5">
        <f>VLOOKUP(A359,'Form Responses 1'!$C$2:$K$219,7,FALSE)</f>
        <v>0</v>
      </c>
      <c r="AC359" s="6">
        <f>VLOOKUP(A359,'Form Responses 1'!$C$2:$K$219,8,FALSE)</f>
        <v>0</v>
      </c>
      <c r="AD359" s="6">
        <f>VLOOKUP(A359,'Form Responses 1'!$C$2:$K$219,9,FALSE)</f>
        <v>0</v>
      </c>
    </row>
    <row r="360" spans="1:30" ht="19.5" customHeight="1">
      <c r="A360" s="135" t="s">
        <v>745</v>
      </c>
      <c r="B360" s="135"/>
      <c r="C360" s="135">
        <v>46168</v>
      </c>
      <c r="D360" s="135" t="s">
        <v>1758</v>
      </c>
      <c r="E360" s="135" t="s">
        <v>1458</v>
      </c>
      <c r="F360" s="135"/>
      <c r="G360" s="135">
        <v>93</v>
      </c>
      <c r="H360" s="135" t="s">
        <v>1425</v>
      </c>
      <c r="I360" s="135" t="str">
        <f>VLOOKUP(H360,list!$B$2:$C$14,2,FALSE)</f>
        <v>ONSITE</v>
      </c>
      <c r="J360" s="135"/>
      <c r="K360" s="135">
        <v>1</v>
      </c>
      <c r="L360" s="135">
        <v>1</v>
      </c>
      <c r="M360" s="135">
        <v>0</v>
      </c>
      <c r="N360" s="135">
        <v>1</v>
      </c>
      <c r="O360" s="135">
        <v>1</v>
      </c>
      <c r="P360" s="135"/>
      <c r="Q360" s="135">
        <v>0</v>
      </c>
      <c r="R360" s="135"/>
      <c r="S360" s="135"/>
      <c r="T360" s="135" t="s">
        <v>30</v>
      </c>
      <c r="U360" s="135"/>
      <c r="V360" s="135" t="s">
        <v>1255</v>
      </c>
      <c r="W360" s="135">
        <v>7</v>
      </c>
      <c r="X360" s="135" t="s">
        <v>2724</v>
      </c>
      <c r="Y360" s="135" t="s">
        <v>2725</v>
      </c>
      <c r="Z360" s="135" t="s">
        <v>2726</v>
      </c>
      <c r="AA360" s="5" t="str">
        <f>VLOOKUP(A360,'Form Responses 1'!$C$2:$K$532,6,FALSE)</f>
        <v>Kit delivery and pickup</v>
      </c>
      <c r="AB360" s="5" t="str">
        <f>VLOOKUP(A360,'Form Responses 1'!$C$2:$K$219,7,FALSE)</f>
        <v>Yes</v>
      </c>
      <c r="AC360" s="6">
        <f>VLOOKUP(A360,'Form Responses 1'!$C$2:$K$219,8,FALSE)</f>
        <v>95</v>
      </c>
      <c r="AD360" s="6">
        <f>VLOOKUP(A360,'Form Responses 1'!$C$2:$K$219,9,FALSE)</f>
        <v>0</v>
      </c>
    </row>
    <row r="361" spans="1:30" ht="19.5" customHeight="1">
      <c r="A361" s="135" t="s">
        <v>749</v>
      </c>
      <c r="B361" s="135"/>
      <c r="C361" s="135">
        <v>46055</v>
      </c>
      <c r="D361" s="135" t="s">
        <v>2727</v>
      </c>
      <c r="E361" s="135" t="s">
        <v>1918</v>
      </c>
      <c r="F361" s="135"/>
      <c r="G361" s="135">
        <v>50</v>
      </c>
      <c r="H361" s="135" t="s">
        <v>1282</v>
      </c>
      <c r="I361" s="135" t="str">
        <f>VLOOKUP(H361,list!$B$2:$C$14,2,FALSE)</f>
        <v>KITS</v>
      </c>
      <c r="J361" s="135"/>
      <c r="K361" s="135">
        <v>0</v>
      </c>
      <c r="L361" s="135">
        <v>0</v>
      </c>
      <c r="M361" s="135">
        <v>0</v>
      </c>
      <c r="N361" s="135">
        <v>0</v>
      </c>
      <c r="O361" s="135">
        <v>0</v>
      </c>
      <c r="P361" s="135"/>
      <c r="Q361" s="135">
        <v>0</v>
      </c>
      <c r="R361" s="135"/>
      <c r="S361" s="135"/>
      <c r="T361" s="135" t="s">
        <v>19</v>
      </c>
      <c r="U361" s="135"/>
      <c r="V361" s="135" t="s">
        <v>1255</v>
      </c>
      <c r="W361" s="135">
        <v>3</v>
      </c>
      <c r="X361" s="135" t="s">
        <v>2728</v>
      </c>
      <c r="Y361" s="135" t="s">
        <v>2729</v>
      </c>
      <c r="Z361" s="135" t="s">
        <v>2730</v>
      </c>
      <c r="AA361" s="5" t="str">
        <f>VLOOKUP(A361,'Form Responses 1'!$C$2:$K$532,6,FALSE)</f>
        <v>Onsite sample collection by ISDH team</v>
      </c>
      <c r="AB361" s="5">
        <f>VLOOKUP(A361,'Form Responses 1'!$C$2:$K$219,7,FALSE)</f>
        <v>0</v>
      </c>
      <c r="AC361" s="6">
        <f>VLOOKUP(A361,'Form Responses 1'!$C$2:$K$219,8,FALSE)</f>
        <v>50</v>
      </c>
      <c r="AD361" s="6">
        <f>VLOOKUP(A361,'Form Responses 1'!$C$2:$K$219,9,FALSE)</f>
        <v>0</v>
      </c>
    </row>
    <row r="362" spans="1:30" ht="19.5" customHeight="1">
      <c r="A362" s="135" t="s">
        <v>2731</v>
      </c>
      <c r="B362" s="321" t="s">
        <v>1312</v>
      </c>
      <c r="C362" s="135">
        <v>46060</v>
      </c>
      <c r="D362" s="135" t="s">
        <v>2732</v>
      </c>
      <c r="E362" s="135" t="s">
        <v>1294</v>
      </c>
      <c r="F362" s="135"/>
      <c r="G362" s="135">
        <v>134</v>
      </c>
      <c r="H362" s="135" t="s">
        <v>1276</v>
      </c>
      <c r="I362" s="135" t="str">
        <f>VLOOKUP(H362,list!$B$2:$C$14,2,FALSE)</f>
        <v>GREEN</v>
      </c>
      <c r="J362" s="135"/>
      <c r="K362" s="135">
        <v>0</v>
      </c>
      <c r="L362" s="135">
        <v>0</v>
      </c>
      <c r="M362" s="135">
        <v>0</v>
      </c>
      <c r="N362" s="135">
        <v>0</v>
      </c>
      <c r="O362" s="135">
        <v>0</v>
      </c>
      <c r="P362" s="135"/>
      <c r="Q362" s="135">
        <v>0</v>
      </c>
      <c r="R362" s="135"/>
      <c r="S362" s="135"/>
      <c r="T362" s="135" t="s">
        <v>19</v>
      </c>
      <c r="U362" s="135" t="s">
        <v>1315</v>
      </c>
      <c r="V362" s="135" t="s">
        <v>1255</v>
      </c>
      <c r="W362" s="135">
        <v>2</v>
      </c>
      <c r="X362" s="135" t="s">
        <v>2733</v>
      </c>
      <c r="Y362" s="135" t="s">
        <v>2734</v>
      </c>
      <c r="Z362" s="135" t="s">
        <v>2735</v>
      </c>
      <c r="AA362" s="5" t="s">
        <v>18</v>
      </c>
      <c r="AB362" s="5" t="s">
        <v>1298</v>
      </c>
      <c r="AC362" s="6">
        <f t="shared" ref="AC362:AC363" si="24">G362</f>
        <v>134</v>
      </c>
      <c r="AD362" s="6"/>
    </row>
    <row r="363" spans="1:30" ht="19.5" customHeight="1">
      <c r="A363" s="135" t="s">
        <v>2736</v>
      </c>
      <c r="B363" s="135" t="s">
        <v>343</v>
      </c>
      <c r="C363" s="135">
        <v>47501</v>
      </c>
      <c r="D363" s="135" t="s">
        <v>1795</v>
      </c>
      <c r="E363" s="135" t="s">
        <v>1492</v>
      </c>
      <c r="F363" s="135" t="s">
        <v>30</v>
      </c>
      <c r="G363" s="135">
        <v>73</v>
      </c>
      <c r="H363" s="135" t="s">
        <v>1282</v>
      </c>
      <c r="I363" s="135" t="str">
        <f>VLOOKUP(H363,list!$B$2:$C$14,2,FALSE)</f>
        <v>KITS</v>
      </c>
      <c r="J363" s="135"/>
      <c r="K363" s="135">
        <v>0</v>
      </c>
      <c r="L363" s="135">
        <v>0</v>
      </c>
      <c r="M363" s="135">
        <v>0</v>
      </c>
      <c r="N363" s="135">
        <v>0</v>
      </c>
      <c r="O363" s="135">
        <v>0</v>
      </c>
      <c r="P363" s="135"/>
      <c r="Q363" s="135">
        <v>0</v>
      </c>
      <c r="R363" s="135"/>
      <c r="S363" s="135"/>
      <c r="T363" s="135" t="s">
        <v>19</v>
      </c>
      <c r="U363" s="135"/>
      <c r="V363" s="135" t="s">
        <v>1255</v>
      </c>
      <c r="W363" s="135">
        <v>3</v>
      </c>
      <c r="X363" s="135" t="s">
        <v>2737</v>
      </c>
      <c r="Y363" s="135" t="s">
        <v>2738</v>
      </c>
      <c r="Z363" s="135" t="s">
        <v>1798</v>
      </c>
      <c r="AA363" s="5" t="s">
        <v>18</v>
      </c>
      <c r="AB363" s="5" t="s">
        <v>1298</v>
      </c>
      <c r="AC363" s="6">
        <f t="shared" si="24"/>
        <v>73</v>
      </c>
      <c r="AD363" s="6"/>
    </row>
    <row r="364" spans="1:30" ht="19.5" customHeight="1">
      <c r="A364" s="135" t="s">
        <v>753</v>
      </c>
      <c r="B364" s="135"/>
      <c r="C364" s="135">
        <v>47631</v>
      </c>
      <c r="D364" s="135" t="s">
        <v>2739</v>
      </c>
      <c r="E364" s="135" t="s">
        <v>2587</v>
      </c>
      <c r="F364" s="135"/>
      <c r="G364" s="135">
        <v>70</v>
      </c>
      <c r="H364" s="135" t="s">
        <v>1268</v>
      </c>
      <c r="I364" s="135" t="str">
        <f>VLOOKUP(H364,list!$B$2:$C$14,2,FALSE)</f>
        <v>KITS</v>
      </c>
      <c r="J364" s="135"/>
      <c r="K364" s="135">
        <v>0</v>
      </c>
      <c r="L364" s="135">
        <v>0</v>
      </c>
      <c r="M364" s="135">
        <v>0</v>
      </c>
      <c r="N364" s="135">
        <v>0</v>
      </c>
      <c r="O364" s="135">
        <v>0</v>
      </c>
      <c r="P364" s="135"/>
      <c r="Q364" s="135">
        <v>0</v>
      </c>
      <c r="R364" s="135"/>
      <c r="S364" s="135" t="s">
        <v>2740</v>
      </c>
      <c r="T364" s="135" t="s">
        <v>30</v>
      </c>
      <c r="U364" s="135"/>
      <c r="V364" s="135" t="s">
        <v>1255</v>
      </c>
      <c r="W364" s="135">
        <v>5</v>
      </c>
      <c r="X364" s="135" t="s">
        <v>2741</v>
      </c>
      <c r="Y364" s="135" t="s">
        <v>2742</v>
      </c>
      <c r="Z364" s="135" t="s">
        <v>2743</v>
      </c>
      <c r="AA364" s="5" t="str">
        <f>VLOOKUP(A364,'Form Responses 1'!$C$2:$K$532,6,FALSE)</f>
        <v>Kit delivery and pickup</v>
      </c>
      <c r="AB364" s="5" t="str">
        <f>VLOOKUP(A364,'Form Responses 1'!$C$2:$K$219,7,FALSE)</f>
        <v>No</v>
      </c>
      <c r="AC364" s="6">
        <f>VLOOKUP(A364,'Form Responses 1'!$C$2:$K$219,8,FALSE)</f>
        <v>65</v>
      </c>
      <c r="AD364" s="6">
        <f>VLOOKUP(A364,'Form Responses 1'!$C$2:$K$219,9,FALSE)</f>
        <v>0</v>
      </c>
    </row>
    <row r="365" spans="1:30" ht="19.5" customHeight="1">
      <c r="A365" s="135" t="s">
        <v>783</v>
      </c>
      <c r="B365" s="135"/>
      <c r="C365" s="135">
        <v>46710</v>
      </c>
      <c r="D365" s="135" t="s">
        <v>2744</v>
      </c>
      <c r="E365" s="135" t="s">
        <v>1453</v>
      </c>
      <c r="F365" s="135"/>
      <c r="G365" s="135"/>
      <c r="H365" s="135"/>
      <c r="I365" s="135"/>
      <c r="J365" s="135"/>
      <c r="K365" s="135"/>
      <c r="L365" s="135"/>
      <c r="M365" s="135"/>
      <c r="N365" s="135"/>
      <c r="O365" s="135"/>
      <c r="P365" s="135"/>
      <c r="Q365" s="135"/>
      <c r="R365" s="135"/>
      <c r="S365" s="135"/>
      <c r="T365" s="135"/>
      <c r="U365" s="135"/>
      <c r="V365" s="135"/>
      <c r="W365" s="135"/>
      <c r="X365" s="135">
        <v>2608972841</v>
      </c>
      <c r="Y365" s="135" t="s">
        <v>2745</v>
      </c>
      <c r="Z365" s="135"/>
      <c r="AA365" s="5" t="str">
        <f>VLOOKUP(A365,'Form Responses 1'!$C$2:$K$532,6,FALSE)</f>
        <v>Kit delivery and pickup</v>
      </c>
      <c r="AB365" s="5" t="str">
        <f>VLOOKUP(A365,'Form Responses 1'!$C$2:$K$219,7,FALSE)</f>
        <v>No</v>
      </c>
      <c r="AC365" s="6">
        <f>VLOOKUP(A365,'Form Responses 1'!$C$2:$K$219,8,FALSE)</f>
        <v>140</v>
      </c>
      <c r="AD365" s="6">
        <f>VLOOKUP(A365,'Form Responses 1'!$C$2:$K$219,9,FALSE)</f>
        <v>0</v>
      </c>
    </row>
    <row r="366" spans="1:30" ht="19.5" customHeight="1">
      <c r="A366" s="135" t="s">
        <v>2746</v>
      </c>
      <c r="B366" s="135"/>
      <c r="C366" s="135">
        <v>46544</v>
      </c>
      <c r="D366" s="135" t="s">
        <v>1744</v>
      </c>
      <c r="E366" s="135" t="s">
        <v>1480</v>
      </c>
      <c r="F366" s="135"/>
      <c r="G366" s="135">
        <v>33</v>
      </c>
      <c r="H366" s="135" t="s">
        <v>1282</v>
      </c>
      <c r="I366" s="135" t="str">
        <f>VLOOKUP(H366,list!$B$2:$C$14,2,FALSE)</f>
        <v>KITS</v>
      </c>
      <c r="J366" s="135"/>
      <c r="K366" s="135">
        <v>0</v>
      </c>
      <c r="L366" s="135">
        <v>0</v>
      </c>
      <c r="M366" s="135">
        <v>0</v>
      </c>
      <c r="N366" s="135">
        <v>0</v>
      </c>
      <c r="O366" s="135">
        <v>0</v>
      </c>
      <c r="P366" s="135"/>
      <c r="Q366" s="135">
        <v>0</v>
      </c>
      <c r="R366" s="135"/>
      <c r="S366" s="135"/>
      <c r="T366" s="135" t="s">
        <v>30</v>
      </c>
      <c r="U366" s="135" t="s">
        <v>2747</v>
      </c>
      <c r="V366" s="135" t="s">
        <v>1255</v>
      </c>
      <c r="W366" s="135">
        <v>3</v>
      </c>
      <c r="X366" s="135" t="s">
        <v>2748</v>
      </c>
      <c r="Y366" s="135" t="s">
        <v>2749</v>
      </c>
      <c r="Z366" s="135" t="s">
        <v>1965</v>
      </c>
      <c r="AA366" s="5" t="e">
        <f>VLOOKUP(A366,'Form Responses 1'!$C$2:$K$532,6,FALSE)</f>
        <v>#N/A</v>
      </c>
      <c r="AB366" s="5" t="e">
        <f>VLOOKUP(A366,'Form Responses 1'!$C$2:$K$219,7,FALSE)</f>
        <v>#N/A</v>
      </c>
      <c r="AC366" s="6" t="e">
        <f>VLOOKUP(A366,'Form Responses 1'!$C$2:$K$219,8,FALSE)</f>
        <v>#N/A</v>
      </c>
      <c r="AD366" s="6" t="e">
        <f>VLOOKUP(A366,'Form Responses 1'!$C$2:$K$219,9,FALSE)</f>
        <v>#N/A</v>
      </c>
    </row>
    <row r="367" spans="1:30" ht="19.5" customHeight="1">
      <c r="A367" s="135" t="s">
        <v>1194</v>
      </c>
      <c r="B367" s="135"/>
      <c r="C367" s="135">
        <v>46011</v>
      </c>
      <c r="D367" s="135" t="s">
        <v>1498</v>
      </c>
      <c r="E367" s="135" t="s">
        <v>1281</v>
      </c>
      <c r="F367" s="135"/>
      <c r="G367" s="135">
        <v>139</v>
      </c>
      <c r="H367" s="135" t="s">
        <v>1282</v>
      </c>
      <c r="I367" s="135" t="str">
        <f>VLOOKUP(H367,list!$B$2:$C$14,2,FALSE)</f>
        <v>KITS</v>
      </c>
      <c r="J367" s="135"/>
      <c r="K367" s="135">
        <v>0</v>
      </c>
      <c r="L367" s="135">
        <v>0</v>
      </c>
      <c r="M367" s="135">
        <v>0</v>
      </c>
      <c r="N367" s="135">
        <v>0</v>
      </c>
      <c r="O367" s="135">
        <v>0</v>
      </c>
      <c r="P367" s="135"/>
      <c r="Q367" s="135">
        <v>0</v>
      </c>
      <c r="R367" s="135"/>
      <c r="S367" s="135"/>
      <c r="T367" s="135" t="s">
        <v>19</v>
      </c>
      <c r="U367" s="135" t="s">
        <v>2750</v>
      </c>
      <c r="V367" s="135" t="s">
        <v>1255</v>
      </c>
      <c r="W367" s="135">
        <v>3</v>
      </c>
      <c r="X367" s="135" t="s">
        <v>2751</v>
      </c>
      <c r="Y367" s="135" t="s">
        <v>2752</v>
      </c>
      <c r="Z367" s="135" t="s">
        <v>1802</v>
      </c>
      <c r="AA367" s="5" t="str">
        <f>VLOOKUP(A367,'Form Responses 1'!$C$2:$K$532,6,FALSE)</f>
        <v>Kit delivery and pickup</v>
      </c>
      <c r="AB367" s="5" t="e">
        <f>VLOOKUP(A367,'Form Responses 1'!$C$2:$K$219,7,FALSE)</f>
        <v>#N/A</v>
      </c>
      <c r="AC367" s="6" t="e">
        <f>VLOOKUP(A367,'Form Responses 1'!$C$2:$K$219,8,FALSE)</f>
        <v>#N/A</v>
      </c>
      <c r="AD367" s="6" t="e">
        <f>VLOOKUP(A367,'Form Responses 1'!$C$2:$K$219,9,FALSE)</f>
        <v>#N/A</v>
      </c>
    </row>
    <row r="368" spans="1:30" ht="19.5" customHeight="1">
      <c r="A368" s="135" t="s">
        <v>757</v>
      </c>
      <c r="B368" s="135"/>
      <c r="C368" s="135">
        <v>47876</v>
      </c>
      <c r="D368" s="135" t="s">
        <v>2753</v>
      </c>
      <c r="E368" s="135" t="s">
        <v>1685</v>
      </c>
      <c r="F368" s="135"/>
      <c r="G368" s="135">
        <v>130</v>
      </c>
      <c r="H368" s="135" t="s">
        <v>1282</v>
      </c>
      <c r="I368" s="135" t="str">
        <f>VLOOKUP(H368,list!$B$2:$C$14,2,FALSE)</f>
        <v>KITS</v>
      </c>
      <c r="J368" s="135"/>
      <c r="K368" s="135">
        <v>0</v>
      </c>
      <c r="L368" s="135">
        <v>0</v>
      </c>
      <c r="M368" s="135">
        <v>0</v>
      </c>
      <c r="N368" s="135">
        <v>0</v>
      </c>
      <c r="O368" s="135">
        <v>0</v>
      </c>
      <c r="P368" s="135"/>
      <c r="Q368" s="135">
        <v>0</v>
      </c>
      <c r="R368" s="135"/>
      <c r="S368" s="135"/>
      <c r="T368" s="135" t="s">
        <v>19</v>
      </c>
      <c r="U368" s="135"/>
      <c r="V368" s="135" t="s">
        <v>1255</v>
      </c>
      <c r="W368" s="135">
        <v>3</v>
      </c>
      <c r="X368" s="135" t="s">
        <v>2754</v>
      </c>
      <c r="Y368" s="135" t="s">
        <v>2755</v>
      </c>
      <c r="Z368" s="135" t="s">
        <v>2756</v>
      </c>
      <c r="AA368" s="5" t="str">
        <f>VLOOKUP(A368,'Form Responses 1'!$C$2:$K$532,6,FALSE)</f>
        <v>Kit delivery and pickup</v>
      </c>
      <c r="AB368" s="5" t="str">
        <f>VLOOKUP(A368,'Form Responses 1'!$C$2:$K$219,7,FALSE)</f>
        <v>Yes</v>
      </c>
      <c r="AC368" s="6">
        <f>VLOOKUP(A368,'Form Responses 1'!$C$2:$K$219,8,FALSE)</f>
        <v>120</v>
      </c>
      <c r="AD368" s="6">
        <f>VLOOKUP(A368,'Form Responses 1'!$C$2:$K$219,9,FALSE)</f>
        <v>0</v>
      </c>
    </row>
    <row r="369" spans="1:30" ht="19.5" customHeight="1">
      <c r="A369" s="135" t="s">
        <v>1174</v>
      </c>
      <c r="B369" s="135"/>
      <c r="C369" s="135">
        <v>46996</v>
      </c>
      <c r="D369" s="135" t="s">
        <v>2191</v>
      </c>
      <c r="E369" s="135" t="s">
        <v>2192</v>
      </c>
      <c r="F369" s="135" t="s">
        <v>30</v>
      </c>
      <c r="G369" s="135">
        <v>80</v>
      </c>
      <c r="H369" s="135" t="s">
        <v>2142</v>
      </c>
      <c r="I369" s="135" t="str">
        <f>VLOOKUP(H369,list!$B$2:$C$14,2,FALSE)</f>
        <v>KITS</v>
      </c>
      <c r="J369" s="135" t="s">
        <v>2757</v>
      </c>
      <c r="K369" s="135">
        <v>0</v>
      </c>
      <c r="L369" s="135">
        <v>0</v>
      </c>
      <c r="M369" s="135">
        <v>0</v>
      </c>
      <c r="N369" s="135">
        <v>0</v>
      </c>
      <c r="O369" s="135">
        <v>0</v>
      </c>
      <c r="P369" s="135"/>
      <c r="Q369" s="135">
        <v>0</v>
      </c>
      <c r="R369" s="135"/>
      <c r="S369" s="135"/>
      <c r="T369" s="135" t="s">
        <v>19</v>
      </c>
      <c r="U369" s="135"/>
      <c r="V369" s="135" t="s">
        <v>1255</v>
      </c>
      <c r="W369" s="135">
        <v>6</v>
      </c>
      <c r="X369" s="135" t="s">
        <v>2758</v>
      </c>
      <c r="Y369" s="135" t="s">
        <v>2759</v>
      </c>
      <c r="Z369" s="135" t="s">
        <v>2195</v>
      </c>
      <c r="AA369" s="5" t="str">
        <f>VLOOKUP(A369,'Form Responses 1'!$C$2:$K$532,6,FALSE)</f>
        <v>Onsite sample collection by ISDH team</v>
      </c>
      <c r="AB369" s="5" t="e">
        <f>VLOOKUP(A369,'Form Responses 1'!$C$2:$K$219,7,FALSE)</f>
        <v>#N/A</v>
      </c>
      <c r="AC369" s="6" t="e">
        <f>VLOOKUP(A369,'Form Responses 1'!$C$2:$K$219,8,FALSE)</f>
        <v>#N/A</v>
      </c>
      <c r="AD369" s="6" t="e">
        <f>VLOOKUP(A369,'Form Responses 1'!$C$2:$K$219,9,FALSE)</f>
        <v>#N/A</v>
      </c>
    </row>
    <row r="370" spans="1:30" ht="19.5" customHeight="1">
      <c r="A370" s="135" t="s">
        <v>970</v>
      </c>
      <c r="B370" s="135"/>
      <c r="C370" s="135">
        <v>47394</v>
      </c>
      <c r="D370" s="135" t="s">
        <v>2720</v>
      </c>
      <c r="E370" s="135" t="s">
        <v>2694</v>
      </c>
      <c r="F370" s="135"/>
      <c r="G370" s="135">
        <v>75</v>
      </c>
      <c r="H370" s="135" t="s">
        <v>1282</v>
      </c>
      <c r="I370" s="135" t="str">
        <f>VLOOKUP(H370,list!$B$2:$C$14,2,FALSE)</f>
        <v>KITS</v>
      </c>
      <c r="J370" s="135"/>
      <c r="K370" s="135">
        <v>0</v>
      </c>
      <c r="L370" s="135">
        <v>0</v>
      </c>
      <c r="M370" s="135">
        <v>0</v>
      </c>
      <c r="N370" s="135">
        <v>0</v>
      </c>
      <c r="O370" s="135">
        <v>0</v>
      </c>
      <c r="P370" s="135"/>
      <c r="Q370" s="135">
        <v>0</v>
      </c>
      <c r="R370" s="135"/>
      <c r="S370" s="135"/>
      <c r="T370" s="135" t="s">
        <v>30</v>
      </c>
      <c r="U370" s="135"/>
      <c r="V370" s="135" t="s">
        <v>1255</v>
      </c>
      <c r="W370" s="135">
        <v>3</v>
      </c>
      <c r="X370" s="135" t="s">
        <v>2760</v>
      </c>
      <c r="Y370" s="135" t="s">
        <v>2761</v>
      </c>
      <c r="Z370" s="135" t="s">
        <v>2723</v>
      </c>
      <c r="AA370" s="5" t="str">
        <f>VLOOKUP(A370,'Form Responses 1'!$C$2:$K$532,6,FALSE)</f>
        <v>Onsite sample collection by ISDH team</v>
      </c>
      <c r="AB370" s="5" t="e">
        <f>VLOOKUP(A370,'Form Responses 1'!$C$2:$K$219,7,FALSE)</f>
        <v>#N/A</v>
      </c>
      <c r="AC370" s="6" t="e">
        <f>VLOOKUP(A370,'Form Responses 1'!$C$2:$K$219,8,FALSE)</f>
        <v>#N/A</v>
      </c>
      <c r="AD370" s="6" t="e">
        <f>VLOOKUP(A370,'Form Responses 1'!$C$2:$K$219,9,FALSE)</f>
        <v>#N/A</v>
      </c>
    </row>
    <row r="371" spans="1:30" ht="19.5" customHeight="1">
      <c r="A371" s="135" t="s">
        <v>2762</v>
      </c>
      <c r="B371" s="135" t="s">
        <v>1303</v>
      </c>
      <c r="C371" s="135">
        <v>46064</v>
      </c>
      <c r="D371" s="135" t="s">
        <v>2763</v>
      </c>
      <c r="E371" s="135" t="s">
        <v>1281</v>
      </c>
      <c r="F371" s="135"/>
      <c r="G371" s="135"/>
      <c r="H371" s="135"/>
      <c r="I371" s="135"/>
      <c r="J371" s="135"/>
      <c r="K371" s="135"/>
      <c r="L371" s="135"/>
      <c r="M371" s="135"/>
      <c r="N371" s="135"/>
      <c r="O371" s="135"/>
      <c r="P371" s="135"/>
      <c r="Q371" s="135"/>
      <c r="R371" s="135"/>
      <c r="S371" s="135"/>
      <c r="T371" s="135"/>
      <c r="U371" s="135"/>
      <c r="V371" s="135"/>
      <c r="W371" s="135"/>
      <c r="X371" s="135">
        <v>7657787501</v>
      </c>
      <c r="Y371" s="135" t="s">
        <v>2764</v>
      </c>
      <c r="Z371" s="135"/>
      <c r="AA371" s="5" t="s">
        <v>18</v>
      </c>
      <c r="AB371" s="5" t="s">
        <v>1298</v>
      </c>
      <c r="AC371" s="6"/>
      <c r="AD371" s="6"/>
    </row>
    <row r="372" spans="1:30" ht="19.5" customHeight="1">
      <c r="A372" s="135" t="s">
        <v>1207</v>
      </c>
      <c r="B372" s="135"/>
      <c r="C372" s="135">
        <v>46321</v>
      </c>
      <c r="D372" s="135" t="s">
        <v>2765</v>
      </c>
      <c r="E372" s="135" t="s">
        <v>1375</v>
      </c>
      <c r="F372" s="135"/>
      <c r="G372" s="135">
        <v>273</v>
      </c>
      <c r="H372" s="135" t="s">
        <v>1282</v>
      </c>
      <c r="I372" s="135" t="str">
        <f>VLOOKUP(H372,list!$B$2:$C$14,2,FALSE)</f>
        <v>KITS</v>
      </c>
      <c r="J372" s="135"/>
      <c r="K372" s="135">
        <v>0</v>
      </c>
      <c r="L372" s="135">
        <v>0</v>
      </c>
      <c r="M372" s="135">
        <v>0</v>
      </c>
      <c r="N372" s="135">
        <v>0</v>
      </c>
      <c r="O372" s="135">
        <v>0</v>
      </c>
      <c r="P372" s="135"/>
      <c r="Q372" s="135">
        <v>0</v>
      </c>
      <c r="R372" s="135"/>
      <c r="S372" s="135"/>
      <c r="T372" s="135" t="s">
        <v>19</v>
      </c>
      <c r="U372" s="135" t="s">
        <v>2766</v>
      </c>
      <c r="V372" s="135" t="s">
        <v>1255</v>
      </c>
      <c r="W372" s="135">
        <v>3</v>
      </c>
      <c r="X372" s="135" t="s">
        <v>2767</v>
      </c>
      <c r="Y372" s="135" t="s">
        <v>2768</v>
      </c>
      <c r="Z372" s="135" t="s">
        <v>2604</v>
      </c>
      <c r="AA372" s="5" t="str">
        <f>VLOOKUP(A372,'Form Responses 1'!$C$2:$K$532,6,FALSE)</f>
        <v>Kit delivery and pickup</v>
      </c>
      <c r="AB372" s="5" t="e">
        <f>VLOOKUP(A372,'Form Responses 1'!$C$2:$K$219,7,FALSE)</f>
        <v>#N/A</v>
      </c>
      <c r="AC372" s="6" t="e">
        <f>VLOOKUP(A372,'Form Responses 1'!$C$2:$K$219,8,FALSE)</f>
        <v>#N/A</v>
      </c>
      <c r="AD372" s="6" t="e">
        <f>VLOOKUP(A372,'Form Responses 1'!$C$2:$K$219,9,FALSE)</f>
        <v>#N/A</v>
      </c>
    </row>
    <row r="373" spans="1:30" ht="19.5" customHeight="1">
      <c r="A373" s="135" t="s">
        <v>761</v>
      </c>
      <c r="B373" s="135" t="s">
        <v>2027</v>
      </c>
      <c r="C373" s="135">
        <v>47978</v>
      </c>
      <c r="D373" s="135" t="s">
        <v>2769</v>
      </c>
      <c r="E373" s="135" t="s">
        <v>1338</v>
      </c>
      <c r="F373" s="135"/>
      <c r="G373" s="135">
        <v>100</v>
      </c>
      <c r="H373" s="135" t="s">
        <v>1253</v>
      </c>
      <c r="I373" s="135" t="str">
        <f>VLOOKUP(H373,list!$B$2:$C$14,2,FALSE)</f>
        <v>KITS</v>
      </c>
      <c r="J373" s="135"/>
      <c r="K373" s="135">
        <v>0</v>
      </c>
      <c r="L373" s="135">
        <v>0</v>
      </c>
      <c r="M373" s="135">
        <v>0</v>
      </c>
      <c r="N373" s="135">
        <v>0</v>
      </c>
      <c r="O373" s="135">
        <v>0</v>
      </c>
      <c r="P373" s="135"/>
      <c r="Q373" s="135">
        <v>0</v>
      </c>
      <c r="R373" s="135"/>
      <c r="S373" s="135"/>
      <c r="T373" s="135" t="s">
        <v>19</v>
      </c>
      <c r="U373" s="135" t="s">
        <v>2770</v>
      </c>
      <c r="V373" s="135" t="s">
        <v>1255</v>
      </c>
      <c r="W373" s="135">
        <v>6</v>
      </c>
      <c r="X373" s="135" t="s">
        <v>2771</v>
      </c>
      <c r="Y373" s="135" t="s">
        <v>2772</v>
      </c>
      <c r="Z373" s="135" t="s">
        <v>2773</v>
      </c>
      <c r="AA373" s="5" t="str">
        <f>VLOOKUP(A373,'Form Responses 1'!$C$2:$K$532,6,FALSE)</f>
        <v>Kit delivery and pickup</v>
      </c>
      <c r="AB373" s="5" t="str">
        <f>VLOOKUP(A373,'Form Responses 1'!$C$2:$K$219,7,FALSE)</f>
        <v>No</v>
      </c>
      <c r="AC373" s="6">
        <f>VLOOKUP(A373,'Form Responses 1'!$C$2:$K$219,8,FALSE)</f>
        <v>125</v>
      </c>
      <c r="AD373" s="6">
        <f>VLOOKUP(A373,'Form Responses 1'!$C$2:$K$219,9,FALSE)</f>
        <v>0</v>
      </c>
    </row>
    <row r="374" spans="1:30" ht="19.5" customHeight="1">
      <c r="A374" s="135" t="s">
        <v>2774</v>
      </c>
      <c r="B374" s="135"/>
      <c r="C374" s="135">
        <v>46032</v>
      </c>
      <c r="D374" s="135" t="s">
        <v>1464</v>
      </c>
      <c r="E374" s="135" t="s">
        <v>1294</v>
      </c>
      <c r="F374" s="135"/>
      <c r="G374" s="135"/>
      <c r="H374" s="135"/>
      <c r="I374" s="135"/>
      <c r="J374" s="135"/>
      <c r="K374" s="135"/>
      <c r="L374" s="135"/>
      <c r="M374" s="135"/>
      <c r="N374" s="135"/>
      <c r="O374" s="135"/>
      <c r="P374" s="135"/>
      <c r="Q374" s="135"/>
      <c r="R374" s="135"/>
      <c r="S374" s="135"/>
      <c r="T374" s="135"/>
      <c r="U374" s="135"/>
      <c r="V374" s="135"/>
      <c r="W374" s="135"/>
      <c r="X374" s="135">
        <v>3177339560</v>
      </c>
      <c r="Y374" s="135" t="s">
        <v>2775</v>
      </c>
      <c r="Z374" s="135"/>
      <c r="AA374" s="5" t="e">
        <f>VLOOKUP(A374,'Form Responses 1'!$C$2:$K$532,6,FALSE)</f>
        <v>#N/A</v>
      </c>
      <c r="AB374" s="5" t="e">
        <f>VLOOKUP(A374,'Form Responses 1'!$C$2:$K$219,7,FALSE)</f>
        <v>#N/A</v>
      </c>
      <c r="AC374" s="6" t="e">
        <f>VLOOKUP(A374,'Form Responses 1'!$C$2:$K$219,8,FALSE)</f>
        <v>#N/A</v>
      </c>
      <c r="AD374" s="6" t="e">
        <f>VLOOKUP(A374,'Form Responses 1'!$C$2:$K$219,9,FALSE)</f>
        <v>#N/A</v>
      </c>
    </row>
    <row r="375" spans="1:30" ht="19.5" customHeight="1">
      <c r="A375" s="135" t="s">
        <v>984</v>
      </c>
      <c r="B375" s="135"/>
      <c r="C375" s="135">
        <v>47429</v>
      </c>
      <c r="D375" s="135" t="s">
        <v>2776</v>
      </c>
      <c r="E375" s="135" t="s">
        <v>1477</v>
      </c>
      <c r="F375" s="135"/>
      <c r="G375" s="135">
        <v>79</v>
      </c>
      <c r="H375" s="135" t="s">
        <v>1282</v>
      </c>
      <c r="I375" s="135" t="str">
        <f>VLOOKUP(H375,list!$B$2:$C$14,2,FALSE)</f>
        <v>KITS</v>
      </c>
      <c r="J375" s="135"/>
      <c r="K375" s="135">
        <v>0</v>
      </c>
      <c r="L375" s="135">
        <v>0</v>
      </c>
      <c r="M375" s="135">
        <v>0</v>
      </c>
      <c r="N375" s="135">
        <v>0</v>
      </c>
      <c r="O375" s="135">
        <v>0</v>
      </c>
      <c r="P375" s="135"/>
      <c r="Q375" s="135">
        <v>0</v>
      </c>
      <c r="R375" s="135"/>
      <c r="S375" s="135"/>
      <c r="T375" s="135" t="s">
        <v>30</v>
      </c>
      <c r="U375" s="135"/>
      <c r="V375" s="135" t="s">
        <v>1255</v>
      </c>
      <c r="W375" s="135">
        <v>3</v>
      </c>
      <c r="X375" s="135" t="s">
        <v>2777</v>
      </c>
      <c r="Y375" s="135" t="s">
        <v>2778</v>
      </c>
      <c r="Z375" s="135" t="s">
        <v>2779</v>
      </c>
      <c r="AA375" s="5" t="str">
        <f>VLOOKUP(A375,'Form Responses 1'!$C$2:$K$532,6,FALSE)</f>
        <v>Kit delivery and pickup</v>
      </c>
      <c r="AB375" s="5" t="e">
        <f>VLOOKUP(A375,'Form Responses 1'!$C$2:$K$219,7,FALSE)</f>
        <v>#N/A</v>
      </c>
      <c r="AC375" s="6" t="e">
        <f>VLOOKUP(A375,'Form Responses 1'!$C$2:$K$219,8,FALSE)</f>
        <v>#N/A</v>
      </c>
      <c r="AD375" s="6" t="e">
        <f>VLOOKUP(A375,'Form Responses 1'!$C$2:$K$219,9,FALSE)</f>
        <v>#N/A</v>
      </c>
    </row>
    <row r="376" spans="1:30" ht="19.5" customHeight="1">
      <c r="A376" s="135" t="s">
        <v>2780</v>
      </c>
      <c r="B376" s="321" t="s">
        <v>1312</v>
      </c>
      <c r="C376" s="135">
        <v>47025</v>
      </c>
      <c r="D376" s="135" t="s">
        <v>2781</v>
      </c>
      <c r="E376" s="135" t="s">
        <v>2782</v>
      </c>
      <c r="F376" s="135"/>
      <c r="G376" s="135">
        <v>159</v>
      </c>
      <c r="H376" s="135" t="s">
        <v>1276</v>
      </c>
      <c r="I376" s="135" t="str">
        <f>VLOOKUP(H376,list!$B$2:$C$14,2,FALSE)</f>
        <v>GREEN</v>
      </c>
      <c r="J376" s="135"/>
      <c r="K376" s="135">
        <v>0</v>
      </c>
      <c r="L376" s="135">
        <v>0</v>
      </c>
      <c r="M376" s="135">
        <v>0</v>
      </c>
      <c r="N376" s="135">
        <v>0</v>
      </c>
      <c r="O376" s="135">
        <v>0</v>
      </c>
      <c r="P376" s="135"/>
      <c r="Q376" s="135">
        <v>0</v>
      </c>
      <c r="R376" s="135"/>
      <c r="S376" s="135"/>
      <c r="T376" s="135" t="s">
        <v>19</v>
      </c>
      <c r="U376" s="135" t="s">
        <v>1315</v>
      </c>
      <c r="V376" s="135" t="s">
        <v>1255</v>
      </c>
      <c r="W376" s="135">
        <v>2</v>
      </c>
      <c r="X376" s="135" t="s">
        <v>2783</v>
      </c>
      <c r="Y376" s="135" t="s">
        <v>2784</v>
      </c>
      <c r="Z376" s="135" t="s">
        <v>2785</v>
      </c>
      <c r="AA376" s="5" t="s">
        <v>18</v>
      </c>
      <c r="AB376" s="5" t="s">
        <v>1298</v>
      </c>
      <c r="AC376" s="6">
        <f>G376</f>
        <v>159</v>
      </c>
      <c r="AD376" s="6"/>
    </row>
    <row r="377" spans="1:30" ht="19.5" customHeight="1">
      <c r="A377" s="135" t="s">
        <v>765</v>
      </c>
      <c r="B377" s="135"/>
      <c r="C377" s="135">
        <v>47031</v>
      </c>
      <c r="D377" s="135" t="s">
        <v>2786</v>
      </c>
      <c r="E377" s="135" t="s">
        <v>2356</v>
      </c>
      <c r="F377" s="135"/>
      <c r="G377" s="135">
        <v>153</v>
      </c>
      <c r="H377" s="135" t="s">
        <v>1253</v>
      </c>
      <c r="I377" s="135" t="str">
        <f>VLOOKUP(H377,list!$B$2:$C$14,2,FALSE)</f>
        <v>KITS</v>
      </c>
      <c r="J377" s="135"/>
      <c r="K377" s="135">
        <v>0</v>
      </c>
      <c r="L377" s="135">
        <v>0</v>
      </c>
      <c r="M377" s="135">
        <v>0</v>
      </c>
      <c r="N377" s="135">
        <v>0</v>
      </c>
      <c r="O377" s="135">
        <v>0</v>
      </c>
      <c r="P377" s="135"/>
      <c r="Q377" s="135">
        <v>0</v>
      </c>
      <c r="R377" s="135"/>
      <c r="S377" s="135"/>
      <c r="T377" s="135" t="s">
        <v>19</v>
      </c>
      <c r="U377" s="135" t="s">
        <v>2787</v>
      </c>
      <c r="V377" s="135" t="s">
        <v>1255</v>
      </c>
      <c r="W377" s="135">
        <v>6</v>
      </c>
      <c r="X377" s="135" t="s">
        <v>2788</v>
      </c>
      <c r="Y377" s="135" t="s">
        <v>2789</v>
      </c>
      <c r="Z377" s="135" t="s">
        <v>2790</v>
      </c>
      <c r="AA377" s="5" t="str">
        <f>VLOOKUP(A377,'Form Responses 1'!$C$2:$K$532,6,FALSE)</f>
        <v>Kit delivery and pickup</v>
      </c>
      <c r="AB377" s="5" t="str">
        <f>VLOOKUP(A377,'Form Responses 1'!$C$2:$K$219,7,FALSE)</f>
        <v>No</v>
      </c>
      <c r="AC377" s="6">
        <f>VLOOKUP(A377,'Form Responses 1'!$C$2:$K$219,8,FALSE)</f>
        <v>153</v>
      </c>
      <c r="AD377" s="6" t="str">
        <f>VLOOKUP(A377,'Form Responses 1'!$C$2:$K$219,9,FALSE)</f>
        <v>brought up staggering pick up of kits just because of large number of staff, willing to drop off kits to other neighboring facilities if that's where the state would be picking up that day or be creative in trying to make the staggering happen</v>
      </c>
    </row>
    <row r="378" spans="1:30" ht="19.5" customHeight="1">
      <c r="A378" s="135" t="s">
        <v>2791</v>
      </c>
      <c r="B378" s="321" t="s">
        <v>1312</v>
      </c>
      <c r="C378" s="135">
        <v>47715</v>
      </c>
      <c r="D378" s="135" t="s">
        <v>1506</v>
      </c>
      <c r="E378" s="135" t="s">
        <v>1507</v>
      </c>
      <c r="F378" s="135"/>
      <c r="G378" s="135">
        <v>115</v>
      </c>
      <c r="H378" s="135" t="s">
        <v>1276</v>
      </c>
      <c r="I378" s="135" t="str">
        <f>VLOOKUP(H378,list!$B$2:$C$14,2,FALSE)</f>
        <v>GREEN</v>
      </c>
      <c r="J378" s="135"/>
      <c r="K378" s="135">
        <v>0</v>
      </c>
      <c r="L378" s="135">
        <v>0</v>
      </c>
      <c r="M378" s="135">
        <v>0</v>
      </c>
      <c r="N378" s="135">
        <v>0</v>
      </c>
      <c r="O378" s="135">
        <v>0</v>
      </c>
      <c r="P378" s="135"/>
      <c r="Q378" s="135">
        <v>0</v>
      </c>
      <c r="R378" s="135"/>
      <c r="S378" s="135"/>
      <c r="T378" s="135" t="s">
        <v>19</v>
      </c>
      <c r="U378" s="135" t="s">
        <v>1315</v>
      </c>
      <c r="V378" s="135" t="s">
        <v>1255</v>
      </c>
      <c r="W378" s="135">
        <v>2</v>
      </c>
      <c r="X378" s="135" t="s">
        <v>2792</v>
      </c>
      <c r="Y378" s="135" t="s">
        <v>2793</v>
      </c>
      <c r="Z378" s="135" t="s">
        <v>2794</v>
      </c>
      <c r="AA378" s="5" t="s">
        <v>18</v>
      </c>
      <c r="AB378" s="5" t="s">
        <v>1298</v>
      </c>
      <c r="AC378" s="6">
        <f t="shared" ref="AC378:AC379" si="25">G378</f>
        <v>115</v>
      </c>
      <c r="AD378" s="6"/>
    </row>
    <row r="379" spans="1:30" ht="19.5" customHeight="1">
      <c r="A379" s="135" t="s">
        <v>2795</v>
      </c>
      <c r="B379" s="321" t="s">
        <v>1312</v>
      </c>
      <c r="C379" s="135">
        <v>47250</v>
      </c>
      <c r="D379" s="135" t="s">
        <v>1281</v>
      </c>
      <c r="E379" s="135" t="s">
        <v>2079</v>
      </c>
      <c r="F379" s="135"/>
      <c r="G379" s="135">
        <v>109</v>
      </c>
      <c r="H379" s="135" t="s">
        <v>1276</v>
      </c>
      <c r="I379" s="135" t="str">
        <f>VLOOKUP(H379,list!$B$2:$C$14,2,FALSE)</f>
        <v>GREEN</v>
      </c>
      <c r="J379" s="135"/>
      <c r="K379" s="135">
        <v>0</v>
      </c>
      <c r="L379" s="135">
        <v>0</v>
      </c>
      <c r="M379" s="135">
        <v>0</v>
      </c>
      <c r="N379" s="135">
        <v>0</v>
      </c>
      <c r="O379" s="135">
        <v>0</v>
      </c>
      <c r="P379" s="135"/>
      <c r="Q379" s="135">
        <v>0</v>
      </c>
      <c r="R379" s="135"/>
      <c r="S379" s="135"/>
      <c r="T379" s="135" t="s">
        <v>19</v>
      </c>
      <c r="U379" s="135" t="s">
        <v>1315</v>
      </c>
      <c r="V379" s="135" t="s">
        <v>1255</v>
      </c>
      <c r="W379" s="135">
        <v>2</v>
      </c>
      <c r="X379" s="135" t="s">
        <v>2796</v>
      </c>
      <c r="Y379" s="135" t="s">
        <v>2797</v>
      </c>
      <c r="Z379" s="135" t="s">
        <v>2173</v>
      </c>
      <c r="AA379" s="5" t="s">
        <v>18</v>
      </c>
      <c r="AB379" s="5" t="s">
        <v>1298</v>
      </c>
      <c r="AC379" s="6">
        <f t="shared" si="25"/>
        <v>109</v>
      </c>
      <c r="AD379" s="6"/>
    </row>
    <row r="380" spans="1:30" ht="19.5" customHeight="1">
      <c r="A380" s="135" t="s">
        <v>770</v>
      </c>
      <c r="B380" s="135" t="s">
        <v>1624</v>
      </c>
      <c r="C380" s="135">
        <v>46714</v>
      </c>
      <c r="D380" s="135" t="s">
        <v>1533</v>
      </c>
      <c r="E380" s="135" t="s">
        <v>1534</v>
      </c>
      <c r="F380" s="135"/>
      <c r="G380" s="135">
        <v>98</v>
      </c>
      <c r="H380" s="135" t="s">
        <v>1282</v>
      </c>
      <c r="I380" s="135" t="str">
        <f>VLOOKUP(H380,list!$B$2:$C$14,2,FALSE)</f>
        <v>KITS</v>
      </c>
      <c r="J380" s="135"/>
      <c r="K380" s="135">
        <v>0</v>
      </c>
      <c r="L380" s="135">
        <v>0</v>
      </c>
      <c r="M380" s="135">
        <v>0</v>
      </c>
      <c r="N380" s="135">
        <v>0</v>
      </c>
      <c r="O380" s="135">
        <v>0</v>
      </c>
      <c r="P380" s="135"/>
      <c r="Q380" s="135">
        <v>0</v>
      </c>
      <c r="R380" s="135"/>
      <c r="S380" s="135"/>
      <c r="T380" s="135" t="s">
        <v>19</v>
      </c>
      <c r="U380" s="135" t="s">
        <v>1657</v>
      </c>
      <c r="V380" s="135" t="s">
        <v>1255</v>
      </c>
      <c r="W380" s="135">
        <v>3</v>
      </c>
      <c r="X380" s="135" t="s">
        <v>2798</v>
      </c>
      <c r="Y380" s="135" t="s">
        <v>2799</v>
      </c>
      <c r="Z380" s="135" t="s">
        <v>1538</v>
      </c>
      <c r="AA380" s="5" t="str">
        <f>VLOOKUP(A380,'Form Responses 1'!$C$2:$K$532,6,FALSE)</f>
        <v>Onsite sample collection by ISDH team</v>
      </c>
      <c r="AB380" s="5">
        <f>VLOOKUP(A380,'Form Responses 1'!$C$2:$K$219,7,FALSE)</f>
        <v>0</v>
      </c>
      <c r="AC380" s="6">
        <f>VLOOKUP(A380,'Form Responses 1'!$C$2:$K$219,8,FALSE)</f>
        <v>90</v>
      </c>
      <c r="AD380" s="6">
        <f>VLOOKUP(A380,'Form Responses 1'!$C$2:$K$219,9,FALSE)</f>
        <v>0</v>
      </c>
    </row>
    <row r="381" spans="1:30" ht="19.5" customHeight="1">
      <c r="A381" s="135" t="s">
        <v>2800</v>
      </c>
      <c r="B381" s="321" t="s">
        <v>1312</v>
      </c>
      <c r="C381" s="135">
        <v>47670</v>
      </c>
      <c r="D381" s="135" t="s">
        <v>2801</v>
      </c>
      <c r="E381" s="135" t="s">
        <v>1995</v>
      </c>
      <c r="F381" s="135"/>
      <c r="G381" s="135">
        <v>99</v>
      </c>
      <c r="H381" s="135" t="s">
        <v>1276</v>
      </c>
      <c r="I381" s="135" t="str">
        <f>VLOOKUP(H381,list!$B$2:$C$14,2,FALSE)</f>
        <v>GREEN</v>
      </c>
      <c r="J381" s="135"/>
      <c r="K381" s="135">
        <v>0</v>
      </c>
      <c r="L381" s="135">
        <v>0</v>
      </c>
      <c r="M381" s="135">
        <v>0</v>
      </c>
      <c r="N381" s="135">
        <v>0</v>
      </c>
      <c r="O381" s="135">
        <v>0</v>
      </c>
      <c r="P381" s="135"/>
      <c r="Q381" s="135">
        <v>0</v>
      </c>
      <c r="R381" s="135"/>
      <c r="S381" s="135"/>
      <c r="T381" s="135" t="s">
        <v>19</v>
      </c>
      <c r="U381" s="135" t="s">
        <v>1315</v>
      </c>
      <c r="V381" s="135" t="s">
        <v>1255</v>
      </c>
      <c r="W381" s="135">
        <v>2</v>
      </c>
      <c r="X381" s="135" t="s">
        <v>2802</v>
      </c>
      <c r="Y381" s="135" t="s">
        <v>2803</v>
      </c>
      <c r="Z381" s="135" t="s">
        <v>2804</v>
      </c>
      <c r="AA381" s="5" t="s">
        <v>18</v>
      </c>
      <c r="AB381" s="5" t="s">
        <v>1298</v>
      </c>
      <c r="AC381" s="6">
        <f t="shared" ref="AC381:AC382" si="26">G381</f>
        <v>99</v>
      </c>
      <c r="AD381" s="6"/>
    </row>
    <row r="382" spans="1:30" ht="19.5" customHeight="1">
      <c r="A382" s="135" t="s">
        <v>2805</v>
      </c>
      <c r="B382" s="135" t="s">
        <v>343</v>
      </c>
      <c r="C382" s="135">
        <v>46516</v>
      </c>
      <c r="D382" s="135" t="s">
        <v>1723</v>
      </c>
      <c r="E382" s="135" t="s">
        <v>1723</v>
      </c>
      <c r="F382" s="135"/>
      <c r="G382" s="135">
        <v>125</v>
      </c>
      <c r="H382" s="135" t="s">
        <v>1282</v>
      </c>
      <c r="I382" s="135" t="str">
        <f>VLOOKUP(H382,list!$B$2:$C$14,2,FALSE)</f>
        <v>KITS</v>
      </c>
      <c r="J382" s="135"/>
      <c r="K382" s="135">
        <v>0</v>
      </c>
      <c r="L382" s="135">
        <v>0</v>
      </c>
      <c r="M382" s="135">
        <v>0</v>
      </c>
      <c r="N382" s="135">
        <v>0</v>
      </c>
      <c r="O382" s="135">
        <v>0</v>
      </c>
      <c r="P382" s="135"/>
      <c r="Q382" s="135">
        <v>0</v>
      </c>
      <c r="R382" s="135"/>
      <c r="S382" s="135"/>
      <c r="T382" s="135" t="s">
        <v>19</v>
      </c>
      <c r="U382" s="135" t="s">
        <v>2806</v>
      </c>
      <c r="V382" s="135" t="s">
        <v>1255</v>
      </c>
      <c r="W382" s="135">
        <v>3</v>
      </c>
      <c r="X382" s="135" t="s">
        <v>2807</v>
      </c>
      <c r="Y382" s="135" t="s">
        <v>2808</v>
      </c>
      <c r="Z382" s="135" t="s">
        <v>2809</v>
      </c>
      <c r="AA382" s="5" t="s">
        <v>18</v>
      </c>
      <c r="AB382" s="5" t="s">
        <v>1298</v>
      </c>
      <c r="AC382" s="6">
        <f t="shared" si="26"/>
        <v>125</v>
      </c>
      <c r="AD382" s="6"/>
    </row>
    <row r="383" spans="1:30" ht="19.5" customHeight="1">
      <c r="A383" s="135" t="s">
        <v>2810</v>
      </c>
      <c r="B383" s="135"/>
      <c r="C383" s="135">
        <v>46060</v>
      </c>
      <c r="D383" s="135" t="s">
        <v>2732</v>
      </c>
      <c r="E383" s="135" t="s">
        <v>1294</v>
      </c>
      <c r="F383" s="135"/>
      <c r="G383" s="135"/>
      <c r="H383" s="135"/>
      <c r="I383" s="135"/>
      <c r="J383" s="135"/>
      <c r="K383" s="135"/>
      <c r="L383" s="135"/>
      <c r="M383" s="135"/>
      <c r="N383" s="135"/>
      <c r="O383" s="135"/>
      <c r="P383" s="135"/>
      <c r="Q383" s="135"/>
      <c r="R383" s="135"/>
      <c r="S383" s="135"/>
      <c r="T383" s="135"/>
      <c r="U383" s="135"/>
      <c r="V383" s="135"/>
      <c r="W383" s="135"/>
      <c r="X383" s="135">
        <v>3177702870</v>
      </c>
      <c r="Y383" s="135" t="s">
        <v>2811</v>
      </c>
      <c r="Z383" s="135"/>
      <c r="AA383" s="5" t="e">
        <f>VLOOKUP(A383,'Form Responses 1'!$C$2:$K$532,6,FALSE)</f>
        <v>#N/A</v>
      </c>
      <c r="AB383" s="5" t="e">
        <f>VLOOKUP(A383,'Form Responses 1'!$C$2:$K$219,7,FALSE)</f>
        <v>#N/A</v>
      </c>
      <c r="AC383" s="6" t="e">
        <f>VLOOKUP(A383,'Form Responses 1'!$C$2:$K$219,8,FALSE)</f>
        <v>#N/A</v>
      </c>
      <c r="AD383" s="6" t="e">
        <f>VLOOKUP(A383,'Form Responses 1'!$C$2:$K$219,9,FALSE)</f>
        <v>#N/A</v>
      </c>
    </row>
    <row r="384" spans="1:30" ht="19.5" customHeight="1">
      <c r="A384" s="135" t="s">
        <v>2812</v>
      </c>
      <c r="B384" s="135" t="s">
        <v>343</v>
      </c>
      <c r="C384" s="135">
        <v>47129</v>
      </c>
      <c r="D384" s="135" t="s">
        <v>1664</v>
      </c>
      <c r="E384" s="135" t="s">
        <v>1665</v>
      </c>
      <c r="F384" s="135"/>
      <c r="G384" s="135">
        <v>92</v>
      </c>
      <c r="H384" s="135" t="s">
        <v>1282</v>
      </c>
      <c r="I384" s="135" t="str">
        <f>VLOOKUP(H384,list!$B$2:$C$14,2,FALSE)</f>
        <v>KITS</v>
      </c>
      <c r="J384" s="135"/>
      <c r="K384" s="135">
        <v>0</v>
      </c>
      <c r="L384" s="135">
        <v>0</v>
      </c>
      <c r="M384" s="135">
        <v>0</v>
      </c>
      <c r="N384" s="135">
        <v>0</v>
      </c>
      <c r="O384" s="135">
        <v>0</v>
      </c>
      <c r="P384" s="135"/>
      <c r="Q384" s="135">
        <v>0</v>
      </c>
      <c r="R384" s="135"/>
      <c r="S384" s="135"/>
      <c r="T384" s="135" t="s">
        <v>19</v>
      </c>
      <c r="U384" s="135"/>
      <c r="V384" s="135" t="s">
        <v>1255</v>
      </c>
      <c r="W384" s="135">
        <v>3</v>
      </c>
      <c r="X384" s="135" t="s">
        <v>2813</v>
      </c>
      <c r="Y384" s="135" t="s">
        <v>2814</v>
      </c>
      <c r="Z384" s="135" t="s">
        <v>1669</v>
      </c>
      <c r="AA384" s="5" t="s">
        <v>18</v>
      </c>
      <c r="AB384" s="5" t="s">
        <v>1298</v>
      </c>
      <c r="AC384" s="6">
        <f t="shared" ref="AC384:AC385" si="27">G384</f>
        <v>92</v>
      </c>
      <c r="AD384" s="6"/>
    </row>
    <row r="385" spans="1:30" ht="19.5" customHeight="1">
      <c r="A385" s="135" t="s">
        <v>2815</v>
      </c>
      <c r="B385" s="135" t="s">
        <v>343</v>
      </c>
      <c r="C385" s="135">
        <v>46062</v>
      </c>
      <c r="D385" s="135" t="s">
        <v>2732</v>
      </c>
      <c r="E385" s="135" t="s">
        <v>1294</v>
      </c>
      <c r="F385" s="135"/>
      <c r="G385" s="135">
        <v>140</v>
      </c>
      <c r="H385" s="135" t="s">
        <v>1282</v>
      </c>
      <c r="I385" s="135" t="str">
        <f>VLOOKUP(H385,list!$B$2:$C$14,2,FALSE)</f>
        <v>KITS</v>
      </c>
      <c r="J385" s="135"/>
      <c r="K385" s="135">
        <v>0</v>
      </c>
      <c r="L385" s="135">
        <v>0</v>
      </c>
      <c r="M385" s="135">
        <v>0</v>
      </c>
      <c r="N385" s="135">
        <v>0</v>
      </c>
      <c r="O385" s="135">
        <v>0</v>
      </c>
      <c r="P385" s="135"/>
      <c r="Q385" s="135">
        <v>0</v>
      </c>
      <c r="R385" s="135"/>
      <c r="S385" s="135"/>
      <c r="T385" s="135" t="s">
        <v>19</v>
      </c>
      <c r="U385" s="135"/>
      <c r="V385" s="135" t="s">
        <v>1255</v>
      </c>
      <c r="W385" s="135">
        <v>3</v>
      </c>
      <c r="X385" s="135" t="s">
        <v>2816</v>
      </c>
      <c r="Y385" s="135" t="s">
        <v>2817</v>
      </c>
      <c r="Z385" s="135" t="s">
        <v>2735</v>
      </c>
      <c r="AA385" s="5" t="s">
        <v>18</v>
      </c>
      <c r="AB385" s="5" t="s">
        <v>1298</v>
      </c>
      <c r="AC385" s="6">
        <f t="shared" si="27"/>
        <v>140</v>
      </c>
      <c r="AD385" s="6"/>
    </row>
    <row r="386" spans="1:30" ht="19.5" customHeight="1">
      <c r="A386" s="135" t="s">
        <v>2818</v>
      </c>
      <c r="B386" s="135" t="s">
        <v>2819</v>
      </c>
      <c r="C386" s="135">
        <v>46268</v>
      </c>
      <c r="D386" s="135" t="s">
        <v>1289</v>
      </c>
      <c r="E386" s="135" t="s">
        <v>1290</v>
      </c>
      <c r="F386" s="135"/>
      <c r="G386" s="135"/>
      <c r="H386" s="135"/>
      <c r="I386" s="135"/>
      <c r="J386" s="135"/>
      <c r="K386" s="135"/>
      <c r="L386" s="135"/>
      <c r="M386" s="135"/>
      <c r="N386" s="135"/>
      <c r="O386" s="135"/>
      <c r="P386" s="135"/>
      <c r="Q386" s="135"/>
      <c r="R386" s="135"/>
      <c r="S386" s="135"/>
      <c r="T386" s="135"/>
      <c r="U386" s="135"/>
      <c r="V386" s="135"/>
      <c r="W386" s="135"/>
      <c r="X386" s="135">
        <v>3172986255</v>
      </c>
      <c r="Y386" s="135" t="s">
        <v>2820</v>
      </c>
      <c r="Z386" s="135"/>
      <c r="AA386" s="5" t="e">
        <f>VLOOKUP(A386,'Form Responses 1'!$C$2:$K$532,6,FALSE)</f>
        <v>#N/A</v>
      </c>
      <c r="AB386" s="5" t="e">
        <f>VLOOKUP(A386,'Form Responses 1'!$C$2:$K$219,7,FALSE)</f>
        <v>#N/A</v>
      </c>
      <c r="AC386" s="6" t="e">
        <f>VLOOKUP(A386,'Form Responses 1'!$C$2:$K$219,8,FALSE)</f>
        <v>#N/A</v>
      </c>
      <c r="AD386" s="6" t="e">
        <f>VLOOKUP(A386,'Form Responses 1'!$C$2:$K$219,9,FALSE)</f>
        <v>#N/A</v>
      </c>
    </row>
    <row r="387" spans="1:30" ht="19.5" customHeight="1">
      <c r="A387" s="135" t="s">
        <v>2821</v>
      </c>
      <c r="B387" s="135" t="s">
        <v>1288</v>
      </c>
      <c r="C387" s="135">
        <v>47150</v>
      </c>
      <c r="D387" s="135" t="s">
        <v>1441</v>
      </c>
      <c r="E387" s="135" t="s">
        <v>1442</v>
      </c>
      <c r="F387" s="135"/>
      <c r="G387" s="135">
        <v>108</v>
      </c>
      <c r="H387" s="135" t="s">
        <v>1326</v>
      </c>
      <c r="I387" s="135" t="str">
        <f>VLOOKUP(H387,list!$B$2:$C$14,2,FALSE)</f>
        <v>ONSITE</v>
      </c>
      <c r="J387" s="135"/>
      <c r="K387" s="135">
        <v>0</v>
      </c>
      <c r="L387" s="135">
        <v>0</v>
      </c>
      <c r="M387" s="135">
        <v>0</v>
      </c>
      <c r="N387" s="135">
        <v>0</v>
      </c>
      <c r="O387" s="135">
        <v>0</v>
      </c>
      <c r="P387" s="135">
        <v>1</v>
      </c>
      <c r="Q387" s="135"/>
      <c r="R387" s="135"/>
      <c r="S387" s="135" t="s">
        <v>2822</v>
      </c>
      <c r="T387" s="135" t="s">
        <v>19</v>
      </c>
      <c r="U387" s="135" t="s">
        <v>2823</v>
      </c>
      <c r="V387" s="135" t="s">
        <v>1255</v>
      </c>
      <c r="W387" s="135">
        <v>1</v>
      </c>
      <c r="X387" s="135" t="s">
        <v>2824</v>
      </c>
      <c r="Y387" s="135" t="s">
        <v>2825</v>
      </c>
      <c r="Z387" s="135" t="s">
        <v>1445</v>
      </c>
      <c r="AA387" s="5" t="s">
        <v>91</v>
      </c>
      <c r="AB387" s="5" t="s">
        <v>30</v>
      </c>
      <c r="AC387" s="6">
        <f>G387</f>
        <v>108</v>
      </c>
      <c r="AD387" s="6"/>
    </row>
    <row r="388" spans="1:30" ht="19.5" customHeight="1">
      <c r="A388" s="135" t="s">
        <v>2826</v>
      </c>
      <c r="B388" s="135" t="s">
        <v>1265</v>
      </c>
      <c r="C388" s="135">
        <v>46940</v>
      </c>
      <c r="D388" s="135" t="s">
        <v>2827</v>
      </c>
      <c r="E388" s="135" t="s">
        <v>1436</v>
      </c>
      <c r="F388" s="135"/>
      <c r="G388" s="135"/>
      <c r="H388" s="135"/>
      <c r="I388" s="135"/>
      <c r="J388" s="135"/>
      <c r="K388" s="135"/>
      <c r="L388" s="135"/>
      <c r="M388" s="135"/>
      <c r="N388" s="135"/>
      <c r="O388" s="135"/>
      <c r="P388" s="135"/>
      <c r="Q388" s="135"/>
      <c r="R388" s="135"/>
      <c r="S388" s="135"/>
      <c r="T388" s="135"/>
      <c r="U388" s="135"/>
      <c r="V388" s="135"/>
      <c r="W388" s="135"/>
      <c r="X388" s="135">
        <v>7656629350</v>
      </c>
      <c r="Y388" s="135" t="s">
        <v>2828</v>
      </c>
      <c r="Z388" s="135"/>
      <c r="AA388" s="5" t="str">
        <f>VLOOKUP(A388,'Form Responses 1'!$C$2:$K$532,6,FALSE)</f>
        <v>Kit delivery and pickup</v>
      </c>
      <c r="AB388" s="5" t="e">
        <f>VLOOKUP(A388,'Form Responses 1'!$C$2:$K$219,7,FALSE)</f>
        <v>#N/A</v>
      </c>
      <c r="AC388" s="6" t="e">
        <f>VLOOKUP(A388,'Form Responses 1'!$C$2:$K$219,8,FALSE)</f>
        <v>#N/A</v>
      </c>
      <c r="AD388" s="6" t="e">
        <f>VLOOKUP(A388,'Form Responses 1'!$C$2:$K$219,9,FALSE)</f>
        <v>#N/A</v>
      </c>
    </row>
    <row r="389" spans="1:30" ht="19.5" customHeight="1">
      <c r="A389" s="135" t="s">
        <v>2829</v>
      </c>
      <c r="B389" s="135" t="s">
        <v>343</v>
      </c>
      <c r="C389" s="135">
        <v>47374</v>
      </c>
      <c r="D389" s="135" t="s">
        <v>1394</v>
      </c>
      <c r="E389" s="135" t="s">
        <v>1306</v>
      </c>
      <c r="F389" s="135"/>
      <c r="G389" s="135">
        <v>125</v>
      </c>
      <c r="H389" s="135" t="s">
        <v>1282</v>
      </c>
      <c r="I389" s="135" t="str">
        <f>VLOOKUP(H389,list!$B$2:$C$14,2,FALSE)</f>
        <v>KITS</v>
      </c>
      <c r="J389" s="135"/>
      <c r="K389" s="135">
        <v>0</v>
      </c>
      <c r="L389" s="135">
        <v>0</v>
      </c>
      <c r="M389" s="135">
        <v>0</v>
      </c>
      <c r="N389" s="135">
        <v>0</v>
      </c>
      <c r="O389" s="135">
        <v>0</v>
      </c>
      <c r="P389" s="135"/>
      <c r="Q389" s="135">
        <v>0</v>
      </c>
      <c r="R389" s="135"/>
      <c r="S389" s="135"/>
      <c r="T389" s="135" t="s">
        <v>19</v>
      </c>
      <c r="U389" s="135" t="s">
        <v>2830</v>
      </c>
      <c r="V389" s="135" t="s">
        <v>1255</v>
      </c>
      <c r="W389" s="135">
        <v>3</v>
      </c>
      <c r="X389" s="135" t="s">
        <v>2831</v>
      </c>
      <c r="Y389" s="135" t="s">
        <v>2832</v>
      </c>
      <c r="Z389" s="135" t="s">
        <v>1398</v>
      </c>
      <c r="AA389" s="5" t="s">
        <v>18</v>
      </c>
      <c r="AB389" s="5" t="s">
        <v>1298</v>
      </c>
      <c r="AC389" s="6">
        <f t="shared" ref="AC389:AC390" si="28">G389</f>
        <v>125</v>
      </c>
      <c r="AD389" s="6"/>
    </row>
    <row r="390" spans="1:30" ht="19.5" customHeight="1">
      <c r="A390" s="135" t="s">
        <v>2833</v>
      </c>
      <c r="B390" s="135" t="s">
        <v>343</v>
      </c>
      <c r="C390" s="135">
        <v>46237</v>
      </c>
      <c r="D390" s="135" t="s">
        <v>1289</v>
      </c>
      <c r="E390" s="135" t="s">
        <v>1290</v>
      </c>
      <c r="F390" s="135"/>
      <c r="G390" s="135">
        <v>150</v>
      </c>
      <c r="H390" s="135" t="s">
        <v>1253</v>
      </c>
      <c r="I390" s="135" t="str">
        <f>VLOOKUP(H390,list!$B$2:$C$14,2,FALSE)</f>
        <v>KITS</v>
      </c>
      <c r="J390" s="135"/>
      <c r="K390" s="135">
        <v>0</v>
      </c>
      <c r="L390" s="135">
        <v>0</v>
      </c>
      <c r="M390" s="135">
        <v>0</v>
      </c>
      <c r="N390" s="135">
        <v>0</v>
      </c>
      <c r="O390" s="135">
        <v>0</v>
      </c>
      <c r="P390" s="135"/>
      <c r="Q390" s="135">
        <v>0</v>
      </c>
      <c r="R390" s="135"/>
      <c r="S390" s="135"/>
      <c r="T390" s="135" t="s">
        <v>19</v>
      </c>
      <c r="U390" s="135" t="s">
        <v>2834</v>
      </c>
      <c r="V390" s="135" t="s">
        <v>1255</v>
      </c>
      <c r="W390" s="135">
        <v>6</v>
      </c>
      <c r="X390" s="135" t="s">
        <v>2835</v>
      </c>
      <c r="Y390" s="135" t="s">
        <v>2836</v>
      </c>
      <c r="Z390" s="135" t="s">
        <v>2837</v>
      </c>
      <c r="AA390" s="5" t="s">
        <v>18</v>
      </c>
      <c r="AB390" s="5" t="s">
        <v>1298</v>
      </c>
      <c r="AC390" s="6">
        <f t="shared" si="28"/>
        <v>150</v>
      </c>
      <c r="AD390" s="6"/>
    </row>
    <row r="391" spans="1:30" ht="19.5" customHeight="1">
      <c r="A391" s="135" t="s">
        <v>2838</v>
      </c>
      <c r="B391" s="135" t="s">
        <v>343</v>
      </c>
      <c r="C391" s="135">
        <v>46219</v>
      </c>
      <c r="D391" s="135" t="s">
        <v>1289</v>
      </c>
      <c r="E391" s="135" t="s">
        <v>1290</v>
      </c>
      <c r="F391" s="135"/>
      <c r="G391" s="135"/>
      <c r="H391" s="135"/>
      <c r="I391" s="135"/>
      <c r="J391" s="135"/>
      <c r="K391" s="135"/>
      <c r="L391" s="135"/>
      <c r="M391" s="135"/>
      <c r="N391" s="135"/>
      <c r="O391" s="135"/>
      <c r="P391" s="135"/>
      <c r="Q391" s="135"/>
      <c r="R391" s="135"/>
      <c r="S391" s="135"/>
      <c r="T391" s="135"/>
      <c r="U391" s="135"/>
      <c r="V391" s="135"/>
      <c r="W391" s="135"/>
      <c r="X391" s="135">
        <v>3173538061</v>
      </c>
      <c r="Y391" s="135" t="s">
        <v>2839</v>
      </c>
      <c r="Z391" s="135"/>
      <c r="AA391" s="5" t="s">
        <v>18</v>
      </c>
      <c r="AB391" s="5" t="s">
        <v>1298</v>
      </c>
      <c r="AC391" s="6"/>
      <c r="AD391" s="6" t="e">
        <f>VLOOKUP(A391,'Form Responses 1'!$C$2:$K$219,9,FALSE)</f>
        <v>#N/A</v>
      </c>
    </row>
    <row r="392" spans="1:30" ht="19.5" customHeight="1">
      <c r="A392" s="135" t="s">
        <v>2840</v>
      </c>
      <c r="B392" s="135" t="s">
        <v>343</v>
      </c>
      <c r="C392" s="135">
        <v>47904</v>
      </c>
      <c r="D392" s="135" t="s">
        <v>1423</v>
      </c>
      <c r="E392" s="135" t="s">
        <v>1424</v>
      </c>
      <c r="F392" s="135"/>
      <c r="G392" s="135">
        <v>162</v>
      </c>
      <c r="H392" s="135" t="s">
        <v>1282</v>
      </c>
      <c r="I392" s="135" t="str">
        <f>VLOOKUP(H392,list!$B$2:$C$14,2,FALSE)</f>
        <v>KITS</v>
      </c>
      <c r="J392" s="135"/>
      <c r="K392" s="135">
        <v>0</v>
      </c>
      <c r="L392" s="135">
        <v>0</v>
      </c>
      <c r="M392" s="135">
        <v>0</v>
      </c>
      <c r="N392" s="135">
        <v>0</v>
      </c>
      <c r="O392" s="135">
        <v>0</v>
      </c>
      <c r="P392" s="135"/>
      <c r="Q392" s="135">
        <v>0</v>
      </c>
      <c r="R392" s="135"/>
      <c r="S392" s="135"/>
      <c r="T392" s="135" t="s">
        <v>19</v>
      </c>
      <c r="U392" s="135"/>
      <c r="V392" s="135" t="s">
        <v>1255</v>
      </c>
      <c r="W392" s="135">
        <v>3</v>
      </c>
      <c r="X392" s="135" t="s">
        <v>2841</v>
      </c>
      <c r="Y392" s="135" t="s">
        <v>2842</v>
      </c>
      <c r="Z392" s="135" t="s">
        <v>2843</v>
      </c>
      <c r="AA392" s="5" t="s">
        <v>18</v>
      </c>
      <c r="AB392" s="5" t="s">
        <v>1298</v>
      </c>
      <c r="AC392" s="6">
        <f>G392</f>
        <v>162</v>
      </c>
      <c r="AD392" s="6"/>
    </row>
    <row r="393" spans="1:30" ht="19.5" customHeight="1">
      <c r="A393" s="135" t="s">
        <v>779</v>
      </c>
      <c r="B393" s="135" t="s">
        <v>1527</v>
      </c>
      <c r="C393" s="135">
        <v>46218</v>
      </c>
      <c r="D393" s="135" t="s">
        <v>1289</v>
      </c>
      <c r="E393" s="135" t="s">
        <v>1290</v>
      </c>
      <c r="F393" s="135"/>
      <c r="G393" s="135">
        <v>50</v>
      </c>
      <c r="H393" s="135" t="s">
        <v>1425</v>
      </c>
      <c r="I393" s="135" t="str">
        <f>VLOOKUP(H393,list!$B$2:$C$14,2,FALSE)</f>
        <v>ONSITE</v>
      </c>
      <c r="J393" s="135"/>
      <c r="K393" s="135">
        <v>1</v>
      </c>
      <c r="L393" s="135">
        <v>0</v>
      </c>
      <c r="M393" s="135">
        <v>0</v>
      </c>
      <c r="N393" s="135">
        <v>1</v>
      </c>
      <c r="O393" s="135">
        <v>0</v>
      </c>
      <c r="P393" s="135"/>
      <c r="Q393" s="135">
        <v>0</v>
      </c>
      <c r="R393" s="135"/>
      <c r="S393" s="135"/>
      <c r="T393" s="135" t="s">
        <v>19</v>
      </c>
      <c r="U393" s="135"/>
      <c r="V393" s="135" t="s">
        <v>1255</v>
      </c>
      <c r="W393" s="135">
        <v>7</v>
      </c>
      <c r="X393" s="135" t="s">
        <v>2844</v>
      </c>
      <c r="Y393" s="135" t="s">
        <v>2845</v>
      </c>
      <c r="Z393" s="135" t="s">
        <v>1402</v>
      </c>
      <c r="AA393" s="5" t="str">
        <f>VLOOKUP(A393,'Form Responses 1'!$C$2:$K$532,6,FALSE)</f>
        <v>Kit delivery and pickup</v>
      </c>
      <c r="AB393" s="5" t="str">
        <f>VLOOKUP(A393,'Form Responses 1'!$C$2:$K$219,7,FALSE)</f>
        <v>Yes</v>
      </c>
      <c r="AC393" s="6">
        <f>VLOOKUP(A393,'Form Responses 1'!$C$2:$K$219,8,FALSE)</f>
        <v>50</v>
      </c>
      <c r="AD393" s="6">
        <f>VLOOKUP(A393,'Form Responses 1'!$C$2:$K$219,9,FALSE)</f>
        <v>0</v>
      </c>
    </row>
    <row r="394" spans="1:30" ht="19.5" customHeight="1">
      <c r="A394" s="135" t="s">
        <v>2846</v>
      </c>
      <c r="B394" s="135"/>
      <c r="C394" s="135">
        <v>46804</v>
      </c>
      <c r="D394" s="135" t="s">
        <v>1343</v>
      </c>
      <c r="E394" s="135" t="s">
        <v>1252</v>
      </c>
      <c r="F394" s="135"/>
      <c r="G394" s="135"/>
      <c r="H394" s="135"/>
      <c r="I394" s="135"/>
      <c r="J394" s="135"/>
      <c r="K394" s="135"/>
      <c r="L394" s="135"/>
      <c r="M394" s="135"/>
      <c r="N394" s="135"/>
      <c r="O394" s="135"/>
      <c r="P394" s="135"/>
      <c r="Q394" s="135"/>
      <c r="R394" s="135"/>
      <c r="S394" s="135"/>
      <c r="T394" s="135"/>
      <c r="U394" s="135"/>
      <c r="V394" s="135"/>
      <c r="W394" s="135"/>
      <c r="X394" s="135">
        <v>2604437300</v>
      </c>
      <c r="Y394" s="135" t="s">
        <v>2847</v>
      </c>
      <c r="Z394" s="135"/>
      <c r="AA394" s="5" t="str">
        <f>VLOOKUP(A394,'Form Responses 1'!$C$2:$K$532,6,FALSE)</f>
        <v>Onsite sample collection by ISDH team</v>
      </c>
      <c r="AB394" s="5" t="e">
        <f>VLOOKUP(A394,'Form Responses 1'!$C$2:$K$219,7,FALSE)</f>
        <v>#N/A</v>
      </c>
      <c r="AC394" s="6" t="e">
        <f>VLOOKUP(A394,'Form Responses 1'!$C$2:$K$219,8,FALSE)</f>
        <v>#N/A</v>
      </c>
      <c r="AD394" s="6" t="e">
        <f>VLOOKUP(A394,'Form Responses 1'!$C$2:$K$219,9,FALSE)</f>
        <v>#N/A</v>
      </c>
    </row>
    <row r="395" spans="1:30" ht="19.5" customHeight="1">
      <c r="A395" s="135" t="s">
        <v>2848</v>
      </c>
      <c r="B395" s="135"/>
      <c r="C395" s="135">
        <v>46805</v>
      </c>
      <c r="D395" s="135" t="s">
        <v>1343</v>
      </c>
      <c r="E395" s="135" t="s">
        <v>1252</v>
      </c>
      <c r="F395" s="135"/>
      <c r="G395" s="135"/>
      <c r="H395" s="135"/>
      <c r="I395" s="135"/>
      <c r="J395" s="135"/>
      <c r="K395" s="135"/>
      <c r="L395" s="135"/>
      <c r="M395" s="135"/>
      <c r="N395" s="135"/>
      <c r="O395" s="135"/>
      <c r="P395" s="135"/>
      <c r="Q395" s="135"/>
      <c r="R395" s="135"/>
      <c r="S395" s="135"/>
      <c r="T395" s="135"/>
      <c r="U395" s="135"/>
      <c r="V395" s="135"/>
      <c r="W395" s="135"/>
      <c r="X395" s="135">
        <v>2604845555</v>
      </c>
      <c r="Y395" s="135" t="s">
        <v>2849</v>
      </c>
      <c r="Z395" s="135"/>
      <c r="AA395" s="5" t="str">
        <f>VLOOKUP(A395,'Form Responses 1'!$C$2:$K$532,6,FALSE)</f>
        <v>Kit delivery and pickup</v>
      </c>
      <c r="AB395" s="5" t="e">
        <f>VLOOKUP(A395,'Form Responses 1'!$C$2:$K$219,7,FALSE)</f>
        <v>#N/A</v>
      </c>
      <c r="AC395" s="6" t="e">
        <f>VLOOKUP(A395,'Form Responses 1'!$C$2:$K$219,8,FALSE)</f>
        <v>#N/A</v>
      </c>
      <c r="AD395" s="6" t="e">
        <f>VLOOKUP(A395,'Form Responses 1'!$C$2:$K$219,9,FALSE)</f>
        <v>#N/A</v>
      </c>
    </row>
    <row r="396" spans="1:30" ht="19.5" customHeight="1">
      <c r="A396" s="135" t="s">
        <v>2850</v>
      </c>
      <c r="B396" s="135"/>
      <c r="C396" s="135">
        <v>47904</v>
      </c>
      <c r="D396" s="135" t="s">
        <v>1423</v>
      </c>
      <c r="E396" s="135" t="s">
        <v>1424</v>
      </c>
      <c r="F396" s="135"/>
      <c r="G396" s="135"/>
      <c r="H396" s="135"/>
      <c r="I396" s="135"/>
      <c r="J396" s="135"/>
      <c r="K396" s="135"/>
      <c r="L396" s="135"/>
      <c r="M396" s="135"/>
      <c r="N396" s="135"/>
      <c r="O396" s="135"/>
      <c r="P396" s="135"/>
      <c r="Q396" s="135"/>
      <c r="R396" s="135"/>
      <c r="S396" s="135"/>
      <c r="T396" s="135"/>
      <c r="U396" s="135"/>
      <c r="V396" s="135"/>
      <c r="W396" s="135"/>
      <c r="X396" s="135">
        <v>7654234861</v>
      </c>
      <c r="Y396" s="135" t="s">
        <v>2851</v>
      </c>
      <c r="Z396" s="135"/>
      <c r="AA396" s="5" t="str">
        <f>VLOOKUP(A396,'Form Responses 1'!$C$2:$K$532,6,FALSE)</f>
        <v>Kit delivery and pickup</v>
      </c>
      <c r="AB396" s="5" t="e">
        <f>VLOOKUP(A396,'Form Responses 1'!$C$2:$K$219,7,FALSE)</f>
        <v>#N/A</v>
      </c>
      <c r="AC396" s="6" t="e">
        <f>VLOOKUP(A396,'Form Responses 1'!$C$2:$K$219,8,FALSE)</f>
        <v>#N/A</v>
      </c>
      <c r="AD396" s="6" t="e">
        <f>VLOOKUP(A396,'Form Responses 1'!$C$2:$K$219,9,FALSE)</f>
        <v>#N/A</v>
      </c>
    </row>
    <row r="397" spans="1:30" ht="19.5" customHeight="1">
      <c r="A397" s="135" t="s">
        <v>2852</v>
      </c>
      <c r="B397" s="135" t="s">
        <v>343</v>
      </c>
      <c r="C397" s="135">
        <v>47167</v>
      </c>
      <c r="D397" s="135" t="s">
        <v>2397</v>
      </c>
      <c r="E397" s="135" t="s">
        <v>1795</v>
      </c>
      <c r="F397" s="135"/>
      <c r="G397" s="135">
        <v>134</v>
      </c>
      <c r="H397" s="135" t="s">
        <v>1276</v>
      </c>
      <c r="I397" s="135" t="str">
        <f>VLOOKUP(H397,list!$B$2:$C$14,2,FALSE)</f>
        <v>GREEN</v>
      </c>
      <c r="J397" s="135"/>
      <c r="K397" s="135">
        <v>0</v>
      </c>
      <c r="L397" s="135">
        <v>0</v>
      </c>
      <c r="M397" s="135">
        <v>0</v>
      </c>
      <c r="N397" s="135">
        <v>0</v>
      </c>
      <c r="O397" s="135">
        <v>0</v>
      </c>
      <c r="P397" s="135"/>
      <c r="Q397" s="135">
        <v>0</v>
      </c>
      <c r="R397" s="135"/>
      <c r="S397" s="135"/>
      <c r="T397" s="135" t="s">
        <v>19</v>
      </c>
      <c r="U397" s="135"/>
      <c r="V397" s="135" t="s">
        <v>1255</v>
      </c>
      <c r="W397" s="135">
        <v>2</v>
      </c>
      <c r="X397" s="135" t="s">
        <v>2853</v>
      </c>
      <c r="Y397" s="135" t="s">
        <v>2854</v>
      </c>
      <c r="Z397" s="135" t="s">
        <v>2400</v>
      </c>
      <c r="AA397" s="5" t="s">
        <v>18</v>
      </c>
      <c r="AB397" s="5" t="s">
        <v>1298</v>
      </c>
      <c r="AC397" s="6">
        <f>G397</f>
        <v>134</v>
      </c>
      <c r="AD397" s="6"/>
    </row>
    <row r="398" spans="1:30" ht="19.5" customHeight="1">
      <c r="A398" s="135" t="s">
        <v>787</v>
      </c>
      <c r="B398" s="135" t="s">
        <v>2855</v>
      </c>
      <c r="C398" s="135">
        <v>46635</v>
      </c>
      <c r="D398" s="135" t="s">
        <v>1547</v>
      </c>
      <c r="E398" s="135" t="s">
        <v>1480</v>
      </c>
      <c r="F398" s="135"/>
      <c r="G398" s="135">
        <v>230</v>
      </c>
      <c r="H398" s="135" t="s">
        <v>1276</v>
      </c>
      <c r="I398" s="135" t="str">
        <f>VLOOKUP(H398,list!$B$2:$C$14,2,FALSE)</f>
        <v>GREEN</v>
      </c>
      <c r="J398" s="135"/>
      <c r="K398" s="135">
        <v>0</v>
      </c>
      <c r="L398" s="135">
        <v>0</v>
      </c>
      <c r="M398" s="135">
        <v>0</v>
      </c>
      <c r="N398" s="135">
        <v>0</v>
      </c>
      <c r="O398" s="135">
        <v>0</v>
      </c>
      <c r="P398" s="135"/>
      <c r="Q398" s="135">
        <v>0</v>
      </c>
      <c r="R398" s="135"/>
      <c r="S398" s="135"/>
      <c r="T398" s="135" t="s">
        <v>30</v>
      </c>
      <c r="U398" s="135" t="s">
        <v>2856</v>
      </c>
      <c r="V398" s="135" t="s">
        <v>1255</v>
      </c>
      <c r="W398" s="135">
        <v>2</v>
      </c>
      <c r="X398" s="135" t="s">
        <v>2857</v>
      </c>
      <c r="Y398" s="135" t="s">
        <v>2858</v>
      </c>
      <c r="Z398" s="135" t="s">
        <v>2859</v>
      </c>
      <c r="AA398" s="5" t="str">
        <f>VLOOKUP(A398,'Form Responses 1'!$C$2:$K$532,6,FALSE)</f>
        <v>Kit delivery and pickup</v>
      </c>
      <c r="AB398" s="5" t="str">
        <f>VLOOKUP(A398,'Form Responses 1'!$C$2:$K$219,7,FALSE)</f>
        <v>No</v>
      </c>
      <c r="AC398" s="6">
        <f>VLOOKUP(A398,'Form Responses 1'!$C$2:$K$219,8,FALSE)</f>
        <v>230</v>
      </c>
      <c r="AD398" s="6">
        <f>VLOOKUP(A398,'Form Responses 1'!$C$2:$K$219,9,FALSE)</f>
        <v>0</v>
      </c>
    </row>
    <row r="399" spans="1:30" ht="19.5" customHeight="1">
      <c r="A399" s="135" t="s">
        <v>2860</v>
      </c>
      <c r="B399" s="321" t="s">
        <v>1312</v>
      </c>
      <c r="C399" s="135">
        <v>47532</v>
      </c>
      <c r="D399" s="135" t="s">
        <v>2197</v>
      </c>
      <c r="E399" s="135" t="s">
        <v>1574</v>
      </c>
      <c r="F399" s="135" t="s">
        <v>30</v>
      </c>
      <c r="G399" s="135">
        <v>136</v>
      </c>
      <c r="H399" s="135" t="s">
        <v>1276</v>
      </c>
      <c r="I399" s="135" t="str">
        <f>VLOOKUP(H399,list!$B$2:$C$14,2,FALSE)</f>
        <v>GREEN</v>
      </c>
      <c r="J399" s="135"/>
      <c r="K399" s="135">
        <v>0</v>
      </c>
      <c r="L399" s="135">
        <v>0</v>
      </c>
      <c r="M399" s="135">
        <v>0</v>
      </c>
      <c r="N399" s="135">
        <v>0</v>
      </c>
      <c r="O399" s="135">
        <v>0</v>
      </c>
      <c r="P399" s="135"/>
      <c r="Q399" s="135">
        <v>0</v>
      </c>
      <c r="R399" s="135"/>
      <c r="S399" s="135"/>
      <c r="T399" s="135" t="s">
        <v>19</v>
      </c>
      <c r="U399" s="135" t="s">
        <v>1315</v>
      </c>
      <c r="V399" s="135" t="s">
        <v>1255</v>
      </c>
      <c r="W399" s="135">
        <v>2</v>
      </c>
      <c r="X399" s="135" t="s">
        <v>2861</v>
      </c>
      <c r="Y399" s="135" t="s">
        <v>2862</v>
      </c>
      <c r="Z399" s="135" t="s">
        <v>2200</v>
      </c>
      <c r="AA399" s="5" t="s">
        <v>18</v>
      </c>
      <c r="AB399" s="5" t="s">
        <v>1298</v>
      </c>
      <c r="AC399" s="6">
        <f>G399</f>
        <v>136</v>
      </c>
      <c r="AD399" s="6"/>
    </row>
    <row r="400" spans="1:30" ht="19.5" customHeight="1">
      <c r="A400" s="135" t="s">
        <v>2863</v>
      </c>
      <c r="B400" s="135"/>
      <c r="C400" s="135">
        <v>46342</v>
      </c>
      <c r="D400" s="135" t="s">
        <v>2463</v>
      </c>
      <c r="E400" s="135" t="s">
        <v>1375</v>
      </c>
      <c r="F400" s="135"/>
      <c r="G400" s="135">
        <v>116</v>
      </c>
      <c r="H400" s="135" t="s">
        <v>1276</v>
      </c>
      <c r="I400" s="135" t="str">
        <f>VLOOKUP(H400,list!$B$2:$C$14,2,FALSE)</f>
        <v>GREEN</v>
      </c>
      <c r="J400" s="135"/>
      <c r="K400" s="135">
        <v>0</v>
      </c>
      <c r="L400" s="135">
        <v>0</v>
      </c>
      <c r="M400" s="135">
        <v>0</v>
      </c>
      <c r="N400" s="135">
        <v>0</v>
      </c>
      <c r="O400" s="135">
        <v>0</v>
      </c>
      <c r="P400" s="135"/>
      <c r="Q400" s="135">
        <v>0</v>
      </c>
      <c r="R400" s="135"/>
      <c r="S400" s="135" t="s">
        <v>2864</v>
      </c>
      <c r="T400" s="135" t="s">
        <v>19</v>
      </c>
      <c r="U400" s="135"/>
      <c r="V400" s="135" t="s">
        <v>1255</v>
      </c>
      <c r="W400" s="135">
        <v>2</v>
      </c>
      <c r="X400" s="135" t="s">
        <v>2865</v>
      </c>
      <c r="Y400" s="135" t="s">
        <v>2866</v>
      </c>
      <c r="Z400" s="135" t="s">
        <v>2466</v>
      </c>
      <c r="AA400" s="5" t="e">
        <f>VLOOKUP(A400,'Form Responses 1'!$C$2:$K$532,6,FALSE)</f>
        <v>#N/A</v>
      </c>
      <c r="AB400" s="5" t="e">
        <f>VLOOKUP(A400,'Form Responses 1'!$C$2:$K$219,7,FALSE)</f>
        <v>#N/A</v>
      </c>
      <c r="AC400" s="6" t="e">
        <f>VLOOKUP(A400,'Form Responses 1'!$C$2:$K$219,8,FALSE)</f>
        <v>#N/A</v>
      </c>
      <c r="AD400" s="6" t="e">
        <f>VLOOKUP(A400,'Form Responses 1'!$C$2:$K$219,9,FALSE)</f>
        <v>#N/A</v>
      </c>
    </row>
    <row r="401" spans="1:30" ht="19.5" customHeight="1">
      <c r="A401" s="135" t="s">
        <v>2867</v>
      </c>
      <c r="B401" s="135" t="s">
        <v>1288</v>
      </c>
      <c r="C401" s="135">
        <v>47172</v>
      </c>
      <c r="D401" s="135" t="s">
        <v>2366</v>
      </c>
      <c r="E401" s="135" t="s">
        <v>1665</v>
      </c>
      <c r="F401" s="135"/>
      <c r="G401" s="135">
        <v>75</v>
      </c>
      <c r="H401" s="135" t="s">
        <v>1326</v>
      </c>
      <c r="I401" s="135" t="str">
        <f>VLOOKUP(H401,list!$B$2:$C$14,2,FALSE)</f>
        <v>ONSITE</v>
      </c>
      <c r="J401" s="135"/>
      <c r="K401" s="135">
        <v>0</v>
      </c>
      <c r="L401" s="135">
        <v>0</v>
      </c>
      <c r="M401" s="135">
        <v>0</v>
      </c>
      <c r="N401" s="135">
        <v>0</v>
      </c>
      <c r="O401" s="135">
        <v>0</v>
      </c>
      <c r="P401" s="135"/>
      <c r="Q401" s="135">
        <v>1</v>
      </c>
      <c r="R401" s="135"/>
      <c r="S401" s="135" t="s">
        <v>2868</v>
      </c>
      <c r="T401" s="135" t="s">
        <v>19</v>
      </c>
      <c r="U401" s="135" t="s">
        <v>2869</v>
      </c>
      <c r="V401" s="135" t="s">
        <v>1255</v>
      </c>
      <c r="W401" s="135">
        <v>1</v>
      </c>
      <c r="X401" s="135" t="s">
        <v>2870</v>
      </c>
      <c r="Y401" s="135" t="s">
        <v>2871</v>
      </c>
      <c r="Z401" s="135" t="s">
        <v>2370</v>
      </c>
      <c r="AA401" s="5" t="s">
        <v>91</v>
      </c>
      <c r="AB401" s="5" t="s">
        <v>30</v>
      </c>
      <c r="AC401" s="6">
        <f t="shared" ref="AC401:AC402" si="29">G401</f>
        <v>75</v>
      </c>
      <c r="AD401" s="6"/>
    </row>
    <row r="402" spans="1:30" ht="19.5" customHeight="1">
      <c r="A402" s="135" t="s">
        <v>2872</v>
      </c>
      <c r="B402" s="7" t="s">
        <v>1312</v>
      </c>
      <c r="C402" s="135">
        <v>47362</v>
      </c>
      <c r="D402" s="135" t="s">
        <v>1887</v>
      </c>
      <c r="E402" s="135" t="s">
        <v>1888</v>
      </c>
      <c r="F402" s="135"/>
      <c r="G402" s="135">
        <v>28</v>
      </c>
      <c r="H402" s="135" t="s">
        <v>1276</v>
      </c>
      <c r="I402" s="135" t="str">
        <f>VLOOKUP(H402,list!$B$2:$C$14,2,FALSE)</f>
        <v>GREEN</v>
      </c>
      <c r="J402" s="135"/>
      <c r="K402" s="135">
        <v>0</v>
      </c>
      <c r="L402" s="135">
        <v>0</v>
      </c>
      <c r="M402" s="135">
        <v>0</v>
      </c>
      <c r="N402" s="135">
        <v>0</v>
      </c>
      <c r="O402" s="135">
        <v>0</v>
      </c>
      <c r="P402" s="135"/>
      <c r="Q402" s="135">
        <v>0</v>
      </c>
      <c r="R402" s="135"/>
      <c r="S402" s="135"/>
      <c r="T402" s="135" t="s">
        <v>19</v>
      </c>
      <c r="U402" s="135" t="s">
        <v>1315</v>
      </c>
      <c r="V402" s="135" t="s">
        <v>1255</v>
      </c>
      <c r="W402" s="135">
        <v>2</v>
      </c>
      <c r="X402" s="135" t="s">
        <v>2873</v>
      </c>
      <c r="Y402" s="135" t="s">
        <v>2874</v>
      </c>
      <c r="Z402" s="135" t="s">
        <v>2875</v>
      </c>
      <c r="AA402" s="5" t="s">
        <v>18</v>
      </c>
      <c r="AB402" s="5" t="s">
        <v>1298</v>
      </c>
      <c r="AC402" s="6">
        <f t="shared" si="29"/>
        <v>28</v>
      </c>
      <c r="AD402" s="6"/>
    </row>
    <row r="403" spans="1:30" ht="19.5" customHeight="1">
      <c r="A403" s="135" t="s">
        <v>2876</v>
      </c>
      <c r="B403" s="135" t="s">
        <v>343</v>
      </c>
      <c r="C403" s="135">
        <v>47274</v>
      </c>
      <c r="D403" s="135" t="s">
        <v>1731</v>
      </c>
      <c r="E403" s="135" t="s">
        <v>1732</v>
      </c>
      <c r="F403" s="135"/>
      <c r="G403" s="135"/>
      <c r="H403" s="135"/>
      <c r="I403" s="135"/>
      <c r="J403" s="135"/>
      <c r="K403" s="135"/>
      <c r="L403" s="135"/>
      <c r="M403" s="135"/>
      <c r="N403" s="135"/>
      <c r="O403" s="135"/>
      <c r="P403" s="135"/>
      <c r="Q403" s="135"/>
      <c r="R403" s="135"/>
      <c r="S403" s="135"/>
      <c r="T403" s="135"/>
      <c r="U403" s="135"/>
      <c r="V403" s="135"/>
      <c r="W403" s="135"/>
      <c r="X403" s="135">
        <v>8125222416</v>
      </c>
      <c r="Y403" s="135" t="s">
        <v>2877</v>
      </c>
      <c r="Z403" s="135"/>
      <c r="AA403" s="5" t="s">
        <v>18</v>
      </c>
      <c r="AB403" s="5" t="s">
        <v>1298</v>
      </c>
      <c r="AC403" s="6"/>
      <c r="AD403" s="6" t="e">
        <f>VLOOKUP(A403,'Form Responses 1'!$C$2:$K$219,9,FALSE)</f>
        <v>#N/A</v>
      </c>
    </row>
    <row r="404" spans="1:30" ht="19.5" customHeight="1">
      <c r="A404" s="135" t="s">
        <v>791</v>
      </c>
      <c r="B404" s="135"/>
      <c r="C404" s="135">
        <v>47025</v>
      </c>
      <c r="D404" s="135" t="s">
        <v>2781</v>
      </c>
      <c r="E404" s="135" t="s">
        <v>2782</v>
      </c>
      <c r="F404" s="135"/>
      <c r="G404" s="135">
        <v>65</v>
      </c>
      <c r="H404" s="135" t="s">
        <v>1253</v>
      </c>
      <c r="I404" s="135" t="str">
        <f>VLOOKUP(H404,list!$B$2:$C$14,2,FALSE)</f>
        <v>KITS</v>
      </c>
      <c r="J404" s="135"/>
      <c r="K404" s="135">
        <v>0</v>
      </c>
      <c r="L404" s="135">
        <v>0</v>
      </c>
      <c r="M404" s="135">
        <v>0</v>
      </c>
      <c r="N404" s="135">
        <v>0</v>
      </c>
      <c r="O404" s="135">
        <v>0</v>
      </c>
      <c r="P404" s="135"/>
      <c r="Q404" s="135">
        <v>0</v>
      </c>
      <c r="R404" s="135"/>
      <c r="S404" s="135"/>
      <c r="T404" s="135" t="s">
        <v>30</v>
      </c>
      <c r="U404" s="135"/>
      <c r="V404" s="135" t="s">
        <v>1255</v>
      </c>
      <c r="W404" s="135">
        <v>6</v>
      </c>
      <c r="X404" s="135" t="s">
        <v>2878</v>
      </c>
      <c r="Y404" s="135" t="s">
        <v>2879</v>
      </c>
      <c r="Z404" s="135" t="s">
        <v>2785</v>
      </c>
      <c r="AA404" s="5" t="str">
        <f>VLOOKUP(A404,'Form Responses 1'!$C$2:$K$532,6,FALSE)</f>
        <v>Kit delivery and pickup</v>
      </c>
      <c r="AB404" s="5" t="str">
        <f>VLOOKUP(A404,'Form Responses 1'!$C$2:$K$219,7,FALSE)</f>
        <v>No</v>
      </c>
      <c r="AC404" s="6">
        <f>VLOOKUP(A404,'Form Responses 1'!$C$2:$K$219,8,FALSE)</f>
        <v>65</v>
      </c>
      <c r="AD404" s="6" t="str">
        <f>VLOOKUP(A404,'Form Responses 1'!$C$2:$K$219,9,FALSE)</f>
        <v>will they provide coolers at drop off?</v>
      </c>
    </row>
    <row r="405" spans="1:30" ht="19.5" customHeight="1">
      <c r="A405" s="135" t="s">
        <v>796</v>
      </c>
      <c r="B405" s="135" t="s">
        <v>2880</v>
      </c>
      <c r="C405" s="135">
        <v>46052</v>
      </c>
      <c r="D405" s="135" t="s">
        <v>1817</v>
      </c>
      <c r="E405" s="135" t="s">
        <v>1818</v>
      </c>
      <c r="F405" s="135"/>
      <c r="G405" s="135">
        <v>85</v>
      </c>
      <c r="H405" s="135" t="s">
        <v>1465</v>
      </c>
      <c r="I405" s="135" t="str">
        <f>VLOOKUP(H405,list!$B$2:$C$14,2,FALSE)</f>
        <v>GREEN</v>
      </c>
      <c r="J405" s="135"/>
      <c r="K405" s="135">
        <v>0</v>
      </c>
      <c r="L405" s="135">
        <v>0</v>
      </c>
      <c r="M405" s="135">
        <v>0</v>
      </c>
      <c r="N405" s="135">
        <v>0</v>
      </c>
      <c r="O405" s="135">
        <v>0</v>
      </c>
      <c r="P405" s="135"/>
      <c r="Q405" s="135">
        <v>0</v>
      </c>
      <c r="R405" s="135"/>
      <c r="S405" s="135"/>
      <c r="T405" s="135" t="s">
        <v>19</v>
      </c>
      <c r="U405" s="135" t="s">
        <v>2881</v>
      </c>
      <c r="V405" s="135" t="s">
        <v>1255</v>
      </c>
      <c r="W405" s="135">
        <v>4</v>
      </c>
      <c r="X405" s="135" t="s">
        <v>2882</v>
      </c>
      <c r="Y405" s="135" t="s">
        <v>2883</v>
      </c>
      <c r="Z405" s="135" t="s">
        <v>1821</v>
      </c>
      <c r="AA405" s="5" t="str">
        <f>VLOOKUP(A405,'Form Responses 1'!$C$2:$K$532,6,FALSE)</f>
        <v>Prefer not to use ISDH resources for employee testing</v>
      </c>
      <c r="AB405" s="5">
        <f>VLOOKUP(A405,'Form Responses 1'!$C$2:$K$219,7,FALSE)</f>
        <v>0</v>
      </c>
      <c r="AC405" s="6">
        <f>VLOOKUP(A405,'Form Responses 1'!$C$2:$K$219,8,FALSE)</f>
        <v>0</v>
      </c>
      <c r="AD405" s="6">
        <f>VLOOKUP(A405,'Form Responses 1'!$C$2:$K$219,9,FALSE)</f>
        <v>0</v>
      </c>
    </row>
    <row r="406" spans="1:30" ht="19.5" customHeight="1">
      <c r="A406" s="135" t="s">
        <v>1102</v>
      </c>
      <c r="B406" s="135" t="s">
        <v>2880</v>
      </c>
      <c r="C406" s="135">
        <v>46714</v>
      </c>
      <c r="D406" s="135" t="s">
        <v>1533</v>
      </c>
      <c r="E406" s="135" t="s">
        <v>1534</v>
      </c>
      <c r="F406" s="135"/>
      <c r="G406" s="135">
        <v>60</v>
      </c>
      <c r="H406" s="135" t="s">
        <v>1276</v>
      </c>
      <c r="I406" s="135" t="str">
        <f>VLOOKUP(H406,list!$B$2:$C$14,2,FALSE)</f>
        <v>GREEN</v>
      </c>
      <c r="J406" s="135"/>
      <c r="K406" s="135">
        <v>0</v>
      </c>
      <c r="L406" s="135">
        <v>0</v>
      </c>
      <c r="M406" s="135">
        <v>0</v>
      </c>
      <c r="N406" s="135">
        <v>0</v>
      </c>
      <c r="O406" s="135">
        <v>0</v>
      </c>
      <c r="P406" s="135"/>
      <c r="Q406" s="135">
        <v>0</v>
      </c>
      <c r="R406" s="135"/>
      <c r="S406" s="135"/>
      <c r="T406" s="135" t="s">
        <v>19</v>
      </c>
      <c r="U406" s="135"/>
      <c r="V406" s="135" t="s">
        <v>1255</v>
      </c>
      <c r="W406" s="135">
        <v>2</v>
      </c>
      <c r="X406" s="135" t="s">
        <v>2884</v>
      </c>
      <c r="Y406" s="135" t="s">
        <v>2885</v>
      </c>
      <c r="Z406" s="135" t="s">
        <v>1538</v>
      </c>
      <c r="AA406" s="5" t="str">
        <f>VLOOKUP(A406,'Form Responses 1'!$C$2:$K$532,6,FALSE)</f>
        <v>Kit delivery and pickup</v>
      </c>
      <c r="AB406" s="5" t="e">
        <f>VLOOKUP(A406,'Form Responses 1'!$C$2:$K$219,7,FALSE)</f>
        <v>#N/A</v>
      </c>
      <c r="AC406" s="6" t="e">
        <f>VLOOKUP(A406,'Form Responses 1'!$C$2:$K$219,8,FALSE)</f>
        <v>#N/A</v>
      </c>
      <c r="AD406" s="6" t="e">
        <f>VLOOKUP(A406,'Form Responses 1'!$C$2:$K$219,9,FALSE)</f>
        <v>#N/A</v>
      </c>
    </row>
    <row r="407" spans="1:30" ht="19.5" customHeight="1">
      <c r="A407" s="135" t="s">
        <v>800</v>
      </c>
      <c r="B407" s="135" t="s">
        <v>2880</v>
      </c>
      <c r="C407" s="135">
        <v>46506</v>
      </c>
      <c r="D407" s="135" t="s">
        <v>2886</v>
      </c>
      <c r="E407" s="135" t="s">
        <v>2502</v>
      </c>
      <c r="F407" s="135"/>
      <c r="G407" s="135">
        <v>80</v>
      </c>
      <c r="H407" s="135" t="s">
        <v>1276</v>
      </c>
      <c r="I407" s="135" t="str">
        <f>VLOOKUP(H407,list!$B$2:$C$14,2,FALSE)</f>
        <v>GREEN</v>
      </c>
      <c r="J407" s="135"/>
      <c r="K407" s="135">
        <v>0</v>
      </c>
      <c r="L407" s="135">
        <v>0</v>
      </c>
      <c r="M407" s="135">
        <v>0</v>
      </c>
      <c r="N407" s="135">
        <v>0</v>
      </c>
      <c r="O407" s="135">
        <v>0</v>
      </c>
      <c r="P407" s="135"/>
      <c r="Q407" s="135">
        <v>0</v>
      </c>
      <c r="R407" s="135"/>
      <c r="S407" s="135"/>
      <c r="T407" s="135" t="s">
        <v>19</v>
      </c>
      <c r="U407" s="135"/>
      <c r="V407" s="135" t="s">
        <v>1255</v>
      </c>
      <c r="W407" s="135">
        <v>2</v>
      </c>
      <c r="X407" s="135" t="s">
        <v>2887</v>
      </c>
      <c r="Y407" s="135" t="s">
        <v>2888</v>
      </c>
      <c r="Z407" s="135" t="s">
        <v>2889</v>
      </c>
      <c r="AA407" s="5" t="str">
        <f>VLOOKUP(A407,'Form Responses 1'!$C$2:$K$532,6,FALSE)</f>
        <v>Kit delivery and pickup</v>
      </c>
      <c r="AB407" s="5" t="str">
        <f>VLOOKUP(A407,'Form Responses 1'!$C$2:$K$219,7,FALSE)</f>
        <v>No</v>
      </c>
      <c r="AC407" s="6">
        <f>VLOOKUP(A407,'Form Responses 1'!$C$2:$K$219,8,FALSE)</f>
        <v>80</v>
      </c>
      <c r="AD407" s="6">
        <f>VLOOKUP(A407,'Form Responses 1'!$C$2:$K$219,9,FALSE)</f>
        <v>0</v>
      </c>
    </row>
    <row r="408" spans="1:30" ht="19.5" customHeight="1">
      <c r="A408" s="135" t="s">
        <v>1094</v>
      </c>
      <c r="B408" s="135" t="s">
        <v>2880</v>
      </c>
      <c r="C408" s="135">
        <v>46815</v>
      </c>
      <c r="D408" s="135" t="s">
        <v>1343</v>
      </c>
      <c r="E408" s="135" t="s">
        <v>1252</v>
      </c>
      <c r="F408" s="135"/>
      <c r="G408" s="135">
        <v>104</v>
      </c>
      <c r="H408" s="135" t="s">
        <v>1465</v>
      </c>
      <c r="I408" s="135" t="str">
        <f>VLOOKUP(H408,list!$B$2:$C$14,2,FALSE)</f>
        <v>GREEN</v>
      </c>
      <c r="J408" s="135"/>
      <c r="K408" s="135">
        <v>0</v>
      </c>
      <c r="L408" s="135">
        <v>0</v>
      </c>
      <c r="M408" s="135">
        <v>0</v>
      </c>
      <c r="N408" s="135">
        <v>0</v>
      </c>
      <c r="O408" s="135">
        <v>0</v>
      </c>
      <c r="P408" s="135"/>
      <c r="Q408" s="135">
        <v>0</v>
      </c>
      <c r="R408" s="135"/>
      <c r="S408" s="135"/>
      <c r="T408" s="135" t="s">
        <v>19</v>
      </c>
      <c r="U408" s="135" t="s">
        <v>30</v>
      </c>
      <c r="V408" s="135" t="s">
        <v>1255</v>
      </c>
      <c r="W408" s="135">
        <v>4</v>
      </c>
      <c r="X408" s="135" t="s">
        <v>2890</v>
      </c>
      <c r="Y408" s="135" t="s">
        <v>2891</v>
      </c>
      <c r="Z408" s="135" t="s">
        <v>1993</v>
      </c>
      <c r="AA408" s="5" t="str">
        <f>VLOOKUP(A408,'Form Responses 1'!$C$2:$K$532,6,FALSE)</f>
        <v>Prefer not to use ISDH resources for employee testing</v>
      </c>
      <c r="AB408" s="5" t="e">
        <f>VLOOKUP(A408,'Form Responses 1'!$C$2:$K$219,7,FALSE)</f>
        <v>#N/A</v>
      </c>
      <c r="AC408" s="6" t="e">
        <f>VLOOKUP(A408,'Form Responses 1'!$C$2:$K$219,8,FALSE)</f>
        <v>#N/A</v>
      </c>
      <c r="AD408" s="6" t="e">
        <f>VLOOKUP(A408,'Form Responses 1'!$C$2:$K$219,9,FALSE)</f>
        <v>#N/A</v>
      </c>
    </row>
    <row r="409" spans="1:30" ht="19.5" customHeight="1">
      <c r="A409" s="135" t="s">
        <v>804</v>
      </c>
      <c r="B409" s="135" t="s">
        <v>2880</v>
      </c>
      <c r="C409" s="135">
        <v>47905</v>
      </c>
      <c r="D409" s="135" t="s">
        <v>1423</v>
      </c>
      <c r="E409" s="135" t="s">
        <v>1424</v>
      </c>
      <c r="F409" s="135"/>
      <c r="G409" s="135">
        <v>110</v>
      </c>
      <c r="H409" s="135" t="s">
        <v>1253</v>
      </c>
      <c r="I409" s="135" t="str">
        <f>VLOOKUP(H409,list!$B$2:$C$14,2,FALSE)</f>
        <v>KITS</v>
      </c>
      <c r="J409" s="135"/>
      <c r="K409" s="135">
        <v>0</v>
      </c>
      <c r="L409" s="135">
        <v>0</v>
      </c>
      <c r="M409" s="135">
        <v>0</v>
      </c>
      <c r="N409" s="135">
        <v>0</v>
      </c>
      <c r="O409" s="135">
        <v>0</v>
      </c>
      <c r="P409" s="135"/>
      <c r="Q409" s="135">
        <v>0</v>
      </c>
      <c r="R409" s="135"/>
      <c r="S409" s="135"/>
      <c r="T409" s="135" t="s">
        <v>19</v>
      </c>
      <c r="U409" s="135"/>
      <c r="V409" s="135" t="s">
        <v>1255</v>
      </c>
      <c r="W409" s="135">
        <v>6</v>
      </c>
      <c r="X409" s="135" t="s">
        <v>2892</v>
      </c>
      <c r="Y409" s="135" t="s">
        <v>2893</v>
      </c>
      <c r="Z409" s="135" t="s">
        <v>1739</v>
      </c>
      <c r="AA409" s="5" t="str">
        <f>VLOOKUP(A409,'Form Responses 1'!$C$2:$K$532,6,FALSE)</f>
        <v>Kit delivery and pickup</v>
      </c>
      <c r="AB409" s="5" t="str">
        <f>VLOOKUP(A409,'Form Responses 1'!$C$2:$K$219,7,FALSE)</f>
        <v>No</v>
      </c>
      <c r="AC409" s="6">
        <f>VLOOKUP(A409,'Form Responses 1'!$C$2:$K$219,8,FALSE)</f>
        <v>110</v>
      </c>
      <c r="AD409" s="6" t="str">
        <f>VLOOKUP(A409,'Form Responses 1'!$C$2:$K$219,9,FALSE)</f>
        <v>appreciative of the state support</v>
      </c>
    </row>
    <row r="410" spans="1:30" ht="19.5" customHeight="1">
      <c r="A410" s="135" t="s">
        <v>808</v>
      </c>
      <c r="B410" s="135" t="s">
        <v>2880</v>
      </c>
      <c r="C410" s="135">
        <v>47630</v>
      </c>
      <c r="D410" s="135" t="s">
        <v>1761</v>
      </c>
      <c r="E410" s="135" t="s">
        <v>1762</v>
      </c>
      <c r="F410" s="135"/>
      <c r="G410" s="135">
        <v>75</v>
      </c>
      <c r="H410" s="135" t="s">
        <v>1465</v>
      </c>
      <c r="I410" s="135" t="str">
        <f>VLOOKUP(H410,list!$B$2:$C$14,2,FALSE)</f>
        <v>GREEN</v>
      </c>
      <c r="J410" s="135"/>
      <c r="K410" s="135">
        <v>0</v>
      </c>
      <c r="L410" s="135">
        <v>0</v>
      </c>
      <c r="M410" s="135">
        <v>0</v>
      </c>
      <c r="N410" s="135">
        <v>0</v>
      </c>
      <c r="O410" s="135">
        <v>0</v>
      </c>
      <c r="P410" s="135"/>
      <c r="Q410" s="135">
        <v>0</v>
      </c>
      <c r="R410" s="135"/>
      <c r="S410" s="135"/>
      <c r="T410" s="135" t="s">
        <v>19</v>
      </c>
      <c r="U410" s="135"/>
      <c r="V410" s="135" t="s">
        <v>1255</v>
      </c>
      <c r="W410" s="135">
        <v>4</v>
      </c>
      <c r="X410" s="135" t="s">
        <v>2894</v>
      </c>
      <c r="Y410" s="135" t="s">
        <v>2895</v>
      </c>
      <c r="Z410" s="135" t="s">
        <v>1765</v>
      </c>
      <c r="AA410" s="5" t="str">
        <f>VLOOKUP(A410,'Form Responses 1'!$C$2:$K$532,6,FALSE)</f>
        <v>Kit delivery and pickup</v>
      </c>
      <c r="AB410" s="5" t="str">
        <f>VLOOKUP(A410,'Form Responses 1'!$C$2:$K$219,7,FALSE)</f>
        <v>No</v>
      </c>
      <c r="AC410" s="6">
        <f>VLOOKUP(A410,'Form Responses 1'!$C$2:$K$219,8,FALSE)</f>
        <v>75</v>
      </c>
      <c r="AD410" s="6" t="str">
        <f>VLOOKUP(A410,'Form Responses 1'!$C$2:$K$219,9,FALSE)</f>
        <v xml:space="preserve">Admin been on phone all day with ISDH with COVID issues d/t 4 residents and 1 staff who were pos with S/S in April tested neg x2 later and now are positive again with S/S. </v>
      </c>
    </row>
    <row r="411" spans="1:30" ht="19.5" customHeight="1">
      <c r="A411" s="135" t="s">
        <v>1110</v>
      </c>
      <c r="B411" s="135" t="s">
        <v>2880</v>
      </c>
      <c r="C411" s="135">
        <v>46635</v>
      </c>
      <c r="D411" s="135" t="s">
        <v>1547</v>
      </c>
      <c r="E411" s="135" t="s">
        <v>1480</v>
      </c>
      <c r="F411" s="135"/>
      <c r="G411" s="135">
        <v>63</v>
      </c>
      <c r="H411" s="135" t="s">
        <v>1276</v>
      </c>
      <c r="I411" s="135" t="str">
        <f>VLOOKUP(H411,list!$B$2:$C$14,2,FALSE)</f>
        <v>GREEN</v>
      </c>
      <c r="J411" s="135"/>
      <c r="K411" s="135">
        <v>0</v>
      </c>
      <c r="L411" s="135">
        <v>0</v>
      </c>
      <c r="M411" s="135">
        <v>0</v>
      </c>
      <c r="N411" s="135">
        <v>0</v>
      </c>
      <c r="O411" s="135">
        <v>0</v>
      </c>
      <c r="P411" s="135"/>
      <c r="Q411" s="135">
        <v>0</v>
      </c>
      <c r="R411" s="135"/>
      <c r="S411" s="135"/>
      <c r="T411" s="135" t="s">
        <v>30</v>
      </c>
      <c r="U411" s="135" t="s">
        <v>2896</v>
      </c>
      <c r="V411" s="135" t="s">
        <v>1255</v>
      </c>
      <c r="W411" s="135">
        <v>2</v>
      </c>
      <c r="X411" s="135" t="s">
        <v>2897</v>
      </c>
      <c r="Y411" s="135" t="s">
        <v>2898</v>
      </c>
      <c r="Z411" s="135" t="s">
        <v>2859</v>
      </c>
      <c r="AA411" s="5" t="str">
        <f>VLOOKUP(A411,'Form Responses 1'!$C$2:$K$532,6,FALSE)</f>
        <v>Prefer not to use ISDH resources for employee testing</v>
      </c>
      <c r="AB411" s="5" t="e">
        <f>VLOOKUP(A411,'Form Responses 1'!$C$2:$K$219,7,FALSE)</f>
        <v>#N/A</v>
      </c>
      <c r="AC411" s="6" t="e">
        <f>VLOOKUP(A411,'Form Responses 1'!$C$2:$K$219,8,FALSE)</f>
        <v>#N/A</v>
      </c>
      <c r="AD411" s="6" t="e">
        <f>VLOOKUP(A411,'Form Responses 1'!$C$2:$K$219,9,FALSE)</f>
        <v>#N/A</v>
      </c>
    </row>
    <row r="412" spans="1:30" ht="19.5" customHeight="1">
      <c r="A412" s="135" t="s">
        <v>813</v>
      </c>
      <c r="B412" s="135" t="s">
        <v>2880</v>
      </c>
      <c r="C412" s="135">
        <v>47804</v>
      </c>
      <c r="D412" s="135" t="s">
        <v>1684</v>
      </c>
      <c r="E412" s="135" t="s">
        <v>1685</v>
      </c>
      <c r="F412" s="135"/>
      <c r="G412" s="135">
        <v>209</v>
      </c>
      <c r="H412" s="135" t="s">
        <v>1282</v>
      </c>
      <c r="I412" s="135" t="str">
        <f>VLOOKUP(H412,list!$B$2:$C$14,2,FALSE)</f>
        <v>KITS</v>
      </c>
      <c r="J412" s="135"/>
      <c r="K412" s="135">
        <v>0</v>
      </c>
      <c r="L412" s="135">
        <v>0</v>
      </c>
      <c r="M412" s="135">
        <v>0</v>
      </c>
      <c r="N412" s="135">
        <v>0</v>
      </c>
      <c r="O412" s="135">
        <v>0</v>
      </c>
      <c r="P412" s="135"/>
      <c r="Q412" s="135">
        <v>0</v>
      </c>
      <c r="R412" s="135"/>
      <c r="S412" s="135"/>
      <c r="T412" s="135" t="s">
        <v>19</v>
      </c>
      <c r="U412" s="135"/>
      <c r="V412" s="135" t="s">
        <v>1255</v>
      </c>
      <c r="W412" s="135">
        <v>3</v>
      </c>
      <c r="X412" s="135" t="s">
        <v>2899</v>
      </c>
      <c r="Y412" s="135" t="s">
        <v>2900</v>
      </c>
      <c r="Z412" s="135" t="s">
        <v>2103</v>
      </c>
      <c r="AA412" s="5" t="str">
        <f>VLOOKUP(A412,'Form Responses 1'!$C$2:$K$532,6,FALSE)</f>
        <v>Kit delivery and pickup</v>
      </c>
      <c r="AB412" s="5" t="str">
        <f>VLOOKUP(A412,'Form Responses 1'!$C$2:$K$219,7,FALSE)</f>
        <v>No</v>
      </c>
      <c r="AC412" s="6">
        <f>VLOOKUP(A412,'Form Responses 1'!$C$2:$K$219,8,FALSE)</f>
        <v>225</v>
      </c>
      <c r="AD412" s="6">
        <f>VLOOKUP(A412,'Form Responses 1'!$C$2:$K$219,9,FALSE)</f>
        <v>0</v>
      </c>
    </row>
    <row r="413" spans="1:30" ht="19.5" customHeight="1">
      <c r="A413" s="135" t="s">
        <v>2901</v>
      </c>
      <c r="B413" s="135" t="s">
        <v>1624</v>
      </c>
      <c r="C413" s="135">
        <v>47042</v>
      </c>
      <c r="D413" s="135" t="s">
        <v>2902</v>
      </c>
      <c r="E413" s="135" t="s">
        <v>2356</v>
      </c>
      <c r="F413" s="135" t="s">
        <v>30</v>
      </c>
      <c r="G413" s="135">
        <v>34</v>
      </c>
      <c r="H413" s="135" t="s">
        <v>1282</v>
      </c>
      <c r="I413" s="135" t="str">
        <f>VLOOKUP(H413,list!$B$2:$C$14,2,FALSE)</f>
        <v>KITS</v>
      </c>
      <c r="J413" s="135"/>
      <c r="K413" s="135">
        <v>0</v>
      </c>
      <c r="L413" s="135">
        <v>0</v>
      </c>
      <c r="M413" s="135">
        <v>0</v>
      </c>
      <c r="N413" s="135">
        <v>0</v>
      </c>
      <c r="O413" s="135">
        <v>0</v>
      </c>
      <c r="P413" s="135"/>
      <c r="Q413" s="135">
        <v>0</v>
      </c>
      <c r="R413" s="135"/>
      <c r="S413" s="135"/>
      <c r="T413" s="135" t="s">
        <v>19</v>
      </c>
      <c r="U413" s="135" t="s">
        <v>1657</v>
      </c>
      <c r="V413" s="135" t="s">
        <v>1255</v>
      </c>
      <c r="W413" s="135">
        <v>3</v>
      </c>
      <c r="X413" s="135" t="s">
        <v>2903</v>
      </c>
      <c r="Y413" s="135" t="s">
        <v>2904</v>
      </c>
      <c r="Z413" s="135" t="s">
        <v>2905</v>
      </c>
      <c r="AA413" s="5" t="e">
        <f>VLOOKUP(A413,'Form Responses 1'!$C$2:$K$532,6,FALSE)</f>
        <v>#N/A</v>
      </c>
      <c r="AB413" s="5" t="e">
        <f>VLOOKUP(A413,'Form Responses 1'!$C$2:$K$219,7,FALSE)</f>
        <v>#N/A</v>
      </c>
      <c r="AC413" s="6" t="e">
        <f>VLOOKUP(A413,'Form Responses 1'!$C$2:$K$219,8,FALSE)</f>
        <v>#N/A</v>
      </c>
      <c r="AD413" s="6" t="e">
        <f>VLOOKUP(A413,'Form Responses 1'!$C$2:$K$219,9,FALSE)</f>
        <v>#N/A</v>
      </c>
    </row>
    <row r="414" spans="1:30" ht="19.5" customHeight="1">
      <c r="A414" s="135" t="s">
        <v>2906</v>
      </c>
      <c r="B414" s="321" t="s">
        <v>1312</v>
      </c>
      <c r="C414" s="135">
        <v>47203</v>
      </c>
      <c r="D414" s="135" t="s">
        <v>1698</v>
      </c>
      <c r="E414" s="135" t="s">
        <v>1699</v>
      </c>
      <c r="F414" s="135"/>
      <c r="G414" s="135">
        <v>141</v>
      </c>
      <c r="H414" s="135" t="s">
        <v>1276</v>
      </c>
      <c r="I414" s="135" t="str">
        <f>VLOOKUP(H414,list!$B$2:$C$14,2,FALSE)</f>
        <v>GREEN</v>
      </c>
      <c r="J414" s="135"/>
      <c r="K414" s="135">
        <v>0</v>
      </c>
      <c r="L414" s="135">
        <v>0</v>
      </c>
      <c r="M414" s="135">
        <v>0</v>
      </c>
      <c r="N414" s="135">
        <v>0</v>
      </c>
      <c r="O414" s="135">
        <v>0</v>
      </c>
      <c r="P414" s="135"/>
      <c r="Q414" s="135">
        <v>0</v>
      </c>
      <c r="R414" s="135"/>
      <c r="S414" s="135"/>
      <c r="T414" s="135" t="s">
        <v>19</v>
      </c>
      <c r="U414" s="135" t="s">
        <v>1315</v>
      </c>
      <c r="V414" s="135" t="s">
        <v>1255</v>
      </c>
      <c r="W414" s="135">
        <v>2</v>
      </c>
      <c r="X414" s="135" t="s">
        <v>2907</v>
      </c>
      <c r="Y414" s="135" t="s">
        <v>2908</v>
      </c>
      <c r="Z414" s="135" t="s">
        <v>1854</v>
      </c>
      <c r="AA414" s="5" t="s">
        <v>18</v>
      </c>
      <c r="AB414" s="5" t="s">
        <v>1298</v>
      </c>
      <c r="AC414" s="6">
        <f>G414</f>
        <v>141</v>
      </c>
      <c r="AD414" s="6"/>
    </row>
    <row r="415" spans="1:30" ht="19.5" customHeight="1">
      <c r="A415" s="135" t="s">
        <v>2909</v>
      </c>
      <c r="B415" s="135"/>
      <c r="C415" s="135">
        <v>46407</v>
      </c>
      <c r="D415" s="135" t="s">
        <v>1374</v>
      </c>
      <c r="E415" s="135" t="s">
        <v>1375</v>
      </c>
      <c r="F415" s="135"/>
      <c r="G415" s="135"/>
      <c r="H415" s="135"/>
      <c r="I415" s="135"/>
      <c r="J415" s="135"/>
      <c r="K415" s="135"/>
      <c r="L415" s="135"/>
      <c r="M415" s="135"/>
      <c r="N415" s="135"/>
      <c r="O415" s="135"/>
      <c r="P415" s="135"/>
      <c r="Q415" s="135"/>
      <c r="R415" s="135"/>
      <c r="S415" s="135"/>
      <c r="T415" s="135"/>
      <c r="U415" s="135"/>
      <c r="V415" s="135"/>
      <c r="W415" s="135"/>
      <c r="X415" s="135">
        <v>2198822563</v>
      </c>
      <c r="Y415" s="135" t="s">
        <v>2910</v>
      </c>
      <c r="Z415" s="135"/>
      <c r="AA415" s="5" t="e">
        <f>VLOOKUP(A415,'Form Responses 1'!$C$2:$K$532,6,FALSE)</f>
        <v>#N/A</v>
      </c>
      <c r="AB415" s="5" t="e">
        <f>VLOOKUP(A415,'Form Responses 1'!$C$2:$K$219,7,FALSE)</f>
        <v>#N/A</v>
      </c>
      <c r="AC415" s="6" t="e">
        <f>VLOOKUP(A415,'Form Responses 1'!$C$2:$K$219,8,FALSE)</f>
        <v>#N/A</v>
      </c>
      <c r="AD415" s="6" t="e">
        <f>VLOOKUP(A415,'Form Responses 1'!$C$2:$K$219,9,FALSE)</f>
        <v>#N/A</v>
      </c>
    </row>
    <row r="416" spans="1:30" ht="19.5" customHeight="1">
      <c r="A416" s="135" t="s">
        <v>1071</v>
      </c>
      <c r="B416" s="135"/>
      <c r="C416" s="135">
        <v>47546</v>
      </c>
      <c r="D416" s="135" t="s">
        <v>1338</v>
      </c>
      <c r="E416" s="135" t="s">
        <v>1574</v>
      </c>
      <c r="F416" s="135"/>
      <c r="G416" s="135">
        <v>91</v>
      </c>
      <c r="H416" s="135" t="s">
        <v>1282</v>
      </c>
      <c r="I416" s="135" t="str">
        <f>VLOOKUP(H416,list!$B$2:$C$14,2,FALSE)</f>
        <v>KITS</v>
      </c>
      <c r="J416" s="135"/>
      <c r="K416" s="135">
        <v>0</v>
      </c>
      <c r="L416" s="135">
        <v>0</v>
      </c>
      <c r="M416" s="135">
        <v>0</v>
      </c>
      <c r="N416" s="135">
        <v>0</v>
      </c>
      <c r="O416" s="135">
        <v>0</v>
      </c>
      <c r="P416" s="135"/>
      <c r="Q416" s="135">
        <v>0</v>
      </c>
      <c r="R416" s="135"/>
      <c r="S416" s="135"/>
      <c r="T416" s="135" t="s">
        <v>30</v>
      </c>
      <c r="U416" s="135" t="s">
        <v>2911</v>
      </c>
      <c r="V416" s="135" t="s">
        <v>1255</v>
      </c>
      <c r="W416" s="135">
        <v>3</v>
      </c>
      <c r="X416" s="135" t="e">
        <v>#N/A</v>
      </c>
      <c r="Y416" s="135" t="e">
        <v>#N/A</v>
      </c>
      <c r="Z416" s="135" t="e">
        <v>#N/A</v>
      </c>
      <c r="AA416" s="135" t="str">
        <f>VLOOKUP(A416,'Form Responses 1'!$C$2:$K$532,6,FALSE)</f>
        <v>Prefer not to use ISDH resources for employee testing</v>
      </c>
      <c r="AB416" s="135" t="e">
        <f>VLOOKUP(A416,'Form Responses 1'!$C$2:$K$219,7,FALSE)</f>
        <v>#N/A</v>
      </c>
      <c r="AC416" s="11" t="e">
        <f>VLOOKUP(A416,'Form Responses 1'!$C$2:$K$219,8,FALSE)</f>
        <v>#N/A</v>
      </c>
      <c r="AD416" s="11" t="e">
        <f>VLOOKUP(A416,'Form Responses 1'!$C$2:$K$219,9,FALSE)</f>
        <v>#N/A</v>
      </c>
    </row>
    <row r="417" spans="1:30" ht="19.5" customHeight="1">
      <c r="A417" s="135" t="s">
        <v>1106</v>
      </c>
      <c r="B417" s="135"/>
      <c r="C417" s="135">
        <v>46402</v>
      </c>
      <c r="D417" s="135" t="s">
        <v>1374</v>
      </c>
      <c r="E417" s="135" t="s">
        <v>1375</v>
      </c>
      <c r="F417" s="135"/>
      <c r="G417" s="135">
        <v>110</v>
      </c>
      <c r="H417" s="135" t="s">
        <v>1276</v>
      </c>
      <c r="I417" s="135" t="str">
        <f>VLOOKUP(H417,list!$B$2:$C$14,2,FALSE)</f>
        <v>GREEN</v>
      </c>
      <c r="J417" s="135"/>
      <c r="K417" s="135">
        <v>0</v>
      </c>
      <c r="L417" s="135">
        <v>0</v>
      </c>
      <c r="M417" s="135">
        <v>0</v>
      </c>
      <c r="N417" s="135">
        <v>0</v>
      </c>
      <c r="O417" s="135">
        <v>0</v>
      </c>
      <c r="P417" s="135"/>
      <c r="Q417" s="135">
        <v>0</v>
      </c>
      <c r="R417" s="135"/>
      <c r="S417" s="135"/>
      <c r="T417" s="135" t="s">
        <v>19</v>
      </c>
      <c r="U417" s="135" t="s">
        <v>2912</v>
      </c>
      <c r="V417" s="135" t="s">
        <v>1255</v>
      </c>
      <c r="W417" s="135">
        <v>2</v>
      </c>
      <c r="X417" s="135" t="s">
        <v>2913</v>
      </c>
      <c r="Y417" s="135" t="s">
        <v>2914</v>
      </c>
      <c r="Z417" s="135" t="s">
        <v>2915</v>
      </c>
      <c r="AA417" s="5" t="str">
        <f>VLOOKUP(A417,'Form Responses 1'!$C$2:$K$532,6,FALSE)</f>
        <v>Kit delivery and pickup</v>
      </c>
      <c r="AB417" s="5" t="e">
        <f>VLOOKUP(A417,'Form Responses 1'!$C$2:$K$219,7,FALSE)</f>
        <v>#N/A</v>
      </c>
      <c r="AC417" s="6" t="e">
        <f>VLOOKUP(A417,'Form Responses 1'!$C$2:$K$219,8,FALSE)</f>
        <v>#N/A</v>
      </c>
      <c r="AD417" s="6" t="e">
        <f>VLOOKUP(A417,'Form Responses 1'!$C$2:$K$219,9,FALSE)</f>
        <v>#N/A</v>
      </c>
    </row>
    <row r="418" spans="1:30" ht="19.5" customHeight="1">
      <c r="A418" s="135" t="s">
        <v>2916</v>
      </c>
      <c r="B418" s="135"/>
      <c r="C418" s="135">
        <v>47150</v>
      </c>
      <c r="D418" s="135" t="s">
        <v>1441</v>
      </c>
      <c r="E418" s="135" t="s">
        <v>1442</v>
      </c>
      <c r="F418" s="135"/>
      <c r="G418" s="135">
        <v>155</v>
      </c>
      <c r="H418" s="135" t="s">
        <v>1425</v>
      </c>
      <c r="I418" s="135" t="str">
        <f>VLOOKUP(H418,list!$B$2:$C$14,2,FALSE)</f>
        <v>ONSITE</v>
      </c>
      <c r="J418" s="135"/>
      <c r="K418" s="135">
        <v>1</v>
      </c>
      <c r="L418" s="135">
        <v>0</v>
      </c>
      <c r="M418" s="135">
        <v>0</v>
      </c>
      <c r="N418" s="135">
        <v>0</v>
      </c>
      <c r="O418" s="135">
        <v>0</v>
      </c>
      <c r="P418" s="135"/>
      <c r="Q418" s="135">
        <v>0</v>
      </c>
      <c r="R418" s="135"/>
      <c r="S418" s="135"/>
      <c r="T418" s="135" t="s">
        <v>30</v>
      </c>
      <c r="U418" s="135" t="s">
        <v>2917</v>
      </c>
      <c r="V418" s="135" t="s">
        <v>1255</v>
      </c>
      <c r="W418" s="135">
        <v>7</v>
      </c>
      <c r="X418" s="135" t="s">
        <v>2918</v>
      </c>
      <c r="Y418" s="135" t="s">
        <v>2919</v>
      </c>
      <c r="Z418" s="135" t="s">
        <v>1445</v>
      </c>
      <c r="AA418" s="5" t="e">
        <f>VLOOKUP(A418,'Form Responses 1'!$C$2:$K$532,6,FALSE)</f>
        <v>#N/A</v>
      </c>
      <c r="AB418" s="5" t="e">
        <f>VLOOKUP(A418,'Form Responses 1'!$C$2:$K$219,7,FALSE)</f>
        <v>#N/A</v>
      </c>
      <c r="AC418" s="6" t="e">
        <f>VLOOKUP(A418,'Form Responses 1'!$C$2:$K$219,8,FALSE)</f>
        <v>#N/A</v>
      </c>
      <c r="AD418" s="6" t="e">
        <f>VLOOKUP(A418,'Form Responses 1'!$C$2:$K$219,9,FALSE)</f>
        <v>#N/A</v>
      </c>
    </row>
    <row r="419" spans="1:30" ht="19.5" customHeight="1">
      <c r="A419" s="135" t="s">
        <v>816</v>
      </c>
      <c r="B419" s="135"/>
      <c r="C419" s="135">
        <v>46614</v>
      </c>
      <c r="D419" s="135" t="s">
        <v>1547</v>
      </c>
      <c r="E419" s="135" t="s">
        <v>1480</v>
      </c>
      <c r="F419" s="135"/>
      <c r="G419" s="135">
        <v>120</v>
      </c>
      <c r="H419" s="135" t="s">
        <v>1326</v>
      </c>
      <c r="I419" s="135" t="str">
        <f>VLOOKUP(H419,list!$B$2:$C$14,2,FALSE)</f>
        <v>ONSITE</v>
      </c>
      <c r="J419" s="135"/>
      <c r="K419" s="135">
        <v>0</v>
      </c>
      <c r="L419" s="135">
        <v>0</v>
      </c>
      <c r="M419" s="135">
        <v>0</v>
      </c>
      <c r="N419" s="135">
        <v>0</v>
      </c>
      <c r="O419" s="135">
        <v>0</v>
      </c>
      <c r="P419" s="135">
        <v>1</v>
      </c>
      <c r="Q419" s="135">
        <v>0</v>
      </c>
      <c r="R419" s="135"/>
      <c r="S419" s="135" t="s">
        <v>2920</v>
      </c>
      <c r="T419" s="135" t="s">
        <v>19</v>
      </c>
      <c r="U419" s="135" t="s">
        <v>2921</v>
      </c>
      <c r="V419" s="135" t="s">
        <v>1255</v>
      </c>
      <c r="W419" s="135">
        <v>1</v>
      </c>
      <c r="X419" s="135" t="s">
        <v>2922</v>
      </c>
      <c r="Y419" s="135" t="s">
        <v>2923</v>
      </c>
      <c r="Z419" s="135" t="s">
        <v>2924</v>
      </c>
      <c r="AA419" s="5" t="str">
        <f>VLOOKUP(A419,'Form Responses 1'!$C$2:$K$532,6,FALSE)</f>
        <v>Kit delivery and pickup</v>
      </c>
      <c r="AB419" s="5" t="str">
        <f>VLOOKUP(A419,'Form Responses 1'!$C$2:$K$219,7,FALSE)</f>
        <v>No</v>
      </c>
      <c r="AC419" s="6">
        <f>VLOOKUP(A419,'Form Responses 1'!$C$2:$K$219,8,FALSE)</f>
        <v>145</v>
      </c>
      <c r="AD419" s="6">
        <f>VLOOKUP(A419,'Form Responses 1'!$C$2:$K$219,9,FALSE)</f>
        <v>0</v>
      </c>
    </row>
    <row r="420" spans="1:30" ht="19.5" customHeight="1">
      <c r="A420" s="135" t="s">
        <v>2925</v>
      </c>
      <c r="B420" s="135" t="s">
        <v>1288</v>
      </c>
      <c r="C420" s="135">
        <v>46237</v>
      </c>
      <c r="D420" s="135" t="s">
        <v>1289</v>
      </c>
      <c r="E420" s="135" t="s">
        <v>1290</v>
      </c>
      <c r="F420" s="135"/>
      <c r="G420" s="135">
        <v>110</v>
      </c>
      <c r="H420" s="135" t="s">
        <v>1326</v>
      </c>
      <c r="I420" s="135" t="str">
        <f>VLOOKUP(H420,list!$B$2:$C$14,2,FALSE)</f>
        <v>ONSITE</v>
      </c>
      <c r="J420" s="135"/>
      <c r="K420" s="135">
        <v>0</v>
      </c>
      <c r="L420" s="135">
        <v>0</v>
      </c>
      <c r="M420" s="135">
        <v>0</v>
      </c>
      <c r="N420" s="135">
        <v>0</v>
      </c>
      <c r="O420" s="135">
        <v>0</v>
      </c>
      <c r="P420" s="135"/>
      <c r="Q420" s="135">
        <v>1</v>
      </c>
      <c r="R420" s="135"/>
      <c r="S420" s="135" t="s">
        <v>2926</v>
      </c>
      <c r="T420" s="135" t="s">
        <v>19</v>
      </c>
      <c r="U420" s="135"/>
      <c r="V420" s="135" t="s">
        <v>1255</v>
      </c>
      <c r="W420" s="135">
        <v>1</v>
      </c>
      <c r="X420" s="135" t="s">
        <v>2927</v>
      </c>
      <c r="Y420" s="135" t="s">
        <v>2928</v>
      </c>
      <c r="Z420" s="135" t="s">
        <v>2837</v>
      </c>
      <c r="AA420" s="5" t="s">
        <v>91</v>
      </c>
      <c r="AB420" s="5" t="s">
        <v>30</v>
      </c>
      <c r="AC420" s="6">
        <f t="shared" ref="AC420:AC421" si="30">G420</f>
        <v>110</v>
      </c>
      <c r="AD420" s="6"/>
    </row>
    <row r="421" spans="1:30" ht="19.5" customHeight="1">
      <c r="A421" s="135" t="s">
        <v>2929</v>
      </c>
      <c r="B421" s="135" t="s">
        <v>1288</v>
      </c>
      <c r="C421" s="135">
        <v>47802</v>
      </c>
      <c r="D421" s="135" t="s">
        <v>1684</v>
      </c>
      <c r="E421" s="135" t="s">
        <v>1685</v>
      </c>
      <c r="F421" s="135"/>
      <c r="G421" s="135">
        <v>140</v>
      </c>
      <c r="H421" s="135" t="s">
        <v>1425</v>
      </c>
      <c r="I421" s="135" t="str">
        <f>VLOOKUP(H421,list!$B$2:$C$14,2,FALSE)</f>
        <v>ONSITE</v>
      </c>
      <c r="J421" s="135"/>
      <c r="K421" s="135">
        <v>0</v>
      </c>
      <c r="L421" s="135">
        <v>0</v>
      </c>
      <c r="M421" s="135">
        <v>0</v>
      </c>
      <c r="N421" s="135">
        <v>0</v>
      </c>
      <c r="O421" s="135">
        <v>0</v>
      </c>
      <c r="P421" s="135"/>
      <c r="Q421" s="135">
        <v>1</v>
      </c>
      <c r="R421" s="135" t="s">
        <v>2930</v>
      </c>
      <c r="S421" s="135"/>
      <c r="T421" s="135" t="s">
        <v>19</v>
      </c>
      <c r="U421" s="135" t="s">
        <v>2931</v>
      </c>
      <c r="V421" s="135" t="s">
        <v>1255</v>
      </c>
      <c r="W421" s="135">
        <v>7</v>
      </c>
      <c r="X421" s="135" t="s">
        <v>2932</v>
      </c>
      <c r="Y421" s="135" t="s">
        <v>2933</v>
      </c>
      <c r="Z421" s="135" t="s">
        <v>1688</v>
      </c>
      <c r="AA421" s="5" t="s">
        <v>91</v>
      </c>
      <c r="AB421" s="5" t="s">
        <v>30</v>
      </c>
      <c r="AC421" s="6">
        <f t="shared" si="30"/>
        <v>140</v>
      </c>
      <c r="AD421" s="6"/>
    </row>
    <row r="422" spans="1:30" ht="19.5" customHeight="1">
      <c r="A422" s="135" t="s">
        <v>820</v>
      </c>
      <c r="B422" s="135"/>
      <c r="C422" s="135">
        <v>46544</v>
      </c>
      <c r="D422" s="135" t="s">
        <v>1744</v>
      </c>
      <c r="E422" s="135" t="s">
        <v>1480</v>
      </c>
      <c r="F422" s="135"/>
      <c r="G422" s="135">
        <v>82</v>
      </c>
      <c r="H422" s="135" t="s">
        <v>1253</v>
      </c>
      <c r="I422" s="135" t="str">
        <f>VLOOKUP(H422,list!$B$2:$C$14,2,FALSE)</f>
        <v>KITS</v>
      </c>
      <c r="J422" s="135"/>
      <c r="K422" s="135">
        <v>0</v>
      </c>
      <c r="L422" s="135">
        <v>0</v>
      </c>
      <c r="M422" s="135">
        <v>0</v>
      </c>
      <c r="N422" s="135">
        <v>0</v>
      </c>
      <c r="O422" s="135">
        <v>0</v>
      </c>
      <c r="P422" s="135"/>
      <c r="Q422" s="135">
        <v>0</v>
      </c>
      <c r="R422" s="135"/>
      <c r="S422" s="135"/>
      <c r="T422" s="135" t="s">
        <v>19</v>
      </c>
      <c r="U422" s="135" t="s">
        <v>2934</v>
      </c>
      <c r="V422" s="135" t="s">
        <v>1255</v>
      </c>
      <c r="W422" s="135">
        <v>6</v>
      </c>
      <c r="X422" s="135" t="s">
        <v>2935</v>
      </c>
      <c r="Y422" s="135" t="s">
        <v>2936</v>
      </c>
      <c r="Z422" s="135" t="s">
        <v>1965</v>
      </c>
      <c r="AA422" s="5" t="str">
        <f>VLOOKUP(A422,'Form Responses 1'!$C$2:$K$532,6,FALSE)</f>
        <v>Kit delivery and pickup</v>
      </c>
      <c r="AB422" s="5" t="str">
        <f>VLOOKUP(A422,'Form Responses 1'!$C$2:$K$219,7,FALSE)</f>
        <v>Yes</v>
      </c>
      <c r="AC422" s="6">
        <f>VLOOKUP(A422,'Form Responses 1'!$C$2:$K$219,8,FALSE)</f>
        <v>150</v>
      </c>
      <c r="AD422" s="6">
        <f>VLOOKUP(A422,'Form Responses 1'!$C$2:$K$219,9,FALSE)</f>
        <v>0</v>
      </c>
    </row>
    <row r="423" spans="1:30" ht="19.5" customHeight="1">
      <c r="A423" s="135" t="s">
        <v>1170</v>
      </c>
      <c r="B423" s="135"/>
      <c r="C423" s="135">
        <v>46410</v>
      </c>
      <c r="D423" s="135" t="s">
        <v>1958</v>
      </c>
      <c r="E423" s="135" t="s">
        <v>1375</v>
      </c>
      <c r="F423" s="135"/>
      <c r="G423" s="135">
        <v>150</v>
      </c>
      <c r="H423" s="135" t="s">
        <v>1276</v>
      </c>
      <c r="I423" s="135" t="str">
        <f>VLOOKUP(H423,list!$B$2:$C$14,2,FALSE)</f>
        <v>GREEN</v>
      </c>
      <c r="J423" s="135"/>
      <c r="K423" s="135">
        <v>0</v>
      </c>
      <c r="L423" s="135">
        <v>0</v>
      </c>
      <c r="M423" s="135">
        <v>0</v>
      </c>
      <c r="N423" s="135">
        <v>0</v>
      </c>
      <c r="O423" s="135">
        <v>0</v>
      </c>
      <c r="P423" s="135"/>
      <c r="Q423" s="135">
        <v>0</v>
      </c>
      <c r="R423" s="135"/>
      <c r="S423" s="135"/>
      <c r="T423" s="135" t="s">
        <v>19</v>
      </c>
      <c r="U423" s="135" t="s">
        <v>2937</v>
      </c>
      <c r="V423" s="135" t="s">
        <v>1255</v>
      </c>
      <c r="W423" s="135">
        <v>2</v>
      </c>
      <c r="X423" s="135" t="s">
        <v>2938</v>
      </c>
      <c r="Y423" s="135" t="s">
        <v>2939</v>
      </c>
      <c r="Z423" s="135" t="s">
        <v>1961</v>
      </c>
      <c r="AA423" s="5" t="str">
        <f>VLOOKUP(A423,'Form Responses 1'!$C$2:$K$532,6,FALSE)</f>
        <v>Kit delivery and pickup</v>
      </c>
      <c r="AB423" s="5" t="e">
        <f>VLOOKUP(A423,'Form Responses 1'!$C$2:$K$219,7,FALSE)</f>
        <v>#N/A</v>
      </c>
      <c r="AC423" s="6" t="e">
        <f>VLOOKUP(A423,'Form Responses 1'!$C$2:$K$219,8,FALSE)</f>
        <v>#N/A</v>
      </c>
      <c r="AD423" s="6" t="e">
        <f>VLOOKUP(A423,'Form Responses 1'!$C$2:$K$219,9,FALSE)</f>
        <v>#N/A</v>
      </c>
    </row>
    <row r="424" spans="1:30" ht="19.5" customHeight="1">
      <c r="A424" s="135" t="s">
        <v>2940</v>
      </c>
      <c r="B424" s="135" t="s">
        <v>343</v>
      </c>
      <c r="C424" s="135">
        <v>46260</v>
      </c>
      <c r="D424" s="135" t="s">
        <v>1289</v>
      </c>
      <c r="E424" s="135" t="s">
        <v>1290</v>
      </c>
      <c r="F424" s="135"/>
      <c r="G424" s="135">
        <v>82</v>
      </c>
      <c r="H424" s="135" t="s">
        <v>1282</v>
      </c>
      <c r="I424" s="135" t="str">
        <f>VLOOKUP(H424,list!$B$2:$C$14,2,FALSE)</f>
        <v>KITS</v>
      </c>
      <c r="J424" s="135"/>
      <c r="K424" s="135">
        <v>0</v>
      </c>
      <c r="L424" s="135">
        <v>0</v>
      </c>
      <c r="M424" s="135">
        <v>0</v>
      </c>
      <c r="N424" s="135">
        <v>0</v>
      </c>
      <c r="O424" s="135">
        <v>0</v>
      </c>
      <c r="P424" s="135"/>
      <c r="Q424" s="135">
        <v>0</v>
      </c>
      <c r="R424" s="135"/>
      <c r="S424" s="135"/>
      <c r="T424" s="135" t="s">
        <v>19</v>
      </c>
      <c r="U424" s="135"/>
      <c r="V424" s="135" t="s">
        <v>1255</v>
      </c>
      <c r="W424" s="135">
        <v>3</v>
      </c>
      <c r="X424" s="135" t="s">
        <v>2941</v>
      </c>
      <c r="Y424" s="135" t="s">
        <v>2942</v>
      </c>
      <c r="Z424" s="135" t="s">
        <v>1908</v>
      </c>
      <c r="AA424" s="5" t="s">
        <v>18</v>
      </c>
      <c r="AB424" s="5" t="s">
        <v>1298</v>
      </c>
      <c r="AC424" s="6">
        <f t="shared" ref="AC424:AC431" si="31">G424</f>
        <v>82</v>
      </c>
      <c r="AD424" s="6"/>
    </row>
    <row r="425" spans="1:30" ht="19.5" customHeight="1">
      <c r="A425" s="135" t="s">
        <v>2943</v>
      </c>
      <c r="B425" s="135" t="s">
        <v>343</v>
      </c>
      <c r="C425" s="135">
        <v>47802</v>
      </c>
      <c r="D425" s="135" t="s">
        <v>1684</v>
      </c>
      <c r="E425" s="135" t="s">
        <v>1685</v>
      </c>
      <c r="F425" s="135"/>
      <c r="G425" s="135">
        <v>118</v>
      </c>
      <c r="H425" s="135" t="s">
        <v>1282</v>
      </c>
      <c r="I425" s="135" t="str">
        <f>VLOOKUP(H425,list!$B$2:$C$14,2,FALSE)</f>
        <v>KITS</v>
      </c>
      <c r="J425" s="135"/>
      <c r="K425" s="135">
        <v>0</v>
      </c>
      <c r="L425" s="135">
        <v>0</v>
      </c>
      <c r="M425" s="135">
        <v>0</v>
      </c>
      <c r="N425" s="135">
        <v>0</v>
      </c>
      <c r="O425" s="135">
        <v>0</v>
      </c>
      <c r="P425" s="135"/>
      <c r="Q425" s="135">
        <v>0</v>
      </c>
      <c r="R425" s="135"/>
      <c r="S425" s="135"/>
      <c r="T425" s="135" t="s">
        <v>19</v>
      </c>
      <c r="U425" s="135"/>
      <c r="V425" s="135" t="s">
        <v>1255</v>
      </c>
      <c r="W425" s="135">
        <v>3</v>
      </c>
      <c r="X425" s="135" t="s">
        <v>2944</v>
      </c>
      <c r="Y425" s="135" t="s">
        <v>2945</v>
      </c>
      <c r="Z425" s="135" t="s">
        <v>1688</v>
      </c>
      <c r="AA425" s="5" t="s">
        <v>18</v>
      </c>
      <c r="AB425" s="5" t="s">
        <v>1298</v>
      </c>
      <c r="AC425" s="6">
        <f t="shared" si="31"/>
        <v>118</v>
      </c>
      <c r="AD425" s="6"/>
    </row>
    <row r="426" spans="1:30" ht="19.5" customHeight="1">
      <c r="A426" s="135" t="s">
        <v>2946</v>
      </c>
      <c r="B426" s="321" t="s">
        <v>1312</v>
      </c>
      <c r="C426" s="135">
        <v>46140</v>
      </c>
      <c r="D426" s="135" t="s">
        <v>1917</v>
      </c>
      <c r="E426" s="135" t="s">
        <v>1918</v>
      </c>
      <c r="F426" s="135"/>
      <c r="G426" s="135">
        <v>40</v>
      </c>
      <c r="H426" s="135" t="s">
        <v>1276</v>
      </c>
      <c r="I426" s="135" t="str">
        <f>VLOOKUP(H426,list!$B$2:$C$14,2,FALSE)</f>
        <v>GREEN</v>
      </c>
      <c r="J426" s="135"/>
      <c r="K426" s="135">
        <v>0</v>
      </c>
      <c r="L426" s="135">
        <v>0</v>
      </c>
      <c r="M426" s="135">
        <v>0</v>
      </c>
      <c r="N426" s="135">
        <v>0</v>
      </c>
      <c r="O426" s="135">
        <v>0</v>
      </c>
      <c r="P426" s="135"/>
      <c r="Q426" s="135">
        <v>0</v>
      </c>
      <c r="R426" s="135"/>
      <c r="S426" s="135"/>
      <c r="T426" s="135" t="s">
        <v>19</v>
      </c>
      <c r="U426" s="135" t="s">
        <v>1315</v>
      </c>
      <c r="V426" s="135" t="s">
        <v>1255</v>
      </c>
      <c r="W426" s="135">
        <v>2</v>
      </c>
      <c r="X426" s="135" t="s">
        <v>2947</v>
      </c>
      <c r="Y426" s="135" t="s">
        <v>2948</v>
      </c>
      <c r="Z426" s="135" t="s">
        <v>1922</v>
      </c>
      <c r="AA426" s="5" t="s">
        <v>18</v>
      </c>
      <c r="AB426" s="5" t="s">
        <v>1298</v>
      </c>
      <c r="AC426" s="6">
        <f t="shared" si="31"/>
        <v>40</v>
      </c>
      <c r="AD426" s="6"/>
    </row>
    <row r="427" spans="1:30" ht="19.5" customHeight="1">
      <c r="A427" s="135" t="s">
        <v>2949</v>
      </c>
      <c r="B427" s="321" t="s">
        <v>1312</v>
      </c>
      <c r="C427" s="135">
        <v>47904</v>
      </c>
      <c r="D427" s="135" t="s">
        <v>1423</v>
      </c>
      <c r="E427" s="135" t="s">
        <v>1424</v>
      </c>
      <c r="F427" s="135"/>
      <c r="G427" s="135">
        <v>96</v>
      </c>
      <c r="H427" s="135" t="s">
        <v>1276</v>
      </c>
      <c r="I427" s="135" t="str">
        <f>VLOOKUP(H427,list!$B$2:$C$14,2,FALSE)</f>
        <v>GREEN</v>
      </c>
      <c r="J427" s="135"/>
      <c r="K427" s="135">
        <v>0</v>
      </c>
      <c r="L427" s="135">
        <v>0</v>
      </c>
      <c r="M427" s="135">
        <v>0</v>
      </c>
      <c r="N427" s="135">
        <v>0</v>
      </c>
      <c r="O427" s="135">
        <v>0</v>
      </c>
      <c r="P427" s="135"/>
      <c r="Q427" s="135">
        <v>0</v>
      </c>
      <c r="R427" s="135"/>
      <c r="S427" s="135"/>
      <c r="T427" s="135" t="s">
        <v>19</v>
      </c>
      <c r="U427" s="135" t="s">
        <v>1315</v>
      </c>
      <c r="V427" s="135" t="s">
        <v>1255</v>
      </c>
      <c r="W427" s="135">
        <v>2</v>
      </c>
      <c r="X427" s="135" t="s">
        <v>2950</v>
      </c>
      <c r="Y427" s="135" t="s">
        <v>2951</v>
      </c>
      <c r="Z427" s="135" t="s">
        <v>2843</v>
      </c>
      <c r="AA427" s="5" t="s">
        <v>18</v>
      </c>
      <c r="AB427" s="5" t="s">
        <v>1298</v>
      </c>
      <c r="AC427" s="6">
        <f t="shared" si="31"/>
        <v>96</v>
      </c>
      <c r="AD427" s="6"/>
    </row>
    <row r="428" spans="1:30" ht="19.5" customHeight="1">
      <c r="A428" s="135" t="s">
        <v>2952</v>
      </c>
      <c r="B428" s="321" t="s">
        <v>1312</v>
      </c>
      <c r="C428" s="135">
        <v>46158</v>
      </c>
      <c r="D428" s="135" t="s">
        <v>2391</v>
      </c>
      <c r="E428" s="135" t="s">
        <v>1911</v>
      </c>
      <c r="F428" s="135"/>
      <c r="G428" s="135">
        <v>90</v>
      </c>
      <c r="H428" s="135" t="s">
        <v>1276</v>
      </c>
      <c r="I428" s="135" t="str">
        <f>VLOOKUP(H428,list!$B$2:$C$14,2,FALSE)</f>
        <v>GREEN</v>
      </c>
      <c r="J428" s="135"/>
      <c r="K428" s="135">
        <v>0</v>
      </c>
      <c r="L428" s="135">
        <v>0</v>
      </c>
      <c r="M428" s="135">
        <v>0</v>
      </c>
      <c r="N428" s="135">
        <v>0</v>
      </c>
      <c r="O428" s="135">
        <v>0</v>
      </c>
      <c r="P428" s="135"/>
      <c r="Q428" s="135">
        <v>0</v>
      </c>
      <c r="R428" s="135"/>
      <c r="S428" s="135"/>
      <c r="T428" s="135" t="s">
        <v>19</v>
      </c>
      <c r="U428" s="135" t="s">
        <v>1315</v>
      </c>
      <c r="V428" s="135" t="s">
        <v>1255</v>
      </c>
      <c r="W428" s="135">
        <v>2</v>
      </c>
      <c r="X428" s="135" t="s">
        <v>2953</v>
      </c>
      <c r="Y428" s="135" t="s">
        <v>2954</v>
      </c>
      <c r="Z428" s="135" t="s">
        <v>2395</v>
      </c>
      <c r="AA428" s="5" t="s">
        <v>18</v>
      </c>
      <c r="AB428" s="5" t="s">
        <v>1298</v>
      </c>
      <c r="AC428" s="6">
        <f t="shared" si="31"/>
        <v>90</v>
      </c>
      <c r="AD428" s="6"/>
    </row>
    <row r="429" spans="1:30" ht="19.5" customHeight="1">
      <c r="A429" s="135" t="s">
        <v>2955</v>
      </c>
      <c r="B429" s="321" t="s">
        <v>1312</v>
      </c>
      <c r="C429" s="135">
        <v>47374</v>
      </c>
      <c r="D429" s="135" t="s">
        <v>1394</v>
      </c>
      <c r="E429" s="135" t="s">
        <v>1306</v>
      </c>
      <c r="F429" s="135"/>
      <c r="G429" s="135">
        <v>14</v>
      </c>
      <c r="H429" s="135" t="s">
        <v>1276</v>
      </c>
      <c r="I429" s="135" t="str">
        <f>VLOOKUP(H429,list!$B$2:$C$14,2,FALSE)</f>
        <v>GREEN</v>
      </c>
      <c r="J429" s="135"/>
      <c r="K429" s="135">
        <v>0</v>
      </c>
      <c r="L429" s="135">
        <v>0</v>
      </c>
      <c r="M429" s="135">
        <v>0</v>
      </c>
      <c r="N429" s="135">
        <v>0</v>
      </c>
      <c r="O429" s="135">
        <v>0</v>
      </c>
      <c r="P429" s="135"/>
      <c r="Q429" s="135">
        <v>0</v>
      </c>
      <c r="R429" s="135"/>
      <c r="S429" s="135"/>
      <c r="T429" s="135" t="s">
        <v>19</v>
      </c>
      <c r="U429" s="135" t="s">
        <v>1315</v>
      </c>
      <c r="V429" s="135" t="s">
        <v>1255</v>
      </c>
      <c r="W429" s="135">
        <v>2</v>
      </c>
      <c r="X429" s="135" t="s">
        <v>2956</v>
      </c>
      <c r="Y429" s="135" t="s">
        <v>2957</v>
      </c>
      <c r="Z429" s="135" t="s">
        <v>1398</v>
      </c>
      <c r="AA429" s="5" t="s">
        <v>18</v>
      </c>
      <c r="AB429" s="5" t="s">
        <v>1298</v>
      </c>
      <c r="AC429" s="6">
        <f t="shared" si="31"/>
        <v>14</v>
      </c>
      <c r="AD429" s="6"/>
    </row>
    <row r="430" spans="1:30" ht="19.5" customHeight="1">
      <c r="A430" s="135" t="s">
        <v>2958</v>
      </c>
      <c r="B430" s="135" t="s">
        <v>343</v>
      </c>
      <c r="C430" s="135">
        <v>47432</v>
      </c>
      <c r="D430" s="135" t="s">
        <v>2959</v>
      </c>
      <c r="E430" s="135" t="s">
        <v>1574</v>
      </c>
      <c r="F430" s="135" t="s">
        <v>30</v>
      </c>
      <c r="G430" s="135">
        <v>98</v>
      </c>
      <c r="H430" s="135" t="s">
        <v>1282</v>
      </c>
      <c r="I430" s="135" t="str">
        <f>VLOOKUP(H430,list!$B$2:$C$14,2,FALSE)</f>
        <v>KITS</v>
      </c>
      <c r="J430" s="135"/>
      <c r="K430" s="135">
        <v>0</v>
      </c>
      <c r="L430" s="135">
        <v>0</v>
      </c>
      <c r="M430" s="135">
        <v>0</v>
      </c>
      <c r="N430" s="135">
        <v>0</v>
      </c>
      <c r="O430" s="135">
        <v>0</v>
      </c>
      <c r="P430" s="135"/>
      <c r="Q430" s="135">
        <v>0</v>
      </c>
      <c r="R430" s="135"/>
      <c r="S430" s="135"/>
      <c r="T430" s="135" t="s">
        <v>19</v>
      </c>
      <c r="U430" s="135"/>
      <c r="V430" s="135" t="s">
        <v>1255</v>
      </c>
      <c r="W430" s="135">
        <v>3</v>
      </c>
      <c r="X430" s="135" t="s">
        <v>2960</v>
      </c>
      <c r="Y430" s="135" t="s">
        <v>2961</v>
      </c>
      <c r="Z430" s="135" t="s">
        <v>2962</v>
      </c>
      <c r="AA430" s="5" t="s">
        <v>18</v>
      </c>
      <c r="AB430" s="5" t="s">
        <v>1298</v>
      </c>
      <c r="AC430" s="6">
        <f t="shared" si="31"/>
        <v>98</v>
      </c>
      <c r="AD430" s="6"/>
    </row>
    <row r="431" spans="1:30" ht="19.5" customHeight="1">
      <c r="A431" s="135" t="s">
        <v>2963</v>
      </c>
      <c r="B431" s="135" t="s">
        <v>1312</v>
      </c>
      <c r="C431" s="135">
        <v>47006</v>
      </c>
      <c r="D431" s="135" t="s">
        <v>2964</v>
      </c>
      <c r="E431" s="135" t="s">
        <v>2356</v>
      </c>
      <c r="F431" s="135"/>
      <c r="G431" s="135">
        <v>117</v>
      </c>
      <c r="H431" s="135" t="s">
        <v>1276</v>
      </c>
      <c r="I431" s="135" t="str">
        <f>VLOOKUP(H431,list!$B$2:$C$14,2,FALSE)</f>
        <v>GREEN</v>
      </c>
      <c r="J431" s="135"/>
      <c r="K431" s="135">
        <v>0</v>
      </c>
      <c r="L431" s="135">
        <v>0</v>
      </c>
      <c r="M431" s="135">
        <v>0</v>
      </c>
      <c r="N431" s="135">
        <v>0</v>
      </c>
      <c r="O431" s="135">
        <v>0</v>
      </c>
      <c r="P431" s="135"/>
      <c r="Q431" s="135">
        <v>0</v>
      </c>
      <c r="R431" s="135"/>
      <c r="S431" s="135"/>
      <c r="T431" s="135" t="s">
        <v>19</v>
      </c>
      <c r="U431" s="135" t="s">
        <v>1315</v>
      </c>
      <c r="V431" s="135" t="s">
        <v>1255</v>
      </c>
      <c r="W431" s="135">
        <v>2</v>
      </c>
      <c r="X431" s="135" t="s">
        <v>2965</v>
      </c>
      <c r="Y431" s="135" t="s">
        <v>2966</v>
      </c>
      <c r="Z431" s="135" t="s">
        <v>2967</v>
      </c>
      <c r="AA431" s="5" t="s">
        <v>18</v>
      </c>
      <c r="AB431" s="5" t="s">
        <v>1298</v>
      </c>
      <c r="AC431" s="6">
        <f t="shared" si="31"/>
        <v>117</v>
      </c>
      <c r="AD431" s="6"/>
    </row>
    <row r="432" spans="1:30" ht="19.5" customHeight="1">
      <c r="A432" s="135" t="s">
        <v>2968</v>
      </c>
      <c r="B432" s="135" t="s">
        <v>2329</v>
      </c>
      <c r="C432" s="135">
        <v>46307</v>
      </c>
      <c r="D432" s="135" t="s">
        <v>1689</v>
      </c>
      <c r="E432" s="135" t="s">
        <v>1375</v>
      </c>
      <c r="F432" s="135"/>
      <c r="G432" s="135"/>
      <c r="H432" s="135"/>
      <c r="I432" s="135"/>
      <c r="J432" s="135"/>
      <c r="K432" s="135"/>
      <c r="L432" s="135"/>
      <c r="M432" s="135"/>
      <c r="N432" s="135"/>
      <c r="O432" s="135"/>
      <c r="P432" s="135"/>
      <c r="Q432" s="135"/>
      <c r="R432" s="135"/>
      <c r="S432" s="135"/>
      <c r="T432" s="135"/>
      <c r="U432" s="135"/>
      <c r="V432" s="135"/>
      <c r="W432" s="135"/>
      <c r="X432" s="135">
        <v>2196615100</v>
      </c>
      <c r="Y432" s="135" t="s">
        <v>2969</v>
      </c>
      <c r="Z432" s="135"/>
      <c r="AA432" s="5" t="s">
        <v>18</v>
      </c>
      <c r="AB432" s="5" t="s">
        <v>30</v>
      </c>
      <c r="AC432" s="6"/>
      <c r="AD432" s="6"/>
    </row>
    <row r="433" spans="1:30" ht="19.5" customHeight="1">
      <c r="A433" s="135" t="s">
        <v>824</v>
      </c>
      <c r="B433" s="135"/>
      <c r="C433" s="135">
        <v>46260</v>
      </c>
      <c r="D433" s="135" t="s">
        <v>1289</v>
      </c>
      <c r="E433" s="135" t="s">
        <v>1290</v>
      </c>
      <c r="F433" s="135"/>
      <c r="G433" s="135">
        <v>115</v>
      </c>
      <c r="H433" s="135" t="s">
        <v>1282</v>
      </c>
      <c r="I433" s="135" t="str">
        <f>VLOOKUP(H433,list!$B$2:$C$14,2,FALSE)</f>
        <v>KITS</v>
      </c>
      <c r="J433" s="135"/>
      <c r="K433" s="135">
        <v>0</v>
      </c>
      <c r="L433" s="135">
        <v>0</v>
      </c>
      <c r="M433" s="135">
        <v>0</v>
      </c>
      <c r="N433" s="135">
        <v>0</v>
      </c>
      <c r="O433" s="135">
        <v>0</v>
      </c>
      <c r="P433" s="135"/>
      <c r="Q433" s="135">
        <v>0</v>
      </c>
      <c r="R433" s="135"/>
      <c r="S433" s="135" t="s">
        <v>2970</v>
      </c>
      <c r="T433" s="135" t="s">
        <v>19</v>
      </c>
      <c r="U433" s="135" t="s">
        <v>2971</v>
      </c>
      <c r="V433" s="135" t="s">
        <v>1255</v>
      </c>
      <c r="W433" s="135">
        <v>3</v>
      </c>
      <c r="X433" s="135" t="s">
        <v>2972</v>
      </c>
      <c r="Y433" s="135" t="s">
        <v>2973</v>
      </c>
      <c r="Z433" s="135" t="s">
        <v>1908</v>
      </c>
      <c r="AA433" s="5" t="str">
        <f>VLOOKUP(A433,'Form Responses 1'!$C$2:$K$532,6,FALSE)</f>
        <v>Kit delivery and pickup</v>
      </c>
      <c r="AB433" s="5" t="str">
        <f>VLOOKUP(A433,'Form Responses 1'!$C$2:$K$219,7,FALSE)</f>
        <v>No</v>
      </c>
      <c r="AC433" s="6">
        <f>VLOOKUP(A433,'Form Responses 1'!$C$2:$K$219,8,FALSE)</f>
        <v>115</v>
      </c>
      <c r="AD433" s="6" t="str">
        <f>VLOOKUP(A433,'Form Responses 1'!$C$2:$K$219,9,FALSE)</f>
        <v>7 minutes on hold</v>
      </c>
    </row>
    <row r="434" spans="1:30" ht="19.5" customHeight="1">
      <c r="A434" s="135" t="s">
        <v>2974</v>
      </c>
      <c r="B434" s="321" t="s">
        <v>1312</v>
      </c>
      <c r="C434" s="135">
        <v>47546</v>
      </c>
      <c r="D434" s="135" t="s">
        <v>1338</v>
      </c>
      <c r="E434" s="135" t="s">
        <v>1574</v>
      </c>
      <c r="F434" s="135"/>
      <c r="G434" s="135">
        <v>106</v>
      </c>
      <c r="H434" s="135" t="s">
        <v>1276</v>
      </c>
      <c r="I434" s="135" t="str">
        <f>VLOOKUP(H434,list!$B$2:$C$14,2,FALSE)</f>
        <v>GREEN</v>
      </c>
      <c r="J434" s="135"/>
      <c r="K434" s="135">
        <v>0</v>
      </c>
      <c r="L434" s="135">
        <v>0</v>
      </c>
      <c r="M434" s="135">
        <v>0</v>
      </c>
      <c r="N434" s="135">
        <v>0</v>
      </c>
      <c r="O434" s="135">
        <v>0</v>
      </c>
      <c r="P434" s="135"/>
      <c r="Q434" s="135">
        <v>0</v>
      </c>
      <c r="R434" s="135"/>
      <c r="S434" s="135"/>
      <c r="T434" s="135" t="s">
        <v>19</v>
      </c>
      <c r="U434" s="135" t="s">
        <v>1315</v>
      </c>
      <c r="V434" s="135" t="s">
        <v>1255</v>
      </c>
      <c r="W434" s="135">
        <v>2</v>
      </c>
      <c r="X434" s="135" t="s">
        <v>2975</v>
      </c>
      <c r="Y434" s="135" t="s">
        <v>2976</v>
      </c>
      <c r="Z434" s="135" t="s">
        <v>1628</v>
      </c>
      <c r="AA434" s="5" t="s">
        <v>18</v>
      </c>
      <c r="AB434" s="5" t="s">
        <v>1298</v>
      </c>
      <c r="AC434" s="6">
        <f t="shared" ref="AC434:AC436" si="32">G434</f>
        <v>106</v>
      </c>
      <c r="AD434" s="6"/>
    </row>
    <row r="435" spans="1:30" ht="19.5" customHeight="1">
      <c r="A435" s="135" t="s">
        <v>2977</v>
      </c>
      <c r="B435" s="321" t="s">
        <v>1312</v>
      </c>
      <c r="C435" s="135">
        <v>46923</v>
      </c>
      <c r="D435" s="135" t="s">
        <v>2978</v>
      </c>
      <c r="E435" s="135" t="s">
        <v>2979</v>
      </c>
      <c r="F435" s="135" t="s">
        <v>30</v>
      </c>
      <c r="G435" s="135">
        <v>108</v>
      </c>
      <c r="H435" s="135" t="s">
        <v>1276</v>
      </c>
      <c r="I435" s="135" t="str">
        <f>VLOOKUP(H435,list!$B$2:$C$14,2,FALSE)</f>
        <v>GREEN</v>
      </c>
      <c r="J435" s="135"/>
      <c r="K435" s="135">
        <v>0</v>
      </c>
      <c r="L435" s="135">
        <v>0</v>
      </c>
      <c r="M435" s="135">
        <v>0</v>
      </c>
      <c r="N435" s="135">
        <v>0</v>
      </c>
      <c r="O435" s="135">
        <v>0</v>
      </c>
      <c r="P435" s="135"/>
      <c r="Q435" s="135">
        <v>0</v>
      </c>
      <c r="R435" s="135"/>
      <c r="S435" s="135"/>
      <c r="T435" s="135" t="s">
        <v>19</v>
      </c>
      <c r="U435" s="135" t="s">
        <v>1315</v>
      </c>
      <c r="V435" s="135" t="s">
        <v>1255</v>
      </c>
      <c r="W435" s="135">
        <v>2</v>
      </c>
      <c r="X435" s="135" t="s">
        <v>2980</v>
      </c>
      <c r="Y435" s="135" t="s">
        <v>2981</v>
      </c>
      <c r="Z435" s="135" t="s">
        <v>2982</v>
      </c>
      <c r="AA435" s="5" t="s">
        <v>18</v>
      </c>
      <c r="AB435" s="5" t="s">
        <v>1298</v>
      </c>
      <c r="AC435" s="6">
        <f t="shared" si="32"/>
        <v>108</v>
      </c>
      <c r="AD435" s="6"/>
    </row>
    <row r="436" spans="1:30" ht="19.5" customHeight="1">
      <c r="A436" s="135" t="s">
        <v>2983</v>
      </c>
      <c r="B436" s="321" t="s">
        <v>1312</v>
      </c>
      <c r="C436" s="135">
        <v>47904</v>
      </c>
      <c r="D436" s="135" t="s">
        <v>1423</v>
      </c>
      <c r="E436" s="135" t="s">
        <v>1424</v>
      </c>
      <c r="F436" s="135"/>
      <c r="G436" s="135">
        <v>102</v>
      </c>
      <c r="H436" s="135" t="s">
        <v>1276</v>
      </c>
      <c r="I436" s="135" t="str">
        <f>VLOOKUP(H436,list!$B$2:$C$14,2,FALSE)</f>
        <v>GREEN</v>
      </c>
      <c r="J436" s="135"/>
      <c r="K436" s="135">
        <v>0</v>
      </c>
      <c r="L436" s="135">
        <v>0</v>
      </c>
      <c r="M436" s="135">
        <v>0</v>
      </c>
      <c r="N436" s="135">
        <v>0</v>
      </c>
      <c r="O436" s="135">
        <v>0</v>
      </c>
      <c r="P436" s="135"/>
      <c r="Q436" s="135">
        <v>0</v>
      </c>
      <c r="R436" s="135"/>
      <c r="S436" s="135"/>
      <c r="T436" s="135" t="s">
        <v>19</v>
      </c>
      <c r="U436" s="135" t="s">
        <v>1315</v>
      </c>
      <c r="V436" s="135" t="s">
        <v>1255</v>
      </c>
      <c r="W436" s="135">
        <v>2</v>
      </c>
      <c r="X436" s="135" t="s">
        <v>2984</v>
      </c>
      <c r="Y436" s="135" t="s">
        <v>2985</v>
      </c>
      <c r="Z436" s="135" t="s">
        <v>2843</v>
      </c>
      <c r="AA436" s="5" t="s">
        <v>18</v>
      </c>
      <c r="AB436" s="5" t="s">
        <v>1298</v>
      </c>
      <c r="AC436" s="6">
        <f t="shared" si="32"/>
        <v>102</v>
      </c>
      <c r="AD436" s="6"/>
    </row>
    <row r="437" spans="1:30" ht="19.5" customHeight="1">
      <c r="A437" s="135" t="s">
        <v>829</v>
      </c>
      <c r="B437" s="135"/>
      <c r="C437" s="135">
        <v>46107</v>
      </c>
      <c r="D437" s="135" t="s">
        <v>1471</v>
      </c>
      <c r="E437" s="135" t="s">
        <v>1290</v>
      </c>
      <c r="F437" s="135"/>
      <c r="G437" s="135">
        <v>100</v>
      </c>
      <c r="H437" s="135" t="s">
        <v>1425</v>
      </c>
      <c r="I437" s="135" t="str">
        <f>VLOOKUP(H437,list!$B$2:$C$14,2,FALSE)</f>
        <v>ONSITE</v>
      </c>
      <c r="J437" s="135"/>
      <c r="K437" s="135">
        <v>1</v>
      </c>
      <c r="L437" s="135">
        <v>0</v>
      </c>
      <c r="M437" s="135">
        <v>0</v>
      </c>
      <c r="N437" s="135">
        <v>1</v>
      </c>
      <c r="O437" s="135">
        <v>1</v>
      </c>
      <c r="P437" s="135"/>
      <c r="Q437" s="135">
        <v>0</v>
      </c>
      <c r="R437" s="135"/>
      <c r="S437" s="135"/>
      <c r="T437" s="135" t="s">
        <v>19</v>
      </c>
      <c r="U437" s="135"/>
      <c r="V437" s="135" t="s">
        <v>1255</v>
      </c>
      <c r="W437" s="135">
        <v>7</v>
      </c>
      <c r="X437" s="135" t="s">
        <v>2986</v>
      </c>
      <c r="Y437" s="135" t="s">
        <v>2987</v>
      </c>
      <c r="Z437" s="135" t="s">
        <v>1474</v>
      </c>
      <c r="AA437" s="5" t="str">
        <f>VLOOKUP(A437,'Form Responses 1'!$C$2:$K$532,6,FALSE)</f>
        <v>Kit delivery and pickup</v>
      </c>
      <c r="AB437" s="5" t="str">
        <f>VLOOKUP(A437,'Form Responses 1'!$C$2:$K$219,7,FALSE)</f>
        <v>No</v>
      </c>
      <c r="AC437" s="6">
        <f>VLOOKUP(A437,'Form Responses 1'!$C$2:$K$219,8,FALSE)</f>
        <v>100</v>
      </c>
      <c r="AD437" s="6">
        <f>VLOOKUP(A437,'Form Responses 1'!$C$2:$K$219,9,FALSE)</f>
        <v>0</v>
      </c>
    </row>
    <row r="438" spans="1:30" ht="19.5" customHeight="1">
      <c r="A438" s="135" t="s">
        <v>2988</v>
      </c>
      <c r="B438" s="135" t="s">
        <v>1312</v>
      </c>
      <c r="C438" s="135">
        <v>47421</v>
      </c>
      <c r="D438" s="135" t="s">
        <v>1710</v>
      </c>
      <c r="E438" s="135" t="s">
        <v>1711</v>
      </c>
      <c r="F438" s="135"/>
      <c r="G438" s="135">
        <v>101</v>
      </c>
      <c r="H438" s="135" t="s">
        <v>1276</v>
      </c>
      <c r="I438" s="135" t="str">
        <f>VLOOKUP(H438,list!$B$2:$C$14,2,FALSE)</f>
        <v>GREEN</v>
      </c>
      <c r="J438" s="135"/>
      <c r="K438" s="135">
        <v>0</v>
      </c>
      <c r="L438" s="135">
        <v>0</v>
      </c>
      <c r="M438" s="135">
        <v>0</v>
      </c>
      <c r="N438" s="135">
        <v>0</v>
      </c>
      <c r="O438" s="135">
        <v>0</v>
      </c>
      <c r="P438" s="135"/>
      <c r="Q438" s="135">
        <v>0</v>
      </c>
      <c r="R438" s="135"/>
      <c r="S438" s="135"/>
      <c r="T438" s="135" t="s">
        <v>19</v>
      </c>
      <c r="U438" s="135" t="s">
        <v>1315</v>
      </c>
      <c r="V438" s="135" t="s">
        <v>1255</v>
      </c>
      <c r="W438" s="135">
        <v>2</v>
      </c>
      <c r="X438" s="135" t="s">
        <v>2989</v>
      </c>
      <c r="Y438" s="135" t="s">
        <v>2990</v>
      </c>
      <c r="Z438" s="135" t="s">
        <v>1871</v>
      </c>
      <c r="AA438" s="5" t="s">
        <v>18</v>
      </c>
      <c r="AB438" s="5" t="s">
        <v>1298</v>
      </c>
      <c r="AC438" s="6"/>
      <c r="AD438" s="6"/>
    </row>
    <row r="439" spans="1:30" ht="19.5" customHeight="1">
      <c r="A439" s="135" t="s">
        <v>2991</v>
      </c>
      <c r="B439" s="135" t="s">
        <v>343</v>
      </c>
      <c r="C439" s="135">
        <v>47362</v>
      </c>
      <c r="D439" s="135" t="s">
        <v>1887</v>
      </c>
      <c r="E439" s="135" t="s">
        <v>1888</v>
      </c>
      <c r="F439" s="135"/>
      <c r="G439" s="135">
        <v>115</v>
      </c>
      <c r="H439" s="135" t="s">
        <v>1282</v>
      </c>
      <c r="I439" s="135" t="str">
        <f>VLOOKUP(H439,list!$B$2:$C$14,2,FALSE)</f>
        <v>KITS</v>
      </c>
      <c r="J439" s="135"/>
      <c r="K439" s="135">
        <v>0</v>
      </c>
      <c r="L439" s="135">
        <v>0</v>
      </c>
      <c r="M439" s="135">
        <v>0</v>
      </c>
      <c r="N439" s="135">
        <v>0</v>
      </c>
      <c r="O439" s="135">
        <v>0</v>
      </c>
      <c r="P439" s="135"/>
      <c r="Q439" s="135">
        <v>0</v>
      </c>
      <c r="R439" s="135"/>
      <c r="S439" s="135"/>
      <c r="T439" s="135" t="s">
        <v>19</v>
      </c>
      <c r="U439" s="135"/>
      <c r="V439" s="135" t="s">
        <v>1255</v>
      </c>
      <c r="W439" s="135">
        <v>3</v>
      </c>
      <c r="X439" s="135" t="s">
        <v>2992</v>
      </c>
      <c r="Y439" s="135" t="s">
        <v>2993</v>
      </c>
      <c r="Z439" s="135" t="s">
        <v>1891</v>
      </c>
      <c r="AA439" s="5" t="s">
        <v>18</v>
      </c>
      <c r="AB439" s="5" t="s">
        <v>1298</v>
      </c>
      <c r="AC439" s="6">
        <f t="shared" ref="AC439:AC440" si="33">G439</f>
        <v>115</v>
      </c>
      <c r="AD439" s="6"/>
    </row>
    <row r="440" spans="1:30" ht="19.5" customHeight="1">
      <c r="A440" s="135" t="s">
        <v>2994</v>
      </c>
      <c r="B440" s="321" t="s">
        <v>1312</v>
      </c>
      <c r="C440" s="135">
        <v>47403</v>
      </c>
      <c r="D440" s="135" t="s">
        <v>1476</v>
      </c>
      <c r="E440" s="135" t="s">
        <v>1477</v>
      </c>
      <c r="F440" s="135"/>
      <c r="G440" s="135">
        <v>115</v>
      </c>
      <c r="H440" s="135" t="s">
        <v>1276</v>
      </c>
      <c r="I440" s="135" t="str">
        <f>VLOOKUP(H440,list!$B$2:$C$14,2,FALSE)</f>
        <v>GREEN</v>
      </c>
      <c r="J440" s="135"/>
      <c r="K440" s="135">
        <v>0</v>
      </c>
      <c r="L440" s="135">
        <v>0</v>
      </c>
      <c r="M440" s="135">
        <v>0</v>
      </c>
      <c r="N440" s="135">
        <v>0</v>
      </c>
      <c r="O440" s="135">
        <v>0</v>
      </c>
      <c r="P440" s="135"/>
      <c r="Q440" s="135">
        <v>0</v>
      </c>
      <c r="R440" s="135"/>
      <c r="S440" s="135"/>
      <c r="T440" s="135" t="s">
        <v>19</v>
      </c>
      <c r="U440" s="135" t="s">
        <v>1315</v>
      </c>
      <c r="V440" s="135" t="s">
        <v>1255</v>
      </c>
      <c r="W440" s="135">
        <v>2</v>
      </c>
      <c r="X440" s="135" t="s">
        <v>2995</v>
      </c>
      <c r="Y440" s="135" t="s">
        <v>2996</v>
      </c>
      <c r="Z440" s="135" t="s">
        <v>1876</v>
      </c>
      <c r="AA440" s="5" t="s">
        <v>18</v>
      </c>
      <c r="AB440" s="5" t="s">
        <v>1298</v>
      </c>
      <c r="AC440" s="6">
        <f t="shared" si="33"/>
        <v>115</v>
      </c>
      <c r="AD440" s="6"/>
    </row>
    <row r="441" spans="1:30" ht="19.5" customHeight="1">
      <c r="A441" s="135" t="s">
        <v>1198</v>
      </c>
      <c r="B441" s="135" t="s">
        <v>1527</v>
      </c>
      <c r="C441" s="135">
        <v>46140</v>
      </c>
      <c r="D441" s="135" t="s">
        <v>1917</v>
      </c>
      <c r="E441" s="135" t="s">
        <v>1918</v>
      </c>
      <c r="F441" s="135"/>
      <c r="G441" s="135">
        <v>55</v>
      </c>
      <c r="H441" s="135" t="s">
        <v>1282</v>
      </c>
      <c r="I441" s="135" t="str">
        <f>VLOOKUP(H441,list!$B$2:$C$14,2,FALSE)</f>
        <v>KITS</v>
      </c>
      <c r="J441" s="135"/>
      <c r="K441" s="135">
        <v>0</v>
      </c>
      <c r="L441" s="135">
        <v>0</v>
      </c>
      <c r="M441" s="135">
        <v>0</v>
      </c>
      <c r="N441" s="135">
        <v>0</v>
      </c>
      <c r="O441" s="135">
        <v>0</v>
      </c>
      <c r="P441" s="135"/>
      <c r="Q441" s="135">
        <v>0</v>
      </c>
      <c r="R441" s="135"/>
      <c r="S441" s="135"/>
      <c r="T441" s="135" t="s">
        <v>19</v>
      </c>
      <c r="U441" s="135"/>
      <c r="V441" s="135" t="s">
        <v>1255</v>
      </c>
      <c r="W441" s="135">
        <v>3</v>
      </c>
      <c r="X441" s="135" t="s">
        <v>2997</v>
      </c>
      <c r="Y441" s="135" t="s">
        <v>2998</v>
      </c>
      <c r="Z441" s="135" t="s">
        <v>1922</v>
      </c>
      <c r="AA441" s="5" t="str">
        <f>VLOOKUP(A441,'Form Responses 1'!$C$2:$K$532,6,FALSE)</f>
        <v>Kit delivery and pickup</v>
      </c>
      <c r="AB441" s="5" t="e">
        <f>VLOOKUP(A441,'Form Responses 1'!$C$2:$K$219,7,FALSE)</f>
        <v>#N/A</v>
      </c>
      <c r="AC441" s="6" t="e">
        <f>VLOOKUP(A441,'Form Responses 1'!$C$2:$K$219,8,FALSE)</f>
        <v>#N/A</v>
      </c>
      <c r="AD441" s="6" t="e">
        <f>VLOOKUP(A441,'Form Responses 1'!$C$2:$K$219,9,FALSE)</f>
        <v>#N/A</v>
      </c>
    </row>
    <row r="442" spans="1:30" ht="19.5" customHeight="1">
      <c r="A442" s="135" t="s">
        <v>833</v>
      </c>
      <c r="B442" s="135" t="s">
        <v>1527</v>
      </c>
      <c r="C442" s="135">
        <v>46120</v>
      </c>
      <c r="D442" s="135" t="s">
        <v>2999</v>
      </c>
      <c r="E442" s="135" t="s">
        <v>1404</v>
      </c>
      <c r="F442" s="135" t="s">
        <v>30</v>
      </c>
      <c r="G442" s="135">
        <v>39</v>
      </c>
      <c r="H442" s="135" t="s">
        <v>1282</v>
      </c>
      <c r="I442" s="135" t="str">
        <f>VLOOKUP(H442,list!$B$2:$C$14,2,FALSE)</f>
        <v>KITS</v>
      </c>
      <c r="J442" s="135"/>
      <c r="K442" s="135">
        <v>0</v>
      </c>
      <c r="L442" s="135">
        <v>0</v>
      </c>
      <c r="M442" s="135">
        <v>0</v>
      </c>
      <c r="N442" s="135">
        <v>0</v>
      </c>
      <c r="O442" s="135">
        <v>0</v>
      </c>
      <c r="P442" s="135"/>
      <c r="Q442" s="135">
        <v>0</v>
      </c>
      <c r="R442" s="135"/>
      <c r="S442" s="135"/>
      <c r="T442" s="135" t="s">
        <v>30</v>
      </c>
      <c r="U442" s="135" t="s">
        <v>3000</v>
      </c>
      <c r="V442" s="135" t="s">
        <v>1255</v>
      </c>
      <c r="W442" s="135">
        <v>3</v>
      </c>
      <c r="X442" s="135" t="s">
        <v>3001</v>
      </c>
      <c r="Y442" s="135" t="s">
        <v>3002</v>
      </c>
      <c r="Z442" s="135" t="s">
        <v>3003</v>
      </c>
      <c r="AA442" s="5" t="str">
        <f>VLOOKUP(A442,'Form Responses 1'!$C$2:$K$532,6,FALSE)</f>
        <v>Kit delivery and pickup</v>
      </c>
      <c r="AB442" s="5" t="str">
        <f>VLOOKUP(A442,'Form Responses 1'!$C$2:$K$219,7,FALSE)</f>
        <v>No</v>
      </c>
      <c r="AC442" s="6">
        <f>VLOOKUP(A442,'Form Responses 1'!$C$2:$K$219,8,FALSE)</f>
        <v>45</v>
      </c>
      <c r="AD442" s="6">
        <f>VLOOKUP(A442,'Form Responses 1'!$C$2:$K$219,9,FALSE)</f>
        <v>0</v>
      </c>
    </row>
    <row r="443" spans="1:30" ht="19.5" customHeight="1">
      <c r="A443" s="135" t="s">
        <v>3004</v>
      </c>
      <c r="B443" s="135" t="s">
        <v>343</v>
      </c>
      <c r="C443" s="135">
        <v>46805</v>
      </c>
      <c r="D443" s="135" t="s">
        <v>1343</v>
      </c>
      <c r="E443" s="135" t="s">
        <v>1252</v>
      </c>
      <c r="F443" s="135"/>
      <c r="G443" s="135">
        <v>96</v>
      </c>
      <c r="H443" s="135" t="s">
        <v>1282</v>
      </c>
      <c r="I443" s="135" t="str">
        <f>VLOOKUP(H443,list!$B$2:$C$14,2,FALSE)</f>
        <v>KITS</v>
      </c>
      <c r="J443" s="135"/>
      <c r="K443" s="135">
        <v>0</v>
      </c>
      <c r="L443" s="135">
        <v>0</v>
      </c>
      <c r="M443" s="135">
        <v>0</v>
      </c>
      <c r="N443" s="135">
        <v>0</v>
      </c>
      <c r="O443" s="135">
        <v>0</v>
      </c>
      <c r="P443" s="135"/>
      <c r="Q443" s="135">
        <v>0</v>
      </c>
      <c r="R443" s="135"/>
      <c r="S443" s="135"/>
      <c r="T443" s="135" t="s">
        <v>19</v>
      </c>
      <c r="U443" s="135"/>
      <c r="V443" s="135" t="s">
        <v>1255</v>
      </c>
      <c r="W443" s="135">
        <v>3</v>
      </c>
      <c r="X443" s="135" t="s">
        <v>3005</v>
      </c>
      <c r="Y443" s="135" t="s">
        <v>3006</v>
      </c>
      <c r="Z443" s="135" t="s">
        <v>1895</v>
      </c>
      <c r="AA443" s="5" t="s">
        <v>18</v>
      </c>
      <c r="AB443" s="5" t="s">
        <v>1298</v>
      </c>
      <c r="AC443" s="6">
        <f>G443</f>
        <v>96</v>
      </c>
      <c r="AD443" s="6"/>
    </row>
    <row r="444" spans="1:30" ht="19.5" customHeight="1">
      <c r="A444" s="135" t="s">
        <v>1120</v>
      </c>
      <c r="B444" s="135"/>
      <c r="C444" s="135">
        <v>46070</v>
      </c>
      <c r="D444" s="135" t="s">
        <v>1280</v>
      </c>
      <c r="E444" s="135" t="s">
        <v>1281</v>
      </c>
      <c r="F444" s="135" t="s">
        <v>30</v>
      </c>
      <c r="G444" s="135">
        <v>52</v>
      </c>
      <c r="H444" s="135" t="s">
        <v>1326</v>
      </c>
      <c r="I444" s="135" t="str">
        <f>VLOOKUP(H444,list!$B$2:$C$14,2,FALSE)</f>
        <v>ONSITE</v>
      </c>
      <c r="J444" s="135"/>
      <c r="K444" s="135">
        <v>0</v>
      </c>
      <c r="L444" s="135">
        <v>0</v>
      </c>
      <c r="M444" s="135">
        <v>0</v>
      </c>
      <c r="N444" s="135">
        <v>0</v>
      </c>
      <c r="O444" s="135">
        <v>0</v>
      </c>
      <c r="P444" s="135"/>
      <c r="Q444" s="135">
        <v>0</v>
      </c>
      <c r="R444" s="135"/>
      <c r="S444" s="135"/>
      <c r="T444" s="135" t="s">
        <v>30</v>
      </c>
      <c r="U444" s="135"/>
      <c r="V444" s="135" t="s">
        <v>1255</v>
      </c>
      <c r="W444" s="135"/>
      <c r="X444" s="135" t="s">
        <v>3007</v>
      </c>
      <c r="Y444" s="135" t="s">
        <v>3008</v>
      </c>
      <c r="Z444" s="135" t="s">
        <v>3009</v>
      </c>
      <c r="AA444" s="5" t="str">
        <f>VLOOKUP(A444,'Form Responses 1'!$C$2:$K$532,6,FALSE)</f>
        <v>Kit delivery and pickup</v>
      </c>
      <c r="AB444" s="5" t="e">
        <f>VLOOKUP(A444,'Form Responses 1'!$C$2:$K$219,7,FALSE)</f>
        <v>#N/A</v>
      </c>
      <c r="AC444" s="6" t="e">
        <f>VLOOKUP(A444,'Form Responses 1'!$C$2:$K$219,8,FALSE)</f>
        <v>#N/A</v>
      </c>
      <c r="AD444" s="6" t="e">
        <f>VLOOKUP(A444,'Form Responses 1'!$C$2:$K$219,9,FALSE)</f>
        <v>#N/A</v>
      </c>
    </row>
    <row r="445" spans="1:30" ht="19.5" customHeight="1">
      <c r="A445" s="135" t="s">
        <v>3010</v>
      </c>
      <c r="B445" s="135" t="s">
        <v>343</v>
      </c>
      <c r="C445" s="135">
        <v>47043</v>
      </c>
      <c r="D445" s="135" t="s">
        <v>3011</v>
      </c>
      <c r="E445" s="135" t="s">
        <v>3012</v>
      </c>
      <c r="F445" s="135"/>
      <c r="G445" s="135">
        <v>65</v>
      </c>
      <c r="H445" s="135" t="s">
        <v>1268</v>
      </c>
      <c r="I445" s="135" t="str">
        <f>VLOOKUP(H445,list!$B$2:$C$14,2,FALSE)</f>
        <v>KITS</v>
      </c>
      <c r="J445" s="135"/>
      <c r="K445" s="135">
        <v>0</v>
      </c>
      <c r="L445" s="135">
        <v>0</v>
      </c>
      <c r="M445" s="135">
        <v>0</v>
      </c>
      <c r="N445" s="135">
        <v>0</v>
      </c>
      <c r="O445" s="135">
        <v>0</v>
      </c>
      <c r="P445" s="135"/>
      <c r="Q445" s="135">
        <v>0</v>
      </c>
      <c r="R445" s="135"/>
      <c r="S445" s="135"/>
      <c r="T445" s="135" t="s">
        <v>30</v>
      </c>
      <c r="U445" s="135"/>
      <c r="V445" s="135" t="s">
        <v>1255</v>
      </c>
      <c r="W445" s="135">
        <v>5</v>
      </c>
      <c r="X445" s="135" t="s">
        <v>3013</v>
      </c>
      <c r="Y445" s="135" t="s">
        <v>3014</v>
      </c>
      <c r="Z445" s="135" t="s">
        <v>3015</v>
      </c>
      <c r="AA445" s="5" t="s">
        <v>18</v>
      </c>
      <c r="AB445" s="5" t="s">
        <v>1298</v>
      </c>
      <c r="AC445" s="6">
        <f>G445</f>
        <v>65</v>
      </c>
      <c r="AD445" s="6"/>
    </row>
    <row r="446" spans="1:30" ht="19.5" customHeight="1">
      <c r="A446" s="135" t="s">
        <v>1042</v>
      </c>
      <c r="B446" s="135"/>
      <c r="C446" s="135">
        <v>46711</v>
      </c>
      <c r="D446" s="135" t="s">
        <v>1649</v>
      </c>
      <c r="E446" s="135" t="s">
        <v>1260</v>
      </c>
      <c r="F446" s="135" t="s">
        <v>30</v>
      </c>
      <c r="G446" s="135">
        <v>360</v>
      </c>
      <c r="H446" s="135" t="s">
        <v>3016</v>
      </c>
      <c r="I446" s="135" t="str">
        <f>VLOOKUP(H446,list!$B$2:$C$14,2,FALSE)</f>
        <v>KITS</v>
      </c>
      <c r="J446" s="135"/>
      <c r="K446" s="135">
        <v>1</v>
      </c>
      <c r="L446" s="135">
        <v>0</v>
      </c>
      <c r="M446" s="135">
        <v>0</v>
      </c>
      <c r="N446" s="135">
        <v>1</v>
      </c>
      <c r="O446" s="135">
        <v>1</v>
      </c>
      <c r="P446" s="135"/>
      <c r="Q446" s="135">
        <v>1</v>
      </c>
      <c r="R446" s="135" t="s">
        <v>3017</v>
      </c>
      <c r="S446" s="135"/>
      <c r="T446" s="135" t="s">
        <v>30</v>
      </c>
      <c r="U446" s="135" t="s">
        <v>3018</v>
      </c>
      <c r="V446" s="135" t="s">
        <v>1255</v>
      </c>
      <c r="W446" s="135">
        <v>7</v>
      </c>
      <c r="X446" s="135" t="s">
        <v>3019</v>
      </c>
      <c r="Y446" s="135" t="s">
        <v>3020</v>
      </c>
      <c r="Z446" s="135" t="s">
        <v>1652</v>
      </c>
      <c r="AA446" s="5" t="str">
        <f>VLOOKUP(A446,'Form Responses 1'!$C$2:$K$532,6,FALSE)</f>
        <v>Kit delivery and pickup</v>
      </c>
      <c r="AB446" s="5" t="e">
        <f>VLOOKUP(A446,'Form Responses 1'!$C$2:$K$219,7,FALSE)</f>
        <v>#N/A</v>
      </c>
      <c r="AC446" s="6" t="e">
        <f>VLOOKUP(A446,'Form Responses 1'!$C$2:$K$219,8,FALSE)</f>
        <v>#N/A</v>
      </c>
      <c r="AD446" s="6" t="e">
        <f>VLOOKUP(A446,'Form Responses 1'!$C$2:$K$219,9,FALSE)</f>
        <v>#N/A</v>
      </c>
    </row>
    <row r="447" spans="1:30" ht="19.5" customHeight="1">
      <c r="A447" s="135" t="s">
        <v>1082</v>
      </c>
      <c r="B447" s="135" t="s">
        <v>3021</v>
      </c>
      <c r="C447" s="135">
        <v>46304</v>
      </c>
      <c r="D447" s="135" t="s">
        <v>1266</v>
      </c>
      <c r="E447" s="135" t="s">
        <v>1267</v>
      </c>
      <c r="F447" s="135"/>
      <c r="G447" s="135">
        <v>135</v>
      </c>
      <c r="H447" s="135" t="s">
        <v>1326</v>
      </c>
      <c r="I447" s="135" t="str">
        <f>VLOOKUP(H447,list!$B$2:$C$14,2,FALSE)</f>
        <v>ONSITE</v>
      </c>
      <c r="J447" s="135"/>
      <c r="K447" s="135">
        <v>0</v>
      </c>
      <c r="L447" s="135">
        <v>0</v>
      </c>
      <c r="M447" s="135">
        <v>0</v>
      </c>
      <c r="N447" s="135">
        <v>0</v>
      </c>
      <c r="O447" s="135">
        <v>0</v>
      </c>
      <c r="P447" s="135">
        <v>1</v>
      </c>
      <c r="Q447" s="135">
        <v>0</v>
      </c>
      <c r="R447" s="135"/>
      <c r="S447" s="135" t="s">
        <v>3022</v>
      </c>
      <c r="T447" s="135" t="s">
        <v>30</v>
      </c>
      <c r="U447" s="135" t="s">
        <v>3023</v>
      </c>
      <c r="V447" s="135" t="s">
        <v>1255</v>
      </c>
      <c r="W447" s="135">
        <v>1</v>
      </c>
      <c r="X447" s="135" t="s">
        <v>3024</v>
      </c>
      <c r="Y447" s="135" t="s">
        <v>3025</v>
      </c>
      <c r="Z447" s="135" t="s">
        <v>1273</v>
      </c>
      <c r="AA447" s="5" t="str">
        <f>VLOOKUP(A447,'Form Responses 1'!$C$2:$K$532,6,FALSE)</f>
        <v>Kit delivery and pickup</v>
      </c>
      <c r="AB447" s="5" t="e">
        <f>VLOOKUP(A447,'Form Responses 1'!$C$2:$K$219,7,FALSE)</f>
        <v>#N/A</v>
      </c>
      <c r="AC447" s="6" t="e">
        <f>VLOOKUP(A447,'Form Responses 1'!$C$2:$K$219,8,FALSE)</f>
        <v>#N/A</v>
      </c>
      <c r="AD447" s="6" t="e">
        <f>VLOOKUP(A447,'Form Responses 1'!$C$2:$K$219,9,FALSE)</f>
        <v>#N/A</v>
      </c>
    </row>
    <row r="448" spans="1:30" ht="19.5" customHeight="1">
      <c r="A448" s="135" t="s">
        <v>1098</v>
      </c>
      <c r="B448" s="135" t="s">
        <v>3021</v>
      </c>
      <c r="C448" s="135">
        <v>46307</v>
      </c>
      <c r="D448" s="135" t="s">
        <v>1689</v>
      </c>
      <c r="E448" s="135" t="s">
        <v>1375</v>
      </c>
      <c r="F448" s="135"/>
      <c r="G448" s="135">
        <v>136</v>
      </c>
      <c r="H448" s="135" t="s">
        <v>1282</v>
      </c>
      <c r="I448" s="135" t="str">
        <f>VLOOKUP(H448,list!$B$2:$C$14,2,FALSE)</f>
        <v>KITS</v>
      </c>
      <c r="J448" s="135"/>
      <c r="K448" s="135">
        <v>0</v>
      </c>
      <c r="L448" s="135">
        <v>0</v>
      </c>
      <c r="M448" s="135">
        <v>0</v>
      </c>
      <c r="N448" s="135">
        <v>0</v>
      </c>
      <c r="O448" s="135">
        <v>0</v>
      </c>
      <c r="P448" s="135"/>
      <c r="Q448" s="135">
        <v>0</v>
      </c>
      <c r="R448" s="135"/>
      <c r="S448" s="135"/>
      <c r="T448" s="135" t="s">
        <v>19</v>
      </c>
      <c r="U448" s="135"/>
      <c r="V448" s="135" t="s">
        <v>1255</v>
      </c>
      <c r="W448" s="135">
        <v>3</v>
      </c>
      <c r="X448" s="135" t="s">
        <v>3026</v>
      </c>
      <c r="Y448" s="135" t="s">
        <v>3027</v>
      </c>
      <c r="Z448" s="135" t="s">
        <v>1692</v>
      </c>
      <c r="AA448" s="5" t="str">
        <f>VLOOKUP(A448,'Form Responses 1'!$C$2:$K$532,6,FALSE)</f>
        <v>Onsite sample collection by ISDH team</v>
      </c>
      <c r="AB448" s="5" t="e">
        <f>VLOOKUP(A448,'Form Responses 1'!$C$2:$K$219,7,FALSE)</f>
        <v>#N/A</v>
      </c>
      <c r="AC448" s="6" t="e">
        <f>VLOOKUP(A448,'Form Responses 1'!$C$2:$K$219,8,FALSE)</f>
        <v>#N/A</v>
      </c>
      <c r="AD448" s="6" t="e">
        <f>VLOOKUP(A448,'Form Responses 1'!$C$2:$K$219,9,FALSE)</f>
        <v>#N/A</v>
      </c>
    </row>
    <row r="449" spans="1:30" ht="19.5" customHeight="1">
      <c r="A449" s="135" t="s">
        <v>3028</v>
      </c>
      <c r="B449" s="135" t="s">
        <v>3021</v>
      </c>
      <c r="C449" s="135">
        <v>46311</v>
      </c>
      <c r="D449" s="135" t="s">
        <v>1776</v>
      </c>
      <c r="E449" s="135" t="s">
        <v>1375</v>
      </c>
      <c r="F449" s="135"/>
      <c r="G449" s="135">
        <v>172</v>
      </c>
      <c r="H449" s="135" t="s">
        <v>1282</v>
      </c>
      <c r="I449" s="135" t="str">
        <f>VLOOKUP(H449,list!$B$2:$C$14,2,FALSE)</f>
        <v>KITS</v>
      </c>
      <c r="J449" s="135"/>
      <c r="K449" s="135">
        <v>0</v>
      </c>
      <c r="L449" s="135">
        <v>0</v>
      </c>
      <c r="M449" s="135">
        <v>0</v>
      </c>
      <c r="N449" s="135">
        <v>0</v>
      </c>
      <c r="O449" s="135">
        <v>0</v>
      </c>
      <c r="P449" s="135"/>
      <c r="Q449" s="135">
        <v>0</v>
      </c>
      <c r="R449" s="135"/>
      <c r="S449" s="135"/>
      <c r="T449" s="135" t="s">
        <v>19</v>
      </c>
      <c r="U449" s="135" t="s">
        <v>3029</v>
      </c>
      <c r="V449" s="135" t="s">
        <v>1255</v>
      </c>
      <c r="W449" s="135">
        <v>3</v>
      </c>
      <c r="X449" s="135" t="s">
        <v>3030</v>
      </c>
      <c r="Y449" s="135" t="s">
        <v>3031</v>
      </c>
      <c r="Z449" s="135" t="s">
        <v>1780</v>
      </c>
      <c r="AA449" s="5" t="e">
        <f>VLOOKUP(A449,'Form Responses 1'!$C$2:$K$532,6,FALSE)</f>
        <v>#N/A</v>
      </c>
      <c r="AB449" s="5" t="e">
        <f>VLOOKUP(A449,'Form Responses 1'!$C$2:$K$219,7,FALSE)</f>
        <v>#N/A</v>
      </c>
      <c r="AC449" s="6" t="e">
        <f>VLOOKUP(A449,'Form Responses 1'!$C$2:$K$219,8,FALSE)</f>
        <v>#N/A</v>
      </c>
      <c r="AD449" s="6" t="e">
        <f>VLOOKUP(A449,'Form Responses 1'!$C$2:$K$219,9,FALSE)</f>
        <v>#N/A</v>
      </c>
    </row>
    <row r="450" spans="1:30" ht="19.5" customHeight="1">
      <c r="A450" s="135" t="s">
        <v>3032</v>
      </c>
      <c r="B450" s="135" t="s">
        <v>1303</v>
      </c>
      <c r="C450" s="135">
        <v>47712</v>
      </c>
      <c r="D450" s="135" t="s">
        <v>1506</v>
      </c>
      <c r="E450" s="135" t="s">
        <v>1507</v>
      </c>
      <c r="F450" s="135"/>
      <c r="G450" s="135">
        <v>117</v>
      </c>
      <c r="H450" s="135" t="s">
        <v>1276</v>
      </c>
      <c r="I450" s="135" t="str">
        <f>VLOOKUP(H450,list!$B$2:$C$14,2,FALSE)</f>
        <v>GREEN</v>
      </c>
      <c r="J450" s="135"/>
      <c r="K450" s="135">
        <v>0</v>
      </c>
      <c r="L450" s="135">
        <v>0</v>
      </c>
      <c r="M450" s="135">
        <v>0</v>
      </c>
      <c r="N450" s="135">
        <v>0</v>
      </c>
      <c r="O450" s="135">
        <v>0</v>
      </c>
      <c r="P450" s="135"/>
      <c r="Q450" s="135">
        <v>0</v>
      </c>
      <c r="R450" s="135"/>
      <c r="S450" s="135"/>
      <c r="T450" s="135" t="s">
        <v>30</v>
      </c>
      <c r="U450" s="135"/>
      <c r="V450" s="135" t="s">
        <v>1255</v>
      </c>
      <c r="W450" s="135">
        <v>2</v>
      </c>
      <c r="X450" s="135" t="s">
        <v>3033</v>
      </c>
      <c r="Y450" s="135" t="s">
        <v>3034</v>
      </c>
      <c r="Z450" s="135" t="s">
        <v>2691</v>
      </c>
      <c r="AA450" s="5" t="s">
        <v>18</v>
      </c>
      <c r="AB450" s="5" t="s">
        <v>30</v>
      </c>
      <c r="AC450" s="9">
        <v>117</v>
      </c>
      <c r="AD450" s="6"/>
    </row>
    <row r="451" spans="1:30" ht="19.5" customHeight="1">
      <c r="A451" s="135" t="s">
        <v>837</v>
      </c>
      <c r="B451" s="135"/>
      <c r="C451" s="135">
        <v>46526</v>
      </c>
      <c r="D451" s="135" t="s">
        <v>1722</v>
      </c>
      <c r="E451" s="135" t="s">
        <v>1723</v>
      </c>
      <c r="F451" s="135"/>
      <c r="G451" s="135">
        <v>44</v>
      </c>
      <c r="H451" s="135" t="s">
        <v>1276</v>
      </c>
      <c r="I451" s="135" t="str">
        <f>VLOOKUP(H451,list!$B$2:$C$14,2,FALSE)</f>
        <v>GREEN</v>
      </c>
      <c r="J451" s="135"/>
      <c r="K451" s="135">
        <v>0</v>
      </c>
      <c r="L451" s="135">
        <v>0</v>
      </c>
      <c r="M451" s="135">
        <v>0</v>
      </c>
      <c r="N451" s="135">
        <v>0</v>
      </c>
      <c r="O451" s="135">
        <v>0</v>
      </c>
      <c r="P451" s="135"/>
      <c r="Q451" s="135">
        <v>0</v>
      </c>
      <c r="R451" s="135"/>
      <c r="S451" s="135"/>
      <c r="T451" s="135" t="s">
        <v>19</v>
      </c>
      <c r="U451" s="135" t="s">
        <v>1315</v>
      </c>
      <c r="V451" s="135" t="s">
        <v>1255</v>
      </c>
      <c r="W451" s="135">
        <v>2</v>
      </c>
      <c r="X451" s="135" t="s">
        <v>3035</v>
      </c>
      <c r="Y451" s="135" t="s">
        <v>3036</v>
      </c>
      <c r="Z451" s="135" t="s">
        <v>3037</v>
      </c>
      <c r="AA451" s="5" t="str">
        <f>VLOOKUP(A451,'Form Responses 1'!$C$2:$K$532,6,FALSE)</f>
        <v>Kit delivery and pickup</v>
      </c>
      <c r="AB451" s="5" t="str">
        <f>VLOOKUP(A451,'Form Responses 1'!$C$2:$K$219,7,FALSE)</f>
        <v>No</v>
      </c>
      <c r="AC451" s="6">
        <f>VLOOKUP(A451,'Form Responses 1'!$C$2:$K$219,8,FALSE)</f>
        <v>150</v>
      </c>
      <c r="AD451" s="6">
        <f>VLOOKUP(A451,'Form Responses 1'!$C$2:$K$219,9,FALSE)</f>
        <v>0</v>
      </c>
    </row>
    <row r="452" spans="1:30" ht="19.5" customHeight="1">
      <c r="A452" s="135" t="s">
        <v>3038</v>
      </c>
      <c r="B452" s="7" t="s">
        <v>1312</v>
      </c>
      <c r="C452" s="135">
        <v>47150</v>
      </c>
      <c r="D452" s="135" t="s">
        <v>1441</v>
      </c>
      <c r="E452" s="135" t="s">
        <v>1442</v>
      </c>
      <c r="F452" s="135"/>
      <c r="G452" s="135">
        <v>141</v>
      </c>
      <c r="H452" s="135" t="s">
        <v>1276</v>
      </c>
      <c r="I452" s="135" t="str">
        <f>VLOOKUP(H452,list!$B$2:$C$14,2,FALSE)</f>
        <v>GREEN</v>
      </c>
      <c r="J452" s="135"/>
      <c r="K452" s="135">
        <v>0</v>
      </c>
      <c r="L452" s="135">
        <v>0</v>
      </c>
      <c r="M452" s="135">
        <v>0</v>
      </c>
      <c r="N452" s="135">
        <v>0</v>
      </c>
      <c r="O452" s="135">
        <v>0</v>
      </c>
      <c r="P452" s="135"/>
      <c r="Q452" s="135">
        <v>0</v>
      </c>
      <c r="R452" s="135"/>
      <c r="S452" s="135"/>
      <c r="T452" s="135" t="s">
        <v>19</v>
      </c>
      <c r="U452" s="135" t="s">
        <v>1315</v>
      </c>
      <c r="V452" s="135" t="s">
        <v>1255</v>
      </c>
      <c r="W452" s="135">
        <v>2</v>
      </c>
      <c r="X452" s="135" t="s">
        <v>3039</v>
      </c>
      <c r="Y452" s="135" t="s">
        <v>3040</v>
      </c>
      <c r="Z452" s="135" t="s">
        <v>3041</v>
      </c>
      <c r="AA452" s="5" t="s">
        <v>18</v>
      </c>
      <c r="AB452" s="5" t="s">
        <v>1298</v>
      </c>
      <c r="AC452" s="6">
        <f t="shared" ref="AC452:AC453" si="34">G452</f>
        <v>141</v>
      </c>
      <c r="AD452" s="6"/>
    </row>
    <row r="453" spans="1:30" ht="19.5" customHeight="1">
      <c r="A453" s="135" t="s">
        <v>3042</v>
      </c>
      <c r="B453" s="321" t="s">
        <v>1312</v>
      </c>
      <c r="C453" s="135">
        <v>47243</v>
      </c>
      <c r="D453" s="135" t="s">
        <v>2078</v>
      </c>
      <c r="E453" s="135" t="s">
        <v>2079</v>
      </c>
      <c r="F453" s="135"/>
      <c r="G453" s="135">
        <v>81</v>
      </c>
      <c r="H453" s="135" t="s">
        <v>1276</v>
      </c>
      <c r="I453" s="135" t="str">
        <f>VLOOKUP(H453,list!$B$2:$C$14,2,FALSE)</f>
        <v>GREEN</v>
      </c>
      <c r="J453" s="135"/>
      <c r="K453" s="135">
        <v>0</v>
      </c>
      <c r="L453" s="135">
        <v>0</v>
      </c>
      <c r="M453" s="135">
        <v>0</v>
      </c>
      <c r="N453" s="135">
        <v>0</v>
      </c>
      <c r="O453" s="135">
        <v>0</v>
      </c>
      <c r="P453" s="135"/>
      <c r="Q453" s="135">
        <v>0</v>
      </c>
      <c r="R453" s="135"/>
      <c r="S453" s="135"/>
      <c r="T453" s="135" t="s">
        <v>19</v>
      </c>
      <c r="U453" s="135" t="s">
        <v>1315</v>
      </c>
      <c r="V453" s="135" t="s">
        <v>1255</v>
      </c>
      <c r="W453" s="135">
        <v>2</v>
      </c>
      <c r="X453" s="135" t="s">
        <v>3043</v>
      </c>
      <c r="Y453" s="135" t="s">
        <v>3044</v>
      </c>
      <c r="Z453" s="135" t="s">
        <v>2083</v>
      </c>
      <c r="AA453" s="5" t="s">
        <v>18</v>
      </c>
      <c r="AB453" s="5" t="s">
        <v>1298</v>
      </c>
      <c r="AC453" s="6">
        <f t="shared" si="34"/>
        <v>81</v>
      </c>
      <c r="AD453" s="6"/>
    </row>
    <row r="454" spans="1:30" ht="19.5" customHeight="1">
      <c r="A454" s="135" t="s">
        <v>850</v>
      </c>
      <c r="B454" s="135"/>
      <c r="C454" s="135">
        <v>46962</v>
      </c>
      <c r="D454" s="135" t="s">
        <v>2706</v>
      </c>
      <c r="E454" s="135" t="s">
        <v>1436</v>
      </c>
      <c r="F454" s="135"/>
      <c r="G454" s="135">
        <v>197</v>
      </c>
      <c r="H454" s="135" t="s">
        <v>1276</v>
      </c>
      <c r="I454" s="135" t="str">
        <f>VLOOKUP(H454,list!$B$2:$C$14,2,FALSE)</f>
        <v>GREEN</v>
      </c>
      <c r="J454" s="135"/>
      <c r="K454" s="135">
        <v>0</v>
      </c>
      <c r="L454" s="135">
        <v>0</v>
      </c>
      <c r="M454" s="135">
        <v>0</v>
      </c>
      <c r="N454" s="135">
        <v>0</v>
      </c>
      <c r="O454" s="135">
        <v>0</v>
      </c>
      <c r="P454" s="135"/>
      <c r="Q454" s="135">
        <v>0</v>
      </c>
      <c r="R454" s="135"/>
      <c r="S454" s="135"/>
      <c r="T454" s="135" t="s">
        <v>19</v>
      </c>
      <c r="U454" s="135" t="s">
        <v>3045</v>
      </c>
      <c r="V454" s="135" t="s">
        <v>1255</v>
      </c>
      <c r="W454" s="135">
        <v>2</v>
      </c>
      <c r="X454" s="135" t="s">
        <v>3046</v>
      </c>
      <c r="Y454" s="135" t="s">
        <v>3047</v>
      </c>
      <c r="Z454" s="135" t="s">
        <v>2709</v>
      </c>
      <c r="AA454" s="5" t="str">
        <f>VLOOKUP(A454,'Form Responses 1'!$C$2:$K$532,6,FALSE)</f>
        <v>Onsite sample collection by ISDH team</v>
      </c>
      <c r="AB454" s="5">
        <f>VLOOKUP(A454,'Form Responses 1'!$C$2:$K$219,7,FALSE)</f>
        <v>0</v>
      </c>
      <c r="AC454" s="6">
        <f>VLOOKUP(A454,'Form Responses 1'!$C$2:$K$219,8,FALSE)</f>
        <v>240</v>
      </c>
      <c r="AD454" s="6">
        <f>VLOOKUP(A454,'Form Responses 1'!$C$2:$K$219,9,FALSE)</f>
        <v>0</v>
      </c>
    </row>
    <row r="455" spans="1:30" ht="19.5" customHeight="1">
      <c r="A455" s="135" t="s">
        <v>3048</v>
      </c>
      <c r="B455" s="135" t="s">
        <v>343</v>
      </c>
      <c r="C455" s="135">
        <v>47546</v>
      </c>
      <c r="D455" s="135" t="s">
        <v>1338</v>
      </c>
      <c r="E455" s="135" t="s">
        <v>1574</v>
      </c>
      <c r="F455" s="135"/>
      <c r="G455" s="135">
        <v>98</v>
      </c>
      <c r="H455" s="135" t="s">
        <v>1282</v>
      </c>
      <c r="I455" s="135" t="str">
        <f>VLOOKUP(H455,list!$B$2:$C$14,2,FALSE)</f>
        <v>KITS</v>
      </c>
      <c r="J455" s="135"/>
      <c r="K455" s="135">
        <v>0</v>
      </c>
      <c r="L455" s="135">
        <v>0</v>
      </c>
      <c r="M455" s="135">
        <v>0</v>
      </c>
      <c r="N455" s="135">
        <v>0</v>
      </c>
      <c r="O455" s="135">
        <v>0</v>
      </c>
      <c r="P455" s="135"/>
      <c r="Q455" s="135">
        <v>0</v>
      </c>
      <c r="R455" s="135"/>
      <c r="S455" s="135"/>
      <c r="T455" s="135" t="s">
        <v>19</v>
      </c>
      <c r="U455" s="135"/>
      <c r="V455" s="135" t="s">
        <v>1255</v>
      </c>
      <c r="W455" s="135">
        <v>3</v>
      </c>
      <c r="X455" s="135" t="s">
        <v>3049</v>
      </c>
      <c r="Y455" s="135" t="s">
        <v>3050</v>
      </c>
      <c r="Z455" s="135" t="s">
        <v>1628</v>
      </c>
      <c r="AA455" s="5" t="s">
        <v>18</v>
      </c>
      <c r="AB455" s="5" t="s">
        <v>1298</v>
      </c>
      <c r="AC455" s="6">
        <f t="shared" ref="AC455:AC456" si="35">G455</f>
        <v>98</v>
      </c>
      <c r="AD455" s="6"/>
    </row>
    <row r="456" spans="1:30" ht="19.5" customHeight="1">
      <c r="A456" s="135" t="s">
        <v>3051</v>
      </c>
      <c r="B456" s="135" t="s">
        <v>343</v>
      </c>
      <c r="C456" s="135">
        <v>47137</v>
      </c>
      <c r="D456" s="135" t="s">
        <v>3052</v>
      </c>
      <c r="E456" s="135" t="s">
        <v>3053</v>
      </c>
      <c r="F456" s="135" t="s">
        <v>30</v>
      </c>
      <c r="G456" s="135">
        <v>75</v>
      </c>
      <c r="H456" s="135" t="s">
        <v>1282</v>
      </c>
      <c r="I456" s="135" t="str">
        <f>VLOOKUP(H456,list!$B$2:$C$14,2,FALSE)</f>
        <v>KITS</v>
      </c>
      <c r="J456" s="135"/>
      <c r="K456" s="135">
        <v>0</v>
      </c>
      <c r="L456" s="135">
        <v>0</v>
      </c>
      <c r="M456" s="135">
        <v>0</v>
      </c>
      <c r="N456" s="135">
        <v>0</v>
      </c>
      <c r="O456" s="135">
        <v>0</v>
      </c>
      <c r="P456" s="135"/>
      <c r="Q456" s="135">
        <v>0</v>
      </c>
      <c r="R456" s="135"/>
      <c r="S456" s="135"/>
      <c r="T456" s="135" t="s">
        <v>19</v>
      </c>
      <c r="U456" s="135"/>
      <c r="V456" s="135" t="s">
        <v>1255</v>
      </c>
      <c r="W456" s="135">
        <v>3</v>
      </c>
      <c r="X456" s="135" t="s">
        <v>3054</v>
      </c>
      <c r="Y456" s="135" t="s">
        <v>3055</v>
      </c>
      <c r="Z456" s="135" t="s">
        <v>3056</v>
      </c>
      <c r="AA456" s="5" t="s">
        <v>18</v>
      </c>
      <c r="AB456" s="5" t="s">
        <v>1298</v>
      </c>
      <c r="AC456" s="6">
        <f t="shared" si="35"/>
        <v>75</v>
      </c>
      <c r="AD456" s="6"/>
    </row>
    <row r="457" spans="1:30" ht="19.5" customHeight="1">
      <c r="A457" s="135" t="s">
        <v>1220</v>
      </c>
      <c r="B457" s="135" t="s">
        <v>1463</v>
      </c>
      <c r="C457" s="135">
        <v>46825</v>
      </c>
      <c r="D457" s="135" t="s">
        <v>1343</v>
      </c>
      <c r="E457" s="135" t="s">
        <v>1252</v>
      </c>
      <c r="F457" s="135"/>
      <c r="G457" s="135">
        <v>220</v>
      </c>
      <c r="H457" s="135" t="s">
        <v>1276</v>
      </c>
      <c r="I457" s="135" t="str">
        <f>VLOOKUP(H457,list!$B$2:$C$14,2,FALSE)</f>
        <v>GREEN</v>
      </c>
      <c r="J457" s="135"/>
      <c r="K457" s="135">
        <v>0</v>
      </c>
      <c r="L457" s="135">
        <v>0</v>
      </c>
      <c r="M457" s="135">
        <v>0</v>
      </c>
      <c r="N457" s="135">
        <v>0</v>
      </c>
      <c r="O457" s="135">
        <v>0</v>
      </c>
      <c r="P457" s="135"/>
      <c r="Q457" s="135">
        <v>0</v>
      </c>
      <c r="R457" s="135"/>
      <c r="S457" s="135"/>
      <c r="T457" s="135" t="s">
        <v>30</v>
      </c>
      <c r="U457" s="135" t="s">
        <v>3057</v>
      </c>
      <c r="V457" s="135" t="s">
        <v>1255</v>
      </c>
      <c r="W457" s="135">
        <v>2</v>
      </c>
      <c r="X457" s="135" t="s">
        <v>3058</v>
      </c>
      <c r="Y457" s="135" t="s">
        <v>3059</v>
      </c>
      <c r="Z457" s="135" t="s">
        <v>1379</v>
      </c>
      <c r="AA457" s="5" t="str">
        <f>VLOOKUP(A457,'Form Responses 1'!$C$2:$K$532,6,FALSE)</f>
        <v>Kit delivery and pickup</v>
      </c>
      <c r="AB457" s="5" t="e">
        <f>VLOOKUP(A457,'Form Responses 1'!$C$2:$K$219,7,FALSE)</f>
        <v>#N/A</v>
      </c>
      <c r="AC457" s="6" t="e">
        <f>VLOOKUP(A457,'Form Responses 1'!$C$2:$K$219,8,FALSE)</f>
        <v>#N/A</v>
      </c>
      <c r="AD457" s="6" t="e">
        <f>VLOOKUP(A457,'Form Responses 1'!$C$2:$K$219,9,FALSE)</f>
        <v>#N/A</v>
      </c>
    </row>
    <row r="458" spans="1:30" ht="19.5" customHeight="1">
      <c r="A458" s="135" t="s">
        <v>3060</v>
      </c>
      <c r="B458" s="135" t="s">
        <v>343</v>
      </c>
      <c r="C458" s="135">
        <v>46614</v>
      </c>
      <c r="D458" s="135" t="s">
        <v>1547</v>
      </c>
      <c r="E458" s="135" t="s">
        <v>1480</v>
      </c>
      <c r="F458" s="135"/>
      <c r="G458" s="135">
        <v>190</v>
      </c>
      <c r="H458" s="135" t="s">
        <v>1282</v>
      </c>
      <c r="I458" s="135" t="str">
        <f>VLOOKUP(H458,list!$B$2:$C$14,2,FALSE)</f>
        <v>KITS</v>
      </c>
      <c r="J458" s="135"/>
      <c r="K458" s="135">
        <v>0</v>
      </c>
      <c r="L458" s="135">
        <v>0</v>
      </c>
      <c r="M458" s="135">
        <v>0</v>
      </c>
      <c r="N458" s="135">
        <v>0</v>
      </c>
      <c r="O458" s="135">
        <v>0</v>
      </c>
      <c r="P458" s="135"/>
      <c r="Q458" s="135">
        <v>0</v>
      </c>
      <c r="R458" s="135"/>
      <c r="S458" s="135"/>
      <c r="T458" s="135" t="s">
        <v>19</v>
      </c>
      <c r="U458" s="135" t="s">
        <v>1557</v>
      </c>
      <c r="V458" s="135" t="s">
        <v>1255</v>
      </c>
      <c r="W458" s="135">
        <v>3</v>
      </c>
      <c r="X458" s="135" t="s">
        <v>3061</v>
      </c>
      <c r="Y458" s="135" t="s">
        <v>3062</v>
      </c>
      <c r="Z458" s="135" t="s">
        <v>2924</v>
      </c>
      <c r="AA458" s="5" t="s">
        <v>18</v>
      </c>
      <c r="AB458" s="5" t="s">
        <v>1298</v>
      </c>
      <c r="AC458" s="6">
        <f>G458</f>
        <v>190</v>
      </c>
      <c r="AD458" s="6"/>
    </row>
    <row r="459" spans="1:30" ht="19.5" customHeight="1">
      <c r="A459" s="135" t="s">
        <v>1021</v>
      </c>
      <c r="B459" s="135"/>
      <c r="C459" s="135">
        <v>46205</v>
      </c>
      <c r="D459" s="135" t="s">
        <v>1289</v>
      </c>
      <c r="E459" s="135" t="s">
        <v>1290</v>
      </c>
      <c r="F459" s="135"/>
      <c r="G459" s="135">
        <v>58</v>
      </c>
      <c r="H459" s="135" t="s">
        <v>1268</v>
      </c>
      <c r="I459" s="135" t="str">
        <f>VLOOKUP(H459,list!$B$2:$C$14,2,FALSE)</f>
        <v>KITS</v>
      </c>
      <c r="J459" s="135"/>
      <c r="K459" s="135">
        <v>0</v>
      </c>
      <c r="L459" s="135">
        <v>0</v>
      </c>
      <c r="M459" s="135">
        <v>0</v>
      </c>
      <c r="N459" s="135">
        <v>0</v>
      </c>
      <c r="O459" s="135">
        <v>0</v>
      </c>
      <c r="P459" s="135"/>
      <c r="Q459" s="135">
        <v>0</v>
      </c>
      <c r="R459" s="135"/>
      <c r="S459" s="135"/>
      <c r="T459" s="135" t="s">
        <v>19</v>
      </c>
      <c r="U459" s="135"/>
      <c r="V459" s="135" t="s">
        <v>1255</v>
      </c>
      <c r="W459" s="135">
        <v>5</v>
      </c>
      <c r="X459" s="135" t="s">
        <v>3063</v>
      </c>
      <c r="Y459" s="135" t="s">
        <v>3064</v>
      </c>
      <c r="Z459" s="135" t="s">
        <v>1742</v>
      </c>
      <c r="AA459" s="5" t="str">
        <f>VLOOKUP(A459,'Form Responses 1'!$C$2:$K$532,6,FALSE)</f>
        <v>Kit delivery and pickup</v>
      </c>
      <c r="AB459" s="5" t="e">
        <f>VLOOKUP(A459,'Form Responses 1'!$C$2:$K$219,7,FALSE)</f>
        <v>#N/A</v>
      </c>
      <c r="AC459" s="6" t="e">
        <f>VLOOKUP(A459,'Form Responses 1'!$C$2:$K$219,8,FALSE)</f>
        <v>#N/A</v>
      </c>
      <c r="AD459" s="6" t="e">
        <f>VLOOKUP(A459,'Form Responses 1'!$C$2:$K$219,9,FALSE)</f>
        <v>#N/A</v>
      </c>
    </row>
    <row r="460" spans="1:30" ht="19.5" customHeight="1">
      <c r="A460" s="135" t="s">
        <v>854</v>
      </c>
      <c r="B460" s="135"/>
      <c r="C460" s="135">
        <v>47601</v>
      </c>
      <c r="D460" s="135" t="s">
        <v>3065</v>
      </c>
      <c r="E460" s="135" t="s">
        <v>1762</v>
      </c>
      <c r="F460" s="135" t="s">
        <v>30</v>
      </c>
      <c r="G460" s="135">
        <v>90</v>
      </c>
      <c r="H460" s="135" t="s">
        <v>2699</v>
      </c>
      <c r="I460" s="135" t="str">
        <f>VLOOKUP(H460,list!$B$2:$C$14,2,FALSE)</f>
        <v>ONSITE</v>
      </c>
      <c r="J460" s="135" t="s">
        <v>3066</v>
      </c>
      <c r="K460" s="135">
        <v>0</v>
      </c>
      <c r="L460" s="135">
        <v>0</v>
      </c>
      <c r="M460" s="135">
        <v>0</v>
      </c>
      <c r="N460" s="135">
        <v>0</v>
      </c>
      <c r="O460" s="135">
        <v>0</v>
      </c>
      <c r="P460" s="135"/>
      <c r="Q460" s="135">
        <v>0</v>
      </c>
      <c r="R460" s="135"/>
      <c r="S460" s="135"/>
      <c r="T460" s="135" t="s">
        <v>19</v>
      </c>
      <c r="U460" s="135"/>
      <c r="V460" s="135" t="s">
        <v>1255</v>
      </c>
      <c r="W460" s="135">
        <v>6</v>
      </c>
      <c r="X460" s="135" t="s">
        <v>3067</v>
      </c>
      <c r="Y460" s="135" t="s">
        <v>3068</v>
      </c>
      <c r="Z460" s="135" t="s">
        <v>3069</v>
      </c>
      <c r="AA460" s="5" t="str">
        <f>VLOOKUP(A460,'Form Responses 1'!$C$2:$K$532,6,FALSE)</f>
        <v>Kit delivery and pickup</v>
      </c>
      <c r="AB460" s="5" t="str">
        <f>VLOOKUP(A460,'Form Responses 1'!$C$2:$K$219,7,FALSE)</f>
        <v>No</v>
      </c>
      <c r="AC460" s="6">
        <f>VLOOKUP(A460,'Form Responses 1'!$C$2:$K$219,8,FALSE)</f>
        <v>90</v>
      </c>
      <c r="AD460" s="6" t="str">
        <f>VLOOKUP(A460,'Form Responses 1'!$C$2:$K$219,9,FALSE)</f>
        <v>Wants to do testing over 1 week.</v>
      </c>
    </row>
    <row r="461" spans="1:30" ht="19.5" customHeight="1">
      <c r="A461" s="135" t="s">
        <v>859</v>
      </c>
      <c r="B461" s="135"/>
      <c r="C461" s="135">
        <v>47601</v>
      </c>
      <c r="D461" s="135" t="s">
        <v>3065</v>
      </c>
      <c r="E461" s="135" t="s">
        <v>1762</v>
      </c>
      <c r="F461" s="135" t="s">
        <v>30</v>
      </c>
      <c r="G461" s="135">
        <v>63</v>
      </c>
      <c r="H461" s="135" t="s">
        <v>2699</v>
      </c>
      <c r="I461" s="135" t="str">
        <f>VLOOKUP(H461,list!$B$2:$C$14,2,FALSE)</f>
        <v>ONSITE</v>
      </c>
      <c r="J461" s="135" t="s">
        <v>3070</v>
      </c>
      <c r="K461" s="135">
        <v>0</v>
      </c>
      <c r="L461" s="135">
        <v>0</v>
      </c>
      <c r="M461" s="135">
        <v>0</v>
      </c>
      <c r="N461" s="135">
        <v>0</v>
      </c>
      <c r="O461" s="135">
        <v>0</v>
      </c>
      <c r="P461" s="135"/>
      <c r="Q461" s="135">
        <v>0</v>
      </c>
      <c r="R461" s="135"/>
      <c r="S461" s="135"/>
      <c r="T461" s="135" t="s">
        <v>19</v>
      </c>
      <c r="U461" s="135"/>
      <c r="V461" s="135" t="s">
        <v>1255</v>
      </c>
      <c r="W461" s="135">
        <v>6</v>
      </c>
      <c r="X461" s="135" t="s">
        <v>3071</v>
      </c>
      <c r="Y461" s="135" t="s">
        <v>3072</v>
      </c>
      <c r="Z461" s="135" t="s">
        <v>3069</v>
      </c>
      <c r="AA461" s="5" t="str">
        <f>VLOOKUP(A461,'Form Responses 1'!$C$2:$K$532,6,FALSE)</f>
        <v>Kit delivery and pickup</v>
      </c>
      <c r="AB461" s="5" t="str">
        <f>VLOOKUP(A461,'Form Responses 1'!$C$2:$K$219,7,FALSE)</f>
        <v>No</v>
      </c>
      <c r="AC461" s="6">
        <f>VLOOKUP(A461,'Form Responses 1'!$C$2:$K$219,8,FALSE)</f>
        <v>60</v>
      </c>
      <c r="AD461" s="6" t="str">
        <f>VLOOKUP(A461,'Form Responses 1'!$C$2:$K$219,9,FALSE)</f>
        <v>several questions r/t contracted workers</v>
      </c>
    </row>
    <row r="462" spans="1:30" ht="19.5" customHeight="1">
      <c r="A462" s="135" t="s">
        <v>864</v>
      </c>
      <c r="B462" s="135"/>
      <c r="C462" s="135">
        <v>47665</v>
      </c>
      <c r="D462" s="135" t="s">
        <v>3073</v>
      </c>
      <c r="E462" s="135" t="s">
        <v>1995</v>
      </c>
      <c r="F462" s="135"/>
      <c r="G462" s="135">
        <v>60</v>
      </c>
      <c r="H462" s="135" t="s">
        <v>1253</v>
      </c>
      <c r="I462" s="135" t="str">
        <f>VLOOKUP(H462,list!$B$2:$C$14,2,FALSE)</f>
        <v>KITS</v>
      </c>
      <c r="J462" s="135"/>
      <c r="K462" s="135">
        <v>0</v>
      </c>
      <c r="L462" s="135">
        <v>0</v>
      </c>
      <c r="M462" s="135">
        <v>0</v>
      </c>
      <c r="N462" s="135">
        <v>0</v>
      </c>
      <c r="O462" s="135">
        <v>0</v>
      </c>
      <c r="P462" s="135"/>
      <c r="Q462" s="135">
        <v>0</v>
      </c>
      <c r="R462" s="135"/>
      <c r="S462" s="135"/>
      <c r="T462" s="135" t="s">
        <v>19</v>
      </c>
      <c r="U462" s="135"/>
      <c r="V462" s="135" t="s">
        <v>1255</v>
      </c>
      <c r="W462" s="135">
        <v>6</v>
      </c>
      <c r="X462" s="135" t="s">
        <v>3074</v>
      </c>
      <c r="Y462" s="135" t="s">
        <v>3075</v>
      </c>
      <c r="Z462" s="135" t="s">
        <v>3076</v>
      </c>
      <c r="AA462" s="5" t="str">
        <f>VLOOKUP(A462,'Form Responses 1'!$C$2:$K$532,6,FALSE)</f>
        <v>Kit delivery and pickup</v>
      </c>
      <c r="AB462" s="5" t="str">
        <f>VLOOKUP(A462,'Form Responses 1'!$C$2:$K$219,7,FALSE)</f>
        <v>No</v>
      </c>
      <c r="AC462" s="6">
        <f>VLOOKUP(A462,'Form Responses 1'!$C$2:$K$219,8,FALSE)</f>
        <v>80</v>
      </c>
      <c r="AD462" s="6">
        <f>VLOOKUP(A462,'Form Responses 1'!$C$2:$K$219,9,FALSE)</f>
        <v>0</v>
      </c>
    </row>
    <row r="463" spans="1:30" ht="19.5" customHeight="1">
      <c r="A463" s="135" t="s">
        <v>868</v>
      </c>
      <c r="B463" s="135"/>
      <c r="C463" s="135">
        <v>46933</v>
      </c>
      <c r="D463" s="135" t="s">
        <v>3077</v>
      </c>
      <c r="E463" s="135" t="s">
        <v>1360</v>
      </c>
      <c r="F463" s="135"/>
      <c r="G463" s="135">
        <v>65</v>
      </c>
      <c r="H463" s="135" t="s">
        <v>1282</v>
      </c>
      <c r="I463" s="135" t="str">
        <f>VLOOKUP(H463,list!$B$2:$C$14,2,FALSE)</f>
        <v>KITS</v>
      </c>
      <c r="J463" s="135"/>
      <c r="K463" s="135">
        <v>0</v>
      </c>
      <c r="L463" s="135">
        <v>0</v>
      </c>
      <c r="M463" s="135">
        <v>0</v>
      </c>
      <c r="N463" s="135">
        <v>0</v>
      </c>
      <c r="O463" s="135">
        <v>0</v>
      </c>
      <c r="P463" s="135"/>
      <c r="Q463" s="135">
        <v>0</v>
      </c>
      <c r="R463" s="135"/>
      <c r="S463" s="135"/>
      <c r="T463" s="135" t="s">
        <v>30</v>
      </c>
      <c r="U463" s="135" t="s">
        <v>3078</v>
      </c>
      <c r="V463" s="135" t="s">
        <v>1255</v>
      </c>
      <c r="W463" s="135">
        <v>3</v>
      </c>
      <c r="X463" s="135" t="s">
        <v>3079</v>
      </c>
      <c r="Y463" s="135" t="s">
        <v>3080</v>
      </c>
      <c r="Z463" s="135" t="s">
        <v>3081</v>
      </c>
      <c r="AA463" s="5" t="str">
        <f>VLOOKUP(A463,'Form Responses 1'!$C$2:$K$532,6,FALSE)</f>
        <v>Kit delivery and pickup</v>
      </c>
      <c r="AB463" s="5">
        <f>VLOOKUP(A463,'Form Responses 1'!$C$2:$K$219,7,FALSE)</f>
        <v>0</v>
      </c>
      <c r="AC463" s="6">
        <f>VLOOKUP(A463,'Form Responses 1'!$C$2:$K$219,8,FALSE)</f>
        <v>0</v>
      </c>
      <c r="AD463" s="6">
        <f>VLOOKUP(A463,'Form Responses 1'!$C$2:$K$219,9,FALSE)</f>
        <v>0</v>
      </c>
    </row>
    <row r="464" spans="1:30" ht="19.5" customHeight="1">
      <c r="A464" s="135" t="s">
        <v>1158</v>
      </c>
      <c r="B464" s="135" t="s">
        <v>1303</v>
      </c>
      <c r="C464" s="135">
        <v>46227</v>
      </c>
      <c r="D464" s="135" t="s">
        <v>1289</v>
      </c>
      <c r="E464" s="135" t="s">
        <v>1290</v>
      </c>
      <c r="F464" s="135"/>
      <c r="G464" s="135">
        <v>165</v>
      </c>
      <c r="H464" s="135" t="s">
        <v>1268</v>
      </c>
      <c r="I464" s="135" t="str">
        <f>VLOOKUP(H464,list!$B$2:$C$14,2,FALSE)</f>
        <v>KITS</v>
      </c>
      <c r="J464" s="135"/>
      <c r="K464" s="135">
        <v>0</v>
      </c>
      <c r="L464" s="135">
        <v>0</v>
      </c>
      <c r="M464" s="135">
        <v>0</v>
      </c>
      <c r="N464" s="135">
        <v>0</v>
      </c>
      <c r="O464" s="135">
        <v>0</v>
      </c>
      <c r="P464" s="135"/>
      <c r="Q464" s="135">
        <v>0</v>
      </c>
      <c r="R464" s="135"/>
      <c r="S464" s="135" t="s">
        <v>3082</v>
      </c>
      <c r="T464" s="135" t="s">
        <v>30</v>
      </c>
      <c r="U464" s="135" t="s">
        <v>3083</v>
      </c>
      <c r="V464" s="135" t="s">
        <v>1255</v>
      </c>
      <c r="W464" s="135">
        <v>5</v>
      </c>
      <c r="X464" s="135" t="s">
        <v>3084</v>
      </c>
      <c r="Y464" s="135" t="s">
        <v>3085</v>
      </c>
      <c r="Z464" s="135" t="s">
        <v>1505</v>
      </c>
      <c r="AA464" s="5" t="s">
        <v>18</v>
      </c>
      <c r="AB464" s="5" t="s">
        <v>1298</v>
      </c>
      <c r="AC464" s="6">
        <f>G464</f>
        <v>165</v>
      </c>
      <c r="AD464" s="6"/>
    </row>
    <row r="465" spans="1:30" ht="19.5" customHeight="1">
      <c r="A465" s="135" t="s">
        <v>3086</v>
      </c>
      <c r="B465" s="135" t="s">
        <v>1527</v>
      </c>
      <c r="C465" s="135">
        <v>47714</v>
      </c>
      <c r="D465" s="135" t="s">
        <v>1506</v>
      </c>
      <c r="E465" s="135" t="s">
        <v>1507</v>
      </c>
      <c r="F465" s="135"/>
      <c r="G465" s="135">
        <v>70</v>
      </c>
      <c r="H465" s="135" t="s">
        <v>1282</v>
      </c>
      <c r="I465" s="135" t="str">
        <f>VLOOKUP(H465,list!$B$2:$C$14,2,FALSE)</f>
        <v>KITS</v>
      </c>
      <c r="J465" s="135"/>
      <c r="K465" s="135">
        <v>0</v>
      </c>
      <c r="L465" s="135">
        <v>0</v>
      </c>
      <c r="M465" s="135">
        <v>0</v>
      </c>
      <c r="N465" s="135">
        <v>0</v>
      </c>
      <c r="O465" s="135">
        <v>0</v>
      </c>
      <c r="P465" s="135"/>
      <c r="Q465" s="135">
        <v>0</v>
      </c>
      <c r="R465" s="135"/>
      <c r="S465" s="135"/>
      <c r="T465" s="135" t="s">
        <v>30</v>
      </c>
      <c r="U465" s="135" t="s">
        <v>3087</v>
      </c>
      <c r="V465" s="135" t="s">
        <v>1255</v>
      </c>
      <c r="W465" s="135">
        <v>3</v>
      </c>
      <c r="X465" s="135" t="s">
        <v>3088</v>
      </c>
      <c r="Y465" s="135" t="s">
        <v>3089</v>
      </c>
      <c r="Z465" s="135" t="s">
        <v>3090</v>
      </c>
      <c r="AA465" s="5" t="e">
        <f>VLOOKUP(A465,'Form Responses 1'!$C$2:$K$532,6,FALSE)</f>
        <v>#N/A</v>
      </c>
      <c r="AB465" s="5" t="e">
        <f>VLOOKUP(A465,'Form Responses 1'!$C$2:$K$219,7,FALSE)</f>
        <v>#N/A</v>
      </c>
      <c r="AC465" s="6" t="e">
        <f>VLOOKUP(A465,'Form Responses 1'!$C$2:$K$219,8,FALSE)</f>
        <v>#N/A</v>
      </c>
      <c r="AD465" s="6" t="e">
        <f>VLOOKUP(A465,'Form Responses 1'!$C$2:$K$219,9,FALSE)</f>
        <v>#N/A</v>
      </c>
    </row>
    <row r="466" spans="1:30" ht="19.5" customHeight="1">
      <c r="A466" s="135" t="s">
        <v>3091</v>
      </c>
      <c r="B466" s="135" t="s">
        <v>343</v>
      </c>
      <c r="C466" s="135">
        <v>46989</v>
      </c>
      <c r="D466" s="135" t="s">
        <v>3092</v>
      </c>
      <c r="E466" s="135" t="s">
        <v>1360</v>
      </c>
      <c r="F466" s="135" t="s">
        <v>30</v>
      </c>
      <c r="G466" s="135">
        <v>90</v>
      </c>
      <c r="H466" s="135" t="s">
        <v>1282</v>
      </c>
      <c r="I466" s="135" t="str">
        <f>VLOOKUP(H466,list!$B$2:$C$14,2,FALSE)</f>
        <v>KITS</v>
      </c>
      <c r="J466" s="135"/>
      <c r="K466" s="135">
        <v>0</v>
      </c>
      <c r="L466" s="135">
        <v>0</v>
      </c>
      <c r="M466" s="135">
        <v>0</v>
      </c>
      <c r="N466" s="135">
        <v>0</v>
      </c>
      <c r="O466" s="135">
        <v>0</v>
      </c>
      <c r="P466" s="135"/>
      <c r="Q466" s="135">
        <v>0</v>
      </c>
      <c r="R466" s="135"/>
      <c r="S466" s="135"/>
      <c r="T466" s="135" t="s">
        <v>19</v>
      </c>
      <c r="U466" s="135"/>
      <c r="V466" s="135" t="s">
        <v>1255</v>
      </c>
      <c r="W466" s="135">
        <v>3</v>
      </c>
      <c r="X466" s="135" t="s">
        <v>3093</v>
      </c>
      <c r="Y466" s="135" t="s">
        <v>3094</v>
      </c>
      <c r="Z466" s="135" t="s">
        <v>3095</v>
      </c>
      <c r="AA466" s="5" t="s">
        <v>18</v>
      </c>
      <c r="AB466" s="5" t="s">
        <v>1298</v>
      </c>
      <c r="AC466" s="6">
        <f>G466</f>
        <v>90</v>
      </c>
      <c r="AD466" s="6"/>
    </row>
    <row r="467" spans="1:30" ht="19.5" customHeight="1">
      <c r="A467" s="135" t="s">
        <v>872</v>
      </c>
      <c r="B467" s="135"/>
      <c r="C467" s="135">
        <v>47906</v>
      </c>
      <c r="D467" s="135" t="s">
        <v>1753</v>
      </c>
      <c r="E467" s="135" t="s">
        <v>1424</v>
      </c>
      <c r="F467" s="135"/>
      <c r="G467" s="135">
        <v>140</v>
      </c>
      <c r="H467" s="135" t="s">
        <v>1326</v>
      </c>
      <c r="I467" s="135" t="str">
        <f>VLOOKUP(H467,list!$B$2:$C$14,2,FALSE)</f>
        <v>ONSITE</v>
      </c>
      <c r="J467" s="135"/>
      <c r="K467" s="135">
        <v>1</v>
      </c>
      <c r="L467" s="135">
        <v>0</v>
      </c>
      <c r="M467" s="135">
        <v>0</v>
      </c>
      <c r="N467" s="135">
        <v>0</v>
      </c>
      <c r="O467" s="135">
        <v>0</v>
      </c>
      <c r="P467" s="135"/>
      <c r="Q467" s="135">
        <v>0</v>
      </c>
      <c r="R467" s="135"/>
      <c r="S467" s="135" t="s">
        <v>3096</v>
      </c>
      <c r="T467" s="135" t="s">
        <v>19</v>
      </c>
      <c r="U467" s="135" t="s">
        <v>3097</v>
      </c>
      <c r="V467" s="135" t="s">
        <v>1255</v>
      </c>
      <c r="W467" s="135">
        <v>1</v>
      </c>
      <c r="X467" s="135" t="s">
        <v>3098</v>
      </c>
      <c r="Y467" s="135" t="s">
        <v>3099</v>
      </c>
      <c r="Z467" s="135" t="s">
        <v>1756</v>
      </c>
      <c r="AA467" s="5" t="str">
        <f>VLOOKUP(A467,'Form Responses 1'!$C$2:$K$532,6,FALSE)</f>
        <v>Kit delivery and pickup</v>
      </c>
      <c r="AB467" s="5" t="str">
        <f>VLOOKUP(A467,'Form Responses 1'!$C$2:$K$219,7,FALSE)</f>
        <v>No</v>
      </c>
      <c r="AC467" s="6">
        <f>VLOOKUP(A467,'Form Responses 1'!$C$2:$K$219,8,FALSE)</f>
        <v>0</v>
      </c>
      <c r="AD467" s="6" t="str">
        <f>VLOOKUP(A467,'Form Responses 1'!$C$2:$K$219,9,FALSE)</f>
        <v>would really like to have more time to get the test kits back to the state...several pickups maybe?</v>
      </c>
    </row>
    <row r="468" spans="1:30" ht="19.5" customHeight="1">
      <c r="A468" s="135" t="s">
        <v>3100</v>
      </c>
      <c r="B468" s="135" t="s">
        <v>1288</v>
      </c>
      <c r="C468" s="135">
        <v>46517</v>
      </c>
      <c r="D468" s="135" t="s">
        <v>1723</v>
      </c>
      <c r="E468" s="135" t="s">
        <v>1723</v>
      </c>
      <c r="F468" s="135"/>
      <c r="G468" s="135">
        <v>130</v>
      </c>
      <c r="H468" s="135" t="s">
        <v>1425</v>
      </c>
      <c r="I468" s="135" t="str">
        <f>VLOOKUP(H468,list!$B$2:$C$14,2,FALSE)</f>
        <v>ONSITE</v>
      </c>
      <c r="J468" s="135"/>
      <c r="K468" s="135">
        <v>1</v>
      </c>
      <c r="L468" s="135">
        <v>0</v>
      </c>
      <c r="M468" s="135">
        <v>0</v>
      </c>
      <c r="N468" s="135">
        <v>0</v>
      </c>
      <c r="O468" s="135">
        <v>0</v>
      </c>
      <c r="P468" s="135"/>
      <c r="Q468" s="135">
        <v>0</v>
      </c>
      <c r="R468" s="135"/>
      <c r="S468" s="135"/>
      <c r="T468" s="135" t="s">
        <v>30</v>
      </c>
      <c r="U468" s="135"/>
      <c r="V468" s="135" t="s">
        <v>1255</v>
      </c>
      <c r="W468" s="135">
        <v>7</v>
      </c>
      <c r="X468" s="135" t="s">
        <v>3101</v>
      </c>
      <c r="Y468" s="135" t="s">
        <v>3102</v>
      </c>
      <c r="Z468" s="135" t="s">
        <v>1806</v>
      </c>
      <c r="AA468" s="5" t="s">
        <v>91</v>
      </c>
      <c r="AB468" s="5" t="s">
        <v>30</v>
      </c>
      <c r="AC468" s="6">
        <f t="shared" ref="AC468:AC469" si="36">G468</f>
        <v>130</v>
      </c>
      <c r="AD468" s="6"/>
    </row>
    <row r="469" spans="1:30" ht="19.5" customHeight="1">
      <c r="A469" s="135" t="s">
        <v>3103</v>
      </c>
      <c r="B469" s="135" t="s">
        <v>343</v>
      </c>
      <c r="C469" s="135">
        <v>46383</v>
      </c>
      <c r="D469" s="135" t="s">
        <v>1447</v>
      </c>
      <c r="E469" s="135" t="s">
        <v>1267</v>
      </c>
      <c r="F469" s="135"/>
      <c r="G469" s="135">
        <v>239</v>
      </c>
      <c r="H469" s="135" t="s">
        <v>1282</v>
      </c>
      <c r="I469" s="135" t="str">
        <f>VLOOKUP(H469,list!$B$2:$C$14,2,FALSE)</f>
        <v>KITS</v>
      </c>
      <c r="J469" s="135"/>
      <c r="K469" s="135">
        <v>0</v>
      </c>
      <c r="L469" s="135">
        <v>0</v>
      </c>
      <c r="M469" s="135">
        <v>0</v>
      </c>
      <c r="N469" s="135">
        <v>0</v>
      </c>
      <c r="O469" s="135">
        <v>0</v>
      </c>
      <c r="P469" s="135"/>
      <c r="Q469" s="135">
        <v>0</v>
      </c>
      <c r="R469" s="135"/>
      <c r="S469" s="135"/>
      <c r="T469" s="135" t="s">
        <v>19</v>
      </c>
      <c r="U469" s="135"/>
      <c r="V469" s="135" t="s">
        <v>1255</v>
      </c>
      <c r="W469" s="135">
        <v>3</v>
      </c>
      <c r="X469" s="135" t="s">
        <v>3104</v>
      </c>
      <c r="Y469" s="135" t="s">
        <v>3105</v>
      </c>
      <c r="Z469" s="135" t="s">
        <v>1450</v>
      </c>
      <c r="AA469" s="5" t="s">
        <v>18</v>
      </c>
      <c r="AB469" s="5" t="s">
        <v>1298</v>
      </c>
      <c r="AC469" s="6">
        <f t="shared" si="36"/>
        <v>239</v>
      </c>
      <c r="AD469" s="6"/>
    </row>
    <row r="470" spans="1:30" ht="19.5" customHeight="1">
      <c r="A470" s="135" t="s">
        <v>875</v>
      </c>
      <c r="B470" s="135"/>
      <c r="C470" s="135">
        <v>47842</v>
      </c>
      <c r="D470" s="135" t="s">
        <v>1349</v>
      </c>
      <c r="E470" s="135" t="s">
        <v>1674</v>
      </c>
      <c r="F470" s="135"/>
      <c r="G470" s="135">
        <v>76</v>
      </c>
      <c r="H470" s="135" t="s">
        <v>1253</v>
      </c>
      <c r="I470" s="135" t="str">
        <f>VLOOKUP(H470,list!$B$2:$C$14,2,FALSE)</f>
        <v>KITS</v>
      </c>
      <c r="J470" s="135"/>
      <c r="K470" s="135">
        <v>0</v>
      </c>
      <c r="L470" s="135">
        <v>0</v>
      </c>
      <c r="M470" s="135">
        <v>0</v>
      </c>
      <c r="N470" s="135">
        <v>0</v>
      </c>
      <c r="O470" s="135">
        <v>0</v>
      </c>
      <c r="P470" s="135"/>
      <c r="Q470" s="135">
        <v>0</v>
      </c>
      <c r="R470" s="135"/>
      <c r="S470" s="135"/>
      <c r="T470" s="135" t="s">
        <v>19</v>
      </c>
      <c r="U470" s="135"/>
      <c r="V470" s="135" t="s">
        <v>1255</v>
      </c>
      <c r="W470" s="135">
        <v>6</v>
      </c>
      <c r="X470" s="135" t="s">
        <v>3106</v>
      </c>
      <c r="Y470" s="135" t="s">
        <v>3107</v>
      </c>
      <c r="Z470" s="135" t="s">
        <v>1677</v>
      </c>
      <c r="AA470" s="5" t="str">
        <f>VLOOKUP(A470,'Form Responses 1'!$C$2:$K$532,6,FALSE)</f>
        <v>Kit delivery and pickup</v>
      </c>
      <c r="AB470" s="5" t="str">
        <f>VLOOKUP(A470,'Form Responses 1'!$C$2:$K$219,7,FALSE)</f>
        <v>No</v>
      </c>
      <c r="AC470" s="6">
        <f>VLOOKUP(A470,'Form Responses 1'!$C$2:$K$219,8,FALSE)</f>
        <v>80</v>
      </c>
      <c r="AD470" s="6" t="str">
        <f>VLOOKUP(A470,'Form Responses 1'!$C$2:$K$219,9,FALSE)</f>
        <v>Spoke with Amy Gum regional director</v>
      </c>
    </row>
    <row r="471" spans="1:30" ht="19.5" customHeight="1">
      <c r="A471" s="135" t="s">
        <v>880</v>
      </c>
      <c r="B471" s="135"/>
      <c r="C471" s="135">
        <v>46992</v>
      </c>
      <c r="D471" s="135" t="s">
        <v>1436</v>
      </c>
      <c r="E471" s="135" t="s">
        <v>1436</v>
      </c>
      <c r="F471" s="135"/>
      <c r="G471" s="135">
        <v>102</v>
      </c>
      <c r="H471" s="135" t="s">
        <v>1282</v>
      </c>
      <c r="I471" s="135" t="str">
        <f>VLOOKUP(H471,list!$B$2:$C$14,2,FALSE)</f>
        <v>KITS</v>
      </c>
      <c r="J471" s="135"/>
      <c r="K471" s="135">
        <v>0</v>
      </c>
      <c r="L471" s="135">
        <v>0</v>
      </c>
      <c r="M471" s="135">
        <v>0</v>
      </c>
      <c r="N471" s="135">
        <v>0</v>
      </c>
      <c r="O471" s="135">
        <v>0</v>
      </c>
      <c r="P471" s="135"/>
      <c r="Q471" s="135">
        <v>0</v>
      </c>
      <c r="R471" s="135"/>
      <c r="S471" s="135"/>
      <c r="T471" s="135" t="s">
        <v>30</v>
      </c>
      <c r="U471" s="135"/>
      <c r="V471" s="135" t="s">
        <v>1255</v>
      </c>
      <c r="W471" s="135">
        <v>3</v>
      </c>
      <c r="X471" s="135" t="s">
        <v>3108</v>
      </c>
      <c r="Y471" s="135" t="s">
        <v>3109</v>
      </c>
      <c r="Z471" s="135" t="s">
        <v>1439</v>
      </c>
      <c r="AA471" s="5" t="str">
        <f>VLOOKUP(A471,'Form Responses 1'!$C$2:$K$532,6,FALSE)</f>
        <v>Onsite sample collection by ISDH team</v>
      </c>
      <c r="AB471" s="5">
        <f>VLOOKUP(A471,'Form Responses 1'!$C$2:$K$219,7,FALSE)</f>
        <v>0</v>
      </c>
      <c r="AC471" s="6">
        <f>VLOOKUP(A471,'Form Responses 1'!$C$2:$K$219,8,FALSE)</f>
        <v>80</v>
      </c>
      <c r="AD471" s="6">
        <f>VLOOKUP(A471,'Form Responses 1'!$C$2:$K$219,9,FALSE)</f>
        <v>0</v>
      </c>
    </row>
    <row r="472" spans="1:30" ht="19.5" customHeight="1">
      <c r="A472" s="135" t="s">
        <v>3110</v>
      </c>
      <c r="B472" s="321" t="s">
        <v>1312</v>
      </c>
      <c r="C472" s="135">
        <v>47501</v>
      </c>
      <c r="D472" s="135" t="s">
        <v>1795</v>
      </c>
      <c r="E472" s="135" t="s">
        <v>1492</v>
      </c>
      <c r="F472" s="135"/>
      <c r="G472" s="135">
        <v>119</v>
      </c>
      <c r="H472" s="135" t="s">
        <v>1276</v>
      </c>
      <c r="I472" s="135" t="str">
        <f>VLOOKUP(H472,list!$B$2:$C$14,2,FALSE)</f>
        <v>GREEN</v>
      </c>
      <c r="J472" s="135"/>
      <c r="K472" s="135">
        <v>0</v>
      </c>
      <c r="L472" s="135">
        <v>0</v>
      </c>
      <c r="M472" s="135">
        <v>0</v>
      </c>
      <c r="N472" s="135">
        <v>0</v>
      </c>
      <c r="O472" s="135">
        <v>0</v>
      </c>
      <c r="P472" s="135"/>
      <c r="Q472" s="135">
        <v>0</v>
      </c>
      <c r="R472" s="135"/>
      <c r="S472" s="135"/>
      <c r="T472" s="135" t="s">
        <v>19</v>
      </c>
      <c r="U472" s="135" t="s">
        <v>1315</v>
      </c>
      <c r="V472" s="135" t="s">
        <v>1255</v>
      </c>
      <c r="W472" s="135">
        <v>2</v>
      </c>
      <c r="X472" s="135" t="s">
        <v>3111</v>
      </c>
      <c r="Y472" s="135" t="s">
        <v>3112</v>
      </c>
      <c r="Z472" s="135" t="s">
        <v>1798</v>
      </c>
      <c r="AA472" s="5" t="s">
        <v>18</v>
      </c>
      <c r="AB472" s="5" t="s">
        <v>1298</v>
      </c>
      <c r="AC472" s="6">
        <f>G472</f>
        <v>119</v>
      </c>
      <c r="AD472" s="6"/>
    </row>
    <row r="473" spans="1:30" ht="19.5" customHeight="1">
      <c r="A473" s="135" t="s">
        <v>884</v>
      </c>
      <c r="B473" s="135"/>
      <c r="C473" s="135">
        <v>47122</v>
      </c>
      <c r="D473" s="135" t="s">
        <v>3113</v>
      </c>
      <c r="E473" s="135" t="s">
        <v>1442</v>
      </c>
      <c r="F473" s="135"/>
      <c r="G473" s="135">
        <v>150</v>
      </c>
      <c r="H473" s="135" t="s">
        <v>1326</v>
      </c>
      <c r="I473" s="135" t="str">
        <f>VLOOKUP(H473,list!$B$2:$C$14,2,FALSE)</f>
        <v>ONSITE</v>
      </c>
      <c r="J473" s="135"/>
      <c r="K473" s="135">
        <v>0</v>
      </c>
      <c r="L473" s="135">
        <v>0</v>
      </c>
      <c r="M473" s="135">
        <v>0</v>
      </c>
      <c r="N473" s="135">
        <v>0</v>
      </c>
      <c r="O473" s="135">
        <v>0</v>
      </c>
      <c r="P473" s="135">
        <v>1</v>
      </c>
      <c r="Q473" s="135">
        <v>0</v>
      </c>
      <c r="R473" s="135"/>
      <c r="S473" s="135" t="s">
        <v>3114</v>
      </c>
      <c r="T473" s="135" t="s">
        <v>19</v>
      </c>
      <c r="U473" s="135"/>
      <c r="V473" s="135" t="s">
        <v>1255</v>
      </c>
      <c r="W473" s="135">
        <v>1</v>
      </c>
      <c r="X473" s="135" t="s">
        <v>3115</v>
      </c>
      <c r="Y473" s="135" t="s">
        <v>3116</v>
      </c>
      <c r="Z473" s="135" t="s">
        <v>3117</v>
      </c>
      <c r="AA473" s="5" t="str">
        <f>VLOOKUP(A473,'Form Responses 1'!$C$2:$K$532,6,FALSE)</f>
        <v>Kit delivery and pickup</v>
      </c>
      <c r="AB473" s="5" t="str">
        <f>VLOOKUP(A473,'Form Responses 1'!$C$2:$K$219,7,FALSE)</f>
        <v>No</v>
      </c>
      <c r="AC473" s="6">
        <f>VLOOKUP(A473,'Form Responses 1'!$C$2:$K$219,8,FALSE)</f>
        <v>150</v>
      </c>
      <c r="AD473" s="6" t="str">
        <f>VLOOKUP(A473,'Form Responses 1'!$C$2:$K$219,9,FALSE)</f>
        <v>they have people scheduled to be tested next week - should they cancel</v>
      </c>
    </row>
    <row r="474" spans="1:30" ht="19.5" customHeight="1">
      <c r="A474" s="135" t="s">
        <v>888</v>
      </c>
      <c r="B474" s="135" t="s">
        <v>1624</v>
      </c>
      <c r="C474" s="135">
        <v>46580</v>
      </c>
      <c r="D474" s="135" t="s">
        <v>2382</v>
      </c>
      <c r="E474" s="135" t="s">
        <v>2011</v>
      </c>
      <c r="F474" s="135"/>
      <c r="G474" s="135">
        <v>75</v>
      </c>
      <c r="H474" s="135" t="s">
        <v>1282</v>
      </c>
      <c r="I474" s="135" t="str">
        <f>VLOOKUP(H474,list!$B$2:$C$14,2,FALSE)</f>
        <v>KITS</v>
      </c>
      <c r="J474" s="135"/>
      <c r="K474" s="135">
        <v>0</v>
      </c>
      <c r="L474" s="135">
        <v>0</v>
      </c>
      <c r="M474" s="135">
        <v>0</v>
      </c>
      <c r="N474" s="135">
        <v>0</v>
      </c>
      <c r="O474" s="135">
        <v>0</v>
      </c>
      <c r="P474" s="135"/>
      <c r="Q474" s="135">
        <v>0</v>
      </c>
      <c r="R474" s="135"/>
      <c r="S474" s="135"/>
      <c r="T474" s="135" t="s">
        <v>19</v>
      </c>
      <c r="U474" s="135" t="s">
        <v>1657</v>
      </c>
      <c r="V474" s="135" t="s">
        <v>1255</v>
      </c>
      <c r="W474" s="135">
        <v>3</v>
      </c>
      <c r="X474" s="135" t="s">
        <v>3118</v>
      </c>
      <c r="Y474" s="135" t="s">
        <v>3119</v>
      </c>
      <c r="Z474" s="135" t="s">
        <v>2386</v>
      </c>
      <c r="AA474" s="5" t="str">
        <f>VLOOKUP(A474,'Form Responses 1'!$C$2:$K$532,6,FALSE)</f>
        <v>Onsite sample collection by ISDH team</v>
      </c>
      <c r="AB474" s="5" t="str">
        <f>VLOOKUP(A474,'Form Responses 1'!$C$2:$K$219,7,FALSE)</f>
        <v>No</v>
      </c>
      <c r="AC474" s="6">
        <f>VLOOKUP(A474,'Form Responses 1'!$C$2:$K$219,8,FALSE)</f>
        <v>75</v>
      </c>
      <c r="AD474" s="6">
        <f>VLOOKUP(A474,'Form Responses 1'!$C$2:$K$219,9,FALSE)</f>
        <v>0</v>
      </c>
    </row>
    <row r="475" spans="1:30" ht="19.5" customHeight="1">
      <c r="A475" s="135" t="s">
        <v>3120</v>
      </c>
      <c r="B475" s="135" t="s">
        <v>343</v>
      </c>
      <c r="C475" s="135">
        <v>46231</v>
      </c>
      <c r="D475" s="135" t="s">
        <v>1289</v>
      </c>
      <c r="E475" s="135" t="s">
        <v>1290</v>
      </c>
      <c r="F475" s="135"/>
      <c r="G475" s="135">
        <v>94</v>
      </c>
      <c r="H475" s="135" t="s">
        <v>1282</v>
      </c>
      <c r="I475" s="135" t="str">
        <f>VLOOKUP(H475,list!$B$2:$C$14,2,FALSE)</f>
        <v>KITS</v>
      </c>
      <c r="J475" s="135"/>
      <c r="K475" s="135">
        <v>0</v>
      </c>
      <c r="L475" s="135">
        <v>0</v>
      </c>
      <c r="M475" s="135">
        <v>0</v>
      </c>
      <c r="N475" s="135">
        <v>0</v>
      </c>
      <c r="O475" s="135">
        <v>0</v>
      </c>
      <c r="P475" s="135"/>
      <c r="Q475" s="135">
        <v>0</v>
      </c>
      <c r="R475" s="135"/>
      <c r="S475" s="135"/>
      <c r="T475" s="135" t="s">
        <v>19</v>
      </c>
      <c r="U475" s="135"/>
      <c r="V475" s="135" t="s">
        <v>1255</v>
      </c>
      <c r="W475" s="135">
        <v>3</v>
      </c>
      <c r="X475" s="135" t="s">
        <v>3121</v>
      </c>
      <c r="Y475" s="135" t="s">
        <v>3122</v>
      </c>
      <c r="Z475" s="135" t="s">
        <v>3123</v>
      </c>
      <c r="AA475" s="5" t="s">
        <v>18</v>
      </c>
      <c r="AB475" s="5" t="s">
        <v>1298</v>
      </c>
      <c r="AC475" s="6">
        <f>G475</f>
        <v>94</v>
      </c>
      <c r="AD475" s="6"/>
    </row>
    <row r="476" spans="1:30" ht="19.5" customHeight="1">
      <c r="A476" s="135" t="s">
        <v>1166</v>
      </c>
      <c r="B476" s="135" t="s">
        <v>1527</v>
      </c>
      <c r="C476" s="135">
        <v>47501</v>
      </c>
      <c r="D476" s="135" t="s">
        <v>1795</v>
      </c>
      <c r="E476" s="135" t="s">
        <v>1492</v>
      </c>
      <c r="F476" s="135" t="s">
        <v>30</v>
      </c>
      <c r="G476" s="135">
        <v>32</v>
      </c>
      <c r="H476" s="135" t="s">
        <v>1585</v>
      </c>
      <c r="I476" s="135" t="str">
        <f>VLOOKUP(H476,list!$B$2:$C$14,2,FALSE)</f>
        <v>KITS</v>
      </c>
      <c r="J476" s="135"/>
      <c r="K476" s="135">
        <v>0</v>
      </c>
      <c r="L476" s="135">
        <v>0</v>
      </c>
      <c r="M476" s="135">
        <v>0</v>
      </c>
      <c r="N476" s="135">
        <v>0</v>
      </c>
      <c r="O476" s="135">
        <v>0</v>
      </c>
      <c r="P476" s="135"/>
      <c r="Q476" s="135">
        <v>0</v>
      </c>
      <c r="R476" s="135"/>
      <c r="S476" s="135"/>
      <c r="T476" s="135" t="s">
        <v>19</v>
      </c>
      <c r="U476" s="135"/>
      <c r="V476" s="135" t="s">
        <v>1255</v>
      </c>
      <c r="W476" s="135">
        <v>6</v>
      </c>
      <c r="X476" s="135" t="s">
        <v>3124</v>
      </c>
      <c r="Y476" s="135" t="s">
        <v>3125</v>
      </c>
      <c r="Z476" s="135" t="s">
        <v>1798</v>
      </c>
      <c r="AA476" s="5" t="str">
        <f>VLOOKUP(A476,'Form Responses 1'!$C$2:$K$532,6,FALSE)</f>
        <v>Onsite sample collection by ISDH team</v>
      </c>
      <c r="AB476" s="5" t="e">
        <f>VLOOKUP(A476,'Form Responses 1'!$C$2:$K$219,7,FALSE)</f>
        <v>#N/A</v>
      </c>
      <c r="AC476" s="6" t="e">
        <f>VLOOKUP(A476,'Form Responses 1'!$C$2:$K$219,8,FALSE)</f>
        <v>#N/A</v>
      </c>
      <c r="AD476" s="6" t="e">
        <f>VLOOKUP(A476,'Form Responses 1'!$C$2:$K$219,9,FALSE)</f>
        <v>#N/A</v>
      </c>
    </row>
    <row r="477" spans="1:30" ht="19.5" customHeight="1">
      <c r="A477" s="135" t="s">
        <v>3126</v>
      </c>
      <c r="B477" s="135" t="s">
        <v>3127</v>
      </c>
      <c r="C477" s="135">
        <v>46530</v>
      </c>
      <c r="D477" s="135" t="s">
        <v>1479</v>
      </c>
      <c r="E477" s="135" t="s">
        <v>1480</v>
      </c>
      <c r="F477" s="135"/>
      <c r="G477" s="135">
        <v>50</v>
      </c>
      <c r="H477" s="135" t="s">
        <v>1276</v>
      </c>
      <c r="I477" s="135" t="str">
        <f>VLOOKUP(H477,list!$B$2:$C$14,2,FALSE)</f>
        <v>GREEN</v>
      </c>
      <c r="J477" s="135"/>
      <c r="K477" s="135">
        <v>0</v>
      </c>
      <c r="L477" s="135">
        <v>0</v>
      </c>
      <c r="M477" s="135">
        <v>0</v>
      </c>
      <c r="N477" s="135">
        <v>0</v>
      </c>
      <c r="O477" s="135">
        <v>0</v>
      </c>
      <c r="P477" s="135"/>
      <c r="Q477" s="135">
        <v>0</v>
      </c>
      <c r="R477" s="135"/>
      <c r="S477" s="135"/>
      <c r="T477" s="135" t="s">
        <v>19</v>
      </c>
      <c r="U477" s="135" t="s">
        <v>3128</v>
      </c>
      <c r="V477" s="135" t="s">
        <v>1255</v>
      </c>
      <c r="W477" s="135">
        <v>2</v>
      </c>
      <c r="X477" s="135" t="s">
        <v>3129</v>
      </c>
      <c r="Y477" s="135" t="s">
        <v>3130</v>
      </c>
      <c r="Z477" s="135" t="s">
        <v>1747</v>
      </c>
      <c r="AA477" s="135" t="e">
        <f>VLOOKUP(A477,'Form Responses 1'!$C$2:$K$532,6,FALSE)</f>
        <v>#N/A</v>
      </c>
      <c r="AB477" s="135" t="e">
        <f>VLOOKUP(A477,'Form Responses 1'!$C$2:$K$219,7,FALSE)</f>
        <v>#N/A</v>
      </c>
      <c r="AC477" s="11" t="e">
        <f>VLOOKUP(A477,'Form Responses 1'!$C$2:$K$219,8,FALSE)</f>
        <v>#N/A</v>
      </c>
      <c r="AD477" s="11" t="e">
        <f>VLOOKUP(A477,'Form Responses 1'!$C$2:$K$219,9,FALSE)</f>
        <v>#N/A</v>
      </c>
    </row>
    <row r="478" spans="1:30" ht="19.5" customHeight="1">
      <c r="A478" s="135" t="s">
        <v>3131</v>
      </c>
      <c r="B478" s="321" t="s">
        <v>1312</v>
      </c>
      <c r="C478" s="135">
        <v>46526</v>
      </c>
      <c r="D478" s="135" t="s">
        <v>1722</v>
      </c>
      <c r="E478" s="135" t="s">
        <v>1723</v>
      </c>
      <c r="F478" s="135"/>
      <c r="G478" s="135">
        <v>130</v>
      </c>
      <c r="H478" s="135" t="s">
        <v>1276</v>
      </c>
      <c r="I478" s="135" t="str">
        <f>VLOOKUP(H478,list!$B$2:$C$14,2,FALSE)</f>
        <v>GREEN</v>
      </c>
      <c r="J478" s="135"/>
      <c r="K478" s="135">
        <v>0</v>
      </c>
      <c r="L478" s="135">
        <v>0</v>
      </c>
      <c r="M478" s="135">
        <v>0</v>
      </c>
      <c r="N478" s="135">
        <v>0</v>
      </c>
      <c r="O478" s="135">
        <v>0</v>
      </c>
      <c r="P478" s="135"/>
      <c r="Q478" s="135">
        <v>0</v>
      </c>
      <c r="R478" s="135"/>
      <c r="S478" s="135"/>
      <c r="T478" s="135" t="s">
        <v>19</v>
      </c>
      <c r="U478" s="135" t="s">
        <v>1315</v>
      </c>
      <c r="V478" s="135" t="s">
        <v>1255</v>
      </c>
      <c r="W478" s="135">
        <v>2</v>
      </c>
      <c r="X478" s="135" t="s">
        <v>3132</v>
      </c>
      <c r="Y478" s="135" t="s">
        <v>3133</v>
      </c>
      <c r="Z478" s="135" t="s">
        <v>1726</v>
      </c>
      <c r="AA478" s="5" t="s">
        <v>18</v>
      </c>
      <c r="AB478" s="5" t="s">
        <v>1298</v>
      </c>
      <c r="AC478" s="6">
        <f t="shared" ref="AC478:AC480" si="37">G478</f>
        <v>130</v>
      </c>
      <c r="AD478" s="6"/>
    </row>
    <row r="479" spans="1:30" ht="19.5" customHeight="1">
      <c r="A479" s="135" t="s">
        <v>3134</v>
      </c>
      <c r="B479" s="321" t="s">
        <v>1312</v>
      </c>
      <c r="C479" s="135">
        <v>46901</v>
      </c>
      <c r="D479" s="135" t="s">
        <v>1355</v>
      </c>
      <c r="E479" s="135" t="s">
        <v>1356</v>
      </c>
      <c r="F479" s="135"/>
      <c r="G479" s="135">
        <v>155</v>
      </c>
      <c r="H479" s="135" t="s">
        <v>1276</v>
      </c>
      <c r="I479" s="135" t="str">
        <f>VLOOKUP(H479,list!$B$2:$C$14,2,FALSE)</f>
        <v>GREEN</v>
      </c>
      <c r="J479" s="135"/>
      <c r="K479" s="135">
        <v>0</v>
      </c>
      <c r="L479" s="135">
        <v>0</v>
      </c>
      <c r="M479" s="135">
        <v>0</v>
      </c>
      <c r="N479" s="135">
        <v>0</v>
      </c>
      <c r="O479" s="135">
        <v>0</v>
      </c>
      <c r="P479" s="135"/>
      <c r="Q479" s="135">
        <v>0</v>
      </c>
      <c r="R479" s="135"/>
      <c r="S479" s="135"/>
      <c r="T479" s="135" t="s">
        <v>19</v>
      </c>
      <c r="U479" s="135" t="s">
        <v>1315</v>
      </c>
      <c r="V479" s="135" t="s">
        <v>1255</v>
      </c>
      <c r="W479" s="135">
        <v>2</v>
      </c>
      <c r="X479" s="135" t="s">
        <v>3135</v>
      </c>
      <c r="Y479" s="135" t="s">
        <v>3136</v>
      </c>
      <c r="Z479" s="135" t="s">
        <v>1979</v>
      </c>
      <c r="AA479" s="5" t="s">
        <v>18</v>
      </c>
      <c r="AB479" s="5" t="s">
        <v>1298</v>
      </c>
      <c r="AC479" s="6">
        <f t="shared" si="37"/>
        <v>155</v>
      </c>
      <c r="AD479" s="6"/>
    </row>
    <row r="480" spans="1:30" ht="19.5" customHeight="1">
      <c r="A480" s="135" t="s">
        <v>3137</v>
      </c>
      <c r="B480" s="135" t="s">
        <v>343</v>
      </c>
      <c r="C480" s="135">
        <v>47386</v>
      </c>
      <c r="D480" s="135" t="s">
        <v>3138</v>
      </c>
      <c r="E480" s="135" t="s">
        <v>1888</v>
      </c>
      <c r="F480" s="135"/>
      <c r="G480" s="135">
        <v>78</v>
      </c>
      <c r="H480" s="135" t="s">
        <v>1268</v>
      </c>
      <c r="I480" s="135" t="str">
        <f>VLOOKUP(H480,list!$B$2:$C$14,2,FALSE)</f>
        <v>KITS</v>
      </c>
      <c r="J480" s="135"/>
      <c r="K480" s="135">
        <v>0</v>
      </c>
      <c r="L480" s="135">
        <v>0</v>
      </c>
      <c r="M480" s="135">
        <v>0</v>
      </c>
      <c r="N480" s="135">
        <v>0</v>
      </c>
      <c r="O480" s="135">
        <v>0</v>
      </c>
      <c r="P480" s="135"/>
      <c r="Q480" s="135">
        <v>0</v>
      </c>
      <c r="R480" s="135"/>
      <c r="S480" s="135"/>
      <c r="T480" s="135" t="s">
        <v>19</v>
      </c>
      <c r="U480" s="135"/>
      <c r="V480" s="135" t="s">
        <v>1255</v>
      </c>
      <c r="W480" s="135">
        <v>5</v>
      </c>
      <c r="X480" s="135" t="s">
        <v>3139</v>
      </c>
      <c r="Y480" s="135" t="s">
        <v>3140</v>
      </c>
      <c r="Z480" s="135" t="s">
        <v>1572</v>
      </c>
      <c r="AA480" s="5" t="s">
        <v>18</v>
      </c>
      <c r="AB480" s="5" t="s">
        <v>1298</v>
      </c>
      <c r="AC480" s="6">
        <f t="shared" si="37"/>
        <v>78</v>
      </c>
      <c r="AD480" s="6"/>
    </row>
    <row r="481" spans="1:30" ht="19.5" customHeight="1">
      <c r="A481" s="135" t="s">
        <v>3141</v>
      </c>
      <c r="B481" s="135" t="s">
        <v>1300</v>
      </c>
      <c r="C481" s="135">
        <v>47006</v>
      </c>
      <c r="D481" s="135" t="s">
        <v>2964</v>
      </c>
      <c r="E481" s="135" t="s">
        <v>2356</v>
      </c>
      <c r="F481" s="135"/>
      <c r="G481" s="135"/>
      <c r="H481" s="135"/>
      <c r="I481" s="135"/>
      <c r="J481" s="135"/>
      <c r="K481" s="135"/>
      <c r="L481" s="135"/>
      <c r="M481" s="135"/>
      <c r="N481" s="135"/>
      <c r="O481" s="135"/>
      <c r="P481" s="135"/>
      <c r="Q481" s="135"/>
      <c r="R481" s="135"/>
      <c r="S481" s="135"/>
      <c r="T481" s="135"/>
      <c r="U481" s="135"/>
      <c r="V481" s="135"/>
      <c r="W481" s="135"/>
      <c r="X481" s="135">
        <v>8129342436</v>
      </c>
      <c r="Y481" s="135" t="s">
        <v>3142</v>
      </c>
      <c r="Z481" s="135"/>
      <c r="AA481" s="5" t="s">
        <v>18</v>
      </c>
      <c r="AB481" s="5" t="s">
        <v>30</v>
      </c>
      <c r="AC481" s="6" t="e">
        <f>VLOOKUP(A481,'Form Responses 1'!$C$2:$K$219,8,FALSE)</f>
        <v>#N/A</v>
      </c>
      <c r="AD481" s="6" t="e">
        <f>VLOOKUP(A481,'Form Responses 1'!$C$2:$K$219,9,FALSE)</f>
        <v>#N/A</v>
      </c>
    </row>
    <row r="482" spans="1:30" ht="19.5" customHeight="1">
      <c r="A482" s="135" t="s">
        <v>3143</v>
      </c>
      <c r="B482" s="135" t="s">
        <v>1300</v>
      </c>
      <c r="C482" s="135">
        <v>47250</v>
      </c>
      <c r="D482" s="135" t="s">
        <v>1281</v>
      </c>
      <c r="E482" s="135" t="s">
        <v>2079</v>
      </c>
      <c r="F482" s="135"/>
      <c r="G482" s="135"/>
      <c r="H482" s="135"/>
      <c r="I482" s="135"/>
      <c r="J482" s="135"/>
      <c r="K482" s="135"/>
      <c r="L482" s="135"/>
      <c r="M482" s="135"/>
      <c r="N482" s="135"/>
      <c r="O482" s="135"/>
      <c r="P482" s="135"/>
      <c r="Q482" s="135"/>
      <c r="R482" s="135"/>
      <c r="S482" s="135"/>
      <c r="T482" s="135"/>
      <c r="U482" s="135"/>
      <c r="V482" s="135"/>
      <c r="W482" s="135"/>
      <c r="X482" s="135">
        <v>8122734640</v>
      </c>
      <c r="Y482" s="135" t="s">
        <v>3144</v>
      </c>
      <c r="Z482" s="135"/>
      <c r="AA482" s="5" t="s">
        <v>18</v>
      </c>
      <c r="AB482" s="5" t="s">
        <v>30</v>
      </c>
      <c r="AC482" s="6" t="e">
        <f>VLOOKUP(A482,'Form Responses 1'!$C$2:$K$219,8,FALSE)</f>
        <v>#N/A</v>
      </c>
      <c r="AD482" s="6" t="e">
        <f>VLOOKUP(A482,'Form Responses 1'!$C$2:$K$219,9,FALSE)</f>
        <v>#N/A</v>
      </c>
    </row>
    <row r="483" spans="1:30" ht="19.5" customHeight="1">
      <c r="A483" s="135" t="s">
        <v>892</v>
      </c>
      <c r="B483" s="135" t="s">
        <v>1300</v>
      </c>
      <c r="C483" s="135">
        <v>47932</v>
      </c>
      <c r="D483" s="135" t="s">
        <v>3145</v>
      </c>
      <c r="E483" s="135" t="s">
        <v>2141</v>
      </c>
      <c r="F483" s="135" t="s">
        <v>30</v>
      </c>
      <c r="G483" s="135">
        <v>120</v>
      </c>
      <c r="H483" s="135" t="s">
        <v>1282</v>
      </c>
      <c r="I483" s="135" t="str">
        <f>VLOOKUP(H483,list!$B$2:$C$14,2,FALSE)</f>
        <v>KITS</v>
      </c>
      <c r="J483" s="135"/>
      <c r="K483" s="135">
        <v>0</v>
      </c>
      <c r="L483" s="135">
        <v>0</v>
      </c>
      <c r="M483" s="135">
        <v>0</v>
      </c>
      <c r="N483" s="135">
        <v>0</v>
      </c>
      <c r="O483" s="135">
        <v>0</v>
      </c>
      <c r="P483" s="135"/>
      <c r="Q483" s="135">
        <v>0</v>
      </c>
      <c r="R483" s="135"/>
      <c r="S483" s="135"/>
      <c r="T483" s="135" t="s">
        <v>19</v>
      </c>
      <c r="U483" s="135"/>
      <c r="V483" s="135" t="s">
        <v>1255</v>
      </c>
      <c r="W483" s="135">
        <v>3</v>
      </c>
      <c r="X483" s="135" t="s">
        <v>3146</v>
      </c>
      <c r="Y483" s="135" t="s">
        <v>3147</v>
      </c>
      <c r="Z483" s="135" t="s">
        <v>3148</v>
      </c>
      <c r="AA483" s="5" t="str">
        <f>VLOOKUP(A483,'Form Responses 1'!$C$2:$K$219,6,FALSE)</f>
        <v>Kit delivery and pickup</v>
      </c>
      <c r="AB483" s="5">
        <f>VLOOKUP(A483,'Form Responses 1'!$C$2:$K$219,7,FALSE)</f>
        <v>0</v>
      </c>
      <c r="AC483" s="6">
        <f>VLOOKUP(A483,'Form Responses 1'!$C$2:$K$219,8,FALSE)</f>
        <v>130</v>
      </c>
      <c r="AD483" s="6">
        <f>VLOOKUP(A483,'Form Responses 1'!$C$2:$K$219,9,FALSE)</f>
        <v>0</v>
      </c>
    </row>
    <row r="484" spans="1:30" ht="19.5" customHeight="1">
      <c r="A484" s="135" t="s">
        <v>3149</v>
      </c>
      <c r="B484" s="135" t="s">
        <v>1300</v>
      </c>
      <c r="C484" s="135">
        <v>47018</v>
      </c>
      <c r="D484" s="135" t="s">
        <v>3150</v>
      </c>
      <c r="E484" s="135" t="s">
        <v>2782</v>
      </c>
      <c r="F484" s="135"/>
      <c r="G484" s="135"/>
      <c r="H484" s="135"/>
      <c r="I484" s="135"/>
      <c r="J484" s="135"/>
      <c r="K484" s="135"/>
      <c r="L484" s="135"/>
      <c r="M484" s="135"/>
      <c r="N484" s="135"/>
      <c r="O484" s="135"/>
      <c r="P484" s="135"/>
      <c r="Q484" s="135"/>
      <c r="R484" s="135"/>
      <c r="S484" s="135"/>
      <c r="T484" s="135"/>
      <c r="U484" s="135"/>
      <c r="V484" s="135"/>
      <c r="W484" s="135"/>
      <c r="X484" s="135">
        <v>8124325226</v>
      </c>
      <c r="Y484" s="135" t="s">
        <v>3151</v>
      </c>
      <c r="Z484" s="135"/>
      <c r="AA484" s="5" t="s">
        <v>18</v>
      </c>
      <c r="AB484" s="5" t="s">
        <v>30</v>
      </c>
      <c r="AC484" s="6" t="e">
        <f>VLOOKUP(A484,'Form Responses 1'!$C$2:$K$219,8,FALSE)</f>
        <v>#N/A</v>
      </c>
      <c r="AD484" s="6" t="e">
        <f>VLOOKUP(A484,'Form Responses 1'!$C$2:$K$219,9,FALSE)</f>
        <v>#N/A</v>
      </c>
    </row>
    <row r="485" spans="1:30" ht="19.5" customHeight="1">
      <c r="A485" s="135" t="s">
        <v>896</v>
      </c>
      <c r="B485" s="135" t="s">
        <v>1300</v>
      </c>
      <c r="C485" s="135">
        <v>46135</v>
      </c>
      <c r="D485" s="135" t="s">
        <v>1403</v>
      </c>
      <c r="E485" s="135" t="s">
        <v>1404</v>
      </c>
      <c r="F485" s="135"/>
      <c r="G485" s="135">
        <v>75</v>
      </c>
      <c r="H485" s="135" t="s">
        <v>1276</v>
      </c>
      <c r="I485" s="135" t="str">
        <f>VLOOKUP(H485,list!$B$2:$C$14,2,FALSE)</f>
        <v>GREEN</v>
      </c>
      <c r="J485" s="135"/>
      <c r="K485" s="135">
        <v>0</v>
      </c>
      <c r="L485" s="135">
        <v>0</v>
      </c>
      <c r="M485" s="135">
        <v>0</v>
      </c>
      <c r="N485" s="135">
        <v>0</v>
      </c>
      <c r="O485" s="135">
        <v>0</v>
      </c>
      <c r="P485" s="135"/>
      <c r="Q485" s="135">
        <v>0</v>
      </c>
      <c r="R485" s="135"/>
      <c r="S485" s="135"/>
      <c r="T485" s="135" t="s">
        <v>19</v>
      </c>
      <c r="U485" s="135"/>
      <c r="V485" s="135" t="s">
        <v>1255</v>
      </c>
      <c r="W485" s="135">
        <v>2</v>
      </c>
      <c r="X485" s="135" t="s">
        <v>3152</v>
      </c>
      <c r="Y485" s="135" t="s">
        <v>3153</v>
      </c>
      <c r="Z485" s="135" t="s">
        <v>1408</v>
      </c>
      <c r="AA485" s="5" t="s">
        <v>2104</v>
      </c>
      <c r="AB485" s="5">
        <f>VLOOKUP(A485,'Form Responses 1'!$C$2:$K$219,7,FALSE)</f>
        <v>0</v>
      </c>
      <c r="AC485" s="6">
        <f>VLOOKUP(A485,'Form Responses 1'!$C$2:$K$219,8,FALSE)</f>
        <v>0</v>
      </c>
      <c r="AD485" s="6">
        <f>VLOOKUP(A485,'Form Responses 1'!$C$2:$K$219,9,FALSE)</f>
        <v>0</v>
      </c>
    </row>
    <row r="486" spans="1:30" ht="19.5" customHeight="1">
      <c r="A486" s="135" t="s">
        <v>3154</v>
      </c>
      <c r="B486" s="135" t="s">
        <v>1300</v>
      </c>
      <c r="C486" s="135">
        <v>47598</v>
      </c>
      <c r="D486" s="135" t="s">
        <v>3155</v>
      </c>
      <c r="E486" s="135" t="s">
        <v>1314</v>
      </c>
      <c r="F486" s="135"/>
      <c r="G486" s="135">
        <v>67</v>
      </c>
      <c r="H486" s="135" t="s">
        <v>1282</v>
      </c>
      <c r="I486" s="135" t="str">
        <f>VLOOKUP(H486,list!$B$2:$C$14,2,FALSE)</f>
        <v>KITS</v>
      </c>
      <c r="J486" s="135"/>
      <c r="K486" s="135">
        <v>0</v>
      </c>
      <c r="L486" s="135">
        <v>0</v>
      </c>
      <c r="M486" s="135">
        <v>0</v>
      </c>
      <c r="N486" s="135">
        <v>0</v>
      </c>
      <c r="O486" s="135">
        <v>0</v>
      </c>
      <c r="P486" s="135"/>
      <c r="Q486" s="135">
        <v>0</v>
      </c>
      <c r="R486" s="135"/>
      <c r="S486" s="135"/>
      <c r="T486" s="135" t="s">
        <v>19</v>
      </c>
      <c r="U486" s="135"/>
      <c r="V486" s="135" t="s">
        <v>1255</v>
      </c>
      <c r="W486" s="135">
        <v>3</v>
      </c>
      <c r="X486" s="135" t="s">
        <v>3156</v>
      </c>
      <c r="Y486" s="135" t="s">
        <v>3157</v>
      </c>
      <c r="Z486" s="135" t="s">
        <v>3158</v>
      </c>
      <c r="AA486" s="5" t="s">
        <v>18</v>
      </c>
      <c r="AB486" s="5" t="s">
        <v>30</v>
      </c>
      <c r="AC486" s="6" t="e">
        <f>VLOOKUP(A486,'Form Responses 1'!$C$2:$K$219,8,FALSE)</f>
        <v>#N/A</v>
      </c>
      <c r="AD486" s="6" t="e">
        <f>VLOOKUP(A486,'Form Responses 1'!$C$2:$K$219,9,FALSE)</f>
        <v>#N/A</v>
      </c>
    </row>
    <row r="487" spans="1:30" ht="19.5" customHeight="1">
      <c r="A487" s="135" t="s">
        <v>3159</v>
      </c>
      <c r="B487" s="135" t="s">
        <v>1300</v>
      </c>
      <c r="C487" s="135">
        <v>46227</v>
      </c>
      <c r="D487" s="135" t="s">
        <v>1289</v>
      </c>
      <c r="E487" s="135" t="s">
        <v>1290</v>
      </c>
      <c r="F487" s="135"/>
      <c r="G487" s="135"/>
      <c r="H487" s="135"/>
      <c r="I487" s="135"/>
      <c r="J487" s="135"/>
      <c r="K487" s="135"/>
      <c r="L487" s="135"/>
      <c r="M487" s="135"/>
      <c r="N487" s="135"/>
      <c r="O487" s="135"/>
      <c r="P487" s="135"/>
      <c r="Q487" s="135"/>
      <c r="R487" s="135"/>
      <c r="S487" s="135"/>
      <c r="T487" s="135"/>
      <c r="U487" s="135"/>
      <c r="V487" s="135"/>
      <c r="W487" s="135"/>
      <c r="X487" s="135">
        <v>3177875364</v>
      </c>
      <c r="Y487" s="135" t="s">
        <v>3160</v>
      </c>
      <c r="Z487" s="135"/>
      <c r="AA487" s="5" t="s">
        <v>18</v>
      </c>
      <c r="AB487" s="5" t="s">
        <v>30</v>
      </c>
      <c r="AC487" s="6" t="e">
        <f>VLOOKUP(A487,'Form Responses 1'!$C$2:$K$219,8,FALSE)</f>
        <v>#N/A</v>
      </c>
      <c r="AD487" s="6" t="e">
        <f>VLOOKUP(A487,'Form Responses 1'!$C$2:$K$219,9,FALSE)</f>
        <v>#N/A</v>
      </c>
    </row>
    <row r="488" spans="1:30" ht="19.5" customHeight="1">
      <c r="A488" s="135" t="s">
        <v>3161</v>
      </c>
      <c r="B488" s="135" t="s">
        <v>1300</v>
      </c>
      <c r="C488" s="135">
        <v>46052</v>
      </c>
      <c r="D488" s="135" t="s">
        <v>1817</v>
      </c>
      <c r="E488" s="135" t="s">
        <v>1818</v>
      </c>
      <c r="F488" s="135"/>
      <c r="G488" s="135">
        <v>40</v>
      </c>
      <c r="H488" s="135" t="s">
        <v>1465</v>
      </c>
      <c r="I488" s="135" t="str">
        <f>VLOOKUP(H488,list!$B$2:$C$14,2,FALSE)</f>
        <v>GREEN</v>
      </c>
      <c r="J488" s="135"/>
      <c r="K488" s="135">
        <v>0</v>
      </c>
      <c r="L488" s="135">
        <v>0</v>
      </c>
      <c r="M488" s="135">
        <v>0</v>
      </c>
      <c r="N488" s="135">
        <v>0</v>
      </c>
      <c r="O488" s="135">
        <v>0</v>
      </c>
      <c r="P488" s="135"/>
      <c r="Q488" s="135">
        <v>0</v>
      </c>
      <c r="R488" s="135"/>
      <c r="S488" s="135"/>
      <c r="T488" s="135" t="s">
        <v>30</v>
      </c>
      <c r="U488" s="135" t="s">
        <v>3162</v>
      </c>
      <c r="V488" s="135" t="s">
        <v>1255</v>
      </c>
      <c r="W488" s="135">
        <v>4</v>
      </c>
      <c r="X488" s="135" t="s">
        <v>3163</v>
      </c>
      <c r="Y488" s="135" t="s">
        <v>3164</v>
      </c>
      <c r="Z488" s="135" t="s">
        <v>1821</v>
      </c>
      <c r="AA488" s="5" t="s">
        <v>18</v>
      </c>
      <c r="AB488" s="5" t="s">
        <v>30</v>
      </c>
      <c r="AC488" s="6" t="e">
        <f>VLOOKUP(A488,'Form Responses 1'!$C$2:$K$219,8,FALSE)</f>
        <v>#N/A</v>
      </c>
      <c r="AD488" s="6" t="e">
        <f>VLOOKUP(A488,'Form Responses 1'!$C$2:$K$219,9,FALSE)</f>
        <v>#N/A</v>
      </c>
    </row>
    <row r="489" spans="1:30" ht="19.5" customHeight="1">
      <c r="A489" s="135" t="s">
        <v>902</v>
      </c>
      <c r="B489" s="135" t="s">
        <v>1300</v>
      </c>
      <c r="C489" s="135">
        <v>46151</v>
      </c>
      <c r="D489" s="135" t="s">
        <v>1910</v>
      </c>
      <c r="E489" s="135" t="s">
        <v>1911</v>
      </c>
      <c r="F489" s="135"/>
      <c r="G489" s="135">
        <v>76</v>
      </c>
      <c r="H489" s="135" t="s">
        <v>1282</v>
      </c>
      <c r="I489" s="135" t="str">
        <f>VLOOKUP(H489,list!$B$2:$C$14,2,FALSE)</f>
        <v>KITS</v>
      </c>
      <c r="J489" s="135"/>
      <c r="K489" s="135">
        <v>0</v>
      </c>
      <c r="L489" s="135">
        <v>0</v>
      </c>
      <c r="M489" s="135">
        <v>0</v>
      </c>
      <c r="N489" s="135">
        <v>0</v>
      </c>
      <c r="O489" s="135">
        <v>0</v>
      </c>
      <c r="P489" s="135"/>
      <c r="Q489" s="135">
        <v>0</v>
      </c>
      <c r="R489" s="135"/>
      <c r="S489" s="135"/>
      <c r="T489" s="135" t="s">
        <v>30</v>
      </c>
      <c r="U489" s="135"/>
      <c r="V489" s="135" t="s">
        <v>1255</v>
      </c>
      <c r="W489" s="135">
        <v>3</v>
      </c>
      <c r="X489" s="135" t="s">
        <v>3165</v>
      </c>
      <c r="Y489" s="135" t="s">
        <v>3166</v>
      </c>
      <c r="Z489" s="135" t="s">
        <v>2018</v>
      </c>
      <c r="AA489" s="5" t="str">
        <f>VLOOKUP(A489,'Form Responses 1'!$C$2:$K$219,6,FALSE)</f>
        <v>Kit delivery and pickup</v>
      </c>
      <c r="AB489" s="5" t="str">
        <f>VLOOKUP(A489,'Form Responses 1'!$C$2:$K$219,7,FALSE)</f>
        <v>No</v>
      </c>
      <c r="AC489" s="6">
        <f>VLOOKUP(A489,'Form Responses 1'!$C$2:$K$219,8,FALSE)</f>
        <v>78</v>
      </c>
      <c r="AD489" s="6">
        <f>VLOOKUP(A489,'Form Responses 1'!$C$2:$K$219,9,FALSE)</f>
        <v>0</v>
      </c>
    </row>
    <row r="490" spans="1:30" ht="19.5" customHeight="1">
      <c r="A490" s="135" t="s">
        <v>906</v>
      </c>
      <c r="B490" s="135" t="s">
        <v>1300</v>
      </c>
      <c r="C490" s="135">
        <v>47303</v>
      </c>
      <c r="D490" s="135" t="s">
        <v>1513</v>
      </c>
      <c r="E490" s="135" t="s">
        <v>1275</v>
      </c>
      <c r="F490" s="135"/>
      <c r="G490" s="135">
        <v>52</v>
      </c>
      <c r="H490" s="135" t="s">
        <v>1282</v>
      </c>
      <c r="I490" s="135" t="str">
        <f>VLOOKUP(H490,list!$B$2:$C$14,2,FALSE)</f>
        <v>KITS</v>
      </c>
      <c r="J490" s="135"/>
      <c r="K490" s="135">
        <v>0</v>
      </c>
      <c r="L490" s="135">
        <v>0</v>
      </c>
      <c r="M490" s="135">
        <v>0</v>
      </c>
      <c r="N490" s="135">
        <v>0</v>
      </c>
      <c r="O490" s="135">
        <v>0</v>
      </c>
      <c r="P490" s="135"/>
      <c r="Q490" s="135">
        <v>0</v>
      </c>
      <c r="R490" s="135"/>
      <c r="S490" s="135"/>
      <c r="T490" s="135" t="s">
        <v>19</v>
      </c>
      <c r="U490" s="135" t="s">
        <v>3167</v>
      </c>
      <c r="V490" s="135" t="s">
        <v>1255</v>
      </c>
      <c r="W490" s="135">
        <v>3</v>
      </c>
      <c r="X490" s="135" t="s">
        <v>3168</v>
      </c>
      <c r="Y490" s="135" t="s">
        <v>3169</v>
      </c>
      <c r="Z490" s="135" t="s">
        <v>1572</v>
      </c>
      <c r="AA490" s="5" t="str">
        <f>VLOOKUP(A490,'Form Responses 1'!$C$2:$K$219,6,FALSE)</f>
        <v>Kit delivery and pickup</v>
      </c>
      <c r="AB490" s="5">
        <f>VLOOKUP(A490,'Form Responses 1'!$C$2:$K$219,7,FALSE)</f>
        <v>0</v>
      </c>
      <c r="AC490" s="6">
        <f>VLOOKUP(A490,'Form Responses 1'!$C$2:$K$219,8,FALSE)</f>
        <v>0</v>
      </c>
      <c r="AD490" s="6">
        <f>VLOOKUP(A490,'Form Responses 1'!$C$2:$K$219,9,FALSE)</f>
        <v>0</v>
      </c>
    </row>
    <row r="491" spans="1:30" ht="19.5" customHeight="1">
      <c r="A491" s="135" t="s">
        <v>3170</v>
      </c>
      <c r="B491" s="135" t="s">
        <v>1300</v>
      </c>
      <c r="C491" s="135">
        <v>47362</v>
      </c>
      <c r="D491" s="135" t="s">
        <v>1887</v>
      </c>
      <c r="E491" s="135" t="s">
        <v>1888</v>
      </c>
      <c r="F491" s="135"/>
      <c r="G491" s="135">
        <v>72</v>
      </c>
      <c r="H491" s="135" t="s">
        <v>1276</v>
      </c>
      <c r="I491" s="135" t="str">
        <f>VLOOKUP(H491,list!$B$2:$C$14,2,FALSE)</f>
        <v>GREEN</v>
      </c>
      <c r="J491" s="135"/>
      <c r="K491" s="135">
        <v>0</v>
      </c>
      <c r="L491" s="135">
        <v>0</v>
      </c>
      <c r="M491" s="135">
        <v>0</v>
      </c>
      <c r="N491" s="135">
        <v>0</v>
      </c>
      <c r="O491" s="135">
        <v>0</v>
      </c>
      <c r="P491" s="135"/>
      <c r="Q491" s="135">
        <v>0</v>
      </c>
      <c r="R491" s="135"/>
      <c r="S491" s="135"/>
      <c r="T491" s="135"/>
      <c r="U491" s="135"/>
      <c r="V491" s="135" t="s">
        <v>1255</v>
      </c>
      <c r="W491" s="135">
        <v>2</v>
      </c>
      <c r="X491" s="135" t="s">
        <v>3171</v>
      </c>
      <c r="Y491" s="135" t="s">
        <v>3172</v>
      </c>
      <c r="Z491" s="135" t="s">
        <v>1891</v>
      </c>
      <c r="AA491" s="5" t="s">
        <v>18</v>
      </c>
      <c r="AB491" s="5" t="s">
        <v>30</v>
      </c>
      <c r="AC491" s="6" t="e">
        <f>VLOOKUP(A491,'Form Responses 1'!$C$2:$K$219,8,FALSE)</f>
        <v>#N/A</v>
      </c>
      <c r="AD491" s="6" t="e">
        <f>VLOOKUP(A491,'Form Responses 1'!$C$2:$K$219,9,FALSE)</f>
        <v>#N/A</v>
      </c>
    </row>
    <row r="492" spans="1:30" ht="19.5" customHeight="1">
      <c r="A492" s="135" t="s">
        <v>3173</v>
      </c>
      <c r="B492" s="135" t="s">
        <v>1300</v>
      </c>
      <c r="C492" s="135">
        <v>47670</v>
      </c>
      <c r="D492" s="135" t="s">
        <v>2801</v>
      </c>
      <c r="E492" s="135" t="s">
        <v>1995</v>
      </c>
      <c r="F492" s="135"/>
      <c r="G492" s="135">
        <v>100</v>
      </c>
      <c r="H492" s="135" t="s">
        <v>1253</v>
      </c>
      <c r="I492" s="135" t="str">
        <f>VLOOKUP(H492,list!$B$2:$C$14,2,FALSE)</f>
        <v>KITS</v>
      </c>
      <c r="J492" s="135"/>
      <c r="K492" s="135">
        <v>0</v>
      </c>
      <c r="L492" s="135">
        <v>0</v>
      </c>
      <c r="M492" s="135">
        <v>0</v>
      </c>
      <c r="N492" s="135">
        <v>0</v>
      </c>
      <c r="O492" s="135">
        <v>0</v>
      </c>
      <c r="P492" s="135"/>
      <c r="Q492" s="135">
        <v>0</v>
      </c>
      <c r="R492" s="135"/>
      <c r="S492" s="135"/>
      <c r="T492" s="135" t="s">
        <v>19</v>
      </c>
      <c r="U492" s="135"/>
      <c r="V492" s="135" t="s">
        <v>1255</v>
      </c>
      <c r="W492" s="135">
        <v>6</v>
      </c>
      <c r="X492" s="135" t="s">
        <v>3174</v>
      </c>
      <c r="Y492" s="135" t="s">
        <v>3175</v>
      </c>
      <c r="Z492" s="135" t="s">
        <v>2804</v>
      </c>
      <c r="AA492" s="5" t="s">
        <v>18</v>
      </c>
      <c r="AB492" s="5" t="s">
        <v>30</v>
      </c>
      <c r="AC492" s="6" t="e">
        <f>VLOOKUP(A492,'Form Responses 1'!$C$2:$K$219,8,FALSE)</f>
        <v>#N/A</v>
      </c>
      <c r="AD492" s="6" t="e">
        <f>VLOOKUP(A492,'Form Responses 1'!$C$2:$K$219,9,FALSE)</f>
        <v>#N/A</v>
      </c>
    </row>
    <row r="493" spans="1:30" ht="19.5" customHeight="1">
      <c r="A493" s="135" t="s">
        <v>910</v>
      </c>
      <c r="B493" s="135" t="s">
        <v>1300</v>
      </c>
      <c r="C493" s="135">
        <v>47040</v>
      </c>
      <c r="D493" s="135" t="s">
        <v>3176</v>
      </c>
      <c r="E493" s="135" t="s">
        <v>3177</v>
      </c>
      <c r="F493" s="135"/>
      <c r="G493" s="135">
        <v>50</v>
      </c>
      <c r="H493" s="135" t="s">
        <v>1282</v>
      </c>
      <c r="I493" s="135" t="str">
        <f>VLOOKUP(H493,list!$B$2:$C$14,2,FALSE)</f>
        <v>KITS</v>
      </c>
      <c r="J493" s="135"/>
      <c r="K493" s="135">
        <v>0</v>
      </c>
      <c r="L493" s="135">
        <v>0</v>
      </c>
      <c r="M493" s="135">
        <v>0</v>
      </c>
      <c r="N493" s="135">
        <v>0</v>
      </c>
      <c r="O493" s="135">
        <v>0</v>
      </c>
      <c r="P493" s="135"/>
      <c r="Q493" s="135">
        <v>0</v>
      </c>
      <c r="R493" s="135"/>
      <c r="S493" s="135"/>
      <c r="T493" s="135" t="s">
        <v>19</v>
      </c>
      <c r="U493" s="135" t="s">
        <v>3178</v>
      </c>
      <c r="V493" s="135" t="s">
        <v>1255</v>
      </c>
      <c r="W493" s="135">
        <v>3</v>
      </c>
      <c r="X493" s="135" t="s">
        <v>3179</v>
      </c>
      <c r="Y493" s="135" t="s">
        <v>3180</v>
      </c>
      <c r="Z493" s="135" t="s">
        <v>3181</v>
      </c>
      <c r="AA493" s="5" t="str">
        <f>VLOOKUP(A493,'Form Responses 1'!$C$2:$K$219,6,FALSE)</f>
        <v>Kit delivery and pickup</v>
      </c>
      <c r="AB493" s="5" t="str">
        <f>VLOOKUP(A493,'Form Responses 1'!$C$2:$K$219,7,FALSE)</f>
        <v>No</v>
      </c>
      <c r="AC493" s="6">
        <f>VLOOKUP(A493,'Form Responses 1'!$C$2:$K$219,8,FALSE)</f>
        <v>55</v>
      </c>
      <c r="AD493" s="6">
        <f>VLOOKUP(A493,'Form Responses 1'!$C$2:$K$219,9,FALSE)</f>
        <v>0</v>
      </c>
    </row>
    <row r="494" spans="1:30" ht="19.5" customHeight="1">
      <c r="A494" s="135" t="s">
        <v>914</v>
      </c>
      <c r="B494" s="135" t="s">
        <v>1300</v>
      </c>
      <c r="C494" s="135">
        <v>47170</v>
      </c>
      <c r="D494" s="135" t="s">
        <v>2073</v>
      </c>
      <c r="E494" s="135" t="s">
        <v>2074</v>
      </c>
      <c r="F494" s="135"/>
      <c r="G494" s="135">
        <v>57</v>
      </c>
      <c r="H494" s="135" t="s">
        <v>1465</v>
      </c>
      <c r="I494" s="135" t="str">
        <f>VLOOKUP(H494,list!$B$2:$C$14,2,FALSE)</f>
        <v>GREEN</v>
      </c>
      <c r="J494" s="135"/>
      <c r="K494" s="135">
        <v>0</v>
      </c>
      <c r="L494" s="135">
        <v>0</v>
      </c>
      <c r="M494" s="135">
        <v>0</v>
      </c>
      <c r="N494" s="135">
        <v>0</v>
      </c>
      <c r="O494" s="135">
        <v>0</v>
      </c>
      <c r="P494" s="135"/>
      <c r="Q494" s="135">
        <v>0</v>
      </c>
      <c r="R494" s="135"/>
      <c r="S494" s="135"/>
      <c r="T494" s="135" t="s">
        <v>19</v>
      </c>
      <c r="U494" s="135" t="s">
        <v>3182</v>
      </c>
      <c r="V494" s="135" t="s">
        <v>1255</v>
      </c>
      <c r="W494" s="135">
        <v>4</v>
      </c>
      <c r="X494" s="135" t="s">
        <v>3183</v>
      </c>
      <c r="Y494" s="135" t="s">
        <v>3184</v>
      </c>
      <c r="Z494" s="135" t="s">
        <v>2077</v>
      </c>
      <c r="AA494" s="5" t="str">
        <f>VLOOKUP(A494,'Form Responses 1'!$C$2:$K$219,6,FALSE)</f>
        <v>Kit delivery and pickup</v>
      </c>
      <c r="AB494" s="5" t="str">
        <f>VLOOKUP(A494,'Form Responses 1'!$C$2:$K$219,7,FALSE)</f>
        <v>No</v>
      </c>
      <c r="AC494" s="6">
        <f>VLOOKUP(A494,'Form Responses 1'!$C$2:$K$219,8,FALSE)</f>
        <v>65</v>
      </c>
      <c r="AD494" s="6">
        <f>VLOOKUP(A494,'Form Responses 1'!$C$2:$K$219,9,FALSE)</f>
        <v>0</v>
      </c>
    </row>
    <row r="495" spans="1:30" ht="19.5" customHeight="1">
      <c r="A495" s="135" t="s">
        <v>3185</v>
      </c>
      <c r="B495" s="135" t="s">
        <v>1288</v>
      </c>
      <c r="C495" s="135">
        <v>47129</v>
      </c>
      <c r="D495" s="135" t="s">
        <v>1664</v>
      </c>
      <c r="E495" s="135" t="s">
        <v>1665</v>
      </c>
      <c r="F495" s="135"/>
      <c r="G495" s="135">
        <v>68</v>
      </c>
      <c r="H495" s="135" t="s">
        <v>1276</v>
      </c>
      <c r="I495" s="135" t="str">
        <f>VLOOKUP(H495,list!$B$2:$C$14,2,FALSE)</f>
        <v>GREEN</v>
      </c>
      <c r="J495" s="135"/>
      <c r="K495" s="135">
        <v>0</v>
      </c>
      <c r="L495" s="135">
        <v>0</v>
      </c>
      <c r="M495" s="135">
        <v>0</v>
      </c>
      <c r="N495" s="135">
        <v>0</v>
      </c>
      <c r="O495" s="135">
        <v>0</v>
      </c>
      <c r="P495" s="135"/>
      <c r="Q495" s="135">
        <v>0</v>
      </c>
      <c r="R495" s="135"/>
      <c r="S495" s="135"/>
      <c r="T495" s="135" t="s">
        <v>30</v>
      </c>
      <c r="U495" s="135" t="s">
        <v>2212</v>
      </c>
      <c r="V495" s="135" t="s">
        <v>1255</v>
      </c>
      <c r="W495" s="135">
        <v>2</v>
      </c>
      <c r="X495" s="135" t="s">
        <v>3186</v>
      </c>
      <c r="Y495" s="135" t="s">
        <v>3187</v>
      </c>
      <c r="Z495" s="135" t="s">
        <v>1669</v>
      </c>
      <c r="AA495" s="5" t="s">
        <v>91</v>
      </c>
      <c r="AB495" s="5" t="s">
        <v>30</v>
      </c>
      <c r="AC495" s="6">
        <f t="shared" ref="AC495:AC502" si="38">G495</f>
        <v>68</v>
      </c>
      <c r="AD495" s="6"/>
    </row>
    <row r="496" spans="1:30" ht="19.5" customHeight="1">
      <c r="A496" s="135" t="s">
        <v>3188</v>
      </c>
      <c r="B496" s="321" t="s">
        <v>1312</v>
      </c>
      <c r="C496" s="135">
        <v>46234</v>
      </c>
      <c r="D496" s="135" t="s">
        <v>1289</v>
      </c>
      <c r="E496" s="135" t="s">
        <v>1290</v>
      </c>
      <c r="F496" s="135"/>
      <c r="G496" s="135">
        <v>109</v>
      </c>
      <c r="H496" s="135" t="s">
        <v>1276</v>
      </c>
      <c r="I496" s="135" t="str">
        <f>VLOOKUP(H496,list!$B$2:$C$14,2,FALSE)</f>
        <v>GREEN</v>
      </c>
      <c r="J496" s="135"/>
      <c r="K496" s="135">
        <v>0</v>
      </c>
      <c r="L496" s="135">
        <v>0</v>
      </c>
      <c r="M496" s="135">
        <v>0</v>
      </c>
      <c r="N496" s="135">
        <v>0</v>
      </c>
      <c r="O496" s="135">
        <v>0</v>
      </c>
      <c r="P496" s="135"/>
      <c r="Q496" s="135">
        <v>0</v>
      </c>
      <c r="R496" s="135"/>
      <c r="S496" s="135"/>
      <c r="T496" s="135" t="s">
        <v>19</v>
      </c>
      <c r="U496" s="135" t="s">
        <v>1315</v>
      </c>
      <c r="V496" s="135" t="s">
        <v>1255</v>
      </c>
      <c r="W496" s="135">
        <v>2</v>
      </c>
      <c r="X496" s="135" t="s">
        <v>3189</v>
      </c>
      <c r="Y496" s="135" t="s">
        <v>3190</v>
      </c>
      <c r="Z496" s="135" t="s">
        <v>3191</v>
      </c>
      <c r="AA496" s="5" t="s">
        <v>18</v>
      </c>
      <c r="AB496" s="5" t="s">
        <v>1298</v>
      </c>
      <c r="AC496" s="6">
        <f t="shared" si="38"/>
        <v>109</v>
      </c>
      <c r="AD496" s="6"/>
    </row>
    <row r="497" spans="1:30" ht="19.5" customHeight="1">
      <c r="A497" s="135" t="s">
        <v>3192</v>
      </c>
      <c r="B497" s="321" t="s">
        <v>1312</v>
      </c>
      <c r="C497" s="135">
        <v>46032</v>
      </c>
      <c r="D497" s="135" t="s">
        <v>1464</v>
      </c>
      <c r="E497" s="135" t="s">
        <v>1294</v>
      </c>
      <c r="F497" s="135"/>
      <c r="G497" s="135">
        <v>94</v>
      </c>
      <c r="H497" s="135" t="s">
        <v>1276</v>
      </c>
      <c r="I497" s="135" t="str">
        <f>VLOOKUP(H497,list!$B$2:$C$14,2,FALSE)</f>
        <v>GREEN</v>
      </c>
      <c r="J497" s="135"/>
      <c r="K497" s="135">
        <v>0</v>
      </c>
      <c r="L497" s="135">
        <v>0</v>
      </c>
      <c r="M497" s="135">
        <v>0</v>
      </c>
      <c r="N497" s="135">
        <v>0</v>
      </c>
      <c r="O497" s="135">
        <v>0</v>
      </c>
      <c r="P497" s="135"/>
      <c r="Q497" s="135">
        <v>0</v>
      </c>
      <c r="R497" s="135"/>
      <c r="S497" s="135"/>
      <c r="T497" s="135" t="s">
        <v>19</v>
      </c>
      <c r="U497" s="135" t="s">
        <v>1315</v>
      </c>
      <c r="V497" s="135" t="s">
        <v>1255</v>
      </c>
      <c r="W497" s="135">
        <v>2</v>
      </c>
      <c r="X497" s="135" t="s">
        <v>3193</v>
      </c>
      <c r="Y497" s="135" t="s">
        <v>3194</v>
      </c>
      <c r="Z497" s="135" t="s">
        <v>1469</v>
      </c>
      <c r="AA497" s="5" t="s">
        <v>18</v>
      </c>
      <c r="AB497" s="5" t="s">
        <v>1298</v>
      </c>
      <c r="AC497" s="6">
        <f t="shared" si="38"/>
        <v>94</v>
      </c>
      <c r="AD497" s="6"/>
    </row>
    <row r="498" spans="1:30" ht="19.5" customHeight="1">
      <c r="A498" s="135" t="s">
        <v>3195</v>
      </c>
      <c r="B498" s="321" t="s">
        <v>1312</v>
      </c>
      <c r="C498" s="135">
        <v>47933</v>
      </c>
      <c r="D498" s="135" t="s">
        <v>1486</v>
      </c>
      <c r="E498" s="135" t="s">
        <v>1487</v>
      </c>
      <c r="F498" s="135"/>
      <c r="G498" s="135">
        <v>126</v>
      </c>
      <c r="H498" s="135" t="s">
        <v>1276</v>
      </c>
      <c r="I498" s="135" t="str">
        <f>VLOOKUP(H498,list!$B$2:$C$14,2,FALSE)</f>
        <v>GREEN</v>
      </c>
      <c r="J498" s="135"/>
      <c r="K498" s="135">
        <v>0</v>
      </c>
      <c r="L498" s="135">
        <v>0</v>
      </c>
      <c r="M498" s="135">
        <v>0</v>
      </c>
      <c r="N498" s="135">
        <v>0</v>
      </c>
      <c r="O498" s="135">
        <v>0</v>
      </c>
      <c r="P498" s="135"/>
      <c r="Q498" s="135">
        <v>0</v>
      </c>
      <c r="R498" s="135"/>
      <c r="S498" s="135"/>
      <c r="T498" s="135" t="s">
        <v>19</v>
      </c>
      <c r="U498" s="135" t="s">
        <v>1315</v>
      </c>
      <c r="V498" s="135" t="s">
        <v>1255</v>
      </c>
      <c r="W498" s="135">
        <v>2</v>
      </c>
      <c r="X498" s="135" t="s">
        <v>3196</v>
      </c>
      <c r="Y498" s="135" t="s">
        <v>3197</v>
      </c>
      <c r="Z498" s="135" t="s">
        <v>1490</v>
      </c>
      <c r="AA498" s="5" t="s">
        <v>18</v>
      </c>
      <c r="AB498" s="5" t="s">
        <v>1298</v>
      </c>
      <c r="AC498" s="6">
        <f t="shared" si="38"/>
        <v>126</v>
      </c>
      <c r="AD498" s="6"/>
    </row>
    <row r="499" spans="1:30" ht="19.5" customHeight="1">
      <c r="A499" s="135" t="s">
        <v>3198</v>
      </c>
      <c r="B499" s="321" t="s">
        <v>1312</v>
      </c>
      <c r="C499" s="135">
        <v>46902</v>
      </c>
      <c r="D499" s="135" t="s">
        <v>1355</v>
      </c>
      <c r="E499" s="135" t="s">
        <v>1356</v>
      </c>
      <c r="F499" s="135"/>
      <c r="G499" s="135">
        <v>126</v>
      </c>
      <c r="H499" s="135" t="s">
        <v>1276</v>
      </c>
      <c r="I499" s="135" t="str">
        <f>VLOOKUP(H499,list!$B$2:$C$14,2,FALSE)</f>
        <v>GREEN</v>
      </c>
      <c r="J499" s="135"/>
      <c r="K499" s="135">
        <v>0</v>
      </c>
      <c r="L499" s="135">
        <v>0</v>
      </c>
      <c r="M499" s="135">
        <v>0</v>
      </c>
      <c r="N499" s="135">
        <v>0</v>
      </c>
      <c r="O499" s="135">
        <v>0</v>
      </c>
      <c r="P499" s="135"/>
      <c r="Q499" s="135">
        <v>0</v>
      </c>
      <c r="R499" s="135"/>
      <c r="S499" s="135"/>
      <c r="T499" s="135" t="s">
        <v>19</v>
      </c>
      <c r="U499" s="135" t="s">
        <v>1315</v>
      </c>
      <c r="V499" s="135" t="s">
        <v>1255</v>
      </c>
      <c r="W499" s="135">
        <v>2</v>
      </c>
      <c r="X499" s="135" t="s">
        <v>3199</v>
      </c>
      <c r="Y499" s="135" t="s">
        <v>3200</v>
      </c>
      <c r="Z499" s="135" t="s">
        <v>1359</v>
      </c>
      <c r="AA499" s="5" t="s">
        <v>18</v>
      </c>
      <c r="AB499" s="5" t="s">
        <v>1298</v>
      </c>
      <c r="AC499" s="6">
        <f t="shared" si="38"/>
        <v>126</v>
      </c>
      <c r="AD499" s="6"/>
    </row>
    <row r="500" spans="1:30" ht="19.5" customHeight="1">
      <c r="A500" s="135" t="s">
        <v>3201</v>
      </c>
      <c r="B500" s="321" t="s">
        <v>1312</v>
      </c>
      <c r="C500" s="135">
        <v>46637</v>
      </c>
      <c r="D500" s="135" t="s">
        <v>1547</v>
      </c>
      <c r="E500" s="135" t="s">
        <v>1480</v>
      </c>
      <c r="F500" s="135"/>
      <c r="G500" s="135">
        <v>135</v>
      </c>
      <c r="H500" s="135" t="s">
        <v>1276</v>
      </c>
      <c r="I500" s="135" t="str">
        <f>VLOOKUP(H500,list!$B$2:$C$14,2,FALSE)</f>
        <v>GREEN</v>
      </c>
      <c r="J500" s="135"/>
      <c r="K500" s="135">
        <v>0</v>
      </c>
      <c r="L500" s="135">
        <v>0</v>
      </c>
      <c r="M500" s="135">
        <v>0</v>
      </c>
      <c r="N500" s="135">
        <v>0</v>
      </c>
      <c r="O500" s="135">
        <v>0</v>
      </c>
      <c r="P500" s="135"/>
      <c r="Q500" s="135">
        <v>0</v>
      </c>
      <c r="R500" s="135"/>
      <c r="S500" s="135"/>
      <c r="T500" s="135" t="s">
        <v>19</v>
      </c>
      <c r="U500" s="135" t="s">
        <v>1315</v>
      </c>
      <c r="V500" s="135" t="s">
        <v>1255</v>
      </c>
      <c r="W500" s="135">
        <v>2</v>
      </c>
      <c r="X500" s="135" t="s">
        <v>3202</v>
      </c>
      <c r="Y500" s="135" t="s">
        <v>3203</v>
      </c>
      <c r="Z500" s="135" t="s">
        <v>2109</v>
      </c>
      <c r="AA500" s="5" t="s">
        <v>18</v>
      </c>
      <c r="AB500" s="5" t="s">
        <v>1298</v>
      </c>
      <c r="AC500" s="6">
        <f t="shared" si="38"/>
        <v>135</v>
      </c>
      <c r="AD500" s="6"/>
    </row>
    <row r="501" spans="1:30" ht="19.5" customHeight="1">
      <c r="A501" s="135" t="s">
        <v>3204</v>
      </c>
      <c r="B501" s="321" t="s">
        <v>1312</v>
      </c>
      <c r="C501" s="135">
        <v>46992</v>
      </c>
      <c r="D501" s="135" t="s">
        <v>1436</v>
      </c>
      <c r="E501" s="135" t="s">
        <v>1436</v>
      </c>
      <c r="F501" s="135"/>
      <c r="G501" s="135">
        <v>117</v>
      </c>
      <c r="H501" s="135" t="s">
        <v>1276</v>
      </c>
      <c r="I501" s="135" t="str">
        <f>VLOOKUP(H501,list!$B$2:$C$14,2,FALSE)</f>
        <v>GREEN</v>
      </c>
      <c r="J501" s="135"/>
      <c r="K501" s="135">
        <v>0</v>
      </c>
      <c r="L501" s="135">
        <v>0</v>
      </c>
      <c r="M501" s="135">
        <v>0</v>
      </c>
      <c r="N501" s="135">
        <v>0</v>
      </c>
      <c r="O501" s="135">
        <v>0</v>
      </c>
      <c r="P501" s="135"/>
      <c r="Q501" s="135">
        <v>0</v>
      </c>
      <c r="R501" s="135"/>
      <c r="S501" s="135"/>
      <c r="T501" s="135" t="s">
        <v>19</v>
      </c>
      <c r="U501" s="135" t="s">
        <v>1315</v>
      </c>
      <c r="V501" s="135" t="s">
        <v>1255</v>
      </c>
      <c r="W501" s="135">
        <v>2</v>
      </c>
      <c r="X501" s="135" t="s">
        <v>3205</v>
      </c>
      <c r="Y501" s="135" t="s">
        <v>3206</v>
      </c>
      <c r="Z501" s="135" t="s">
        <v>1439</v>
      </c>
      <c r="AA501" s="5" t="s">
        <v>18</v>
      </c>
      <c r="AB501" s="5" t="s">
        <v>1298</v>
      </c>
      <c r="AC501" s="6">
        <f t="shared" si="38"/>
        <v>117</v>
      </c>
      <c r="AD501" s="6"/>
    </row>
    <row r="502" spans="1:30" ht="19.5" customHeight="1">
      <c r="A502" s="135" t="s">
        <v>3207</v>
      </c>
      <c r="B502" s="321" t="s">
        <v>1312</v>
      </c>
      <c r="C502" s="135">
        <v>46074</v>
      </c>
      <c r="D502" s="135" t="s">
        <v>1707</v>
      </c>
      <c r="E502" s="135" t="s">
        <v>1294</v>
      </c>
      <c r="F502" s="135"/>
      <c r="G502" s="135">
        <v>96</v>
      </c>
      <c r="H502" s="135" t="s">
        <v>1276</v>
      </c>
      <c r="I502" s="135" t="str">
        <f>VLOOKUP(H502,list!$B$2:$C$14,2,FALSE)</f>
        <v>GREEN</v>
      </c>
      <c r="J502" s="135"/>
      <c r="K502" s="135">
        <v>0</v>
      </c>
      <c r="L502" s="135">
        <v>0</v>
      </c>
      <c r="M502" s="135">
        <v>0</v>
      </c>
      <c r="N502" s="135">
        <v>0</v>
      </c>
      <c r="O502" s="135">
        <v>0</v>
      </c>
      <c r="P502" s="135"/>
      <c r="Q502" s="135">
        <v>0</v>
      </c>
      <c r="R502" s="135"/>
      <c r="S502" s="135"/>
      <c r="T502" s="135" t="s">
        <v>19</v>
      </c>
      <c r="U502" s="135" t="s">
        <v>1315</v>
      </c>
      <c r="V502" s="135" t="s">
        <v>1255</v>
      </c>
      <c r="W502" s="135">
        <v>2</v>
      </c>
      <c r="X502" s="135" t="s">
        <v>3208</v>
      </c>
      <c r="Y502" s="135" t="s">
        <v>3209</v>
      </c>
      <c r="Z502" s="135" t="s">
        <v>2374</v>
      </c>
      <c r="AA502" s="5" t="s">
        <v>18</v>
      </c>
      <c r="AB502" s="5" t="s">
        <v>1298</v>
      </c>
      <c r="AC502" s="6">
        <f t="shared" si="38"/>
        <v>96</v>
      </c>
      <c r="AD502" s="6"/>
    </row>
    <row r="503" spans="1:30" ht="19.5" customHeight="1">
      <c r="A503" s="135" t="s">
        <v>918</v>
      </c>
      <c r="B503" s="135" t="s">
        <v>1463</v>
      </c>
      <c r="C503" s="135">
        <v>46041</v>
      </c>
      <c r="D503" s="135" t="s">
        <v>1348</v>
      </c>
      <c r="E503" s="135" t="s">
        <v>1349</v>
      </c>
      <c r="F503" s="135"/>
      <c r="G503" s="135">
        <v>210</v>
      </c>
      <c r="H503" s="135" t="s">
        <v>1282</v>
      </c>
      <c r="I503" s="135" t="str">
        <f>VLOOKUP(H503,list!$B$2:$C$14,2,FALSE)</f>
        <v>KITS</v>
      </c>
      <c r="J503" s="135"/>
      <c r="K503" s="135">
        <v>0</v>
      </c>
      <c r="L503" s="135">
        <v>0</v>
      </c>
      <c r="M503" s="135">
        <v>0</v>
      </c>
      <c r="N503" s="135">
        <v>0</v>
      </c>
      <c r="O503" s="135">
        <v>0</v>
      </c>
      <c r="P503" s="135"/>
      <c r="Q503" s="135">
        <v>0</v>
      </c>
      <c r="R503" s="135"/>
      <c r="S503" s="135"/>
      <c r="T503" s="135" t="s">
        <v>19</v>
      </c>
      <c r="U503" s="135" t="s">
        <v>3210</v>
      </c>
      <c r="V503" s="135" t="s">
        <v>1255</v>
      </c>
      <c r="W503" s="135">
        <v>3</v>
      </c>
      <c r="X503" s="135" t="s">
        <v>3211</v>
      </c>
      <c r="Y503" s="135" t="s">
        <v>3212</v>
      </c>
      <c r="Z503" s="135" t="s">
        <v>1354</v>
      </c>
      <c r="AA503" s="5" t="str">
        <f>VLOOKUP(A503,'Form Responses 1'!$C$2:$K$532,6,FALSE)</f>
        <v>Prefer not to use ISDH resources for employee testing</v>
      </c>
      <c r="AB503" s="5">
        <f>VLOOKUP(A503,'Form Responses 1'!$C$2:$K$219,7,FALSE)</f>
        <v>0</v>
      </c>
      <c r="AC503" s="6">
        <f>VLOOKUP(A503,'Form Responses 1'!$C$2:$K$219,8,FALSE)</f>
        <v>0</v>
      </c>
      <c r="AD503" s="6" t="str">
        <f>VLOOKUP(A503,'Form Responses 1'!$C$2:$K$219,9,FALSE)</f>
        <v>189 tested in may and June, used local labs and OPTUM.  All negative</v>
      </c>
    </row>
    <row r="504" spans="1:30" ht="19.5" customHeight="1">
      <c r="A504" s="135" t="s">
        <v>922</v>
      </c>
      <c r="B504" s="135" t="s">
        <v>1265</v>
      </c>
      <c r="C504" s="135">
        <v>46953</v>
      </c>
      <c r="D504" s="135" t="s">
        <v>1290</v>
      </c>
      <c r="E504" s="135" t="s">
        <v>1360</v>
      </c>
      <c r="F504" s="135"/>
      <c r="G504" s="135">
        <v>179</v>
      </c>
      <c r="H504" s="135" t="s">
        <v>1282</v>
      </c>
      <c r="I504" s="135" t="str">
        <f>VLOOKUP(H504,list!$B$2:$C$14,2,FALSE)</f>
        <v>KITS</v>
      </c>
      <c r="J504" s="135"/>
      <c r="K504" s="135">
        <v>0</v>
      </c>
      <c r="L504" s="135">
        <v>0</v>
      </c>
      <c r="M504" s="135">
        <v>0</v>
      </c>
      <c r="N504" s="135">
        <v>0</v>
      </c>
      <c r="O504" s="135">
        <v>0</v>
      </c>
      <c r="P504" s="135"/>
      <c r="Q504" s="135">
        <v>0</v>
      </c>
      <c r="R504" s="135"/>
      <c r="S504" s="135"/>
      <c r="T504" s="135" t="s">
        <v>30</v>
      </c>
      <c r="U504" s="135"/>
      <c r="V504" s="135" t="s">
        <v>1255</v>
      </c>
      <c r="W504" s="135">
        <v>3</v>
      </c>
      <c r="X504" s="135" t="s">
        <v>3213</v>
      </c>
      <c r="Y504" s="135" t="s">
        <v>3214</v>
      </c>
      <c r="Z504" s="135" t="s">
        <v>1363</v>
      </c>
      <c r="AA504" s="5" t="str">
        <f>VLOOKUP(A504,'Form Responses 1'!$C$2:$K$532,6,FALSE)</f>
        <v>Kit delivery and pickup</v>
      </c>
      <c r="AB504" s="5" t="str">
        <f>VLOOKUP(A504,'Form Responses 1'!$C$2:$K$219,7,FALSE)</f>
        <v>Yes</v>
      </c>
      <c r="AC504" s="6">
        <f>VLOOKUP(A504,'Form Responses 1'!$C$2:$K$219,8,FALSE)</f>
        <v>0</v>
      </c>
      <c r="AD504" s="6" t="str">
        <f>VLOOKUP(A504,'Form Responses 1'!$C$2:$K$219,9,FALSE)</f>
        <v>DON would like to know if staff testing currently being conducted at OPTUM sites are still approved and OK to use? Some staff members have began testing at those sites the last week of May 27, 28, &amp; 29.</v>
      </c>
    </row>
    <row r="505" spans="1:30" ht="19.5" customHeight="1">
      <c r="A505" s="135" t="s">
        <v>3215</v>
      </c>
      <c r="B505" s="135" t="s">
        <v>343</v>
      </c>
      <c r="C505" s="135">
        <v>46619</v>
      </c>
      <c r="D505" s="135" t="s">
        <v>1547</v>
      </c>
      <c r="E505" s="135" t="s">
        <v>1480</v>
      </c>
      <c r="F505" s="135"/>
      <c r="G505" s="135">
        <v>100</v>
      </c>
      <c r="H505" s="135" t="s">
        <v>1282</v>
      </c>
      <c r="I505" s="135" t="str">
        <f>VLOOKUP(H505,list!$B$2:$C$14,2,FALSE)</f>
        <v>KITS</v>
      </c>
      <c r="J505" s="135"/>
      <c r="K505" s="135">
        <v>0</v>
      </c>
      <c r="L505" s="135">
        <v>0</v>
      </c>
      <c r="M505" s="135">
        <v>0</v>
      </c>
      <c r="N505" s="135">
        <v>0</v>
      </c>
      <c r="O505" s="135">
        <v>0</v>
      </c>
      <c r="P505" s="135"/>
      <c r="Q505" s="135">
        <v>0</v>
      </c>
      <c r="R505" s="135"/>
      <c r="S505" s="135"/>
      <c r="T505" s="135" t="s">
        <v>19</v>
      </c>
      <c r="U505" s="135"/>
      <c r="V505" s="135" t="s">
        <v>1255</v>
      </c>
      <c r="W505" s="135">
        <v>3</v>
      </c>
      <c r="X505" s="135" t="s">
        <v>3216</v>
      </c>
      <c r="Y505" s="135" t="s">
        <v>3217</v>
      </c>
      <c r="Z505" s="135" t="s">
        <v>1550</v>
      </c>
      <c r="AA505" s="5" t="s">
        <v>18</v>
      </c>
      <c r="AB505" s="5" t="s">
        <v>1298</v>
      </c>
      <c r="AC505" s="6">
        <f t="shared" ref="AC505:AC506" si="39">G505</f>
        <v>100</v>
      </c>
      <c r="AD505" s="6"/>
    </row>
    <row r="506" spans="1:30" ht="19.5" customHeight="1">
      <c r="A506" s="135" t="s">
        <v>3218</v>
      </c>
      <c r="B506" s="321" t="s">
        <v>1312</v>
      </c>
      <c r="C506" s="135">
        <v>47712</v>
      </c>
      <c r="D506" s="135" t="s">
        <v>1506</v>
      </c>
      <c r="E506" s="135" t="s">
        <v>1507</v>
      </c>
      <c r="F506" s="135"/>
      <c r="G506" s="135">
        <v>141</v>
      </c>
      <c r="H506" s="135" t="s">
        <v>1276</v>
      </c>
      <c r="I506" s="135" t="str">
        <f>VLOOKUP(H506,list!$B$2:$C$14,2,FALSE)</f>
        <v>GREEN</v>
      </c>
      <c r="J506" s="135"/>
      <c r="K506" s="135">
        <v>0</v>
      </c>
      <c r="L506" s="135">
        <v>0</v>
      </c>
      <c r="M506" s="135">
        <v>0</v>
      </c>
      <c r="N506" s="135">
        <v>0</v>
      </c>
      <c r="O506" s="135">
        <v>0</v>
      </c>
      <c r="P506" s="135"/>
      <c r="Q506" s="135">
        <v>0</v>
      </c>
      <c r="R506" s="135"/>
      <c r="S506" s="135"/>
      <c r="T506" s="135" t="s">
        <v>19</v>
      </c>
      <c r="U506" s="135" t="s">
        <v>1315</v>
      </c>
      <c r="V506" s="135" t="s">
        <v>1255</v>
      </c>
      <c r="W506" s="135">
        <v>2</v>
      </c>
      <c r="X506" s="135" t="s">
        <v>3219</v>
      </c>
      <c r="Y506" s="135" t="s">
        <v>3220</v>
      </c>
      <c r="Z506" s="135" t="s">
        <v>2691</v>
      </c>
      <c r="AA506" s="5" t="s">
        <v>18</v>
      </c>
      <c r="AB506" s="5" t="s">
        <v>1298</v>
      </c>
      <c r="AC506" s="6">
        <f t="shared" si="39"/>
        <v>141</v>
      </c>
      <c r="AD506" s="6"/>
    </row>
    <row r="507" spans="1:30" ht="19.5" customHeight="1">
      <c r="A507" s="135" t="s">
        <v>927</v>
      </c>
      <c r="B507" s="135"/>
      <c r="C507" s="135">
        <v>47906</v>
      </c>
      <c r="D507" s="135" t="s">
        <v>1753</v>
      </c>
      <c r="E507" s="135" t="s">
        <v>1424</v>
      </c>
      <c r="F507" s="135"/>
      <c r="G507" s="135">
        <v>317</v>
      </c>
      <c r="H507" s="135" t="s">
        <v>1425</v>
      </c>
      <c r="I507" s="135" t="str">
        <f>VLOOKUP(H507,list!$B$2:$C$14,2,FALSE)</f>
        <v>ONSITE</v>
      </c>
      <c r="J507" s="135"/>
      <c r="K507" s="135">
        <v>0</v>
      </c>
      <c r="L507" s="135">
        <v>0</v>
      </c>
      <c r="M507" s="135">
        <v>0</v>
      </c>
      <c r="N507" s="135">
        <v>0</v>
      </c>
      <c r="O507" s="135">
        <v>0</v>
      </c>
      <c r="P507" s="135"/>
      <c r="Q507" s="135">
        <v>1</v>
      </c>
      <c r="R507" s="135" t="s">
        <v>3221</v>
      </c>
      <c r="S507" s="135"/>
      <c r="T507" s="135" t="s">
        <v>30</v>
      </c>
      <c r="U507" s="135" t="s">
        <v>3222</v>
      </c>
      <c r="V507" s="135" t="s">
        <v>1255</v>
      </c>
      <c r="W507" s="135">
        <v>7</v>
      </c>
      <c r="X507" s="135" t="s">
        <v>3223</v>
      </c>
      <c r="Y507" s="135" t="s">
        <v>3224</v>
      </c>
      <c r="Z507" s="135" t="s">
        <v>1756</v>
      </c>
      <c r="AA507" s="5" t="str">
        <f>VLOOKUP(A507,'Form Responses 1'!$C$2:$K$532,6,FALSE)</f>
        <v>Kit delivery and pickup</v>
      </c>
      <c r="AB507" s="5">
        <f>VLOOKUP(A507,'Form Responses 1'!$C$2:$K$219,7,FALSE)</f>
        <v>0</v>
      </c>
      <c r="AC507" s="6">
        <f>VLOOKUP(A507,'Form Responses 1'!$C$2:$K$219,8,FALSE)</f>
        <v>197</v>
      </c>
      <c r="AD507" s="6" t="str">
        <f>VLOOKUP(A507,'Form Responses 1'!$C$2:$K$219,9,FALSE)</f>
        <v>CRCC would like to have guidance around other areas, question about staggering testing</v>
      </c>
    </row>
    <row r="508" spans="1:30" ht="19.5" customHeight="1">
      <c r="A508" s="135" t="s">
        <v>931</v>
      </c>
      <c r="B508" s="135"/>
      <c r="C508" s="135">
        <v>47802</v>
      </c>
      <c r="D508" s="135" t="s">
        <v>1684</v>
      </c>
      <c r="E508" s="135" t="s">
        <v>1685</v>
      </c>
      <c r="F508" s="135"/>
      <c r="G508" s="135">
        <v>190</v>
      </c>
      <c r="H508" s="135" t="s">
        <v>1425</v>
      </c>
      <c r="I508" s="135" t="str">
        <f>VLOOKUP(H508,list!$B$2:$C$14,2,FALSE)</f>
        <v>ONSITE</v>
      </c>
      <c r="J508" s="135"/>
      <c r="K508" s="135">
        <v>1</v>
      </c>
      <c r="L508" s="135">
        <v>1</v>
      </c>
      <c r="M508" s="135">
        <v>0</v>
      </c>
      <c r="N508" s="135">
        <v>0</v>
      </c>
      <c r="O508" s="135">
        <v>1</v>
      </c>
      <c r="P508" s="135"/>
      <c r="Q508" s="135">
        <v>1</v>
      </c>
      <c r="R508" s="135" t="s">
        <v>3225</v>
      </c>
      <c r="S508" s="135"/>
      <c r="T508" s="135" t="s">
        <v>30</v>
      </c>
      <c r="U508" s="135" t="s">
        <v>3226</v>
      </c>
      <c r="V508" s="135" t="s">
        <v>1255</v>
      </c>
      <c r="W508" s="135">
        <v>7</v>
      </c>
      <c r="X508" s="7" t="s">
        <v>3227</v>
      </c>
      <c r="Y508" s="135" t="s">
        <v>3228</v>
      </c>
      <c r="Z508" s="135" t="s">
        <v>1688</v>
      </c>
      <c r="AA508" s="5" t="str">
        <f>VLOOKUP(A508,'Form Responses 1'!$C$2:$K$532,6,FALSE)</f>
        <v>Kit delivery and pickup</v>
      </c>
      <c r="AB508" s="5" t="str">
        <f>VLOOKUP(A508,'Form Responses 1'!$C$2:$K$219,7,FALSE)</f>
        <v>Yes</v>
      </c>
      <c r="AC508" s="6">
        <f>VLOOKUP(A508,'Form Responses 1'!$C$2:$K$219,8,FALSE)</f>
        <v>170</v>
      </c>
      <c r="AD508" s="6">
        <f>VLOOKUP(A508,'Form Responses 1'!$C$2:$K$219,9,FALSE)</f>
        <v>0</v>
      </c>
    </row>
    <row r="509" spans="1:30" ht="19.5" customHeight="1">
      <c r="A509" s="135" t="s">
        <v>974</v>
      </c>
      <c r="B509" s="135"/>
      <c r="C509" s="135">
        <v>47129</v>
      </c>
      <c r="D509" s="135" t="s">
        <v>1664</v>
      </c>
      <c r="E509" s="135" t="s">
        <v>1665</v>
      </c>
      <c r="F509" s="135"/>
      <c r="G509" s="135">
        <v>150</v>
      </c>
      <c r="H509" s="135" t="s">
        <v>1282</v>
      </c>
      <c r="I509" s="135" t="str">
        <f>VLOOKUP(H509,list!$B$2:$C$14,2,FALSE)</f>
        <v>KITS</v>
      </c>
      <c r="J509" s="135"/>
      <c r="K509" s="135">
        <v>0</v>
      </c>
      <c r="L509" s="135">
        <v>0</v>
      </c>
      <c r="M509" s="135">
        <v>0</v>
      </c>
      <c r="N509" s="135">
        <v>0</v>
      </c>
      <c r="O509" s="135">
        <v>0</v>
      </c>
      <c r="P509" s="135"/>
      <c r="Q509" s="135">
        <v>0</v>
      </c>
      <c r="R509" s="135"/>
      <c r="S509" s="135"/>
      <c r="T509" s="135" t="s">
        <v>19</v>
      </c>
      <c r="U509" s="135" t="s">
        <v>3229</v>
      </c>
      <c r="V509" s="135" t="s">
        <v>1255</v>
      </c>
      <c r="W509" s="135">
        <v>3</v>
      </c>
      <c r="X509" s="7" t="s">
        <v>3230</v>
      </c>
      <c r="Y509" s="135" t="s">
        <v>3231</v>
      </c>
      <c r="Z509" s="135" t="s">
        <v>1669</v>
      </c>
      <c r="AA509" s="5" t="str">
        <f>VLOOKUP(A509,'Form Responses 1'!$C$2:$K$532,6,FALSE)</f>
        <v>Kit delivery and pickup</v>
      </c>
      <c r="AB509" s="5" t="e">
        <f>VLOOKUP(A509,'Form Responses 1'!$C$2:$K$219,7,FALSE)</f>
        <v>#N/A</v>
      </c>
      <c r="AC509" s="6" t="e">
        <f>VLOOKUP(A509,'Form Responses 1'!$C$2:$K$219,8,FALSE)</f>
        <v>#N/A</v>
      </c>
      <c r="AD509" s="6" t="e">
        <f>VLOOKUP(A509,'Form Responses 1'!$C$2:$K$219,9,FALSE)</f>
        <v>#N/A</v>
      </c>
    </row>
    <row r="510" spans="1:30" ht="19.5" customHeight="1">
      <c r="A510" s="135" t="s">
        <v>935</v>
      </c>
      <c r="B510" s="135"/>
      <c r="C510" s="135">
        <v>47304</v>
      </c>
      <c r="D510" s="135" t="s">
        <v>1513</v>
      </c>
      <c r="E510" s="135" t="s">
        <v>1275</v>
      </c>
      <c r="F510" s="135"/>
      <c r="G510" s="135">
        <v>226</v>
      </c>
      <c r="H510" s="135" t="s">
        <v>1425</v>
      </c>
      <c r="I510" s="135" t="str">
        <f>VLOOKUP(H510,list!$B$2:$C$14,2,FALSE)</f>
        <v>ONSITE</v>
      </c>
      <c r="J510" s="135"/>
      <c r="K510" s="135">
        <v>1</v>
      </c>
      <c r="L510" s="135">
        <v>0</v>
      </c>
      <c r="M510" s="135">
        <v>0</v>
      </c>
      <c r="N510" s="135">
        <v>0</v>
      </c>
      <c r="O510" s="135">
        <v>0</v>
      </c>
      <c r="P510" s="135"/>
      <c r="Q510" s="135">
        <v>0</v>
      </c>
      <c r="R510" s="135"/>
      <c r="S510" s="135"/>
      <c r="T510" s="135" t="s">
        <v>30</v>
      </c>
      <c r="U510" s="135" t="s">
        <v>3232</v>
      </c>
      <c r="V510" s="135" t="s">
        <v>1255</v>
      </c>
      <c r="W510" s="135">
        <v>7</v>
      </c>
      <c r="X510" s="135" t="s">
        <v>3233</v>
      </c>
      <c r="Y510" s="135" t="s">
        <v>3234</v>
      </c>
      <c r="Z510" s="135" t="s">
        <v>1516</v>
      </c>
      <c r="AA510" s="5" t="str">
        <f>VLOOKUP(A510,'Form Responses 1'!$C$2:$K$532,6,FALSE)</f>
        <v>Kit delivery and pickup</v>
      </c>
      <c r="AB510" s="5">
        <f>VLOOKUP(A510,'Form Responses 1'!$C$2:$K$219,7,FALSE)</f>
        <v>0</v>
      </c>
      <c r="AC510" s="6">
        <f>VLOOKUP(A510,'Form Responses 1'!$C$2:$K$219,8,FALSE)</f>
        <v>0</v>
      </c>
      <c r="AD510" s="6">
        <f>VLOOKUP(A510,'Form Responses 1'!$C$2:$K$219,9,FALSE)</f>
        <v>0</v>
      </c>
    </row>
    <row r="511" spans="1:30" ht="19.5" customHeight="1">
      <c r="A511" s="135" t="s">
        <v>1211</v>
      </c>
      <c r="B511" s="135"/>
      <c r="C511" s="135">
        <v>46236</v>
      </c>
      <c r="D511" s="135" t="s">
        <v>1289</v>
      </c>
      <c r="E511" s="135" t="s">
        <v>1290</v>
      </c>
      <c r="F511" s="135"/>
      <c r="G511" s="135">
        <v>180</v>
      </c>
      <c r="H511" s="135" t="s">
        <v>1282</v>
      </c>
      <c r="I511" s="135" t="str">
        <f>VLOOKUP(H511,list!$B$2:$C$14,2,FALSE)</f>
        <v>KITS</v>
      </c>
      <c r="J511" s="135"/>
      <c r="K511" s="135">
        <v>0</v>
      </c>
      <c r="L511" s="135">
        <v>0</v>
      </c>
      <c r="M511" s="135">
        <v>0</v>
      </c>
      <c r="N511" s="135">
        <v>0</v>
      </c>
      <c r="O511" s="135">
        <v>0</v>
      </c>
      <c r="P511" s="135"/>
      <c r="Q511" s="135">
        <v>0</v>
      </c>
      <c r="R511" s="135"/>
      <c r="S511" s="135"/>
      <c r="T511" s="135" t="s">
        <v>19</v>
      </c>
      <c r="U511" s="135" t="s">
        <v>3235</v>
      </c>
      <c r="V511" s="135" t="s">
        <v>1255</v>
      </c>
      <c r="W511" s="135">
        <v>3</v>
      </c>
      <c r="X511" s="135" t="s">
        <v>3236</v>
      </c>
      <c r="Y511" s="135" t="s">
        <v>3237</v>
      </c>
      <c r="Z511" s="135" t="s">
        <v>3238</v>
      </c>
      <c r="AA511" s="5" t="str">
        <f>VLOOKUP(A511,'Form Responses 1'!$C$2:$K$532,6,FALSE)</f>
        <v>Onsite sample collection by ISDH team</v>
      </c>
      <c r="AB511" s="5" t="e">
        <f>VLOOKUP(A511,'Form Responses 1'!$C$2:$K$219,7,FALSE)</f>
        <v>#N/A</v>
      </c>
      <c r="AC511" s="6" t="e">
        <f>VLOOKUP(A511,'Form Responses 1'!$C$2:$K$219,8,FALSE)</f>
        <v>#N/A</v>
      </c>
      <c r="AD511" s="6" t="e">
        <f>VLOOKUP(A511,'Form Responses 1'!$C$2:$K$219,9,FALSE)</f>
        <v>#N/A</v>
      </c>
    </row>
    <row r="512" spans="1:30" ht="19.5" customHeight="1">
      <c r="A512" s="135" t="s">
        <v>3239</v>
      </c>
      <c r="B512" s="135" t="s">
        <v>1300</v>
      </c>
      <c r="C512" s="135">
        <v>46222</v>
      </c>
      <c r="D512" s="135" t="s">
        <v>1289</v>
      </c>
      <c r="E512" s="135" t="s">
        <v>1290</v>
      </c>
      <c r="F512" s="135"/>
      <c r="G512" s="135"/>
      <c r="H512" s="135"/>
      <c r="I512" s="135"/>
      <c r="J512" s="135"/>
      <c r="K512" s="135"/>
      <c r="L512" s="135"/>
      <c r="M512" s="135"/>
      <c r="N512" s="135"/>
      <c r="O512" s="135"/>
      <c r="P512" s="135"/>
      <c r="Q512" s="135"/>
      <c r="R512" s="135"/>
      <c r="S512" s="135"/>
      <c r="T512" s="135"/>
      <c r="U512" s="135"/>
      <c r="V512" s="135"/>
      <c r="W512" s="135"/>
      <c r="X512" s="135">
        <v>3176348330</v>
      </c>
      <c r="Y512" s="135" t="s">
        <v>3240</v>
      </c>
      <c r="Z512" s="135"/>
      <c r="AA512" s="5" t="s">
        <v>18</v>
      </c>
      <c r="AB512" s="5" t="s">
        <v>30</v>
      </c>
      <c r="AC512" s="6" t="e">
        <f>VLOOKUP(A512,'Form Responses 1'!$C$2:$K$219,8,FALSE)</f>
        <v>#N/A</v>
      </c>
      <c r="AD512" s="6" t="e">
        <f>VLOOKUP(A512,'Form Responses 1'!$C$2:$K$219,9,FALSE)</f>
        <v>#N/A</v>
      </c>
    </row>
    <row r="513" spans="1:30" ht="19.5" customHeight="1">
      <c r="A513" s="135" t="s">
        <v>939</v>
      </c>
      <c r="B513" s="135"/>
      <c r="C513" s="135">
        <v>47802</v>
      </c>
      <c r="D513" s="135" t="s">
        <v>1684</v>
      </c>
      <c r="E513" s="135" t="s">
        <v>1685</v>
      </c>
      <c r="F513" s="135"/>
      <c r="G513" s="135">
        <v>57</v>
      </c>
      <c r="H513" s="135" t="s">
        <v>1282</v>
      </c>
      <c r="I513" s="135" t="str">
        <f>VLOOKUP(H513,list!$B$2:$C$14,2,FALSE)</f>
        <v>KITS</v>
      </c>
      <c r="J513" s="135"/>
      <c r="K513" s="135">
        <v>0</v>
      </c>
      <c r="L513" s="135">
        <v>0</v>
      </c>
      <c r="M513" s="135">
        <v>0</v>
      </c>
      <c r="N513" s="135">
        <v>0</v>
      </c>
      <c r="O513" s="135">
        <v>0</v>
      </c>
      <c r="P513" s="135"/>
      <c r="Q513" s="135">
        <v>0</v>
      </c>
      <c r="R513" s="135"/>
      <c r="S513" s="135"/>
      <c r="T513" s="135" t="s">
        <v>19</v>
      </c>
      <c r="U513" s="135" t="s">
        <v>1543</v>
      </c>
      <c r="V513" s="135" t="s">
        <v>1255</v>
      </c>
      <c r="W513" s="135">
        <v>3</v>
      </c>
      <c r="X513" s="135" t="s">
        <v>3241</v>
      </c>
      <c r="Y513" s="135" t="s">
        <v>3242</v>
      </c>
      <c r="Z513" s="135" t="s">
        <v>1688</v>
      </c>
      <c r="AA513" s="5" t="str">
        <f>VLOOKUP(A513,'Form Responses 1'!$C$2:$K$532,6,FALSE)</f>
        <v>Kit delivery and pickup</v>
      </c>
      <c r="AB513" s="5" t="str">
        <f>VLOOKUP(A513,'Form Responses 1'!$C$2:$K$219,7,FALSE)</f>
        <v>No</v>
      </c>
      <c r="AC513" s="6">
        <f>VLOOKUP(A513,'Form Responses 1'!$C$2:$K$219,8,FALSE)</f>
        <v>75</v>
      </c>
      <c r="AD513" s="6">
        <f>VLOOKUP(A513,'Form Responses 1'!$C$2:$K$219,9,FALSE)</f>
        <v>0</v>
      </c>
    </row>
    <row r="514" spans="1:30" ht="19.5" customHeight="1">
      <c r="A514" s="135" t="s">
        <v>1050</v>
      </c>
      <c r="B514" s="135" t="s">
        <v>2027</v>
      </c>
      <c r="C514" s="135">
        <v>46234</v>
      </c>
      <c r="D514" s="135" t="s">
        <v>1289</v>
      </c>
      <c r="E514" s="135" t="s">
        <v>1290</v>
      </c>
      <c r="F514" s="135"/>
      <c r="G514" s="135">
        <v>90</v>
      </c>
      <c r="H514" s="135" t="s">
        <v>1268</v>
      </c>
      <c r="I514" s="135" t="str">
        <f>VLOOKUP(H514,list!$B$2:$C$14,2,FALSE)</f>
        <v>KITS</v>
      </c>
      <c r="J514" s="135"/>
      <c r="K514" s="135">
        <v>0</v>
      </c>
      <c r="L514" s="135">
        <v>0</v>
      </c>
      <c r="M514" s="135">
        <v>0</v>
      </c>
      <c r="N514" s="135">
        <v>0</v>
      </c>
      <c r="O514" s="135">
        <v>0</v>
      </c>
      <c r="P514" s="135"/>
      <c r="Q514" s="135">
        <v>0</v>
      </c>
      <c r="R514" s="135"/>
      <c r="S514" s="135"/>
      <c r="T514" s="135" t="s">
        <v>30</v>
      </c>
      <c r="U514" s="135" t="s">
        <v>3243</v>
      </c>
      <c r="V514" s="135" t="s">
        <v>1255</v>
      </c>
      <c r="W514" s="135">
        <v>5</v>
      </c>
      <c r="X514" s="135" t="s">
        <v>3244</v>
      </c>
      <c r="Y514" s="135" t="s">
        <v>3245</v>
      </c>
      <c r="Z514" s="135" t="s">
        <v>3191</v>
      </c>
      <c r="AA514" s="5" t="str">
        <f>VLOOKUP(A514,'Form Responses 1'!$C$2:$K$532,6,FALSE)</f>
        <v>Kit delivery and pickup</v>
      </c>
      <c r="AB514" s="5" t="e">
        <f>VLOOKUP(A514,'Form Responses 1'!$C$2:$K$219,7,FALSE)</f>
        <v>#N/A</v>
      </c>
      <c r="AC514" s="6" t="e">
        <f>VLOOKUP(A514,'Form Responses 1'!$C$2:$K$219,8,FALSE)</f>
        <v>#N/A</v>
      </c>
      <c r="AD514" s="6" t="e">
        <f>VLOOKUP(A514,'Form Responses 1'!$C$2:$K$219,9,FALSE)</f>
        <v>#N/A</v>
      </c>
    </row>
    <row r="515" spans="1:30" ht="19.5" customHeight="1">
      <c r="A515" s="135" t="s">
        <v>3246</v>
      </c>
      <c r="B515" s="135" t="s">
        <v>343</v>
      </c>
      <c r="C515" s="135">
        <v>47421</v>
      </c>
      <c r="D515" s="135" t="s">
        <v>1710</v>
      </c>
      <c r="E515" s="135" t="s">
        <v>1711</v>
      </c>
      <c r="F515" s="135"/>
      <c r="G515" s="135">
        <v>96</v>
      </c>
      <c r="H515" s="135" t="s">
        <v>1282</v>
      </c>
      <c r="I515" s="135" t="str">
        <f>VLOOKUP(H515,list!$B$2:$C$14,2,FALSE)</f>
        <v>KITS</v>
      </c>
      <c r="J515" s="135"/>
      <c r="K515" s="135">
        <v>0</v>
      </c>
      <c r="L515" s="135">
        <v>0</v>
      </c>
      <c r="M515" s="135">
        <v>0</v>
      </c>
      <c r="N515" s="135">
        <v>0</v>
      </c>
      <c r="O515" s="135">
        <v>0</v>
      </c>
      <c r="P515" s="135"/>
      <c r="Q515" s="135">
        <v>0</v>
      </c>
      <c r="R515" s="135"/>
      <c r="S515" s="135"/>
      <c r="T515" s="135" t="s">
        <v>19</v>
      </c>
      <c r="U515" s="135"/>
      <c r="V515" s="135" t="s">
        <v>1255</v>
      </c>
      <c r="W515" s="135">
        <v>3</v>
      </c>
      <c r="X515" s="135" t="s">
        <v>3247</v>
      </c>
      <c r="Y515" s="135" t="s">
        <v>3248</v>
      </c>
      <c r="Z515" s="135" t="s">
        <v>1871</v>
      </c>
      <c r="AA515" s="5" t="s">
        <v>18</v>
      </c>
      <c r="AB515" s="5" t="s">
        <v>1298</v>
      </c>
      <c r="AC515" s="6">
        <f t="shared" ref="AC515:AC516" si="40">G515</f>
        <v>96</v>
      </c>
      <c r="AD515" s="6"/>
    </row>
    <row r="516" spans="1:30" ht="19.5" customHeight="1">
      <c r="A516" s="135" t="s">
        <v>3249</v>
      </c>
      <c r="B516" s="321" t="s">
        <v>1312</v>
      </c>
      <c r="C516" s="135">
        <v>47960</v>
      </c>
      <c r="D516" s="135" t="s">
        <v>2567</v>
      </c>
      <c r="E516" s="135" t="s">
        <v>2568</v>
      </c>
      <c r="F516" s="135" t="s">
        <v>30</v>
      </c>
      <c r="G516" s="135">
        <v>137</v>
      </c>
      <c r="H516" s="135" t="s">
        <v>1276</v>
      </c>
      <c r="I516" s="135" t="str">
        <f>VLOOKUP(H516,list!$B$2:$C$14,2,FALSE)</f>
        <v>GREEN</v>
      </c>
      <c r="J516" s="135"/>
      <c r="K516" s="135">
        <v>0</v>
      </c>
      <c r="L516" s="135">
        <v>0</v>
      </c>
      <c r="M516" s="135">
        <v>0</v>
      </c>
      <c r="N516" s="135">
        <v>0</v>
      </c>
      <c r="O516" s="135">
        <v>0</v>
      </c>
      <c r="P516" s="135"/>
      <c r="Q516" s="135">
        <v>0</v>
      </c>
      <c r="R516" s="135"/>
      <c r="S516" s="135"/>
      <c r="T516" s="135" t="s">
        <v>19</v>
      </c>
      <c r="U516" s="135" t="s">
        <v>1315</v>
      </c>
      <c r="V516" s="135" t="s">
        <v>1255</v>
      </c>
      <c r="W516" s="135">
        <v>2</v>
      </c>
      <c r="X516" s="135" t="s">
        <v>3250</v>
      </c>
      <c r="Y516" s="135" t="s">
        <v>3251</v>
      </c>
      <c r="Z516" s="135" t="s">
        <v>2571</v>
      </c>
      <c r="AA516" s="5" t="s">
        <v>18</v>
      </c>
      <c r="AB516" s="5" t="s">
        <v>1298</v>
      </c>
      <c r="AC516" s="6">
        <f t="shared" si="40"/>
        <v>137</v>
      </c>
      <c r="AD516" s="6"/>
    </row>
    <row r="517" spans="1:30" ht="19.5" customHeight="1">
      <c r="A517" s="135" t="s">
        <v>943</v>
      </c>
      <c r="B517" s="135"/>
      <c r="C517" s="135">
        <v>47421</v>
      </c>
      <c r="D517" s="135" t="s">
        <v>1710</v>
      </c>
      <c r="E517" s="135" t="s">
        <v>1711</v>
      </c>
      <c r="F517" s="135"/>
      <c r="G517" s="135">
        <v>56</v>
      </c>
      <c r="H517" s="135" t="s">
        <v>1282</v>
      </c>
      <c r="I517" s="135" t="str">
        <f>VLOOKUP(H517,list!$B$2:$C$14,2,FALSE)</f>
        <v>KITS</v>
      </c>
      <c r="J517" s="135"/>
      <c r="K517" s="135">
        <v>0</v>
      </c>
      <c r="L517" s="135">
        <v>0</v>
      </c>
      <c r="M517" s="135">
        <v>0</v>
      </c>
      <c r="N517" s="135">
        <v>0</v>
      </c>
      <c r="O517" s="135">
        <v>0</v>
      </c>
      <c r="P517" s="135"/>
      <c r="Q517" s="135">
        <v>0</v>
      </c>
      <c r="R517" s="135"/>
      <c r="S517" s="135"/>
      <c r="T517" s="135" t="s">
        <v>19</v>
      </c>
      <c r="U517" s="135"/>
      <c r="V517" s="135" t="s">
        <v>1255</v>
      </c>
      <c r="W517" s="135">
        <v>3</v>
      </c>
      <c r="X517" s="135" t="s">
        <v>3252</v>
      </c>
      <c r="Y517" s="135" t="s">
        <v>3253</v>
      </c>
      <c r="Z517" s="135" t="s">
        <v>1871</v>
      </c>
      <c r="AA517" s="5" t="str">
        <f>VLOOKUP(A517,'Form Responses 1'!$C$2:$K$532,6,FALSE)</f>
        <v>Kit delivery and pickup</v>
      </c>
      <c r="AB517" s="5" t="str">
        <f>VLOOKUP(A517,'Form Responses 1'!$C$2:$K$219,7,FALSE)</f>
        <v>No</v>
      </c>
      <c r="AC517" s="6">
        <f>VLOOKUP(A517,'Form Responses 1'!$C$2:$K$219,8,FALSE)</f>
        <v>60</v>
      </c>
      <c r="AD517" s="6" t="str">
        <f>VLOOKUP(A517,'Form Responses 1'!$C$2:$K$219,9,FALSE)</f>
        <v>Will they need to set these up in Limsnet?</v>
      </c>
    </row>
    <row r="518" spans="1:30" ht="19.5" customHeight="1">
      <c r="A518" s="135" t="s">
        <v>992</v>
      </c>
      <c r="B518" s="135"/>
      <c r="C518" s="135">
        <v>47353</v>
      </c>
      <c r="D518" s="135" t="s">
        <v>3254</v>
      </c>
      <c r="E518" s="135" t="s">
        <v>3255</v>
      </c>
      <c r="F518" s="135" t="s">
        <v>30</v>
      </c>
      <c r="G518" s="135">
        <v>60</v>
      </c>
      <c r="H518" s="135" t="s">
        <v>1282</v>
      </c>
      <c r="I518" s="135" t="str">
        <f>VLOOKUP(H518,list!$B$2:$C$14,2,FALSE)</f>
        <v>KITS</v>
      </c>
      <c r="J518" s="135"/>
      <c r="K518" s="135">
        <v>0</v>
      </c>
      <c r="L518" s="135">
        <v>0</v>
      </c>
      <c r="M518" s="135">
        <v>0</v>
      </c>
      <c r="N518" s="135">
        <v>0</v>
      </c>
      <c r="O518" s="135">
        <v>0</v>
      </c>
      <c r="P518" s="135"/>
      <c r="Q518" s="135">
        <v>0</v>
      </c>
      <c r="R518" s="135"/>
      <c r="S518" s="135"/>
      <c r="T518" s="135" t="s">
        <v>19</v>
      </c>
      <c r="U518" s="135"/>
      <c r="V518" s="135" t="s">
        <v>1255</v>
      </c>
      <c r="W518" s="135">
        <v>3</v>
      </c>
      <c r="X518" s="135" t="s">
        <v>3256</v>
      </c>
      <c r="Y518" s="135" t="s">
        <v>3257</v>
      </c>
      <c r="Z518" s="135" t="s">
        <v>3258</v>
      </c>
      <c r="AA518" s="5" t="str">
        <f>VLOOKUP(A518,'Form Responses 1'!$C$2:$K$532,6,FALSE)</f>
        <v>Kit delivery and pickup</v>
      </c>
      <c r="AB518" s="5" t="e">
        <f>VLOOKUP(A518,'Form Responses 1'!$C$2:$K$219,7,FALSE)</f>
        <v>#N/A</v>
      </c>
      <c r="AC518" s="6" t="e">
        <f>VLOOKUP(A518,'Form Responses 1'!$C$2:$K$219,8,FALSE)</f>
        <v>#N/A</v>
      </c>
      <c r="AD518" s="6" t="e">
        <f>VLOOKUP(A518,'Form Responses 1'!$C$2:$K$219,9,FALSE)</f>
        <v>#N/A</v>
      </c>
    </row>
    <row r="519" spans="1:30" ht="19.5" customHeight="1">
      <c r="A519" s="135" t="s">
        <v>3259</v>
      </c>
      <c r="B519" s="135" t="s">
        <v>1288</v>
      </c>
      <c r="C519" s="135">
        <v>46219</v>
      </c>
      <c r="D519" s="135" t="s">
        <v>1289</v>
      </c>
      <c r="E519" s="135" t="s">
        <v>1290</v>
      </c>
      <c r="F519" s="135"/>
      <c r="G519" s="135">
        <v>120</v>
      </c>
      <c r="H519" s="135" t="s">
        <v>1282</v>
      </c>
      <c r="I519" s="135" t="str">
        <f>VLOOKUP(H519,list!$B$2:$C$14,2,FALSE)</f>
        <v>KITS</v>
      </c>
      <c r="J519" s="135"/>
      <c r="K519" s="135">
        <v>0</v>
      </c>
      <c r="L519" s="135">
        <v>0</v>
      </c>
      <c r="M519" s="135">
        <v>0</v>
      </c>
      <c r="N519" s="135">
        <v>0</v>
      </c>
      <c r="O519" s="135">
        <v>0</v>
      </c>
      <c r="P519" s="135"/>
      <c r="Q519" s="135">
        <v>0</v>
      </c>
      <c r="R519" s="135"/>
      <c r="S519" s="135"/>
      <c r="T519" s="135" t="s">
        <v>30</v>
      </c>
      <c r="U519" s="135"/>
      <c r="V519" s="135" t="s">
        <v>1255</v>
      </c>
      <c r="W519" s="135">
        <v>3</v>
      </c>
      <c r="X519" s="135" t="s">
        <v>3260</v>
      </c>
      <c r="Y519" s="135" t="s">
        <v>3261</v>
      </c>
      <c r="Z519" s="135" t="s">
        <v>1932</v>
      </c>
      <c r="AA519" s="5" t="s">
        <v>91</v>
      </c>
      <c r="AB519" s="5" t="s">
        <v>30</v>
      </c>
      <c r="AC519" s="6">
        <f t="shared" ref="AC519:AC520" si="41">G519</f>
        <v>120</v>
      </c>
      <c r="AD519" s="6"/>
    </row>
    <row r="520" spans="1:30" ht="19.5" customHeight="1">
      <c r="A520" s="135" t="s">
        <v>3262</v>
      </c>
      <c r="B520" s="135" t="s">
        <v>343</v>
      </c>
      <c r="C520" s="135">
        <v>47993</v>
      </c>
      <c r="D520" s="135" t="s">
        <v>3263</v>
      </c>
      <c r="E520" s="135" t="s">
        <v>2141</v>
      </c>
      <c r="F520" s="135"/>
      <c r="G520" s="135">
        <v>82</v>
      </c>
      <c r="H520" s="135" t="s">
        <v>1282</v>
      </c>
      <c r="I520" s="135" t="str">
        <f>VLOOKUP(H520,list!$B$2:$C$14,2,FALSE)</f>
        <v>KITS</v>
      </c>
      <c r="J520" s="135"/>
      <c r="K520" s="135">
        <v>0</v>
      </c>
      <c r="L520" s="135">
        <v>0</v>
      </c>
      <c r="M520" s="135">
        <v>0</v>
      </c>
      <c r="N520" s="135">
        <v>0</v>
      </c>
      <c r="O520" s="135">
        <v>0</v>
      </c>
      <c r="P520" s="135"/>
      <c r="Q520" s="135">
        <v>0</v>
      </c>
      <c r="R520" s="135"/>
      <c r="S520" s="135"/>
      <c r="T520" s="135" t="s">
        <v>19</v>
      </c>
      <c r="U520" s="135"/>
      <c r="V520" s="135" t="s">
        <v>1255</v>
      </c>
      <c r="W520" s="135">
        <v>3</v>
      </c>
      <c r="X520" s="135" t="s">
        <v>3264</v>
      </c>
      <c r="Y520" s="135" t="s">
        <v>3265</v>
      </c>
      <c r="Z520" s="135" t="s">
        <v>3266</v>
      </c>
      <c r="AA520" s="5" t="s">
        <v>18</v>
      </c>
      <c r="AB520" s="5" t="s">
        <v>1298</v>
      </c>
      <c r="AC520" s="6">
        <f t="shared" si="41"/>
        <v>82</v>
      </c>
      <c r="AD520" s="6"/>
    </row>
    <row r="521" spans="1:30" ht="19.5" customHeight="1">
      <c r="A521" s="135" t="s">
        <v>948</v>
      </c>
      <c r="B521" s="135"/>
      <c r="C521" s="135">
        <v>47203</v>
      </c>
      <c r="D521" s="135" t="s">
        <v>1698</v>
      </c>
      <c r="E521" s="135" t="s">
        <v>1699</v>
      </c>
      <c r="F521" s="135"/>
      <c r="G521" s="135">
        <v>78</v>
      </c>
      <c r="H521" s="135" t="s">
        <v>1282</v>
      </c>
      <c r="I521" s="135" t="str">
        <f>VLOOKUP(H521,list!$B$2:$C$14,2,FALSE)</f>
        <v>KITS</v>
      </c>
      <c r="J521" s="135"/>
      <c r="K521" s="135">
        <v>0</v>
      </c>
      <c r="L521" s="135">
        <v>0</v>
      </c>
      <c r="M521" s="135">
        <v>0</v>
      </c>
      <c r="N521" s="135">
        <v>0</v>
      </c>
      <c r="O521" s="135">
        <v>0</v>
      </c>
      <c r="P521" s="135"/>
      <c r="Q521" s="135">
        <v>0</v>
      </c>
      <c r="R521" s="135"/>
      <c r="S521" s="135"/>
      <c r="T521" s="135" t="s">
        <v>19</v>
      </c>
      <c r="U521" s="135" t="s">
        <v>3267</v>
      </c>
      <c r="V521" s="135" t="s">
        <v>1255</v>
      </c>
      <c r="W521" s="135">
        <v>3</v>
      </c>
      <c r="X521" s="135" t="s">
        <v>3268</v>
      </c>
      <c r="Y521" s="135" t="s">
        <v>3269</v>
      </c>
      <c r="Z521" s="135" t="s">
        <v>1854</v>
      </c>
      <c r="AA521" s="5" t="str">
        <f>VLOOKUP(A521,'Form Responses 1'!$C$2:$K$532,6,FALSE)</f>
        <v>Kit delivery and pickup</v>
      </c>
      <c r="AB521" s="5" t="str">
        <f>VLOOKUP(A521,'Form Responses 1'!$C$2:$K$219,7,FALSE)</f>
        <v>No</v>
      </c>
      <c r="AC521" s="6">
        <f>VLOOKUP(A521,'Form Responses 1'!$C$2:$K$219,8,FALSE)</f>
        <v>88</v>
      </c>
      <c r="AD521" s="6">
        <f>VLOOKUP(A521,'Form Responses 1'!$C$2:$K$219,9,FALSE)</f>
        <v>0</v>
      </c>
    </row>
    <row r="522" spans="1:30" ht="19.5" customHeight="1">
      <c r="A522" s="135" t="s">
        <v>1182</v>
      </c>
      <c r="B522" s="135" t="s">
        <v>1527</v>
      </c>
      <c r="C522" s="135">
        <v>47591</v>
      </c>
      <c r="D522" s="135" t="s">
        <v>1552</v>
      </c>
      <c r="E522" s="135" t="s">
        <v>1553</v>
      </c>
      <c r="F522" s="135"/>
      <c r="G522" s="135">
        <v>166</v>
      </c>
      <c r="H522" s="135" t="s">
        <v>1253</v>
      </c>
      <c r="I522" s="135" t="str">
        <f>VLOOKUP(H522,list!$B$2:$C$14,2,FALSE)</f>
        <v>KITS</v>
      </c>
      <c r="J522" s="135"/>
      <c r="K522" s="135">
        <v>0</v>
      </c>
      <c r="L522" s="135">
        <v>0</v>
      </c>
      <c r="M522" s="135">
        <v>0</v>
      </c>
      <c r="N522" s="135">
        <v>0</v>
      </c>
      <c r="O522" s="135">
        <v>0</v>
      </c>
      <c r="P522" s="135"/>
      <c r="Q522" s="135">
        <v>0</v>
      </c>
      <c r="R522" s="135"/>
      <c r="S522" s="135"/>
      <c r="T522" s="135" t="s">
        <v>19</v>
      </c>
      <c r="U522" s="135"/>
      <c r="V522" s="135" t="s">
        <v>1255</v>
      </c>
      <c r="W522" s="135">
        <v>6</v>
      </c>
      <c r="X522" s="135" t="s">
        <v>3270</v>
      </c>
      <c r="Y522" s="135" t="s">
        <v>3271</v>
      </c>
      <c r="Z522" s="135" t="s">
        <v>1556</v>
      </c>
      <c r="AA522" s="5" t="str">
        <f>VLOOKUP(A522,'Form Responses 1'!$C$2:$K$532,6,FALSE)</f>
        <v>Kit delivery and pickup</v>
      </c>
      <c r="AB522" s="5" t="e">
        <f>VLOOKUP(A522,'Form Responses 1'!$C$2:$K$219,7,FALSE)</f>
        <v>#N/A</v>
      </c>
      <c r="AC522" s="6" t="e">
        <f>VLOOKUP(A522,'Form Responses 1'!$C$2:$K$219,8,FALSE)</f>
        <v>#N/A</v>
      </c>
      <c r="AD522" s="6" t="e">
        <f>VLOOKUP(A522,'Form Responses 1'!$C$2:$K$219,9,FALSE)</f>
        <v>#N/A</v>
      </c>
    </row>
    <row r="523" spans="1:30" ht="19.5" customHeight="1">
      <c r="A523" s="135" t="s">
        <v>952</v>
      </c>
      <c r="B523" s="135"/>
      <c r="C523" s="135">
        <v>47302</v>
      </c>
      <c r="D523" s="135" t="s">
        <v>1513</v>
      </c>
      <c r="E523" s="135" t="s">
        <v>1275</v>
      </c>
      <c r="F523" s="135"/>
      <c r="G523" s="135">
        <v>45</v>
      </c>
      <c r="H523" s="135" t="s">
        <v>1282</v>
      </c>
      <c r="I523" s="135" t="str">
        <f>VLOOKUP(H523,list!$B$2:$C$14,2,FALSE)</f>
        <v>KITS</v>
      </c>
      <c r="J523" s="135"/>
      <c r="K523" s="135">
        <v>0</v>
      </c>
      <c r="L523" s="135">
        <v>0</v>
      </c>
      <c r="M523" s="135">
        <v>0</v>
      </c>
      <c r="N523" s="135">
        <v>0</v>
      </c>
      <c r="O523" s="135">
        <v>0</v>
      </c>
      <c r="P523" s="135"/>
      <c r="Q523" s="135">
        <v>0</v>
      </c>
      <c r="R523" s="135"/>
      <c r="S523" s="135"/>
      <c r="T523" s="135" t="s">
        <v>30</v>
      </c>
      <c r="U523" s="135" t="s">
        <v>3272</v>
      </c>
      <c r="V523" s="135" t="s">
        <v>1255</v>
      </c>
      <c r="W523" s="135">
        <v>3</v>
      </c>
      <c r="X523" s="135" t="s">
        <v>3273</v>
      </c>
      <c r="Y523" s="135" t="s">
        <v>3274</v>
      </c>
      <c r="Z523" s="135" t="s">
        <v>3275</v>
      </c>
      <c r="AA523" s="5" t="str">
        <f>VLOOKUP(A523,'Form Responses 1'!$C$2:$K$532,6,FALSE)</f>
        <v>Kit delivery and pickup</v>
      </c>
      <c r="AB523" s="5">
        <f>VLOOKUP(A523,'Form Responses 1'!$C$2:$K$219,7,FALSE)</f>
        <v>0</v>
      </c>
      <c r="AC523" s="6">
        <f>VLOOKUP(A523,'Form Responses 1'!$C$2:$K$219,8,FALSE)</f>
        <v>0</v>
      </c>
      <c r="AD523" s="6">
        <f>VLOOKUP(A523,'Form Responses 1'!$C$2:$K$219,9,FALSE)</f>
        <v>0</v>
      </c>
    </row>
    <row r="524" spans="1:30" ht="19.5" customHeight="1">
      <c r="A524" s="135" t="s">
        <v>3276</v>
      </c>
      <c r="B524" s="135" t="s">
        <v>343</v>
      </c>
      <c r="C524" s="135">
        <v>47523</v>
      </c>
      <c r="D524" s="135" t="s">
        <v>1713</v>
      </c>
      <c r="E524" s="135" t="s">
        <v>1371</v>
      </c>
      <c r="F524" s="135" t="s">
        <v>30</v>
      </c>
      <c r="G524" s="135">
        <v>52</v>
      </c>
      <c r="H524" s="135" t="s">
        <v>1282</v>
      </c>
      <c r="I524" s="135" t="str">
        <f>VLOOKUP(H524,list!$B$2:$C$14,2,FALSE)</f>
        <v>KITS</v>
      </c>
      <c r="J524" s="135"/>
      <c r="K524" s="135">
        <v>0</v>
      </c>
      <c r="L524" s="135">
        <v>0</v>
      </c>
      <c r="M524" s="135">
        <v>0</v>
      </c>
      <c r="N524" s="135">
        <v>0</v>
      </c>
      <c r="O524" s="135">
        <v>0</v>
      </c>
      <c r="P524" s="135"/>
      <c r="Q524" s="135">
        <v>0</v>
      </c>
      <c r="R524" s="135"/>
      <c r="S524" s="135"/>
      <c r="T524" s="135" t="s">
        <v>19</v>
      </c>
      <c r="U524" s="135" t="s">
        <v>2080</v>
      </c>
      <c r="V524" s="135" t="s">
        <v>1255</v>
      </c>
      <c r="W524" s="135">
        <v>3</v>
      </c>
      <c r="X524" s="135" t="s">
        <v>3277</v>
      </c>
      <c r="Y524" s="135" t="s">
        <v>3278</v>
      </c>
      <c r="Z524" s="135" t="s">
        <v>1716</v>
      </c>
      <c r="AA524" s="5" t="s">
        <v>18</v>
      </c>
      <c r="AB524" s="5" t="s">
        <v>1298</v>
      </c>
      <c r="AC524" s="6">
        <f>G524</f>
        <v>52</v>
      </c>
      <c r="AD524" s="6"/>
    </row>
    <row r="525" spans="1:30" ht="19.5" customHeight="1">
      <c r="A525" s="135" t="s">
        <v>956</v>
      </c>
      <c r="B525" s="135" t="s">
        <v>1527</v>
      </c>
      <c r="C525" s="135">
        <v>46534</v>
      </c>
      <c r="D525" s="135" t="s">
        <v>1553</v>
      </c>
      <c r="E525" s="135" t="s">
        <v>1950</v>
      </c>
      <c r="F525" s="135"/>
      <c r="G525" s="135">
        <v>55</v>
      </c>
      <c r="H525" s="135" t="s">
        <v>1253</v>
      </c>
      <c r="I525" s="135" t="str">
        <f>VLOOKUP(H525,list!$B$2:$C$14,2,FALSE)</f>
        <v>KITS</v>
      </c>
      <c r="J525" s="135"/>
      <c r="K525" s="135">
        <v>0</v>
      </c>
      <c r="L525" s="135">
        <v>0</v>
      </c>
      <c r="M525" s="135">
        <v>0</v>
      </c>
      <c r="N525" s="135">
        <v>0</v>
      </c>
      <c r="O525" s="135">
        <v>0</v>
      </c>
      <c r="P525" s="135"/>
      <c r="Q525" s="135">
        <v>0</v>
      </c>
      <c r="R525" s="135"/>
      <c r="S525" s="135"/>
      <c r="T525" s="135" t="s">
        <v>19</v>
      </c>
      <c r="U525" s="135"/>
      <c r="V525" s="135" t="s">
        <v>1255</v>
      </c>
      <c r="W525" s="135">
        <v>6</v>
      </c>
      <c r="X525" s="135" t="s">
        <v>3279</v>
      </c>
      <c r="Y525" s="135" t="s">
        <v>3280</v>
      </c>
      <c r="Z525" s="135" t="s">
        <v>1953</v>
      </c>
      <c r="AA525" s="5" t="str">
        <f>VLOOKUP(A525,'Form Responses 1'!$C$2:$K$532,6,FALSE)</f>
        <v>Kit delivery and pickup</v>
      </c>
      <c r="AB525" s="5" t="str">
        <f>VLOOKUP(A525,'Form Responses 1'!$C$2:$K$219,7,FALSE)</f>
        <v>No</v>
      </c>
      <c r="AC525" s="6">
        <f>VLOOKUP(A525,'Form Responses 1'!$C$2:$K$219,8,FALSE)</f>
        <v>65</v>
      </c>
      <c r="AD525" s="6" t="str">
        <f>VLOOKUP(A525,'Form Responses 1'!$C$2:$K$219,9,FALSE)</f>
        <v>Spoke with B.O.M who stated admin already left but told her to anticipate call and they want test dropped off and picked up</v>
      </c>
    </row>
    <row r="526" spans="1:30" ht="19.5" customHeight="1">
      <c r="A526" s="135" t="s">
        <v>1029</v>
      </c>
      <c r="B526" s="135"/>
      <c r="C526" s="135">
        <v>46052</v>
      </c>
      <c r="D526" s="135" t="s">
        <v>1817</v>
      </c>
      <c r="E526" s="135" t="s">
        <v>1818</v>
      </c>
      <c r="F526" s="135"/>
      <c r="G526" s="135">
        <v>70</v>
      </c>
      <c r="H526" s="135" t="s">
        <v>1276</v>
      </c>
      <c r="I526" s="135" t="str">
        <f>VLOOKUP(H526,list!$B$2:$C$14,2,FALSE)</f>
        <v>GREEN</v>
      </c>
      <c r="J526" s="135"/>
      <c r="K526" s="135">
        <v>0</v>
      </c>
      <c r="L526" s="135">
        <v>0</v>
      </c>
      <c r="M526" s="135">
        <v>0</v>
      </c>
      <c r="N526" s="135">
        <v>0</v>
      </c>
      <c r="O526" s="135">
        <v>0</v>
      </c>
      <c r="P526" s="135"/>
      <c r="Q526" s="135">
        <v>0</v>
      </c>
      <c r="R526" s="135"/>
      <c r="S526" s="135"/>
      <c r="T526" s="135" t="s">
        <v>19</v>
      </c>
      <c r="U526" s="135"/>
      <c r="V526" s="135" t="s">
        <v>1255</v>
      </c>
      <c r="W526" s="135">
        <v>2</v>
      </c>
      <c r="X526" s="135" t="s">
        <v>3281</v>
      </c>
      <c r="Y526" s="135" t="s">
        <v>3282</v>
      </c>
      <c r="Z526" s="135" t="s">
        <v>1821</v>
      </c>
      <c r="AA526" s="5" t="str">
        <f>VLOOKUP(A526,'Form Responses 1'!$C$2:$K$532,6,FALSE)</f>
        <v>Onsite sample collection by ISDH team</v>
      </c>
      <c r="AB526" s="5" t="e">
        <f>VLOOKUP(A526,'Form Responses 1'!$C$2:$K$219,7,FALSE)</f>
        <v>#N/A</v>
      </c>
      <c r="AC526" s="6" t="e">
        <f>VLOOKUP(A526,'Form Responses 1'!$C$2:$K$219,8,FALSE)</f>
        <v>#N/A</v>
      </c>
      <c r="AD526" s="6" t="e">
        <f>VLOOKUP(A526,'Form Responses 1'!$C$2:$K$219,9,FALSE)</f>
        <v>#N/A</v>
      </c>
    </row>
    <row r="527" spans="1:30" ht="19.5" customHeight="1">
      <c r="A527" s="135" t="s">
        <v>3283</v>
      </c>
      <c r="B527" s="321" t="s">
        <v>1312</v>
      </c>
      <c r="C527" s="135">
        <v>46947</v>
      </c>
      <c r="D527" s="135" t="s">
        <v>1600</v>
      </c>
      <c r="E527" s="135" t="s">
        <v>1601</v>
      </c>
      <c r="F527" s="135"/>
      <c r="G527" s="135">
        <v>106</v>
      </c>
      <c r="H527" s="135" t="s">
        <v>1276</v>
      </c>
      <c r="I527" s="135" t="str">
        <f>VLOOKUP(H527,list!$B$2:$C$14,2,FALSE)</f>
        <v>GREEN</v>
      </c>
      <c r="J527" s="135"/>
      <c r="K527" s="135">
        <v>0</v>
      </c>
      <c r="L527" s="135">
        <v>0</v>
      </c>
      <c r="M527" s="135">
        <v>0</v>
      </c>
      <c r="N527" s="135">
        <v>0</v>
      </c>
      <c r="O527" s="135">
        <v>0</v>
      </c>
      <c r="P527" s="135"/>
      <c r="Q527" s="135">
        <v>0</v>
      </c>
      <c r="R527" s="135"/>
      <c r="S527" s="135"/>
      <c r="T527" s="135" t="s">
        <v>19</v>
      </c>
      <c r="U527" s="135" t="s">
        <v>1315</v>
      </c>
      <c r="V527" s="135" t="s">
        <v>1255</v>
      </c>
      <c r="W527" s="135">
        <v>2</v>
      </c>
      <c r="X527" s="135" t="s">
        <v>3284</v>
      </c>
      <c r="Y527" s="135" t="s">
        <v>3285</v>
      </c>
      <c r="Z527" s="135" t="s">
        <v>1605</v>
      </c>
      <c r="AA527" s="5" t="s">
        <v>18</v>
      </c>
      <c r="AB527" s="5" t="s">
        <v>1298</v>
      </c>
      <c r="AC527" s="6">
        <f>G527</f>
        <v>106</v>
      </c>
      <c r="AD527" s="6"/>
    </row>
    <row r="528" spans="1:30" ht="19.5" customHeight="1">
      <c r="A528" s="135" t="s">
        <v>961</v>
      </c>
      <c r="B528" s="135"/>
      <c r="C528" s="135">
        <v>47025</v>
      </c>
      <c r="D528" s="135" t="s">
        <v>2781</v>
      </c>
      <c r="E528" s="135" t="s">
        <v>2782</v>
      </c>
      <c r="F528" s="135"/>
      <c r="G528" s="135">
        <v>50</v>
      </c>
      <c r="H528" s="135" t="s">
        <v>1282</v>
      </c>
      <c r="I528" s="135" t="str">
        <f>VLOOKUP(H528,list!$B$2:$C$14,2,FALSE)</f>
        <v>KITS</v>
      </c>
      <c r="J528" s="135"/>
      <c r="K528" s="135">
        <v>0</v>
      </c>
      <c r="L528" s="135">
        <v>0</v>
      </c>
      <c r="M528" s="135">
        <v>0</v>
      </c>
      <c r="N528" s="135">
        <v>0</v>
      </c>
      <c r="O528" s="135">
        <v>0</v>
      </c>
      <c r="P528" s="135"/>
      <c r="Q528" s="135">
        <v>0</v>
      </c>
      <c r="R528" s="135"/>
      <c r="S528" s="135"/>
      <c r="T528" s="135" t="s">
        <v>19</v>
      </c>
      <c r="U528" s="135" t="s">
        <v>3286</v>
      </c>
      <c r="V528" s="135" t="s">
        <v>1255</v>
      </c>
      <c r="W528" s="135">
        <v>3</v>
      </c>
      <c r="X528" s="135" t="s">
        <v>3287</v>
      </c>
      <c r="Y528" s="135" t="s">
        <v>3288</v>
      </c>
      <c r="Z528" s="135" t="s">
        <v>2785</v>
      </c>
      <c r="AA528" s="5" t="str">
        <f>VLOOKUP(A528,'Form Responses 1'!$C$2:$K$532,6,FALSE)</f>
        <v>Kit delivery and pickup</v>
      </c>
      <c r="AB528" s="5" t="str">
        <f>VLOOKUP(A528,'Form Responses 1'!$C$2:$K$219,7,FALSE)</f>
        <v>No</v>
      </c>
      <c r="AC528" s="6">
        <f>VLOOKUP(A528,'Form Responses 1'!$C$2:$K$219,8,FALSE)</f>
        <v>50</v>
      </c>
      <c r="AD528" s="6">
        <f>VLOOKUP(A528,'Form Responses 1'!$C$2:$K$219,9,FALSE)</f>
        <v>0</v>
      </c>
    </row>
    <row r="529" spans="1:30" ht="19.5" customHeight="1">
      <c r="A529" s="135" t="s">
        <v>965</v>
      </c>
      <c r="B529" s="135" t="s">
        <v>1624</v>
      </c>
      <c r="C529" s="135">
        <v>46514</v>
      </c>
      <c r="D529" s="135" t="s">
        <v>1723</v>
      </c>
      <c r="E529" s="135" t="s">
        <v>1723</v>
      </c>
      <c r="F529" s="135"/>
      <c r="G529" s="135">
        <v>72</v>
      </c>
      <c r="H529" s="135" t="s">
        <v>1282</v>
      </c>
      <c r="I529" s="135" t="str">
        <f>VLOOKUP(H529,list!$B$2:$C$14,2,FALSE)</f>
        <v>KITS</v>
      </c>
      <c r="J529" s="135"/>
      <c r="K529" s="135">
        <v>0</v>
      </c>
      <c r="L529" s="135">
        <v>0</v>
      </c>
      <c r="M529" s="135">
        <v>0</v>
      </c>
      <c r="N529" s="135">
        <v>0</v>
      </c>
      <c r="O529" s="135">
        <v>0</v>
      </c>
      <c r="P529" s="135"/>
      <c r="Q529" s="135">
        <v>0</v>
      </c>
      <c r="R529" s="135"/>
      <c r="S529" s="135"/>
      <c r="T529" s="135" t="s">
        <v>19</v>
      </c>
      <c r="U529" s="135" t="s">
        <v>1657</v>
      </c>
      <c r="V529" s="135" t="s">
        <v>1255</v>
      </c>
      <c r="W529" s="135">
        <v>3</v>
      </c>
      <c r="X529" s="135" t="s">
        <v>3289</v>
      </c>
      <c r="Y529" s="135" t="s">
        <v>3290</v>
      </c>
      <c r="Z529" s="135" t="s">
        <v>1793</v>
      </c>
      <c r="AA529" s="5" t="str">
        <f>VLOOKUP(A529,'Form Responses 1'!$C$2:$K$532,6,FALSE)</f>
        <v>Onsite sample collection by ISDH team</v>
      </c>
      <c r="AB529" s="5" t="e">
        <f>VLOOKUP(A529,'Form Responses 1'!$C$2:$K$219,7,FALSE)</f>
        <v>#N/A</v>
      </c>
      <c r="AC529" s="6" t="e">
        <f>VLOOKUP(A529,'Form Responses 1'!$C$2:$K$219,8,FALSE)</f>
        <v>#N/A</v>
      </c>
      <c r="AD529" s="6" t="e">
        <f>VLOOKUP(A529,'Form Responses 1'!$C$2:$K$219,9,FALSE)</f>
        <v>#N/A</v>
      </c>
    </row>
    <row r="530" spans="1:30" ht="19.5" customHeight="1">
      <c r="A530" s="135" t="s">
        <v>3291</v>
      </c>
      <c r="B530" s="135" t="s">
        <v>2027</v>
      </c>
      <c r="C530" s="135">
        <v>47304</v>
      </c>
      <c r="D530" s="135" t="s">
        <v>1513</v>
      </c>
      <c r="E530" s="135" t="s">
        <v>1275</v>
      </c>
      <c r="F530" s="135"/>
      <c r="G530" s="135">
        <v>108</v>
      </c>
      <c r="H530" s="135" t="s">
        <v>1253</v>
      </c>
      <c r="I530" s="135" t="str">
        <f>VLOOKUP(H530,list!$B$2:$C$14,2,FALSE)</f>
        <v>KITS</v>
      </c>
      <c r="J530" s="135"/>
      <c r="K530" s="135">
        <v>0</v>
      </c>
      <c r="L530" s="135">
        <v>0</v>
      </c>
      <c r="M530" s="135">
        <v>0</v>
      </c>
      <c r="N530" s="135">
        <v>0</v>
      </c>
      <c r="O530" s="135">
        <v>0</v>
      </c>
      <c r="P530" s="135"/>
      <c r="Q530" s="135">
        <v>0</v>
      </c>
      <c r="R530" s="135"/>
      <c r="S530" s="135"/>
      <c r="T530" s="135" t="s">
        <v>30</v>
      </c>
      <c r="U530" s="135"/>
      <c r="V530" s="135" t="s">
        <v>1255</v>
      </c>
      <c r="W530" s="135">
        <v>6</v>
      </c>
      <c r="X530" s="135" t="s">
        <v>3292</v>
      </c>
      <c r="Y530" s="135" t="s">
        <v>3293</v>
      </c>
      <c r="Z530" s="135" t="s">
        <v>1516</v>
      </c>
      <c r="AA530" s="5" t="e">
        <f>VLOOKUP(A530,'Form Responses 1'!$C$2:$K$532,6,FALSE)</f>
        <v>#N/A</v>
      </c>
      <c r="AB530" s="5" t="e">
        <f>VLOOKUP(A530,'Form Responses 1'!$C$2:$K$219,7,FALSE)</f>
        <v>#N/A</v>
      </c>
      <c r="AC530" s="6" t="e">
        <f>VLOOKUP(A530,'Form Responses 1'!$C$2:$K$219,8,FALSE)</f>
        <v>#N/A</v>
      </c>
      <c r="AD530" s="6" t="e">
        <f>VLOOKUP(A530,'Form Responses 1'!$C$2:$K$219,9,FALSE)</f>
        <v>#N/A</v>
      </c>
    </row>
    <row r="531" spans="1:30" ht="19.5" customHeight="1">
      <c r="A531" s="135" t="s">
        <v>3294</v>
      </c>
      <c r="B531" s="321" t="s">
        <v>1312</v>
      </c>
      <c r="C531" s="135">
        <v>47601</v>
      </c>
      <c r="D531" s="135" t="s">
        <v>3065</v>
      </c>
      <c r="E531" s="135" t="s">
        <v>1762</v>
      </c>
      <c r="F531" s="135" t="s">
        <v>30</v>
      </c>
      <c r="G531" s="135">
        <v>108</v>
      </c>
      <c r="H531" s="135" t="s">
        <v>1276</v>
      </c>
      <c r="I531" s="135" t="str">
        <f>VLOOKUP(H531,list!$B$2:$C$14,2,FALSE)</f>
        <v>GREEN</v>
      </c>
      <c r="J531" s="135"/>
      <c r="K531" s="135">
        <v>0</v>
      </c>
      <c r="L531" s="135">
        <v>0</v>
      </c>
      <c r="M531" s="135">
        <v>0</v>
      </c>
      <c r="N531" s="135">
        <v>0</v>
      </c>
      <c r="O531" s="135">
        <v>0</v>
      </c>
      <c r="P531" s="135"/>
      <c r="Q531" s="135">
        <v>0</v>
      </c>
      <c r="R531" s="135"/>
      <c r="S531" s="135"/>
      <c r="T531" s="135" t="s">
        <v>19</v>
      </c>
      <c r="U531" s="135" t="s">
        <v>1315</v>
      </c>
      <c r="V531" s="135" t="s">
        <v>1255</v>
      </c>
      <c r="W531" s="135">
        <v>2</v>
      </c>
      <c r="X531" s="135" t="s">
        <v>3295</v>
      </c>
      <c r="Y531" s="135" t="s">
        <v>3296</v>
      </c>
      <c r="Z531" s="135" t="s">
        <v>3069</v>
      </c>
      <c r="AA531" s="5" t="s">
        <v>18</v>
      </c>
      <c r="AB531" s="5" t="s">
        <v>1298</v>
      </c>
      <c r="AC531" s="6">
        <f>G531</f>
        <v>108</v>
      </c>
      <c r="AD531" s="6"/>
    </row>
    <row r="532" spans="1:30" ht="19.5" customHeight="1">
      <c r="A532" s="135" t="s">
        <v>3297</v>
      </c>
      <c r="B532" s="135" t="s">
        <v>1300</v>
      </c>
      <c r="C532" s="135">
        <v>46835</v>
      </c>
      <c r="D532" s="135" t="s">
        <v>1343</v>
      </c>
      <c r="E532" s="135" t="s">
        <v>1252</v>
      </c>
      <c r="F532" s="135"/>
      <c r="G532" s="135">
        <v>76</v>
      </c>
      <c r="H532" s="135" t="s">
        <v>1326</v>
      </c>
      <c r="I532" s="135" t="str">
        <f>VLOOKUP(H532,list!$B$2:$C$14,2,FALSE)</f>
        <v>ONSITE</v>
      </c>
      <c r="J532" s="135"/>
      <c r="K532" s="135">
        <v>0</v>
      </c>
      <c r="L532" s="135">
        <v>0</v>
      </c>
      <c r="M532" s="135">
        <v>0</v>
      </c>
      <c r="N532" s="135">
        <v>0</v>
      </c>
      <c r="O532" s="135">
        <v>0</v>
      </c>
      <c r="P532" s="135">
        <v>1</v>
      </c>
      <c r="Q532" s="135">
        <v>0</v>
      </c>
      <c r="R532" s="135"/>
      <c r="S532" s="135" t="s">
        <v>3298</v>
      </c>
      <c r="T532" s="135" t="s">
        <v>19</v>
      </c>
      <c r="U532" s="135" t="s">
        <v>3299</v>
      </c>
      <c r="V532" s="135" t="s">
        <v>1255</v>
      </c>
      <c r="W532" s="135">
        <v>1</v>
      </c>
      <c r="X532" s="135" t="s">
        <v>3300</v>
      </c>
      <c r="Y532" s="135" t="s">
        <v>3301</v>
      </c>
      <c r="Z532" s="135" t="s">
        <v>1895</v>
      </c>
      <c r="AA532" s="5" t="s">
        <v>18</v>
      </c>
      <c r="AB532" s="5" t="s">
        <v>30</v>
      </c>
      <c r="AC532" s="6" t="e">
        <f>VLOOKUP(A532,'Form Responses 1'!$C$2:$K$219,8,FALSE)</f>
        <v>#N/A</v>
      </c>
      <c r="AD532" s="6" t="e">
        <f>VLOOKUP(A532,'Form Responses 1'!$C$2:$K$219,9,FALSE)</f>
        <v>#N/A</v>
      </c>
    </row>
    <row r="533" spans="1:30" ht="19.5" customHeight="1">
      <c r="A533" s="135" t="s">
        <v>1202</v>
      </c>
      <c r="B533" s="135" t="s">
        <v>1624</v>
      </c>
      <c r="C533" s="135">
        <v>47396</v>
      </c>
      <c r="D533" s="135" t="s">
        <v>3302</v>
      </c>
      <c r="E533" s="135" t="s">
        <v>1275</v>
      </c>
      <c r="F533" s="135"/>
      <c r="G533" s="135">
        <v>88</v>
      </c>
      <c r="H533" s="135" t="s">
        <v>1465</v>
      </c>
      <c r="I533" s="135" t="str">
        <f>VLOOKUP(H533,list!$B$2:$C$14,2,FALSE)</f>
        <v>GREEN</v>
      </c>
      <c r="J533" s="135"/>
      <c r="K533" s="135">
        <v>0</v>
      </c>
      <c r="L533" s="135">
        <v>0</v>
      </c>
      <c r="M533" s="135">
        <v>0</v>
      </c>
      <c r="N533" s="135">
        <v>0</v>
      </c>
      <c r="O533" s="135">
        <v>0</v>
      </c>
      <c r="P533" s="135"/>
      <c r="Q533" s="135">
        <v>0</v>
      </c>
      <c r="R533" s="135"/>
      <c r="S533" s="135"/>
      <c r="T533" s="135" t="s">
        <v>30</v>
      </c>
      <c r="U533" s="135" t="s">
        <v>3303</v>
      </c>
      <c r="V533" s="135" t="s">
        <v>1255</v>
      </c>
      <c r="W533" s="135">
        <v>4</v>
      </c>
      <c r="X533" s="135" t="s">
        <v>3304</v>
      </c>
      <c r="Y533" s="135" t="s">
        <v>3305</v>
      </c>
      <c r="Z533" s="135" t="s">
        <v>3306</v>
      </c>
      <c r="AA533" s="5" t="str">
        <f>VLOOKUP(A533,'Form Responses 1'!$C$2:$K$532,6,FALSE)</f>
        <v>Prefer not to use ISDH resources for employee testing</v>
      </c>
      <c r="AB533" s="5" t="e">
        <f>VLOOKUP(A533,'Form Responses 1'!$C$2:$K$219,7,FALSE)</f>
        <v>#N/A</v>
      </c>
      <c r="AC533" s="6" t="e">
        <f>VLOOKUP(A533,'Form Responses 1'!$C$2:$K$219,8,FALSE)</f>
        <v>#N/A</v>
      </c>
      <c r="AD533" s="6" t="e">
        <f>VLOOKUP(A533,'Form Responses 1'!$C$2:$K$219,9,FALSE)</f>
        <v>#N/A</v>
      </c>
    </row>
    <row r="534" spans="1:30" ht="19.5" customHeight="1">
      <c r="A534" s="135" t="s">
        <v>3307</v>
      </c>
      <c r="B534" s="135" t="s">
        <v>343</v>
      </c>
      <c r="C534" s="135">
        <v>46077</v>
      </c>
      <c r="D534" s="135" t="s">
        <v>3308</v>
      </c>
      <c r="E534" s="135" t="s">
        <v>1818</v>
      </c>
      <c r="F534" s="135"/>
      <c r="G534" s="135">
        <v>110</v>
      </c>
      <c r="H534" s="135" t="s">
        <v>1282</v>
      </c>
      <c r="I534" s="135" t="str">
        <f>VLOOKUP(H534,list!$B$2:$C$14,2,FALSE)</f>
        <v>KITS</v>
      </c>
      <c r="J534" s="135"/>
      <c r="K534" s="135">
        <v>0</v>
      </c>
      <c r="L534" s="135">
        <v>0</v>
      </c>
      <c r="M534" s="135">
        <v>0</v>
      </c>
      <c r="N534" s="135">
        <v>0</v>
      </c>
      <c r="O534" s="135">
        <v>0</v>
      </c>
      <c r="P534" s="135"/>
      <c r="Q534" s="135">
        <v>0</v>
      </c>
      <c r="R534" s="135"/>
      <c r="S534" s="135"/>
      <c r="T534" s="135" t="s">
        <v>19</v>
      </c>
      <c r="U534" s="135"/>
      <c r="V534" s="135" t="s">
        <v>1255</v>
      </c>
      <c r="W534" s="135">
        <v>3</v>
      </c>
      <c r="X534" s="135" t="s">
        <v>3309</v>
      </c>
      <c r="Y534" s="135" t="s">
        <v>3310</v>
      </c>
      <c r="Z534" s="135" t="s">
        <v>3311</v>
      </c>
      <c r="AA534" s="5" t="s">
        <v>18</v>
      </c>
      <c r="AB534" s="5" t="s">
        <v>1298</v>
      </c>
      <c r="AC534" s="6">
        <f>G534</f>
        <v>110</v>
      </c>
      <c r="AD534" s="6"/>
    </row>
    <row r="535" spans="1:30" ht="19.5" customHeight="1">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5"/>
      <c r="AB535" s="5"/>
      <c r="AC535" s="5"/>
      <c r="AD535" s="5"/>
    </row>
    <row r="536" spans="1:30" ht="19.5" customHeight="1">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5"/>
      <c r="AB536" s="5"/>
      <c r="AC536" s="5"/>
      <c r="AD536" s="5"/>
    </row>
    <row r="537" spans="1:30" ht="19.5" customHeight="1">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5"/>
      <c r="AB537" s="5"/>
      <c r="AC537" s="5"/>
      <c r="AD537" s="5"/>
    </row>
    <row r="538" spans="1:30" ht="19.5" customHeight="1">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5"/>
      <c r="AB538" s="5"/>
      <c r="AC538" s="5"/>
      <c r="AD538" s="5"/>
    </row>
    <row r="539" spans="1:30" ht="19.5" customHeight="1">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5"/>
      <c r="AB539" s="5"/>
      <c r="AC539" s="5"/>
      <c r="AD539" s="5"/>
    </row>
    <row r="540" spans="1:30" ht="19.5" customHeight="1">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5"/>
      <c r="AB540" s="5"/>
      <c r="AC540" s="5"/>
      <c r="AD540" s="5"/>
    </row>
    <row r="541" spans="1:30" ht="19.5" customHeight="1">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5"/>
      <c r="AB541" s="5"/>
      <c r="AC541" s="5"/>
      <c r="AD541" s="5"/>
    </row>
    <row r="542" spans="1:30" ht="19.5" customHeight="1">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5"/>
      <c r="AB542" s="5"/>
      <c r="AC542" s="5"/>
      <c r="AD542" s="5"/>
    </row>
    <row r="543" spans="1:30" ht="19.5" customHeight="1">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5"/>
      <c r="AB543" s="5"/>
      <c r="AC543" s="5"/>
      <c r="AD543" s="5"/>
    </row>
    <row r="544" spans="1:30" ht="19.5" customHeight="1">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5"/>
      <c r="AB544" s="5"/>
      <c r="AC544" s="5"/>
      <c r="AD544" s="5"/>
    </row>
    <row r="545" spans="1:30" ht="19.5" customHeight="1">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5"/>
      <c r="AB545" s="5"/>
      <c r="AC545" s="5"/>
      <c r="AD545" s="5"/>
    </row>
    <row r="546" spans="1:30" ht="19.5" customHeight="1">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5"/>
      <c r="AB546" s="5"/>
      <c r="AC546" s="5"/>
      <c r="AD546" s="5"/>
    </row>
    <row r="547" spans="1:30" ht="19.5" customHeight="1">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5"/>
      <c r="AB547" s="5"/>
      <c r="AC547" s="5"/>
      <c r="AD547" s="5"/>
    </row>
    <row r="548" spans="1:30" ht="19.5" customHeight="1">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5"/>
      <c r="AB548" s="5"/>
      <c r="AC548" s="5"/>
      <c r="AD548" s="5"/>
    </row>
    <row r="549" spans="1:30" ht="19.5" customHeight="1">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5"/>
      <c r="AB549" s="5"/>
      <c r="AC549" s="5"/>
      <c r="AD549" s="5"/>
    </row>
    <row r="550" spans="1:30" ht="19.5" customHeight="1">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5"/>
      <c r="AB550" s="5"/>
      <c r="AC550" s="5"/>
      <c r="AD550" s="5"/>
    </row>
    <row r="551" spans="1:30" ht="19.5" customHeight="1">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5"/>
      <c r="AB551" s="5"/>
      <c r="AC551" s="5"/>
      <c r="AD551" s="5"/>
    </row>
    <row r="552" spans="1:30" ht="19.5" customHeight="1">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5"/>
      <c r="AB552" s="5"/>
      <c r="AC552" s="5"/>
      <c r="AD552" s="5"/>
    </row>
    <row r="553" spans="1:30" ht="19.5" customHeight="1">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5"/>
      <c r="AB553" s="5"/>
      <c r="AC553" s="5"/>
      <c r="AD553" s="5"/>
    </row>
    <row r="554" spans="1:30" ht="19.5" customHeight="1">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5"/>
      <c r="AB554" s="5"/>
      <c r="AC554" s="5"/>
      <c r="AD554" s="5"/>
    </row>
    <row r="555" spans="1:30" ht="19.5" customHeight="1">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5"/>
      <c r="AB555" s="5"/>
      <c r="AC555" s="5"/>
      <c r="AD555" s="5"/>
    </row>
    <row r="556" spans="1:30" ht="19.5" customHeight="1">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5"/>
      <c r="AB556" s="5"/>
      <c r="AC556" s="5"/>
      <c r="AD556" s="5"/>
    </row>
    <row r="557" spans="1:30" ht="19.5" customHeight="1">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5"/>
      <c r="AB557" s="5"/>
      <c r="AC557" s="5"/>
      <c r="AD557" s="5"/>
    </row>
    <row r="558" spans="1:30" ht="19.5" customHeight="1">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5"/>
      <c r="AB558" s="5"/>
      <c r="AC558" s="5"/>
      <c r="AD558" s="5"/>
    </row>
    <row r="559" spans="1:30" ht="19.5" customHeight="1">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5"/>
      <c r="AB559" s="5"/>
      <c r="AC559" s="5"/>
      <c r="AD559" s="5"/>
    </row>
    <row r="560" spans="1:30" ht="19.5" customHeight="1">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5"/>
      <c r="AB560" s="5"/>
      <c r="AC560" s="5"/>
      <c r="AD560" s="5"/>
    </row>
    <row r="561" spans="1:30" ht="19.5" customHeight="1">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5"/>
      <c r="AB561" s="5"/>
      <c r="AC561" s="5"/>
      <c r="AD561" s="5"/>
    </row>
    <row r="562" spans="1:30" ht="19.5" customHeight="1">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5"/>
      <c r="AB562" s="5"/>
      <c r="AC562" s="5"/>
      <c r="AD562" s="5"/>
    </row>
    <row r="563" spans="1:30" ht="19.5" customHeight="1">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5"/>
      <c r="AB563" s="5"/>
      <c r="AC563" s="5"/>
      <c r="AD563" s="5"/>
    </row>
    <row r="564" spans="1:30" ht="19.5" customHeight="1">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5"/>
      <c r="AB564" s="5"/>
      <c r="AC564" s="5"/>
      <c r="AD564" s="5"/>
    </row>
    <row r="565" spans="1:30" ht="19.5" customHeight="1">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5"/>
      <c r="AB565" s="5"/>
      <c r="AC565" s="5"/>
      <c r="AD565" s="5"/>
    </row>
    <row r="566" spans="1:30" ht="19.5" customHeight="1">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5"/>
      <c r="AB566" s="5"/>
      <c r="AC566" s="5"/>
      <c r="AD566" s="5"/>
    </row>
    <row r="567" spans="1:30" ht="19.5" customHeight="1">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5"/>
      <c r="AB567" s="5"/>
      <c r="AC567" s="5"/>
      <c r="AD567" s="5"/>
    </row>
    <row r="568" spans="1:30" ht="19.5" customHeight="1">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5"/>
      <c r="AB568" s="5"/>
      <c r="AC568" s="5"/>
      <c r="AD568" s="5"/>
    </row>
    <row r="569" spans="1:30" ht="19.5" customHeight="1">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5"/>
      <c r="AB569" s="5"/>
      <c r="AC569" s="5"/>
      <c r="AD569" s="5"/>
    </row>
    <row r="570" spans="1:30" ht="19.5" customHeight="1">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5"/>
      <c r="AB570" s="5"/>
      <c r="AC570" s="5"/>
      <c r="AD570" s="5"/>
    </row>
    <row r="571" spans="1:30" ht="19.5" customHeight="1">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5"/>
      <c r="AB571" s="5"/>
      <c r="AC571" s="5"/>
      <c r="AD571" s="5"/>
    </row>
    <row r="572" spans="1:30" ht="19.5" customHeight="1">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5"/>
      <c r="AB572" s="5"/>
      <c r="AC572" s="5"/>
      <c r="AD572" s="5"/>
    </row>
    <row r="573" spans="1:30" ht="19.5" customHeight="1">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5"/>
      <c r="AB573" s="5"/>
      <c r="AC573" s="5"/>
      <c r="AD573" s="5"/>
    </row>
    <row r="574" spans="1:30" ht="19.5" customHeight="1">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5"/>
      <c r="AB574" s="5"/>
      <c r="AC574" s="5"/>
      <c r="AD574" s="5"/>
    </row>
    <row r="575" spans="1:30" ht="19.5" customHeight="1">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5"/>
      <c r="AB575" s="5"/>
      <c r="AC575" s="5"/>
      <c r="AD575" s="5"/>
    </row>
    <row r="576" spans="1:30" ht="19.5" customHeight="1">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5"/>
      <c r="AB576" s="5"/>
      <c r="AC576" s="5"/>
      <c r="AD576" s="5"/>
    </row>
    <row r="577" spans="1:30" ht="19.5" customHeight="1">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5"/>
      <c r="AB577" s="5"/>
      <c r="AC577" s="5"/>
      <c r="AD577" s="5"/>
    </row>
    <row r="578" spans="1:30" ht="19.5" customHeight="1">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5"/>
      <c r="AB578" s="5"/>
      <c r="AC578" s="5"/>
      <c r="AD578" s="5"/>
    </row>
    <row r="579" spans="1:30" ht="19.5" customHeight="1">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5"/>
      <c r="AB579" s="5"/>
      <c r="AC579" s="5"/>
      <c r="AD579" s="5"/>
    </row>
    <row r="580" spans="1:30" ht="19.5" customHeight="1">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5"/>
      <c r="AB580" s="5"/>
      <c r="AC580" s="5"/>
      <c r="AD580" s="5"/>
    </row>
    <row r="581" spans="1:30" ht="19.5" customHeight="1">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5"/>
      <c r="AB581" s="5"/>
      <c r="AC581" s="5"/>
      <c r="AD581" s="5"/>
    </row>
    <row r="582" spans="1:30" ht="19.5" customHeight="1">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5"/>
      <c r="AB582" s="5"/>
      <c r="AC582" s="5"/>
      <c r="AD582" s="5"/>
    </row>
    <row r="583" spans="1:30" ht="19.5" customHeight="1">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5"/>
      <c r="AB583" s="5"/>
      <c r="AC583" s="5"/>
      <c r="AD583" s="5"/>
    </row>
    <row r="584" spans="1:30" ht="19.5" customHeight="1">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5"/>
      <c r="AB584" s="5"/>
      <c r="AC584" s="5"/>
      <c r="AD584" s="5"/>
    </row>
    <row r="585" spans="1:30" ht="19.5" customHeight="1">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5"/>
      <c r="AB585" s="5"/>
      <c r="AC585" s="5"/>
      <c r="AD585" s="5"/>
    </row>
    <row r="586" spans="1:30" ht="19.5" customHeight="1">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5"/>
      <c r="AB586" s="5"/>
      <c r="AC586" s="5"/>
      <c r="AD586" s="5"/>
    </row>
    <row r="587" spans="1:30" ht="19.5" customHeight="1">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5"/>
      <c r="AB587" s="5"/>
      <c r="AC587" s="5"/>
      <c r="AD587" s="5"/>
    </row>
    <row r="588" spans="1:30" ht="19.5" customHeight="1">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5"/>
      <c r="AB588" s="5"/>
      <c r="AC588" s="5"/>
      <c r="AD588" s="5"/>
    </row>
    <row r="589" spans="1:30" ht="19.5" customHeight="1">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5"/>
      <c r="AB589" s="5"/>
      <c r="AC589" s="5"/>
      <c r="AD589" s="5"/>
    </row>
    <row r="590" spans="1:30" ht="19.5" customHeight="1">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5"/>
      <c r="AB590" s="5"/>
      <c r="AC590" s="5"/>
      <c r="AD590" s="5"/>
    </row>
    <row r="591" spans="1:30" ht="19.5" customHeight="1">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5"/>
      <c r="AB591" s="5"/>
      <c r="AC591" s="5"/>
      <c r="AD591" s="5"/>
    </row>
    <row r="592" spans="1:30" ht="19.5" customHeight="1">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5"/>
      <c r="AB592" s="5"/>
      <c r="AC592" s="5"/>
      <c r="AD592" s="5"/>
    </row>
    <row r="593" spans="1:30" ht="19.5" customHeight="1">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5"/>
      <c r="AB593" s="5"/>
      <c r="AC593" s="5"/>
      <c r="AD593" s="5"/>
    </row>
    <row r="594" spans="1:30" ht="19.5" customHeight="1">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5"/>
      <c r="AB594" s="5"/>
      <c r="AC594" s="5"/>
      <c r="AD594" s="5"/>
    </row>
    <row r="595" spans="1:30" ht="19.5" customHeight="1">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5"/>
      <c r="AB595" s="5"/>
      <c r="AC595" s="5"/>
      <c r="AD595" s="5"/>
    </row>
    <row r="596" spans="1:30" ht="19.5" customHeight="1">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5"/>
      <c r="AB596" s="5"/>
      <c r="AC596" s="5"/>
      <c r="AD596" s="5"/>
    </row>
    <row r="597" spans="1:30" ht="19.5" customHeight="1">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5"/>
      <c r="AB597" s="5"/>
      <c r="AC597" s="5"/>
      <c r="AD597" s="5"/>
    </row>
    <row r="598" spans="1:30" ht="19.5" customHeight="1">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5"/>
      <c r="AB598" s="5"/>
      <c r="AC598" s="5"/>
      <c r="AD598" s="5"/>
    </row>
    <row r="599" spans="1:30" ht="19.5" customHeight="1">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5"/>
      <c r="AB599" s="5"/>
      <c r="AC599" s="5"/>
      <c r="AD599" s="5"/>
    </row>
    <row r="600" spans="1:30" ht="19.5" customHeight="1">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5"/>
      <c r="AB600" s="5"/>
      <c r="AC600" s="5"/>
      <c r="AD600" s="5"/>
    </row>
    <row r="601" spans="1:30" ht="19.5" customHeight="1">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5"/>
      <c r="AB601" s="5"/>
      <c r="AC601" s="5"/>
      <c r="AD601" s="5"/>
    </row>
    <row r="602" spans="1:30" ht="19.5" customHeight="1">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5"/>
      <c r="AB602" s="5"/>
      <c r="AC602" s="5"/>
      <c r="AD602" s="5"/>
    </row>
    <row r="603" spans="1:30" ht="19.5" customHeight="1">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5"/>
      <c r="AB603" s="5"/>
      <c r="AC603" s="5"/>
      <c r="AD603" s="5"/>
    </row>
    <row r="604" spans="1:30" ht="19.5" customHeight="1">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5"/>
      <c r="AB604" s="5"/>
      <c r="AC604" s="5"/>
      <c r="AD604" s="5"/>
    </row>
    <row r="605" spans="1:30" ht="19.5" customHeight="1">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5"/>
      <c r="AB605" s="5"/>
      <c r="AC605" s="5"/>
      <c r="AD605" s="5"/>
    </row>
    <row r="606" spans="1:30" ht="19.5" customHeight="1">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5"/>
      <c r="AB606" s="5"/>
      <c r="AC606" s="5"/>
      <c r="AD606" s="5"/>
    </row>
    <row r="607" spans="1:30" ht="19.5" customHeight="1">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5"/>
      <c r="AB607" s="5"/>
      <c r="AC607" s="5"/>
      <c r="AD607" s="5"/>
    </row>
    <row r="608" spans="1:30" ht="19.5" customHeight="1">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5"/>
      <c r="AB608" s="5"/>
      <c r="AC608" s="5"/>
      <c r="AD608" s="5"/>
    </row>
    <row r="609" spans="1:30" ht="19.5" customHeight="1">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5"/>
      <c r="AB609" s="5"/>
      <c r="AC609" s="5"/>
      <c r="AD609" s="5"/>
    </row>
    <row r="610" spans="1:30" ht="19.5" customHeight="1">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5"/>
      <c r="AB610" s="5"/>
      <c r="AC610" s="5"/>
      <c r="AD610" s="5"/>
    </row>
    <row r="611" spans="1:30" ht="19.5" customHeight="1">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5"/>
      <c r="AB611" s="5"/>
      <c r="AC611" s="5"/>
      <c r="AD611" s="5"/>
    </row>
    <row r="612" spans="1:30" ht="19.5" customHeight="1">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5"/>
      <c r="AB612" s="5"/>
      <c r="AC612" s="5"/>
      <c r="AD612" s="5"/>
    </row>
    <row r="613" spans="1:30" ht="19.5" customHeight="1">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5"/>
      <c r="AB613" s="5"/>
      <c r="AC613" s="5"/>
      <c r="AD613" s="5"/>
    </row>
    <row r="614" spans="1:30" ht="19.5" customHeight="1">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5"/>
      <c r="AB614" s="5"/>
      <c r="AC614" s="5"/>
      <c r="AD614" s="5"/>
    </row>
    <row r="615" spans="1:30" ht="19.5" customHeight="1">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5"/>
      <c r="AB615" s="5"/>
      <c r="AC615" s="5"/>
      <c r="AD615" s="5"/>
    </row>
    <row r="616" spans="1:30" ht="19.5" customHeight="1">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5"/>
      <c r="AB616" s="5"/>
      <c r="AC616" s="5"/>
      <c r="AD616" s="5"/>
    </row>
    <row r="617" spans="1:30" ht="19.5" customHeight="1">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5"/>
      <c r="AB617" s="5"/>
      <c r="AC617" s="5"/>
      <c r="AD617" s="5"/>
    </row>
    <row r="618" spans="1:30" ht="19.5" customHeight="1">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5"/>
      <c r="AB618" s="5"/>
      <c r="AC618" s="5"/>
      <c r="AD618" s="5"/>
    </row>
    <row r="619" spans="1:30" ht="19.5" customHeight="1">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5"/>
      <c r="AB619" s="5"/>
      <c r="AC619" s="5"/>
      <c r="AD619" s="5"/>
    </row>
    <row r="620" spans="1:30" ht="19.5" customHeight="1">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5"/>
      <c r="AB620" s="5"/>
      <c r="AC620" s="5"/>
      <c r="AD620" s="5"/>
    </row>
    <row r="621" spans="1:30" ht="19.5" customHeight="1">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5"/>
      <c r="AB621" s="5"/>
      <c r="AC621" s="5"/>
      <c r="AD621" s="5"/>
    </row>
    <row r="622" spans="1:30" ht="19.5" customHeight="1">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5"/>
      <c r="AB622" s="5"/>
      <c r="AC622" s="5"/>
      <c r="AD622" s="5"/>
    </row>
    <row r="623" spans="1:30" ht="19.5" customHeight="1">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5"/>
      <c r="AB623" s="5"/>
      <c r="AC623" s="5"/>
      <c r="AD623" s="5"/>
    </row>
    <row r="624" spans="1:30" ht="19.5" customHeight="1">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5"/>
      <c r="AB624" s="5"/>
      <c r="AC624" s="5"/>
      <c r="AD624" s="5"/>
    </row>
    <row r="625" spans="1:30" ht="19.5" customHeight="1">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5"/>
      <c r="AB625" s="5"/>
      <c r="AC625" s="5"/>
      <c r="AD625" s="5"/>
    </row>
    <row r="626" spans="1:30" ht="19.5" customHeight="1">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5"/>
      <c r="AB626" s="5"/>
      <c r="AC626" s="5"/>
      <c r="AD626" s="5"/>
    </row>
    <row r="627" spans="1:30" ht="19.5" customHeight="1">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5"/>
      <c r="AB627" s="5"/>
      <c r="AC627" s="5"/>
      <c r="AD627" s="5"/>
    </row>
    <row r="628" spans="1:30" ht="19.5" customHeight="1">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5"/>
      <c r="AB628" s="5"/>
      <c r="AC628" s="5"/>
      <c r="AD628" s="5"/>
    </row>
    <row r="629" spans="1:30" ht="19.5" customHeight="1">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5"/>
      <c r="AB629" s="5"/>
      <c r="AC629" s="5"/>
      <c r="AD629" s="5"/>
    </row>
    <row r="630" spans="1:30" ht="19.5" customHeight="1">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5"/>
      <c r="AB630" s="5"/>
      <c r="AC630" s="5"/>
      <c r="AD630" s="5"/>
    </row>
    <row r="631" spans="1:30" ht="19.5" customHeight="1">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5"/>
      <c r="AB631" s="5"/>
      <c r="AC631" s="5"/>
      <c r="AD631" s="5"/>
    </row>
    <row r="632" spans="1:30" ht="19.5" customHeight="1">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5"/>
      <c r="AB632" s="5"/>
      <c r="AC632" s="5"/>
      <c r="AD632" s="5"/>
    </row>
    <row r="633" spans="1:30" ht="19.5" customHeight="1">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5"/>
      <c r="AB633" s="5"/>
      <c r="AC633" s="5"/>
      <c r="AD633" s="5"/>
    </row>
    <row r="634" spans="1:30" ht="19.5" customHeight="1">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5"/>
      <c r="AB634" s="5"/>
      <c r="AC634" s="5"/>
      <c r="AD634" s="5"/>
    </row>
    <row r="635" spans="1:30" ht="19.5" customHeight="1">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5"/>
      <c r="AB635" s="5"/>
      <c r="AC635" s="5"/>
      <c r="AD635" s="5"/>
    </row>
    <row r="636" spans="1:30" ht="19.5" customHeight="1">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5"/>
      <c r="AB636" s="5"/>
      <c r="AC636" s="5"/>
      <c r="AD636" s="5"/>
    </row>
    <row r="637" spans="1:30" ht="19.5" customHeight="1">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5"/>
      <c r="AB637" s="5"/>
      <c r="AC637" s="5"/>
      <c r="AD637" s="5"/>
    </row>
    <row r="638" spans="1:30" ht="19.5" customHeight="1">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5"/>
      <c r="AB638" s="5"/>
      <c r="AC638" s="5"/>
      <c r="AD638" s="5"/>
    </row>
    <row r="639" spans="1:30" ht="19.5" customHeight="1">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5"/>
      <c r="AB639" s="5"/>
      <c r="AC639" s="5"/>
      <c r="AD639" s="5"/>
    </row>
    <row r="640" spans="1:30" ht="19.5" customHeight="1">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5"/>
      <c r="AB640" s="5"/>
      <c r="AC640" s="5"/>
      <c r="AD640" s="5"/>
    </row>
    <row r="641" spans="1:30" ht="19.5" customHeight="1">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5"/>
      <c r="AB641" s="5"/>
      <c r="AC641" s="5"/>
      <c r="AD641" s="5"/>
    </row>
    <row r="642" spans="1:30" ht="19.5" customHeight="1">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5"/>
      <c r="AB642" s="5"/>
      <c r="AC642" s="5"/>
      <c r="AD642" s="5"/>
    </row>
    <row r="643" spans="1:30" ht="19.5" customHeight="1">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5"/>
      <c r="AB643" s="5"/>
      <c r="AC643" s="5"/>
      <c r="AD643" s="5"/>
    </row>
    <row r="644" spans="1:30" ht="19.5" customHeight="1">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5"/>
      <c r="AB644" s="5"/>
      <c r="AC644" s="5"/>
      <c r="AD644" s="5"/>
    </row>
    <row r="645" spans="1:30" ht="19.5" customHeight="1">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5"/>
      <c r="AB645" s="5"/>
      <c r="AC645" s="5"/>
      <c r="AD645" s="5"/>
    </row>
    <row r="646" spans="1:30" ht="19.5" customHeight="1">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5"/>
      <c r="AB646" s="5"/>
      <c r="AC646" s="5"/>
      <c r="AD646" s="5"/>
    </row>
    <row r="647" spans="1:30" ht="19.5" customHeight="1">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5"/>
      <c r="AB647" s="5"/>
      <c r="AC647" s="5"/>
      <c r="AD647" s="5"/>
    </row>
    <row r="648" spans="1:30" ht="19.5" customHeight="1">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5"/>
      <c r="AB648" s="5"/>
      <c r="AC648" s="5"/>
      <c r="AD648" s="5"/>
    </row>
    <row r="649" spans="1:30" ht="19.5" customHeight="1">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5"/>
      <c r="AB649" s="5"/>
      <c r="AC649" s="5"/>
      <c r="AD649" s="5"/>
    </row>
    <row r="650" spans="1:30" ht="19.5" customHeight="1">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5"/>
      <c r="AB650" s="5"/>
      <c r="AC650" s="5"/>
      <c r="AD650" s="5"/>
    </row>
    <row r="651" spans="1:30" ht="19.5" customHeight="1">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5"/>
      <c r="AB651" s="5"/>
      <c r="AC651" s="5"/>
      <c r="AD651" s="5"/>
    </row>
    <row r="652" spans="1:30" ht="19.5" customHeight="1">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5"/>
      <c r="AB652" s="5"/>
      <c r="AC652" s="5"/>
      <c r="AD652" s="5"/>
    </row>
    <row r="653" spans="1:30" ht="19.5" customHeight="1">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5"/>
      <c r="AB653" s="5"/>
      <c r="AC653" s="5"/>
      <c r="AD653" s="5"/>
    </row>
    <row r="654" spans="1:30" ht="19.5" customHeight="1">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5"/>
      <c r="AB654" s="5"/>
      <c r="AC654" s="5"/>
      <c r="AD654" s="5"/>
    </row>
    <row r="655" spans="1:30" ht="19.5" customHeight="1">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5"/>
      <c r="AB655" s="5"/>
      <c r="AC655" s="5"/>
      <c r="AD655" s="5"/>
    </row>
    <row r="656" spans="1:30" ht="19.5" customHeight="1">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5"/>
      <c r="AB656" s="5"/>
      <c r="AC656" s="5"/>
      <c r="AD656" s="5"/>
    </row>
    <row r="657" spans="1:30" ht="19.5" customHeight="1">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5"/>
      <c r="AB657" s="5"/>
      <c r="AC657" s="5"/>
      <c r="AD657" s="5"/>
    </row>
    <row r="658" spans="1:30" ht="19.5" customHeight="1">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5"/>
      <c r="AB658" s="5"/>
      <c r="AC658" s="5"/>
      <c r="AD658" s="5"/>
    </row>
    <row r="659" spans="1:30" ht="19.5" customHeight="1">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5"/>
      <c r="AB659" s="5"/>
      <c r="AC659" s="5"/>
      <c r="AD659" s="5"/>
    </row>
    <row r="660" spans="1:30" ht="19.5" customHeight="1">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5"/>
      <c r="AB660" s="5"/>
      <c r="AC660" s="5"/>
      <c r="AD660" s="5"/>
    </row>
    <row r="661" spans="1:30" ht="19.5" customHeight="1">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5"/>
      <c r="AB661" s="5"/>
      <c r="AC661" s="5"/>
      <c r="AD661" s="5"/>
    </row>
    <row r="662" spans="1:30" ht="19.5" customHeight="1">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5"/>
      <c r="AB662" s="5"/>
      <c r="AC662" s="5"/>
      <c r="AD662" s="5"/>
    </row>
    <row r="663" spans="1:30" ht="19.5" customHeight="1">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5"/>
      <c r="AB663" s="5"/>
      <c r="AC663" s="5"/>
      <c r="AD663" s="5"/>
    </row>
    <row r="664" spans="1:30" ht="19.5" customHeight="1">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5"/>
      <c r="AB664" s="5"/>
      <c r="AC664" s="5"/>
      <c r="AD664" s="5"/>
    </row>
    <row r="665" spans="1:30" ht="19.5" customHeight="1">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5"/>
      <c r="AB665" s="5"/>
      <c r="AC665" s="5"/>
      <c r="AD665" s="5"/>
    </row>
    <row r="666" spans="1:30" ht="19.5" customHeight="1">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5"/>
      <c r="AB666" s="5"/>
      <c r="AC666" s="5"/>
      <c r="AD666" s="5"/>
    </row>
    <row r="667" spans="1:30" ht="19.5" customHeight="1">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5"/>
      <c r="AB667" s="5"/>
      <c r="AC667" s="5"/>
      <c r="AD667" s="5"/>
    </row>
    <row r="668" spans="1:30" ht="19.5" customHeight="1">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5"/>
      <c r="AB668" s="5"/>
      <c r="AC668" s="5"/>
      <c r="AD668" s="5"/>
    </row>
    <row r="669" spans="1:30" ht="19.5" customHeight="1">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5"/>
      <c r="AB669" s="5"/>
      <c r="AC669" s="5"/>
      <c r="AD669" s="5"/>
    </row>
    <row r="670" spans="1:30" ht="19.5" customHeight="1">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5"/>
      <c r="AB670" s="5"/>
      <c r="AC670" s="5"/>
      <c r="AD670" s="5"/>
    </row>
    <row r="671" spans="1:30" ht="19.5" customHeight="1">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5"/>
      <c r="AB671" s="5"/>
      <c r="AC671" s="5"/>
      <c r="AD671" s="5"/>
    </row>
    <row r="672" spans="1:30" ht="19.5" customHeight="1">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5"/>
      <c r="AB672" s="5"/>
      <c r="AC672" s="5"/>
      <c r="AD672" s="5"/>
    </row>
    <row r="673" spans="1:30" ht="19.5" customHeight="1">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5"/>
      <c r="AB673" s="5"/>
      <c r="AC673" s="5"/>
      <c r="AD673" s="5"/>
    </row>
    <row r="674" spans="1:30" ht="19.5" customHeight="1">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5"/>
      <c r="AB674" s="5"/>
      <c r="AC674" s="5"/>
      <c r="AD674" s="5"/>
    </row>
    <row r="675" spans="1:30" ht="19.5" customHeight="1">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5"/>
      <c r="AB675" s="5"/>
      <c r="AC675" s="5"/>
      <c r="AD675" s="5"/>
    </row>
    <row r="676" spans="1:30" ht="19.5" customHeight="1">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5"/>
      <c r="AB676" s="5"/>
      <c r="AC676" s="5"/>
      <c r="AD676" s="5"/>
    </row>
    <row r="677" spans="1:30" ht="19.5" customHeight="1">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5"/>
      <c r="AB677" s="5"/>
      <c r="AC677" s="5"/>
      <c r="AD677" s="5"/>
    </row>
    <row r="678" spans="1:30" ht="19.5" customHeight="1">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5"/>
      <c r="AB678" s="5"/>
      <c r="AC678" s="5"/>
      <c r="AD678" s="5"/>
    </row>
    <row r="679" spans="1:30" ht="19.5" customHeight="1">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5"/>
      <c r="AB679" s="5"/>
      <c r="AC679" s="5"/>
      <c r="AD679" s="5"/>
    </row>
    <row r="680" spans="1:30" ht="19.5" customHeight="1">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5"/>
      <c r="AB680" s="5"/>
      <c r="AC680" s="5"/>
      <c r="AD680" s="5"/>
    </row>
    <row r="681" spans="1:30" ht="19.5" customHeight="1">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5"/>
      <c r="AB681" s="5"/>
      <c r="AC681" s="5"/>
      <c r="AD681" s="5"/>
    </row>
    <row r="682" spans="1:30" ht="19.5" customHeight="1">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5"/>
      <c r="AB682" s="5"/>
      <c r="AC682" s="5"/>
      <c r="AD682" s="5"/>
    </row>
    <row r="683" spans="1:30" ht="19.5" customHeight="1">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5"/>
      <c r="AB683" s="5"/>
      <c r="AC683" s="5"/>
      <c r="AD683" s="5"/>
    </row>
    <row r="684" spans="1:30" ht="19.5" customHeight="1">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5"/>
      <c r="AB684" s="5"/>
      <c r="AC684" s="5"/>
      <c r="AD684" s="5"/>
    </row>
    <row r="685" spans="1:30" ht="19.5" customHeight="1">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5"/>
      <c r="AB685" s="5"/>
      <c r="AC685" s="5"/>
      <c r="AD685" s="5"/>
    </row>
    <row r="686" spans="1:30" ht="19.5" customHeight="1">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5"/>
      <c r="AB686" s="5"/>
      <c r="AC686" s="5"/>
      <c r="AD686" s="5"/>
    </row>
    <row r="687" spans="1:30" ht="19.5" customHeight="1">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5"/>
      <c r="AB687" s="5"/>
      <c r="AC687" s="5"/>
      <c r="AD687" s="5"/>
    </row>
    <row r="688" spans="1:30" ht="19.5" customHeight="1">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5"/>
      <c r="AB688" s="5"/>
      <c r="AC688" s="5"/>
      <c r="AD688" s="5"/>
    </row>
    <row r="689" spans="1:30" ht="19.5" customHeight="1">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5"/>
      <c r="AB689" s="5"/>
      <c r="AC689" s="5"/>
      <c r="AD689" s="5"/>
    </row>
    <row r="690" spans="1:30" ht="19.5" customHeight="1">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5"/>
      <c r="AB690" s="5"/>
      <c r="AC690" s="5"/>
      <c r="AD690" s="5"/>
    </row>
    <row r="691" spans="1:30" ht="19.5" customHeight="1">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5"/>
      <c r="AB691" s="5"/>
      <c r="AC691" s="5"/>
      <c r="AD691" s="5"/>
    </row>
    <row r="692" spans="1:30" ht="19.5" customHeight="1">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5"/>
      <c r="AB692" s="5"/>
      <c r="AC692" s="5"/>
      <c r="AD692" s="5"/>
    </row>
    <row r="693" spans="1:30" ht="19.5" customHeight="1">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5"/>
      <c r="AB693" s="5"/>
      <c r="AC693" s="5"/>
      <c r="AD693" s="5"/>
    </row>
    <row r="694" spans="1:30" ht="19.5" customHeight="1">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5"/>
      <c r="AB694" s="5"/>
      <c r="AC694" s="5"/>
      <c r="AD694" s="5"/>
    </row>
    <row r="695" spans="1:30" ht="19.5" customHeight="1">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5"/>
      <c r="AB695" s="5"/>
      <c r="AC695" s="5"/>
      <c r="AD695" s="5"/>
    </row>
    <row r="696" spans="1:30" ht="19.5" customHeight="1">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5"/>
      <c r="AB696" s="5"/>
      <c r="AC696" s="5"/>
      <c r="AD696" s="5"/>
    </row>
    <row r="697" spans="1:30" ht="19.5" customHeight="1">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5"/>
      <c r="AB697" s="5"/>
      <c r="AC697" s="5"/>
      <c r="AD697" s="5"/>
    </row>
    <row r="698" spans="1:30" ht="19.5" customHeight="1">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5"/>
      <c r="AB698" s="5"/>
      <c r="AC698" s="5"/>
      <c r="AD698" s="5"/>
    </row>
    <row r="699" spans="1:30" ht="19.5" customHeight="1">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5"/>
      <c r="AB699" s="5"/>
      <c r="AC699" s="5"/>
      <c r="AD699" s="5"/>
    </row>
    <row r="700" spans="1:30" ht="19.5" customHeight="1">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5"/>
      <c r="AB700" s="5"/>
      <c r="AC700" s="5"/>
      <c r="AD700" s="5"/>
    </row>
    <row r="701" spans="1:30" ht="19.5" customHeight="1">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5"/>
      <c r="AB701" s="5"/>
      <c r="AC701" s="5"/>
      <c r="AD701" s="5"/>
    </row>
    <row r="702" spans="1:30" ht="19.5" customHeight="1">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5"/>
      <c r="AB702" s="5"/>
      <c r="AC702" s="5"/>
      <c r="AD702" s="5"/>
    </row>
    <row r="703" spans="1:30" ht="19.5" customHeight="1">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5"/>
      <c r="AB703" s="5"/>
      <c r="AC703" s="5"/>
      <c r="AD703" s="5"/>
    </row>
    <row r="704" spans="1:30" ht="19.5" customHeight="1">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5"/>
      <c r="AB704" s="5"/>
      <c r="AC704" s="5"/>
      <c r="AD704" s="5"/>
    </row>
    <row r="705" spans="1:30" ht="19.5" customHeight="1">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5"/>
      <c r="AB705" s="5"/>
      <c r="AC705" s="5"/>
      <c r="AD705" s="5"/>
    </row>
    <row r="706" spans="1:30" ht="19.5" customHeight="1">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5"/>
      <c r="AB706" s="5"/>
      <c r="AC706" s="5"/>
      <c r="AD706" s="5"/>
    </row>
    <row r="707" spans="1:30" ht="19.5" customHeight="1">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5"/>
      <c r="AB707" s="5"/>
      <c r="AC707" s="5"/>
      <c r="AD707" s="5"/>
    </row>
    <row r="708" spans="1:30" ht="19.5" customHeight="1">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5"/>
      <c r="AB708" s="5"/>
      <c r="AC708" s="5"/>
      <c r="AD708" s="5"/>
    </row>
    <row r="709" spans="1:30" ht="19.5" customHeight="1">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5"/>
      <c r="AB709" s="5"/>
      <c r="AC709" s="5"/>
      <c r="AD709" s="5"/>
    </row>
    <row r="710" spans="1:30" ht="19.5" customHeight="1">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5"/>
      <c r="AB710" s="5"/>
      <c r="AC710" s="5"/>
      <c r="AD710" s="5"/>
    </row>
    <row r="711" spans="1:30" ht="19.5" customHeight="1">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5"/>
      <c r="AB711" s="5"/>
      <c r="AC711" s="5"/>
      <c r="AD711" s="5"/>
    </row>
    <row r="712" spans="1:30" ht="19.5" customHeight="1">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5"/>
      <c r="AB712" s="5"/>
      <c r="AC712" s="5"/>
      <c r="AD712" s="5"/>
    </row>
    <row r="713" spans="1:30" ht="19.5" customHeight="1">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5"/>
      <c r="AB713" s="5"/>
      <c r="AC713" s="5"/>
      <c r="AD713" s="5"/>
    </row>
    <row r="714" spans="1:30" ht="19.5" customHeight="1">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5"/>
      <c r="AB714" s="5"/>
      <c r="AC714" s="5"/>
      <c r="AD714" s="5"/>
    </row>
    <row r="715" spans="1:30" ht="19.5" customHeight="1">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5"/>
      <c r="AB715" s="5"/>
      <c r="AC715" s="5"/>
      <c r="AD715" s="5"/>
    </row>
    <row r="716" spans="1:30" ht="19.5" customHeight="1">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5"/>
      <c r="AB716" s="5"/>
      <c r="AC716" s="5"/>
      <c r="AD716" s="5"/>
    </row>
    <row r="717" spans="1:30" ht="19.5" customHeight="1">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5"/>
      <c r="AB717" s="5"/>
      <c r="AC717" s="5"/>
      <c r="AD717" s="5"/>
    </row>
    <row r="718" spans="1:30" ht="19.5" customHeight="1">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5"/>
      <c r="AB718" s="5"/>
      <c r="AC718" s="5"/>
      <c r="AD718" s="5"/>
    </row>
    <row r="719" spans="1:30" ht="19.5" customHeight="1">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5"/>
      <c r="AB719" s="5"/>
      <c r="AC719" s="5"/>
      <c r="AD719" s="5"/>
    </row>
    <row r="720" spans="1:30" ht="19.5" customHeight="1">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5"/>
      <c r="AB720" s="5"/>
      <c r="AC720" s="5"/>
      <c r="AD720" s="5"/>
    </row>
    <row r="721" spans="1:30" ht="19.5" customHeight="1">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5"/>
      <c r="AB721" s="5"/>
      <c r="AC721" s="5"/>
      <c r="AD721" s="5"/>
    </row>
    <row r="722" spans="1:30" ht="19.5" customHeight="1">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5"/>
      <c r="AB722" s="5"/>
      <c r="AC722" s="5"/>
      <c r="AD722" s="5"/>
    </row>
    <row r="723" spans="1:30" ht="19.5" customHeight="1">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5"/>
      <c r="AB723" s="5"/>
      <c r="AC723" s="5"/>
      <c r="AD723" s="5"/>
    </row>
    <row r="724" spans="1:30" ht="19.5" customHeight="1">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5"/>
      <c r="AB724" s="5"/>
      <c r="AC724" s="5"/>
      <c r="AD724" s="5"/>
    </row>
    <row r="725" spans="1:30" ht="19.5" customHeight="1">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5"/>
      <c r="AB725" s="5"/>
      <c r="AC725" s="5"/>
      <c r="AD725" s="5"/>
    </row>
    <row r="726" spans="1:30" ht="19.5" customHeight="1">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5"/>
      <c r="AB726" s="5"/>
      <c r="AC726" s="5"/>
      <c r="AD726" s="5"/>
    </row>
    <row r="727" spans="1:30" ht="19.5" customHeight="1">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5"/>
      <c r="AB727" s="5"/>
      <c r="AC727" s="5"/>
      <c r="AD727" s="5"/>
    </row>
    <row r="728" spans="1:30" ht="19.5" customHeight="1">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5"/>
      <c r="AB728" s="5"/>
      <c r="AC728" s="5"/>
      <c r="AD728" s="5"/>
    </row>
    <row r="729" spans="1:30" ht="19.5" customHeight="1">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5"/>
      <c r="AB729" s="5"/>
      <c r="AC729" s="5"/>
      <c r="AD729" s="5"/>
    </row>
    <row r="730" spans="1:30" ht="19.5" customHeight="1">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5"/>
      <c r="AB730" s="5"/>
      <c r="AC730" s="5"/>
      <c r="AD730" s="5"/>
    </row>
    <row r="731" spans="1:30" ht="19.5" customHeight="1">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5"/>
      <c r="AB731" s="5"/>
      <c r="AC731" s="5"/>
      <c r="AD731" s="5"/>
    </row>
    <row r="732" spans="1:30" ht="19.5" customHeight="1">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5"/>
      <c r="AB732" s="5"/>
      <c r="AC732" s="5"/>
      <c r="AD732" s="5"/>
    </row>
    <row r="733" spans="1:30" ht="19.5" customHeight="1">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5"/>
      <c r="AB733" s="5"/>
      <c r="AC733" s="5"/>
      <c r="AD733" s="5"/>
    </row>
    <row r="734" spans="1:30" ht="19.5" customHeight="1">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5"/>
      <c r="AB734" s="5"/>
      <c r="AC734" s="5"/>
      <c r="AD734" s="5"/>
    </row>
    <row r="735" spans="1:30" ht="19.5" customHeight="1">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5"/>
      <c r="AB735" s="5"/>
      <c r="AC735" s="5"/>
      <c r="AD735" s="5"/>
    </row>
    <row r="736" spans="1:30" ht="19.5" customHeight="1">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5"/>
      <c r="AB736" s="5"/>
      <c r="AC736" s="5"/>
      <c r="AD736" s="5"/>
    </row>
    <row r="737" spans="1:30" ht="19.5" customHeight="1">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5"/>
      <c r="AB737" s="5"/>
      <c r="AC737" s="5"/>
      <c r="AD737" s="5"/>
    </row>
    <row r="738" spans="1:30" ht="19.5" customHeight="1">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5"/>
      <c r="AB738" s="5"/>
      <c r="AC738" s="5"/>
      <c r="AD738" s="5"/>
    </row>
    <row r="739" spans="1:30" ht="19.5" customHeight="1">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5"/>
      <c r="AB739" s="5"/>
      <c r="AC739" s="5"/>
      <c r="AD739" s="5"/>
    </row>
    <row r="740" spans="1:30" ht="19.5" customHeight="1">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5"/>
      <c r="AB740" s="5"/>
      <c r="AC740" s="5"/>
      <c r="AD740" s="5"/>
    </row>
    <row r="741" spans="1:30" ht="19.5" customHeight="1">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5"/>
      <c r="AB741" s="5"/>
      <c r="AC741" s="5"/>
      <c r="AD741" s="5"/>
    </row>
    <row r="742" spans="1:30" ht="19.5" customHeight="1">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5"/>
      <c r="AB742" s="5"/>
      <c r="AC742" s="5"/>
      <c r="AD742" s="5"/>
    </row>
    <row r="743" spans="1:30" ht="19.5" customHeight="1">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5"/>
      <c r="AB743" s="5"/>
      <c r="AC743" s="5"/>
      <c r="AD743" s="5"/>
    </row>
    <row r="744" spans="1:30" ht="19.5" customHeight="1">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5"/>
      <c r="AB744" s="5"/>
      <c r="AC744" s="5"/>
      <c r="AD744" s="5"/>
    </row>
    <row r="745" spans="1:30" ht="19.5" customHeight="1">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5"/>
      <c r="AB745" s="5"/>
      <c r="AC745" s="5"/>
      <c r="AD745" s="5"/>
    </row>
    <row r="746" spans="1:30" ht="19.5" customHeight="1">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5"/>
      <c r="AB746" s="5"/>
      <c r="AC746" s="5"/>
      <c r="AD746" s="5"/>
    </row>
    <row r="747" spans="1:30" ht="19.5" customHeight="1">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5"/>
      <c r="AB747" s="5"/>
      <c r="AC747" s="5"/>
      <c r="AD747" s="5"/>
    </row>
    <row r="748" spans="1:30" ht="19.5" customHeight="1">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5"/>
      <c r="AB748" s="5"/>
      <c r="AC748" s="5"/>
      <c r="AD748" s="5"/>
    </row>
    <row r="749" spans="1:30" ht="19.5" customHeight="1">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5"/>
      <c r="AB749" s="5"/>
      <c r="AC749" s="5"/>
      <c r="AD749" s="5"/>
    </row>
    <row r="750" spans="1:30" ht="19.5" customHeight="1">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5"/>
      <c r="AB750" s="5"/>
      <c r="AC750" s="5"/>
      <c r="AD750" s="5"/>
    </row>
    <row r="751" spans="1:30" ht="19.5" customHeight="1">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5"/>
      <c r="AB751" s="5"/>
      <c r="AC751" s="5"/>
      <c r="AD751" s="5"/>
    </row>
    <row r="752" spans="1:30" ht="19.5" customHeight="1">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5"/>
      <c r="AB752" s="5"/>
      <c r="AC752" s="5"/>
      <c r="AD752" s="5"/>
    </row>
    <row r="753" spans="1:30" ht="19.5" customHeight="1">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5"/>
      <c r="AB753" s="5"/>
      <c r="AC753" s="5"/>
      <c r="AD753" s="5"/>
    </row>
    <row r="754" spans="1:30" ht="19.5" customHeight="1">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5"/>
      <c r="AB754" s="5"/>
      <c r="AC754" s="5"/>
      <c r="AD754" s="5"/>
    </row>
    <row r="755" spans="1:30" ht="19.5" customHeight="1">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5"/>
      <c r="AB755" s="5"/>
      <c r="AC755" s="5"/>
      <c r="AD755" s="5"/>
    </row>
    <row r="756" spans="1:30" ht="19.5" customHeight="1">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5"/>
      <c r="AB756" s="5"/>
      <c r="AC756" s="5"/>
      <c r="AD756" s="5"/>
    </row>
    <row r="757" spans="1:30" ht="19.5" customHeight="1">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5"/>
      <c r="AB757" s="5"/>
      <c r="AC757" s="5"/>
      <c r="AD757" s="5"/>
    </row>
    <row r="758" spans="1:30" ht="19.5" customHeight="1">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5"/>
      <c r="AB758" s="5"/>
      <c r="AC758" s="5"/>
      <c r="AD758" s="5"/>
    </row>
    <row r="759" spans="1:30" ht="19.5" customHeight="1">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5"/>
      <c r="AB759" s="5"/>
      <c r="AC759" s="5"/>
      <c r="AD759" s="5"/>
    </row>
    <row r="760" spans="1:30" ht="19.5" customHeight="1">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5"/>
      <c r="AB760" s="5"/>
      <c r="AC760" s="5"/>
      <c r="AD760" s="5"/>
    </row>
    <row r="761" spans="1:30" ht="19.5" customHeight="1">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5"/>
      <c r="AB761" s="5"/>
      <c r="AC761" s="5"/>
      <c r="AD761" s="5"/>
    </row>
    <row r="762" spans="1:30" ht="19.5" customHeight="1">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5"/>
      <c r="AB762" s="5"/>
      <c r="AC762" s="5"/>
      <c r="AD762" s="5"/>
    </row>
    <row r="763" spans="1:30" ht="19.5" customHeight="1">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5"/>
      <c r="AB763" s="5"/>
      <c r="AC763" s="5"/>
      <c r="AD763" s="5"/>
    </row>
    <row r="764" spans="1:30" ht="19.5" customHeight="1">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5"/>
      <c r="AB764" s="5"/>
      <c r="AC764" s="5"/>
      <c r="AD764" s="5"/>
    </row>
    <row r="765" spans="1:30" ht="19.5" customHeight="1">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5"/>
      <c r="AB765" s="5"/>
      <c r="AC765" s="5"/>
      <c r="AD765" s="5"/>
    </row>
    <row r="766" spans="1:30" ht="19.5" customHeight="1">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5"/>
      <c r="AB766" s="5"/>
      <c r="AC766" s="5"/>
      <c r="AD766" s="5"/>
    </row>
    <row r="767" spans="1:30" ht="19.5" customHeight="1">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5"/>
      <c r="AB767" s="5"/>
      <c r="AC767" s="5"/>
      <c r="AD767" s="5"/>
    </row>
    <row r="768" spans="1:30" ht="19.5" customHeight="1">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5"/>
      <c r="AB768" s="5"/>
      <c r="AC768" s="5"/>
      <c r="AD768" s="5"/>
    </row>
    <row r="769" spans="1:30" ht="19.5" customHeight="1">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5"/>
      <c r="AB769" s="5"/>
      <c r="AC769" s="5"/>
      <c r="AD769" s="5"/>
    </row>
    <row r="770" spans="1:30" ht="19.5" customHeight="1">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5"/>
      <c r="AB770" s="5"/>
      <c r="AC770" s="5"/>
      <c r="AD770" s="5"/>
    </row>
    <row r="771" spans="1:30" ht="19.5" customHeight="1">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5"/>
      <c r="AB771" s="5"/>
      <c r="AC771" s="5"/>
      <c r="AD771" s="5"/>
    </row>
    <row r="772" spans="1:30" ht="19.5" customHeight="1">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5"/>
      <c r="AB772" s="5"/>
      <c r="AC772" s="5"/>
      <c r="AD772" s="5"/>
    </row>
    <row r="773" spans="1:30" ht="19.5" customHeight="1">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5"/>
      <c r="AB773" s="5"/>
      <c r="AC773" s="5"/>
      <c r="AD773" s="5"/>
    </row>
    <row r="774" spans="1:30" ht="19.5" customHeight="1">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5"/>
      <c r="AB774" s="5"/>
      <c r="AC774" s="5"/>
      <c r="AD774" s="5"/>
    </row>
    <row r="775" spans="1:30" ht="19.5" customHeight="1">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5"/>
      <c r="AB775" s="5"/>
      <c r="AC775" s="5"/>
      <c r="AD775" s="5"/>
    </row>
    <row r="776" spans="1:30" ht="19.5" customHeight="1">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5"/>
      <c r="AB776" s="5"/>
      <c r="AC776" s="5"/>
      <c r="AD776" s="5"/>
    </row>
    <row r="777" spans="1:30" ht="19.5" customHeight="1">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5"/>
      <c r="AB777" s="5"/>
      <c r="AC777" s="5"/>
      <c r="AD777" s="5"/>
    </row>
    <row r="778" spans="1:30" ht="19.5" customHeight="1">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5"/>
      <c r="AB778" s="5"/>
      <c r="AC778" s="5"/>
      <c r="AD778" s="5"/>
    </row>
    <row r="779" spans="1:30" ht="19.5" customHeight="1">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5"/>
      <c r="AB779" s="5"/>
      <c r="AC779" s="5"/>
      <c r="AD779" s="5"/>
    </row>
    <row r="780" spans="1:30" ht="19.5" customHeight="1">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5"/>
      <c r="AB780" s="5"/>
      <c r="AC780" s="5"/>
      <c r="AD780" s="5"/>
    </row>
    <row r="781" spans="1:30" ht="19.5" customHeight="1">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5"/>
      <c r="AB781" s="5"/>
      <c r="AC781" s="5"/>
      <c r="AD781" s="5"/>
    </row>
    <row r="782" spans="1:30" ht="19.5" customHeight="1">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5"/>
      <c r="AB782" s="5"/>
      <c r="AC782" s="5"/>
      <c r="AD782" s="5"/>
    </row>
    <row r="783" spans="1:30" ht="19.5" customHeight="1">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5"/>
      <c r="AB783" s="5"/>
      <c r="AC783" s="5"/>
      <c r="AD783" s="5"/>
    </row>
    <row r="784" spans="1:30" ht="19.5" customHeight="1">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5"/>
      <c r="AB784" s="5"/>
      <c r="AC784" s="5"/>
      <c r="AD784" s="5"/>
    </row>
    <row r="785" spans="1:30" ht="19.5" customHeight="1">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5"/>
      <c r="AB785" s="5"/>
      <c r="AC785" s="5"/>
      <c r="AD785" s="5"/>
    </row>
    <row r="786" spans="1:30" ht="19.5" customHeight="1">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5"/>
      <c r="AB786" s="5"/>
      <c r="AC786" s="5"/>
      <c r="AD786" s="5"/>
    </row>
    <row r="787" spans="1:30" ht="19.5" customHeight="1">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5"/>
      <c r="AB787" s="5"/>
      <c r="AC787" s="5"/>
      <c r="AD787" s="5"/>
    </row>
    <row r="788" spans="1:30" ht="19.5" customHeight="1">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5"/>
      <c r="AB788" s="5"/>
      <c r="AC788" s="5"/>
      <c r="AD788" s="5"/>
    </row>
    <row r="789" spans="1:30" ht="19.5" customHeight="1">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5"/>
      <c r="AB789" s="5"/>
      <c r="AC789" s="5"/>
      <c r="AD789" s="5"/>
    </row>
    <row r="790" spans="1:30" ht="19.5" customHeight="1">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5"/>
      <c r="AB790" s="5"/>
      <c r="AC790" s="5"/>
      <c r="AD790" s="5"/>
    </row>
    <row r="791" spans="1:30" ht="19.5" customHeight="1">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5"/>
      <c r="AB791" s="5"/>
      <c r="AC791" s="5"/>
      <c r="AD791" s="5"/>
    </row>
    <row r="792" spans="1:30" ht="19.5" customHeight="1">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5"/>
      <c r="AB792" s="5"/>
      <c r="AC792" s="5"/>
      <c r="AD792" s="5"/>
    </row>
    <row r="793" spans="1:30" ht="19.5" customHeight="1">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5"/>
      <c r="AB793" s="5"/>
      <c r="AC793" s="5"/>
      <c r="AD793" s="5"/>
    </row>
    <row r="794" spans="1:30" ht="19.5" customHeight="1">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5"/>
      <c r="AB794" s="5"/>
      <c r="AC794" s="5"/>
      <c r="AD794" s="5"/>
    </row>
    <row r="795" spans="1:30" ht="19.5" customHeight="1">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5"/>
      <c r="AB795" s="5"/>
      <c r="AC795" s="5"/>
      <c r="AD795" s="5"/>
    </row>
    <row r="796" spans="1:30" ht="19.5" customHeight="1">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5"/>
      <c r="AB796" s="5"/>
      <c r="AC796" s="5"/>
      <c r="AD796" s="5"/>
    </row>
    <row r="797" spans="1:30" ht="19.5" customHeight="1">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5"/>
      <c r="AB797" s="5"/>
      <c r="AC797" s="5"/>
      <c r="AD797" s="5"/>
    </row>
    <row r="798" spans="1:30" ht="19.5" customHeight="1">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5"/>
      <c r="AB798" s="5"/>
      <c r="AC798" s="5"/>
      <c r="AD798" s="5"/>
    </row>
    <row r="799" spans="1:30" ht="19.5" customHeight="1">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5"/>
      <c r="AB799" s="5"/>
      <c r="AC799" s="5"/>
      <c r="AD799" s="5"/>
    </row>
    <row r="800" spans="1:30" ht="19.5" customHeight="1">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5"/>
      <c r="AB800" s="5"/>
      <c r="AC800" s="5"/>
      <c r="AD800" s="5"/>
    </row>
    <row r="801" spans="1:30" ht="19.5" customHeight="1">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5"/>
      <c r="AB801" s="5"/>
      <c r="AC801" s="5"/>
      <c r="AD801" s="5"/>
    </row>
    <row r="802" spans="1:30" ht="19.5" customHeight="1">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5"/>
      <c r="AB802" s="5"/>
      <c r="AC802" s="5"/>
      <c r="AD802" s="5"/>
    </row>
    <row r="803" spans="1:30" ht="19.5" customHeight="1">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5"/>
      <c r="AB803" s="5"/>
      <c r="AC803" s="5"/>
      <c r="AD803" s="5"/>
    </row>
    <row r="804" spans="1:30" ht="19.5" customHeight="1">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5"/>
      <c r="AB804" s="5"/>
      <c r="AC804" s="5"/>
      <c r="AD804" s="5"/>
    </row>
    <row r="805" spans="1:30" ht="19.5" customHeight="1">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5"/>
      <c r="AB805" s="5"/>
      <c r="AC805" s="5"/>
      <c r="AD805" s="5"/>
    </row>
    <row r="806" spans="1:30" ht="19.5" customHeight="1">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5"/>
      <c r="AB806" s="5"/>
      <c r="AC806" s="5"/>
      <c r="AD806" s="5"/>
    </row>
    <row r="807" spans="1:30" ht="19.5" customHeight="1">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5"/>
      <c r="AB807" s="5"/>
      <c r="AC807" s="5"/>
      <c r="AD807" s="5"/>
    </row>
    <row r="808" spans="1:30" ht="19.5" customHeight="1">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5"/>
      <c r="AB808" s="5"/>
      <c r="AC808" s="5"/>
      <c r="AD808" s="5"/>
    </row>
    <row r="809" spans="1:30" ht="19.5" customHeight="1">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5"/>
      <c r="AB809" s="5"/>
      <c r="AC809" s="5"/>
      <c r="AD809" s="5"/>
    </row>
    <row r="810" spans="1:30" ht="19.5" customHeight="1">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5"/>
      <c r="AB810" s="5"/>
      <c r="AC810" s="5"/>
      <c r="AD810" s="5"/>
    </row>
    <row r="811" spans="1:30" ht="19.5" customHeight="1">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5"/>
      <c r="AB811" s="5"/>
      <c r="AC811" s="5"/>
      <c r="AD811" s="5"/>
    </row>
    <row r="812" spans="1:30" ht="19.5" customHeight="1">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5"/>
      <c r="AB812" s="5"/>
      <c r="AC812" s="5"/>
      <c r="AD812" s="5"/>
    </row>
    <row r="813" spans="1:30" ht="19.5" customHeight="1">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5"/>
      <c r="AB813" s="5"/>
      <c r="AC813" s="5"/>
      <c r="AD813" s="5"/>
    </row>
    <row r="814" spans="1:30" ht="19.5" customHeight="1">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5"/>
      <c r="AB814" s="5"/>
      <c r="AC814" s="5"/>
      <c r="AD814" s="5"/>
    </row>
    <row r="815" spans="1:30" ht="19.5" customHeight="1">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5"/>
      <c r="AB815" s="5"/>
      <c r="AC815" s="5"/>
      <c r="AD815" s="5"/>
    </row>
    <row r="816" spans="1:30" ht="19.5" customHeight="1">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5"/>
      <c r="AB816" s="5"/>
      <c r="AC816" s="5"/>
      <c r="AD816" s="5"/>
    </row>
    <row r="817" spans="1:30" ht="19.5" customHeight="1">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5"/>
      <c r="AB817" s="5"/>
      <c r="AC817" s="5"/>
      <c r="AD817" s="5"/>
    </row>
    <row r="818" spans="1:30" ht="19.5" customHeight="1">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5"/>
      <c r="AB818" s="5"/>
      <c r="AC818" s="5"/>
      <c r="AD818" s="5"/>
    </row>
    <row r="819" spans="1:30" ht="19.5" customHeight="1">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5"/>
      <c r="AB819" s="5"/>
      <c r="AC819" s="5"/>
      <c r="AD819" s="5"/>
    </row>
    <row r="820" spans="1:30" ht="19.5" customHeight="1">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5"/>
      <c r="AB820" s="5"/>
      <c r="AC820" s="5"/>
      <c r="AD820" s="5"/>
    </row>
    <row r="821" spans="1:30" ht="19.5" customHeight="1">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5"/>
      <c r="AB821" s="5"/>
      <c r="AC821" s="5"/>
      <c r="AD821" s="5"/>
    </row>
    <row r="822" spans="1:30" ht="19.5" customHeight="1">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5"/>
      <c r="AB822" s="5"/>
      <c r="AC822" s="5"/>
      <c r="AD822" s="5"/>
    </row>
    <row r="823" spans="1:30" ht="19.5" customHeight="1">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5"/>
      <c r="AB823" s="5"/>
      <c r="AC823" s="5"/>
      <c r="AD823" s="5"/>
    </row>
    <row r="824" spans="1:30" ht="19.5" customHeight="1">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5"/>
      <c r="AB824" s="5"/>
      <c r="AC824" s="5"/>
      <c r="AD824" s="5"/>
    </row>
    <row r="825" spans="1:30" ht="19.5" customHeight="1">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5"/>
      <c r="AB825" s="5"/>
      <c r="AC825" s="5"/>
      <c r="AD825" s="5"/>
    </row>
    <row r="826" spans="1:30" ht="19.5" customHeight="1">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5"/>
      <c r="AB826" s="5"/>
      <c r="AC826" s="5"/>
      <c r="AD826" s="5"/>
    </row>
    <row r="827" spans="1:30" ht="19.5" customHeight="1">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5"/>
      <c r="AB827" s="5"/>
      <c r="AC827" s="5"/>
      <c r="AD827" s="5"/>
    </row>
    <row r="828" spans="1:30" ht="19.5" customHeight="1">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5"/>
      <c r="AB828" s="5"/>
      <c r="AC828" s="5"/>
      <c r="AD828" s="5"/>
    </row>
    <row r="829" spans="1:30" ht="19.5" customHeight="1">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5"/>
      <c r="AB829" s="5"/>
      <c r="AC829" s="5"/>
      <c r="AD829" s="5"/>
    </row>
    <row r="830" spans="1:30" ht="19.5" customHeight="1">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5"/>
      <c r="AB830" s="5"/>
      <c r="AC830" s="5"/>
      <c r="AD830" s="5"/>
    </row>
    <row r="831" spans="1:30" ht="19.5" customHeight="1">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5"/>
      <c r="AB831" s="5"/>
      <c r="AC831" s="5"/>
      <c r="AD831" s="5"/>
    </row>
    <row r="832" spans="1:30" ht="19.5" customHeight="1">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5"/>
      <c r="AB832" s="5"/>
      <c r="AC832" s="5"/>
      <c r="AD832" s="5"/>
    </row>
    <row r="833" spans="1:30" ht="19.5" customHeight="1">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5"/>
      <c r="AB833" s="5"/>
      <c r="AC833" s="5"/>
      <c r="AD833" s="5"/>
    </row>
    <row r="834" spans="1:30" ht="19.5" customHeight="1">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5"/>
      <c r="AB834" s="5"/>
      <c r="AC834" s="5"/>
      <c r="AD834" s="5"/>
    </row>
    <row r="835" spans="1:30" ht="19.5" customHeight="1">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5"/>
      <c r="AB835" s="5"/>
      <c r="AC835" s="5"/>
      <c r="AD835" s="5"/>
    </row>
    <row r="836" spans="1:30" ht="19.5" customHeight="1">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5"/>
      <c r="AB836" s="5"/>
      <c r="AC836" s="5"/>
      <c r="AD836" s="5"/>
    </row>
    <row r="837" spans="1:30" ht="19.5" customHeight="1">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5"/>
      <c r="AB837" s="5"/>
      <c r="AC837" s="5"/>
      <c r="AD837" s="5"/>
    </row>
    <row r="838" spans="1:30" ht="19.5" customHeight="1">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5"/>
      <c r="AB838" s="5"/>
      <c r="AC838" s="5"/>
      <c r="AD838" s="5"/>
    </row>
    <row r="839" spans="1:30" ht="19.5" customHeight="1">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5"/>
      <c r="AB839" s="5"/>
      <c r="AC839" s="5"/>
      <c r="AD839" s="5"/>
    </row>
    <row r="840" spans="1:30" ht="19.5" customHeight="1">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5"/>
      <c r="AB840" s="5"/>
      <c r="AC840" s="5"/>
      <c r="AD840" s="5"/>
    </row>
    <row r="841" spans="1:30" ht="19.5" customHeight="1">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5"/>
      <c r="AB841" s="5"/>
      <c r="AC841" s="5"/>
      <c r="AD841" s="5"/>
    </row>
    <row r="842" spans="1:30" ht="19.5" customHeight="1">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5"/>
      <c r="AB842" s="5"/>
      <c r="AC842" s="5"/>
      <c r="AD842" s="5"/>
    </row>
    <row r="843" spans="1:30" ht="19.5" customHeight="1">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5"/>
      <c r="AB843" s="5"/>
      <c r="AC843" s="5"/>
      <c r="AD843" s="5"/>
    </row>
    <row r="844" spans="1:30" ht="19.5" customHeight="1">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5"/>
      <c r="AB844" s="5"/>
      <c r="AC844" s="5"/>
      <c r="AD844" s="5"/>
    </row>
    <row r="845" spans="1:30" ht="19.5" customHeight="1">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5"/>
      <c r="AB845" s="5"/>
      <c r="AC845" s="5"/>
      <c r="AD845" s="5"/>
    </row>
    <row r="846" spans="1:30" ht="19.5" customHeight="1">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5"/>
      <c r="AB846" s="5"/>
      <c r="AC846" s="5"/>
      <c r="AD846" s="5"/>
    </row>
    <row r="847" spans="1:30" ht="19.5" customHeight="1">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5"/>
      <c r="AB847" s="5"/>
      <c r="AC847" s="5"/>
      <c r="AD847" s="5"/>
    </row>
    <row r="848" spans="1:30" ht="19.5" customHeight="1">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5"/>
      <c r="AB848" s="5"/>
      <c r="AC848" s="5"/>
      <c r="AD848" s="5"/>
    </row>
    <row r="849" spans="1:30" ht="19.5" customHeight="1">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5"/>
      <c r="AB849" s="5"/>
      <c r="AC849" s="5"/>
      <c r="AD849" s="5"/>
    </row>
    <row r="850" spans="1:30" ht="19.5" customHeight="1">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5"/>
      <c r="AB850" s="5"/>
      <c r="AC850" s="5"/>
      <c r="AD850" s="5"/>
    </row>
    <row r="851" spans="1:30" ht="19.5" customHeight="1">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5"/>
      <c r="AB851" s="5"/>
      <c r="AC851" s="5"/>
      <c r="AD851" s="5"/>
    </row>
    <row r="852" spans="1:30" ht="19.5" customHeight="1">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5"/>
      <c r="AB852" s="5"/>
      <c r="AC852" s="5"/>
      <c r="AD852" s="5"/>
    </row>
    <row r="853" spans="1:30" ht="19.5" customHeight="1">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5"/>
      <c r="AB853" s="5"/>
      <c r="AC853" s="5"/>
      <c r="AD853" s="5"/>
    </row>
    <row r="854" spans="1:30" ht="19.5" customHeight="1">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5"/>
      <c r="AB854" s="5"/>
      <c r="AC854" s="5"/>
      <c r="AD854" s="5"/>
    </row>
    <row r="855" spans="1:30" ht="19.5" customHeight="1">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5"/>
      <c r="AB855" s="5"/>
      <c r="AC855" s="5"/>
      <c r="AD855" s="5"/>
    </row>
    <row r="856" spans="1:30" ht="19.5" customHeight="1">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5"/>
      <c r="AB856" s="5"/>
      <c r="AC856" s="5"/>
      <c r="AD856" s="5"/>
    </row>
    <row r="857" spans="1:30" ht="19.5" customHeight="1">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5"/>
      <c r="AB857" s="5"/>
      <c r="AC857" s="5"/>
      <c r="AD857" s="5"/>
    </row>
    <row r="858" spans="1:30" ht="19.5" customHeight="1">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5"/>
      <c r="AB858" s="5"/>
      <c r="AC858" s="5"/>
      <c r="AD858" s="5"/>
    </row>
    <row r="859" spans="1:30" ht="19.5" customHeight="1">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5"/>
      <c r="AB859" s="5"/>
      <c r="AC859" s="5"/>
      <c r="AD859" s="5"/>
    </row>
    <row r="860" spans="1:30" ht="19.5" customHeight="1">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5"/>
      <c r="AB860" s="5"/>
      <c r="AC860" s="5"/>
      <c r="AD860" s="5"/>
    </row>
    <row r="861" spans="1:30" ht="19.5" customHeight="1">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5"/>
      <c r="AB861" s="5"/>
      <c r="AC861" s="5"/>
      <c r="AD861" s="5"/>
    </row>
    <row r="862" spans="1:30" ht="19.5" customHeight="1">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5"/>
      <c r="AB862" s="5"/>
      <c r="AC862" s="5"/>
      <c r="AD862" s="5"/>
    </row>
    <row r="863" spans="1:30" ht="19.5" customHeight="1">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5"/>
      <c r="AB863" s="5"/>
      <c r="AC863" s="5"/>
      <c r="AD863" s="5"/>
    </row>
    <row r="864" spans="1:30" ht="19.5" customHeight="1">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5"/>
      <c r="AB864" s="5"/>
      <c r="AC864" s="5"/>
      <c r="AD864" s="5"/>
    </row>
    <row r="865" spans="1:30" ht="19.5" customHeight="1">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5"/>
      <c r="AB865" s="5"/>
      <c r="AC865" s="5"/>
      <c r="AD865" s="5"/>
    </row>
    <row r="866" spans="1:30" ht="19.5" customHeight="1">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5"/>
      <c r="AB866" s="5"/>
      <c r="AC866" s="5"/>
      <c r="AD866" s="5"/>
    </row>
    <row r="867" spans="1:30" ht="19.5" customHeight="1">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5"/>
      <c r="AB867" s="5"/>
      <c r="AC867" s="5"/>
      <c r="AD867" s="5"/>
    </row>
    <row r="868" spans="1:30" ht="19.5" customHeight="1">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5"/>
      <c r="AB868" s="5"/>
      <c r="AC868" s="5"/>
      <c r="AD868" s="5"/>
    </row>
    <row r="869" spans="1:30" ht="19.5" customHeight="1">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5"/>
      <c r="AB869" s="5"/>
      <c r="AC869" s="5"/>
      <c r="AD869" s="5"/>
    </row>
    <row r="870" spans="1:30" ht="19.5" customHeight="1">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5"/>
      <c r="AB870" s="5"/>
      <c r="AC870" s="5"/>
      <c r="AD870" s="5"/>
    </row>
    <row r="871" spans="1:30" ht="19.5" customHeight="1">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5"/>
      <c r="AB871" s="5"/>
      <c r="AC871" s="5"/>
      <c r="AD871" s="5"/>
    </row>
    <row r="872" spans="1:30" ht="19.5" customHeight="1">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5"/>
      <c r="AB872" s="5"/>
      <c r="AC872" s="5"/>
      <c r="AD872" s="5"/>
    </row>
    <row r="873" spans="1:30" ht="19.5" customHeight="1">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5"/>
      <c r="AB873" s="5"/>
      <c r="AC873" s="5"/>
      <c r="AD873" s="5"/>
    </row>
    <row r="874" spans="1:30" ht="19.5" customHeight="1">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5"/>
      <c r="AB874" s="5"/>
      <c r="AC874" s="5"/>
      <c r="AD874" s="5"/>
    </row>
    <row r="875" spans="1:30" ht="19.5" customHeight="1">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5"/>
      <c r="AB875" s="5"/>
      <c r="AC875" s="5"/>
      <c r="AD875" s="5"/>
    </row>
    <row r="876" spans="1:30" ht="19.5" customHeight="1">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5"/>
      <c r="AB876" s="5"/>
      <c r="AC876" s="5"/>
      <c r="AD876" s="5"/>
    </row>
    <row r="877" spans="1:30" ht="19.5" customHeight="1">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5"/>
      <c r="AB877" s="5"/>
      <c r="AC877" s="5"/>
      <c r="AD877" s="5"/>
    </row>
    <row r="878" spans="1:30" ht="19.5" customHeight="1">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5"/>
      <c r="AB878" s="5"/>
      <c r="AC878" s="5"/>
      <c r="AD878" s="5"/>
    </row>
    <row r="879" spans="1:30" ht="19.5" customHeight="1">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5"/>
      <c r="AB879" s="5"/>
      <c r="AC879" s="5"/>
      <c r="AD879" s="5"/>
    </row>
    <row r="880" spans="1:30" ht="19.5" customHeight="1">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5"/>
      <c r="AB880" s="5"/>
      <c r="AC880" s="5"/>
      <c r="AD880" s="5"/>
    </row>
    <row r="881" spans="1:30" ht="19.5" customHeight="1">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5"/>
      <c r="AB881" s="5"/>
      <c r="AC881" s="5"/>
      <c r="AD881" s="5"/>
    </row>
    <row r="882" spans="1:30" ht="19.5" customHeight="1">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5"/>
      <c r="AB882" s="5"/>
      <c r="AC882" s="5"/>
      <c r="AD882" s="5"/>
    </row>
    <row r="883" spans="1:30" ht="19.5" customHeight="1">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5"/>
      <c r="AB883" s="5"/>
      <c r="AC883" s="5"/>
      <c r="AD883" s="5"/>
    </row>
    <row r="884" spans="1:30" ht="19.5" customHeight="1">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5"/>
      <c r="AB884" s="5"/>
      <c r="AC884" s="5"/>
      <c r="AD884" s="5"/>
    </row>
    <row r="885" spans="1:30" ht="19.5" customHeight="1">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5"/>
      <c r="AB885" s="5"/>
      <c r="AC885" s="5"/>
      <c r="AD885" s="5"/>
    </row>
    <row r="886" spans="1:30" ht="19.5" customHeight="1">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5"/>
      <c r="AB886" s="5"/>
      <c r="AC886" s="5"/>
      <c r="AD886" s="5"/>
    </row>
    <row r="887" spans="1:30" ht="19.5" customHeight="1">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5"/>
      <c r="AB887" s="5"/>
      <c r="AC887" s="5"/>
      <c r="AD887" s="5"/>
    </row>
    <row r="888" spans="1:30" ht="19.5" customHeight="1">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5"/>
      <c r="AB888" s="5"/>
      <c r="AC888" s="5"/>
      <c r="AD888" s="5"/>
    </row>
    <row r="889" spans="1:30" ht="19.5" customHeight="1">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5"/>
      <c r="AB889" s="5"/>
      <c r="AC889" s="5"/>
      <c r="AD889" s="5"/>
    </row>
    <row r="890" spans="1:30" ht="19.5" customHeight="1">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5"/>
      <c r="AB890" s="5"/>
      <c r="AC890" s="5"/>
      <c r="AD890" s="5"/>
    </row>
    <row r="891" spans="1:30" ht="19.5" customHeight="1">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5"/>
      <c r="AB891" s="5"/>
      <c r="AC891" s="5"/>
      <c r="AD891" s="5"/>
    </row>
    <row r="892" spans="1:30" ht="19.5" customHeight="1">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5"/>
      <c r="AB892" s="5"/>
      <c r="AC892" s="5"/>
      <c r="AD892" s="5"/>
    </row>
    <row r="893" spans="1:30" ht="19.5" customHeight="1">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5"/>
      <c r="AB893" s="5"/>
      <c r="AC893" s="5"/>
      <c r="AD893" s="5"/>
    </row>
    <row r="894" spans="1:30" ht="19.5" customHeight="1">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5"/>
      <c r="AB894" s="5"/>
      <c r="AC894" s="5"/>
      <c r="AD894" s="5"/>
    </row>
    <row r="895" spans="1:30" ht="19.5" customHeight="1">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5"/>
      <c r="AB895" s="5"/>
      <c r="AC895" s="5"/>
      <c r="AD895" s="5"/>
    </row>
    <row r="896" spans="1:30" ht="19.5" customHeight="1">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5"/>
      <c r="AB896" s="5"/>
      <c r="AC896" s="5"/>
      <c r="AD896" s="5"/>
    </row>
    <row r="897" spans="1:30" ht="19.5" customHeight="1">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5"/>
      <c r="AB897" s="5"/>
      <c r="AC897" s="5"/>
      <c r="AD897" s="5"/>
    </row>
    <row r="898" spans="1:30" ht="19.5" customHeight="1">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5"/>
      <c r="AB898" s="5"/>
      <c r="AC898" s="5"/>
      <c r="AD898" s="5"/>
    </row>
    <row r="899" spans="1:30" ht="19.5" customHeight="1">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5"/>
      <c r="AB899" s="5"/>
      <c r="AC899" s="5"/>
      <c r="AD899" s="5"/>
    </row>
    <row r="900" spans="1:30" ht="19.5" customHeight="1">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5"/>
      <c r="AB900" s="5"/>
      <c r="AC900" s="5"/>
      <c r="AD900" s="5"/>
    </row>
    <row r="901" spans="1:30" ht="19.5" customHeight="1">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5"/>
      <c r="AB901" s="5"/>
      <c r="AC901" s="5"/>
      <c r="AD901" s="5"/>
    </row>
    <row r="902" spans="1:30" ht="19.5" customHeight="1">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5"/>
      <c r="AB902" s="5"/>
      <c r="AC902" s="5"/>
      <c r="AD902" s="5"/>
    </row>
    <row r="903" spans="1:30" ht="19.5" customHeight="1">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5"/>
      <c r="AB903" s="5"/>
      <c r="AC903" s="5"/>
      <c r="AD903" s="5"/>
    </row>
    <row r="904" spans="1:30" ht="19.5" customHeight="1">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5"/>
      <c r="AB904" s="5"/>
      <c r="AC904" s="5"/>
      <c r="AD904" s="5"/>
    </row>
    <row r="905" spans="1:30" ht="19.5" customHeight="1">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5"/>
      <c r="AB905" s="5"/>
      <c r="AC905" s="5"/>
      <c r="AD905" s="5"/>
    </row>
    <row r="906" spans="1:30" ht="19.5" customHeight="1">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5"/>
      <c r="AB906" s="5"/>
      <c r="AC906" s="5"/>
      <c r="AD906" s="5"/>
    </row>
    <row r="907" spans="1:30" ht="19.5" customHeight="1">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5"/>
      <c r="AB907" s="5"/>
      <c r="AC907" s="5"/>
      <c r="AD907" s="5"/>
    </row>
    <row r="908" spans="1:30" ht="19.5" customHeight="1">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5"/>
      <c r="AB908" s="5"/>
      <c r="AC908" s="5"/>
      <c r="AD908" s="5"/>
    </row>
    <row r="909" spans="1:30" ht="19.5" customHeight="1">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5"/>
      <c r="AB909" s="5"/>
      <c r="AC909" s="5"/>
      <c r="AD909" s="5"/>
    </row>
    <row r="910" spans="1:30" ht="19.5" customHeight="1">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5"/>
      <c r="AB910" s="5"/>
      <c r="AC910" s="5"/>
      <c r="AD910" s="5"/>
    </row>
    <row r="911" spans="1:30" ht="19.5" customHeight="1">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5"/>
      <c r="AB911" s="5"/>
      <c r="AC911" s="5"/>
      <c r="AD911" s="5"/>
    </row>
    <row r="912" spans="1:30" ht="19.5" customHeight="1">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5"/>
      <c r="AB912" s="5"/>
      <c r="AC912" s="5"/>
      <c r="AD912" s="5"/>
    </row>
    <row r="913" spans="1:30" ht="19.5" customHeight="1">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5"/>
      <c r="AB913" s="5"/>
      <c r="AC913" s="5"/>
      <c r="AD913" s="5"/>
    </row>
  </sheetData>
  <autoFilter ref="A1:AD534" xr:uid="{00000000-0009-0000-0000-000001000000}"/>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xr:uid="{00000000-0002-0000-0100-000000000000}">
          <x14:formula1>
            <xm:f>list!$B$2:$B$14</xm:f>
          </x14:formula1>
          <xm:sqref>H2:H6 H8 H11:H21 H24 H26:H31 H33 H35:H43 H45:H64 H66:H80 H82:H95 H98 H100:H108 H110:H122 H124:H126 H128:H129 H131:H170 H172:H180 H182 H185:H192 H194:H222 H224:H230 H232:H259 H261:H321 H323 H325:H344 H346:H351 H354:H357 H359:H364 H366:H370 H372:H373 H375:H382 H384:H385 H387 H389:H390 H392:H393 H397:H402 H404:H414 H416:H431 H433:H480 H483 H485:H486 H488:H511 H513:H534</xm:sqref>
        </x14:dataValidation>
        <x14:dataValidation type="list" allowBlank="1" xr:uid="{00000000-0002-0000-0100-000001000000}">
          <x14:formula1>
            <xm:f>list!$A$18:$A$19</xm:f>
          </x14:formula1>
          <xm:sqref>F2:F913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00FF"/>
    <outlinePr summaryBelow="0" summaryRight="0"/>
  </sheetPr>
  <dimension ref="A1:G16"/>
  <sheetViews>
    <sheetView workbookViewId="0"/>
  </sheetViews>
  <sheetFormatPr defaultColWidth="12.625" defaultRowHeight="15" customHeight="1"/>
  <cols>
    <col min="1" max="1" width="39.625" customWidth="1"/>
    <col min="3" max="3" width="12.5" customWidth="1"/>
    <col min="5" max="5" width="20" customWidth="1"/>
    <col min="6" max="6" width="17.375" customWidth="1"/>
    <col min="7" max="7" width="19.125" customWidth="1"/>
  </cols>
  <sheetData>
    <row r="1" spans="1:7">
      <c r="A1" s="134" t="str">
        <f ca="1">IFERROR(__xludf.DUMMYFUNCTION("query('Data Set'!1:99989, ""Select A,B,G,Y,Z,AA,AB Where B = 'Hickory Creek'"",1)"),"Facility")</f>
        <v>Facility</v>
      </c>
      <c r="B1" s="134" t="str">
        <f ca="1">IFERROR(__xludf.DUMMYFUNCTION("""COMPUTED_VALUE"""),"Corporation")</f>
        <v>Corporation</v>
      </c>
      <c r="C1" s="134" t="str">
        <f ca="1">IFERROR(__xludf.DUMMYFUNCTION("""COMPUTED_VALUE"""),"Number of Staff")</f>
        <v>Number of Staff</v>
      </c>
      <c r="D1" s="134" t="str">
        <f ca="1">IFERROR(__xludf.DUMMYFUNCTION("""COMPUTED_VALUE"""),"Address 1")</f>
        <v>Address 1</v>
      </c>
      <c r="E1" s="134" t="str">
        <f ca="1">IFERROR(__xludf.DUMMYFUNCTION("""COMPUTED_VALUE"""),"Address 2")</f>
        <v>Address 2</v>
      </c>
      <c r="F1" s="134" t="str">
        <f ca="1">IFERROR(__xludf.DUMMYFUNCTION("""COMPUTED_VALUE"""),"Kit delivery and pickup")</f>
        <v>Kit delivery and pickup</v>
      </c>
      <c r="G1" s="134" t="str">
        <f ca="1">IFERROR(__xludf.DUMMYFUNCTION("""COMPUTED_VALUE"""),"Require Training of Staff?")</f>
        <v>Require Training of Staff?</v>
      </c>
    </row>
    <row r="2" spans="1:7">
      <c r="A2" s="134" t="str">
        <f ca="1">IFERROR(__xludf.DUMMYFUNCTION("""COMPUTED_VALUE"""),"Hickory Creek At Columbus")</f>
        <v>Hickory Creek At Columbus</v>
      </c>
      <c r="B2" s="134" t="str">
        <f ca="1">IFERROR(__xludf.DUMMYFUNCTION("""COMPUTED_VALUE"""),"Hickory Creek")</f>
        <v>Hickory Creek</v>
      </c>
      <c r="C2" s="134">
        <f ca="1">IFERROR(__xludf.DUMMYFUNCTION("""COMPUTED_VALUE"""),40)</f>
        <v>40</v>
      </c>
      <c r="D2" s="134" t="str">
        <f ca="1">IFERROR(__xludf.DUMMYFUNCTION("""COMPUTED_VALUE"""),"   5480 E 25Th Street")</f>
        <v xml:space="preserve">   5480 E 25Th Street</v>
      </c>
      <c r="E2" s="134" t="str">
        <f ca="1">IFERROR(__xludf.DUMMYFUNCTION("""COMPUTED_VALUE"""),"   Columbus, In 47203")</f>
        <v xml:space="preserve">   Columbus, In 47203</v>
      </c>
      <c r="F2" s="134" t="str">
        <f ca="1">IFERROR(__xludf.DUMMYFUNCTION("""COMPUTED_VALUE"""),"Kit delivery and pickup")</f>
        <v>Kit delivery and pickup</v>
      </c>
      <c r="G2" s="134" t="str">
        <f ca="1">IFERROR(__xludf.DUMMYFUNCTION("""COMPUTED_VALUE"""),"no")</f>
        <v>no</v>
      </c>
    </row>
    <row r="3" spans="1:7">
      <c r="A3" s="134" t="str">
        <f ca="1">IFERROR(__xludf.DUMMYFUNCTION("""COMPUTED_VALUE"""),"Hickory Creek At Connersville")</f>
        <v>Hickory Creek At Connersville</v>
      </c>
      <c r="B3" s="134" t="str">
        <f ca="1">IFERROR(__xludf.DUMMYFUNCTION("""COMPUTED_VALUE"""),"Hickory Creek")</f>
        <v>Hickory Creek</v>
      </c>
      <c r="C3" s="134">
        <f ca="1">IFERROR(__xludf.DUMMYFUNCTION("""COMPUTED_VALUE"""),38)</f>
        <v>38</v>
      </c>
      <c r="D3" s="134" t="str">
        <f ca="1">IFERROR(__xludf.DUMMYFUNCTION("""COMPUTED_VALUE"""),"   2600 N Grand Ave")</f>
        <v xml:space="preserve">   2600 N Grand Ave</v>
      </c>
      <c r="E3" s="134" t="str">
        <f ca="1">IFERROR(__xludf.DUMMYFUNCTION("""COMPUTED_VALUE"""),"   Connersville, In 47331")</f>
        <v xml:space="preserve">   Connersville, In 47331</v>
      </c>
      <c r="F3" s="134" t="str">
        <f ca="1">IFERROR(__xludf.DUMMYFUNCTION("""COMPUTED_VALUE"""),"Kit delivery and pickup")</f>
        <v>Kit delivery and pickup</v>
      </c>
      <c r="G3" s="134" t="str">
        <f ca="1">IFERROR(__xludf.DUMMYFUNCTION("""COMPUTED_VALUE"""),"no")</f>
        <v>no</v>
      </c>
    </row>
    <row r="4" spans="1:7">
      <c r="A4" s="134" t="str">
        <f ca="1">IFERROR(__xludf.DUMMYFUNCTION("""COMPUTED_VALUE"""),"Hickory Creek At Crawfordsville")</f>
        <v>Hickory Creek At Crawfordsville</v>
      </c>
      <c r="B4" s="134" t="str">
        <f ca="1">IFERROR(__xludf.DUMMYFUNCTION("""COMPUTED_VALUE"""),"Hickory Creek")</f>
        <v>Hickory Creek</v>
      </c>
      <c r="C4" s="134">
        <f ca="1">IFERROR(__xludf.DUMMYFUNCTION("""COMPUTED_VALUE"""),37)</f>
        <v>37</v>
      </c>
      <c r="D4" s="134" t="str">
        <f ca="1">IFERROR(__xludf.DUMMYFUNCTION("""COMPUTED_VALUE"""),"   817 N Whitlock Ave")</f>
        <v xml:space="preserve">   817 N Whitlock Ave</v>
      </c>
      <c r="E4" s="134" t="str">
        <f ca="1">IFERROR(__xludf.DUMMYFUNCTION("""COMPUTED_VALUE"""),"   Crawfordsville, In 47933")</f>
        <v xml:space="preserve">   Crawfordsville, In 47933</v>
      </c>
      <c r="F4" s="134" t="str">
        <f ca="1">IFERROR(__xludf.DUMMYFUNCTION("""COMPUTED_VALUE"""),"Kit delivery and pickup")</f>
        <v>Kit delivery and pickup</v>
      </c>
      <c r="G4" s="134" t="str">
        <f ca="1">IFERROR(__xludf.DUMMYFUNCTION("""COMPUTED_VALUE"""),"no")</f>
        <v>no</v>
      </c>
    </row>
    <row r="5" spans="1:7">
      <c r="A5" s="134" t="str">
        <f ca="1">IFERROR(__xludf.DUMMYFUNCTION("""COMPUTED_VALUE"""),"Hickory Creek At Franklin")</f>
        <v>Hickory Creek At Franklin</v>
      </c>
      <c r="B5" s="134" t="str">
        <f ca="1">IFERROR(__xludf.DUMMYFUNCTION("""COMPUTED_VALUE"""),"Hickory Creek")</f>
        <v>Hickory Creek</v>
      </c>
      <c r="C5" s="134">
        <f ca="1">IFERROR(__xludf.DUMMYFUNCTION("""COMPUTED_VALUE"""),25)</f>
        <v>25</v>
      </c>
      <c r="D5" s="134" t="str">
        <f ca="1">IFERROR(__xludf.DUMMYFUNCTION("""COMPUTED_VALUE"""),"   580 Lemley Street")</f>
        <v xml:space="preserve">   580 Lemley Street</v>
      </c>
      <c r="E5" s="134" t="str">
        <f ca="1">IFERROR(__xludf.DUMMYFUNCTION("""COMPUTED_VALUE"""),"   Franklin, In 46131")</f>
        <v xml:space="preserve">   Franklin, In 46131</v>
      </c>
      <c r="F5" s="134" t="str">
        <f ca="1">IFERROR(__xludf.DUMMYFUNCTION("""COMPUTED_VALUE"""),"Kit delivery and pickup")</f>
        <v>Kit delivery and pickup</v>
      </c>
      <c r="G5" s="134" t="str">
        <f ca="1">IFERROR(__xludf.DUMMYFUNCTION("""COMPUTED_VALUE"""),"no")</f>
        <v>no</v>
      </c>
    </row>
    <row r="6" spans="1:7">
      <c r="A6" s="134" t="str">
        <f ca="1">IFERROR(__xludf.DUMMYFUNCTION("""COMPUTED_VALUE"""),"Hickory Creek At Greensburg")</f>
        <v>Hickory Creek At Greensburg</v>
      </c>
      <c r="B6" s="134" t="str">
        <f ca="1">IFERROR(__xludf.DUMMYFUNCTION("""COMPUTED_VALUE"""),"Hickory Creek")</f>
        <v>Hickory Creek</v>
      </c>
      <c r="C6" s="134">
        <f ca="1">IFERROR(__xludf.DUMMYFUNCTION("""COMPUTED_VALUE"""),35)</f>
        <v>35</v>
      </c>
      <c r="D6" s="134" t="str">
        <f ca="1">IFERROR(__xludf.DUMMYFUNCTION("""COMPUTED_VALUE"""),"   1620 N Lincoln St")</f>
        <v xml:space="preserve">   1620 N Lincoln St</v>
      </c>
      <c r="E6" s="134" t="str">
        <f ca="1">IFERROR(__xludf.DUMMYFUNCTION("""COMPUTED_VALUE"""),"   Greensburg, In 47240")</f>
        <v xml:space="preserve">   Greensburg, In 47240</v>
      </c>
      <c r="F6" s="134" t="str">
        <f ca="1">IFERROR(__xludf.DUMMYFUNCTION("""COMPUTED_VALUE"""),"Kit delivery and pickup")</f>
        <v>Kit delivery and pickup</v>
      </c>
      <c r="G6" s="134" t="str">
        <f ca="1">IFERROR(__xludf.DUMMYFUNCTION("""COMPUTED_VALUE"""),"no")</f>
        <v>no</v>
      </c>
    </row>
    <row r="7" spans="1:7">
      <c r="A7" s="134" t="str">
        <f ca="1">IFERROR(__xludf.DUMMYFUNCTION("""COMPUTED_VALUE"""),"Hickory Creek At Huntington")</f>
        <v>Hickory Creek At Huntington</v>
      </c>
      <c r="B7" s="134" t="str">
        <f ca="1">IFERROR(__xludf.DUMMYFUNCTION("""COMPUTED_VALUE"""),"Hickory Creek")</f>
        <v>Hickory Creek</v>
      </c>
      <c r="C7" s="134">
        <f ca="1">IFERROR(__xludf.DUMMYFUNCTION("""COMPUTED_VALUE"""),31)</f>
        <v>31</v>
      </c>
      <c r="D7" s="134" t="str">
        <f ca="1">IFERROR(__xludf.DUMMYFUNCTION("""COMPUTED_VALUE"""),"   1425 Grant St")</f>
        <v xml:space="preserve">   1425 Grant St</v>
      </c>
      <c r="E7" s="134" t="str">
        <f ca="1">IFERROR(__xludf.DUMMYFUNCTION("""COMPUTED_VALUE"""),"   Huntington, In 46750")</f>
        <v xml:space="preserve">   Huntington, In 46750</v>
      </c>
      <c r="F7" s="134" t="str">
        <f ca="1">IFERROR(__xludf.DUMMYFUNCTION("""COMPUTED_VALUE"""),"Kit delivery and pickup")</f>
        <v>Kit delivery and pickup</v>
      </c>
      <c r="G7" s="134" t="str">
        <f ca="1">IFERROR(__xludf.DUMMYFUNCTION("""COMPUTED_VALUE"""),"no")</f>
        <v>no</v>
      </c>
    </row>
    <row r="8" spans="1:7">
      <c r="A8" s="134" t="str">
        <f ca="1">IFERROR(__xludf.DUMMYFUNCTION("""COMPUTED_VALUE"""),"Hickory Creek At Kendallville")</f>
        <v>Hickory Creek At Kendallville</v>
      </c>
      <c r="B8" s="134" t="str">
        <f ca="1">IFERROR(__xludf.DUMMYFUNCTION("""COMPUTED_VALUE"""),"Hickory Creek")</f>
        <v>Hickory Creek</v>
      </c>
      <c r="C8" s="134">
        <f ca="1">IFERROR(__xludf.DUMMYFUNCTION("""COMPUTED_VALUE"""),35)</f>
        <v>35</v>
      </c>
      <c r="D8" s="134" t="str">
        <f ca="1">IFERROR(__xludf.DUMMYFUNCTION("""COMPUTED_VALUE"""),"   1433 S Main Street")</f>
        <v xml:space="preserve">   1433 S Main Street</v>
      </c>
      <c r="E8" s="134" t="str">
        <f ca="1">IFERROR(__xludf.DUMMYFUNCTION("""COMPUTED_VALUE"""),"   Kendallville, In 46755")</f>
        <v xml:space="preserve">   Kendallville, In 46755</v>
      </c>
      <c r="F8" s="134" t="str">
        <f ca="1">IFERROR(__xludf.DUMMYFUNCTION("""COMPUTED_VALUE"""),"Kit delivery and pickup")</f>
        <v>Kit delivery and pickup</v>
      </c>
      <c r="G8" s="134" t="str">
        <f ca="1">IFERROR(__xludf.DUMMYFUNCTION("""COMPUTED_VALUE"""),"no")</f>
        <v>no</v>
      </c>
    </row>
    <row r="9" spans="1:7">
      <c r="A9" s="134" t="str">
        <f ca="1">IFERROR(__xludf.DUMMYFUNCTION("""COMPUTED_VALUE"""),"Hickory Creek At Madison")</f>
        <v>Hickory Creek At Madison</v>
      </c>
      <c r="B9" s="134" t="str">
        <f ca="1">IFERROR(__xludf.DUMMYFUNCTION("""COMPUTED_VALUE"""),"Hickory Creek")</f>
        <v>Hickory Creek</v>
      </c>
      <c r="C9" s="134">
        <f ca="1">IFERROR(__xludf.DUMMYFUNCTION("""COMPUTED_VALUE"""),40)</f>
        <v>40</v>
      </c>
      <c r="D9" s="134" t="str">
        <f ca="1">IFERROR(__xludf.DUMMYFUNCTION("""COMPUTED_VALUE"""),"   1945 Cragmont St")</f>
        <v xml:space="preserve">   1945 Cragmont St</v>
      </c>
      <c r="E9" s="134" t="str">
        <f ca="1">IFERROR(__xludf.DUMMYFUNCTION("""COMPUTED_VALUE"""),"   Madison, In 47250")</f>
        <v xml:space="preserve">   Madison, In 47250</v>
      </c>
      <c r="F9" s="134" t="str">
        <f ca="1">IFERROR(__xludf.DUMMYFUNCTION("""COMPUTED_VALUE"""),"Kit delivery and pickup")</f>
        <v>Kit delivery and pickup</v>
      </c>
      <c r="G9" s="134" t="str">
        <f ca="1">IFERROR(__xludf.DUMMYFUNCTION("""COMPUTED_VALUE"""),"no")</f>
        <v>no</v>
      </c>
    </row>
    <row r="10" spans="1:7">
      <c r="A10" s="134" t="str">
        <f ca="1">IFERROR(__xludf.DUMMYFUNCTION("""COMPUTED_VALUE"""),"Hickory Creek At New Castle")</f>
        <v>Hickory Creek At New Castle</v>
      </c>
      <c r="B10" s="134" t="str">
        <f ca="1">IFERROR(__xludf.DUMMYFUNCTION("""COMPUTED_VALUE"""),"Hickory Creek")</f>
        <v>Hickory Creek</v>
      </c>
      <c r="C10" s="134">
        <f ca="1">IFERROR(__xludf.DUMMYFUNCTION("""COMPUTED_VALUE"""),34)</f>
        <v>34</v>
      </c>
      <c r="D10" s="134" t="str">
        <f ca="1">IFERROR(__xludf.DUMMYFUNCTION("""COMPUTED_VALUE"""),"   901 N 16Th Street")</f>
        <v xml:space="preserve">   901 N 16Th Street</v>
      </c>
      <c r="E10" s="134" t="str">
        <f ca="1">IFERROR(__xludf.DUMMYFUNCTION("""COMPUTED_VALUE"""),"   New Castle, In 47362")</f>
        <v xml:space="preserve">   New Castle, In 47362</v>
      </c>
      <c r="F10" s="134" t="str">
        <f ca="1">IFERROR(__xludf.DUMMYFUNCTION("""COMPUTED_VALUE"""),"Kit delivery and pickup")</f>
        <v>Kit delivery and pickup</v>
      </c>
      <c r="G10" s="134" t="str">
        <f ca="1">IFERROR(__xludf.DUMMYFUNCTION("""COMPUTED_VALUE"""),"no")</f>
        <v>no</v>
      </c>
    </row>
    <row r="11" spans="1:7">
      <c r="A11" s="134" t="str">
        <f ca="1">IFERROR(__xludf.DUMMYFUNCTION("""COMPUTED_VALUE"""),"Hickory Creek At Peru")</f>
        <v>Hickory Creek At Peru</v>
      </c>
      <c r="B11" s="134" t="str">
        <f ca="1">IFERROR(__xludf.DUMMYFUNCTION("""COMPUTED_VALUE"""),"Hickory Creek")</f>
        <v>Hickory Creek</v>
      </c>
      <c r="C11" s="134">
        <f ca="1">IFERROR(__xludf.DUMMYFUNCTION("""COMPUTED_VALUE"""),42)</f>
        <v>42</v>
      </c>
      <c r="D11" s="134" t="str">
        <f ca="1">IFERROR(__xludf.DUMMYFUNCTION("""COMPUTED_VALUE"""),"   390 W Boulevard")</f>
        <v xml:space="preserve">   390 W Boulevard</v>
      </c>
      <c r="E11" s="134" t="str">
        <f ca="1">IFERROR(__xludf.DUMMYFUNCTION("""COMPUTED_VALUE"""),"   Peru, In 46970")</f>
        <v xml:space="preserve">   Peru, In 46970</v>
      </c>
      <c r="F11" s="134" t="str">
        <f ca="1">IFERROR(__xludf.DUMMYFUNCTION("""COMPUTED_VALUE"""),"Kit delivery and pickup")</f>
        <v>Kit delivery and pickup</v>
      </c>
      <c r="G11" s="134" t="str">
        <f ca="1">IFERROR(__xludf.DUMMYFUNCTION("""COMPUTED_VALUE"""),"no")</f>
        <v>no</v>
      </c>
    </row>
    <row r="12" spans="1:7">
      <c r="A12" s="134" t="str">
        <f ca="1">IFERROR(__xludf.DUMMYFUNCTION("""COMPUTED_VALUE"""),"Hickory Creek At Rochester")</f>
        <v>Hickory Creek At Rochester</v>
      </c>
      <c r="B12" s="134" t="str">
        <f ca="1">IFERROR(__xludf.DUMMYFUNCTION("""COMPUTED_VALUE"""),"Hickory Creek")</f>
        <v>Hickory Creek</v>
      </c>
      <c r="C12" s="134">
        <f ca="1">IFERROR(__xludf.DUMMYFUNCTION("""COMPUTED_VALUE"""),35)</f>
        <v>35</v>
      </c>
      <c r="D12" s="134" t="str">
        <f ca="1">IFERROR(__xludf.DUMMYFUNCTION("""COMPUTED_VALUE"""),"   340 E 18Th Street")</f>
        <v xml:space="preserve">   340 E 18Th Street</v>
      </c>
      <c r="E12" s="134" t="str">
        <f ca="1">IFERROR(__xludf.DUMMYFUNCTION("""COMPUTED_VALUE"""),"   Rochester, In 46975")</f>
        <v xml:space="preserve">   Rochester, In 46975</v>
      </c>
      <c r="F12" s="134" t="str">
        <f ca="1">IFERROR(__xludf.DUMMYFUNCTION("""COMPUTED_VALUE"""),"Kit delivery and pickup")</f>
        <v>Kit delivery and pickup</v>
      </c>
      <c r="G12" s="134" t="str">
        <f ca="1">IFERROR(__xludf.DUMMYFUNCTION("""COMPUTED_VALUE"""),"no")</f>
        <v>no</v>
      </c>
    </row>
    <row r="13" spans="1:7">
      <c r="A13" s="134" t="str">
        <f ca="1">IFERROR(__xludf.DUMMYFUNCTION("""COMPUTED_VALUE"""),"Hickory Creek At Scottsburg")</f>
        <v>Hickory Creek At Scottsburg</v>
      </c>
      <c r="B13" s="134" t="str">
        <f ca="1">IFERROR(__xludf.DUMMYFUNCTION("""COMPUTED_VALUE"""),"Hickory Creek")</f>
        <v>Hickory Creek</v>
      </c>
      <c r="C13" s="134">
        <f ca="1">IFERROR(__xludf.DUMMYFUNCTION("""COMPUTED_VALUE"""),46)</f>
        <v>46</v>
      </c>
      <c r="D13" s="134" t="str">
        <f ca="1">IFERROR(__xludf.DUMMYFUNCTION("""COMPUTED_VALUE"""),"   1100 N Gardner Ave")</f>
        <v xml:space="preserve">   1100 N Gardner Ave</v>
      </c>
      <c r="E13" s="134" t="str">
        <f ca="1">IFERROR(__xludf.DUMMYFUNCTION("""COMPUTED_VALUE"""),"   Scottsburg, In 47170")</f>
        <v xml:space="preserve">   Scottsburg, In 47170</v>
      </c>
      <c r="F13" s="134" t="str">
        <f ca="1">IFERROR(__xludf.DUMMYFUNCTION("""COMPUTED_VALUE"""),"Kit delivery and pickup")</f>
        <v>Kit delivery and pickup</v>
      </c>
      <c r="G13" s="134" t="str">
        <f ca="1">IFERROR(__xludf.DUMMYFUNCTION("""COMPUTED_VALUE"""),"no")</f>
        <v>no</v>
      </c>
    </row>
    <row r="14" spans="1:7">
      <c r="A14" s="134" t="str">
        <f ca="1">IFERROR(__xludf.DUMMYFUNCTION("""COMPUTED_VALUE"""),"Hickory Creek At Sunset")</f>
        <v>Hickory Creek At Sunset</v>
      </c>
      <c r="B14" s="134" t="str">
        <f ca="1">IFERROR(__xludf.DUMMYFUNCTION("""COMPUTED_VALUE"""),"Hickory Creek")</f>
        <v>Hickory Creek</v>
      </c>
      <c r="C14" s="134">
        <f ca="1">IFERROR(__xludf.DUMMYFUNCTION("""COMPUTED_VALUE"""),65)</f>
        <v>65</v>
      </c>
      <c r="D14" s="134" t="str">
        <f ca="1">IFERROR(__xludf.DUMMYFUNCTION("""COMPUTED_VALUE"""),"   1109 S Indiana Street")</f>
        <v xml:space="preserve">   1109 S Indiana Street</v>
      </c>
      <c r="E14" s="134" t="str">
        <f ca="1">IFERROR(__xludf.DUMMYFUNCTION("""COMPUTED_VALUE"""),"   Greencastle, In 46135")</f>
        <v xml:space="preserve">   Greencastle, In 46135</v>
      </c>
      <c r="F14" s="134" t="str">
        <f ca="1">IFERROR(__xludf.DUMMYFUNCTION("""COMPUTED_VALUE"""),"Kit delivery and pickup")</f>
        <v>Kit delivery and pickup</v>
      </c>
      <c r="G14" s="134" t="str">
        <f ca="1">IFERROR(__xludf.DUMMYFUNCTION("""COMPUTED_VALUE"""),"no")</f>
        <v>no</v>
      </c>
    </row>
    <row r="15" spans="1:7">
      <c r="A15" s="134" t="str">
        <f ca="1">IFERROR(__xludf.DUMMYFUNCTION("""COMPUTED_VALUE"""),"Hickory Creek At Winamac")</f>
        <v>Hickory Creek At Winamac</v>
      </c>
      <c r="B15" s="134" t="str">
        <f ca="1">IFERROR(__xludf.DUMMYFUNCTION("""COMPUTED_VALUE"""),"Hickory Creek")</f>
        <v>Hickory Creek</v>
      </c>
      <c r="C15" s="134">
        <f ca="1">IFERROR(__xludf.DUMMYFUNCTION("""COMPUTED_VALUE"""),29)</f>
        <v>29</v>
      </c>
      <c r="D15" s="134" t="str">
        <f ca="1">IFERROR(__xludf.DUMMYFUNCTION("""COMPUTED_VALUE"""),"   515 E 13Th St")</f>
        <v xml:space="preserve">   515 E 13Th St</v>
      </c>
      <c r="E15" s="134" t="str">
        <f ca="1">IFERROR(__xludf.DUMMYFUNCTION("""COMPUTED_VALUE"""),"   Winamac, In 46996")</f>
        <v xml:space="preserve">   Winamac, In 46996</v>
      </c>
      <c r="F15" s="134" t="str">
        <f ca="1">IFERROR(__xludf.DUMMYFUNCTION("""COMPUTED_VALUE"""),"Kit delivery and pickup")</f>
        <v>Kit delivery and pickup</v>
      </c>
      <c r="G15" s="134" t="str">
        <f ca="1">IFERROR(__xludf.DUMMYFUNCTION("""COMPUTED_VALUE"""),"no")</f>
        <v>no</v>
      </c>
    </row>
    <row r="16" spans="1:7">
      <c r="A16" s="134" t="str">
        <f ca="1">IFERROR(__xludf.DUMMYFUNCTION("""COMPUTED_VALUE"""),"Hildegard Health Center Inc")</f>
        <v>Hildegard Health Center Inc</v>
      </c>
      <c r="B16" s="134" t="str">
        <f ca="1">IFERROR(__xludf.DUMMYFUNCTION("""COMPUTED_VALUE"""),"Hickory Creek")</f>
        <v>Hickory Creek</v>
      </c>
      <c r="C16" s="134">
        <f ca="1">IFERROR(__xludf.DUMMYFUNCTION("""COMPUTED_VALUE"""),38)</f>
        <v>38</v>
      </c>
      <c r="D16" s="134" t="str">
        <f ca="1">IFERROR(__xludf.DUMMYFUNCTION("""COMPUTED_VALUE"""),"   802 E 10Th St")</f>
        <v xml:space="preserve">   802 E 10Th St</v>
      </c>
      <c r="E16" s="134" t="str">
        <f ca="1">IFERROR(__xludf.DUMMYFUNCTION("""COMPUTED_VALUE"""),"   Ferdinand, In 47532")</f>
        <v xml:space="preserve">   Ferdinand, In 47532</v>
      </c>
      <c r="F16" s="134" t="str">
        <f ca="1">IFERROR(__xludf.DUMMYFUNCTION("""COMPUTED_VALUE"""),"Kit delivery and pickup")</f>
        <v>Kit delivery and pickup</v>
      </c>
      <c r="G16" s="134" t="str">
        <f ca="1">IFERROR(__xludf.DUMMYFUNCTION("""COMPUTED_VALUE"""),"no")</f>
        <v>no</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00FF"/>
    <outlinePr summaryBelow="0" summaryRight="0"/>
  </sheetPr>
  <dimension ref="A1:G20"/>
  <sheetViews>
    <sheetView workbookViewId="0"/>
  </sheetViews>
  <sheetFormatPr defaultColWidth="12.625" defaultRowHeight="15" customHeight="1"/>
  <cols>
    <col min="1" max="1" width="39.625" customWidth="1"/>
    <col min="3" max="3" width="12.5" customWidth="1"/>
    <col min="5" max="5" width="20" customWidth="1"/>
    <col min="6" max="6" width="17.375" customWidth="1"/>
    <col min="7" max="7" width="19.125" customWidth="1"/>
  </cols>
  <sheetData>
    <row r="1" spans="1:7">
      <c r="A1" s="134" t="str">
        <f ca="1">IFERROR(__xludf.DUMMYFUNCTION("query('Data Set'!1:99989, ""Select A,B,G,Y,Z,AA,AB Where B = 'CommuniCare'"",1)"),"Facility")</f>
        <v>Facility</v>
      </c>
      <c r="B1" s="134" t="str">
        <f ca="1">IFERROR(__xludf.DUMMYFUNCTION("""COMPUTED_VALUE"""),"Corporation")</f>
        <v>Corporation</v>
      </c>
      <c r="C1" s="134" t="str">
        <f ca="1">IFERROR(__xludf.DUMMYFUNCTION("""COMPUTED_VALUE"""),"Number of Staff")</f>
        <v>Number of Staff</v>
      </c>
      <c r="D1" s="134" t="str">
        <f ca="1">IFERROR(__xludf.DUMMYFUNCTION("""COMPUTED_VALUE"""),"Address 1")</f>
        <v>Address 1</v>
      </c>
      <c r="E1" s="134" t="str">
        <f ca="1">IFERROR(__xludf.DUMMYFUNCTION("""COMPUTED_VALUE"""),"Address 2")</f>
        <v>Address 2</v>
      </c>
      <c r="F1" s="134" t="str">
        <f ca="1">IFERROR(__xludf.DUMMYFUNCTION("""COMPUTED_VALUE"""),"Kit delivery and pickup")</f>
        <v>Kit delivery and pickup</v>
      </c>
      <c r="G1" s="134" t="str">
        <f ca="1">IFERROR(__xludf.DUMMYFUNCTION("""COMPUTED_VALUE"""),"Require Training of Staff?")</f>
        <v>Require Training of Staff?</v>
      </c>
    </row>
    <row r="2" spans="1:7">
      <c r="A2" s="134" t="str">
        <f ca="1">IFERROR(__xludf.DUMMYFUNCTION("""COMPUTED_VALUE"""),"Allison Pointe Healthcare Center")</f>
        <v>Allison Pointe Healthcare Center</v>
      </c>
      <c r="B2" s="134" t="str">
        <f ca="1">IFERROR(__xludf.DUMMYFUNCTION("""COMPUTED_VALUE"""),"CommuniCare")</f>
        <v>CommuniCare</v>
      </c>
      <c r="C2" s="134" t="str">
        <f ca="1">IFERROR(__xludf.DUMMYFUNCTION("""COMPUTED_VALUE"""),"")</f>
        <v/>
      </c>
      <c r="D2" s="134" t="str">
        <f ca="1">IFERROR(__xludf.DUMMYFUNCTION("""COMPUTED_VALUE"""),"5226 E 82Nd St")</f>
        <v>5226 E 82Nd St</v>
      </c>
      <c r="E2" s="134" t="str">
        <f ca="1">IFERROR(__xludf.DUMMYFUNCTION("""COMPUTED_VALUE"""),"")</f>
        <v/>
      </c>
      <c r="F2" s="134" t="str">
        <f ca="1">IFERROR(__xludf.DUMMYFUNCTION("""COMPUTED_VALUE"""),"Onsite sample collection by ISDH team")</f>
        <v>Onsite sample collection by ISDH team</v>
      </c>
      <c r="G2" s="134" t="str">
        <f ca="1">IFERROR(__xludf.DUMMYFUNCTION("""COMPUTED_VALUE"""),"No")</f>
        <v>No</v>
      </c>
    </row>
    <row r="3" spans="1:7">
      <c r="A3" s="134" t="str">
        <f ca="1">IFERROR(__xludf.DUMMYFUNCTION("""COMPUTED_VALUE"""),"Bridgewater Healthcare Center")</f>
        <v>Bridgewater Healthcare Center</v>
      </c>
      <c r="B3" s="134" t="str">
        <f ca="1">IFERROR(__xludf.DUMMYFUNCTION("""COMPUTED_VALUE"""),"CommuniCare")</f>
        <v>CommuniCare</v>
      </c>
      <c r="C3" s="134">
        <f ca="1">IFERROR(__xludf.DUMMYFUNCTION("""COMPUTED_VALUE"""),160)</f>
        <v>160</v>
      </c>
      <c r="D3" s="134" t="str">
        <f ca="1">IFERROR(__xludf.DUMMYFUNCTION("""COMPUTED_VALUE"""),"   14751 Carey Road")</f>
        <v xml:space="preserve">   14751 Carey Road</v>
      </c>
      <c r="E3" s="134" t="str">
        <f ca="1">IFERROR(__xludf.DUMMYFUNCTION("""COMPUTED_VALUE"""),"   Carmel, In 46033")</f>
        <v xml:space="preserve">   Carmel, In 46033</v>
      </c>
      <c r="F3" s="134" t="str">
        <f ca="1">IFERROR(__xludf.DUMMYFUNCTION("""COMPUTED_VALUE"""),"Onsite sample collection by ISDH team")</f>
        <v>Onsite sample collection by ISDH team</v>
      </c>
      <c r="G3" s="134" t="str">
        <f ca="1">IFERROR(__xludf.DUMMYFUNCTION("""COMPUTED_VALUE"""),"No")</f>
        <v>No</v>
      </c>
    </row>
    <row r="4" spans="1:7">
      <c r="A4" s="134" t="str">
        <f ca="1">IFERROR(__xludf.DUMMYFUNCTION("""COMPUTED_VALUE"""),"Caroleton Healthcare Center")</f>
        <v>Caroleton Healthcare Center</v>
      </c>
      <c r="B4" s="134" t="str">
        <f ca="1">IFERROR(__xludf.DUMMYFUNCTION("""COMPUTED_VALUE"""),"CommuniCare")</f>
        <v>CommuniCare</v>
      </c>
      <c r="C4" s="134">
        <f ca="1">IFERROR(__xludf.DUMMYFUNCTION("""COMPUTED_VALUE"""),68)</f>
        <v>68</v>
      </c>
      <c r="D4" s="134" t="str">
        <f ca="1">IFERROR(__xludf.DUMMYFUNCTION("""COMPUTED_VALUE"""),"   2500 Iowa Ave")</f>
        <v xml:space="preserve">   2500 Iowa Ave</v>
      </c>
      <c r="E4" s="134" t="str">
        <f ca="1">IFERROR(__xludf.DUMMYFUNCTION("""COMPUTED_VALUE"""),"   Connersville, In 47331")</f>
        <v xml:space="preserve">   Connersville, In 47331</v>
      </c>
      <c r="F4" s="134" t="str">
        <f ca="1">IFERROR(__xludf.DUMMYFUNCTION("""COMPUTED_VALUE"""),"Onsite sample collection by ISDH team")</f>
        <v>Onsite sample collection by ISDH team</v>
      </c>
      <c r="G4" s="134" t="str">
        <f ca="1">IFERROR(__xludf.DUMMYFUNCTION("""COMPUTED_VALUE"""),"No")</f>
        <v>No</v>
      </c>
    </row>
    <row r="5" spans="1:7">
      <c r="A5" s="134" t="str">
        <f ca="1">IFERROR(__xludf.DUMMYFUNCTION("""COMPUTED_VALUE"""),"Eagle Creek Healthcare Center")</f>
        <v>Eagle Creek Healthcare Center</v>
      </c>
      <c r="B5" s="134" t="str">
        <f ca="1">IFERROR(__xludf.DUMMYFUNCTION("""COMPUTED_VALUE"""),"CommuniCare")</f>
        <v>CommuniCare</v>
      </c>
      <c r="C5" s="134">
        <f ca="1">IFERROR(__xludf.DUMMYFUNCTION("""COMPUTED_VALUE"""),200)</f>
        <v>200</v>
      </c>
      <c r="D5" s="134" t="str">
        <f ca="1">IFERROR(__xludf.DUMMYFUNCTION("""COMPUTED_VALUE"""),"   4102 Shore Dr")</f>
        <v xml:space="preserve">   4102 Shore Dr</v>
      </c>
      <c r="E5" s="134" t="str">
        <f ca="1">IFERROR(__xludf.DUMMYFUNCTION("""COMPUTED_VALUE"""),"   Indianapolis, In 46254")</f>
        <v xml:space="preserve">   Indianapolis, In 46254</v>
      </c>
      <c r="F5" s="134" t="str">
        <f ca="1">IFERROR(__xludf.DUMMYFUNCTION("""COMPUTED_VALUE"""),"Onsite sample collection by ISDH team")</f>
        <v>Onsite sample collection by ISDH team</v>
      </c>
      <c r="G5" s="134" t="str">
        <f ca="1">IFERROR(__xludf.DUMMYFUNCTION("""COMPUTED_VALUE"""),"No")</f>
        <v>No</v>
      </c>
    </row>
    <row r="6" spans="1:7">
      <c r="A6" s="134" t="str">
        <f ca="1">IFERROR(__xludf.DUMMYFUNCTION("""COMPUTED_VALUE"""),"Evergreen Crossing And The Lofts")</f>
        <v>Evergreen Crossing And The Lofts</v>
      </c>
      <c r="B6" s="134" t="str">
        <f ca="1">IFERROR(__xludf.DUMMYFUNCTION("""COMPUTED_VALUE"""),"CommuniCare")</f>
        <v>CommuniCare</v>
      </c>
      <c r="C6" s="134">
        <f ca="1">IFERROR(__xludf.DUMMYFUNCTION("""COMPUTED_VALUE"""),150)</f>
        <v>150</v>
      </c>
      <c r="D6" s="134" t="str">
        <f ca="1">IFERROR(__xludf.DUMMYFUNCTION("""COMPUTED_VALUE"""),"   5404 Georgetown Road")</f>
        <v xml:space="preserve">   5404 Georgetown Road</v>
      </c>
      <c r="E6" s="134" t="str">
        <f ca="1">IFERROR(__xludf.DUMMYFUNCTION("""COMPUTED_VALUE"""),"   Indianapolis, In 46254")</f>
        <v xml:space="preserve">   Indianapolis, In 46254</v>
      </c>
      <c r="F6" s="134" t="str">
        <f ca="1">IFERROR(__xludf.DUMMYFUNCTION("""COMPUTED_VALUE"""),"Onsite sample collection by ISDH team")</f>
        <v>Onsite sample collection by ISDH team</v>
      </c>
      <c r="G6" s="134" t="str">
        <f ca="1">IFERROR(__xludf.DUMMYFUNCTION("""COMPUTED_VALUE"""),"No")</f>
        <v>No</v>
      </c>
    </row>
    <row r="7" spans="1:7">
      <c r="A7" s="134" t="str">
        <f ca="1">IFERROR(__xludf.DUMMYFUNCTION("""COMPUTED_VALUE"""),"Great Lakes Healthcare Center")</f>
        <v>Great Lakes Healthcare Center</v>
      </c>
      <c r="B7" s="134" t="str">
        <f ca="1">IFERROR(__xludf.DUMMYFUNCTION("""COMPUTED_VALUE"""),"CommuniCare")</f>
        <v>CommuniCare</v>
      </c>
      <c r="C7" s="134">
        <f ca="1">IFERROR(__xludf.DUMMYFUNCTION("""COMPUTED_VALUE"""),180)</f>
        <v>180</v>
      </c>
      <c r="D7" s="134" t="str">
        <f ca="1">IFERROR(__xludf.DUMMYFUNCTION("""COMPUTED_VALUE"""),"   2300 Great Lakes Dr")</f>
        <v xml:space="preserve">   2300 Great Lakes Dr</v>
      </c>
      <c r="E7" s="134" t="str">
        <f ca="1">IFERROR(__xludf.DUMMYFUNCTION("""COMPUTED_VALUE"""),"   Dyer, In 46311")</f>
        <v xml:space="preserve">   Dyer, In 46311</v>
      </c>
      <c r="F7" s="134" t="str">
        <f ca="1">IFERROR(__xludf.DUMMYFUNCTION("""COMPUTED_VALUE"""),"Onsite sample collection by ISDH team")</f>
        <v>Onsite sample collection by ISDH team</v>
      </c>
      <c r="G7" s="134" t="str">
        <f ca="1">IFERROR(__xludf.DUMMYFUNCTION("""COMPUTED_VALUE"""),"No")</f>
        <v>No</v>
      </c>
    </row>
    <row r="8" spans="1:7">
      <c r="A8" s="134" t="str">
        <f ca="1">IFERROR(__xludf.DUMMYFUNCTION("""COMPUTED_VALUE"""),"Greenfield Healthcare Center")</f>
        <v>Greenfield Healthcare Center</v>
      </c>
      <c r="B8" s="134" t="str">
        <f ca="1">IFERROR(__xludf.DUMMYFUNCTION("""COMPUTED_VALUE"""),"CommuniCare")</f>
        <v>CommuniCare</v>
      </c>
      <c r="C8" s="134">
        <f ca="1">IFERROR(__xludf.DUMMYFUNCTION("""COMPUTED_VALUE"""),70)</f>
        <v>70</v>
      </c>
      <c r="D8" s="134" t="str">
        <f ca="1">IFERROR(__xludf.DUMMYFUNCTION("""COMPUTED_VALUE"""),"   200 Green Meadows Dr")</f>
        <v xml:space="preserve">   200 Green Meadows Dr</v>
      </c>
      <c r="E8" s="134" t="str">
        <f ca="1">IFERROR(__xludf.DUMMYFUNCTION("""COMPUTED_VALUE"""),"   Greenfield, In 46140")</f>
        <v xml:space="preserve">   Greenfield, In 46140</v>
      </c>
      <c r="F8" s="134" t="str">
        <f ca="1">IFERROR(__xludf.DUMMYFUNCTION("""COMPUTED_VALUE"""),"Onsite sample collection by ISDH team")</f>
        <v>Onsite sample collection by ISDH team</v>
      </c>
      <c r="G8" s="134" t="str">
        <f ca="1">IFERROR(__xludf.DUMMYFUNCTION("""COMPUTED_VALUE"""),"No")</f>
        <v>No</v>
      </c>
    </row>
    <row r="9" spans="1:7">
      <c r="A9" s="134" t="str">
        <f ca="1">IFERROR(__xludf.DUMMYFUNCTION("""COMPUTED_VALUE"""),"Greenwood Healthcare Center")</f>
        <v>Greenwood Healthcare Center</v>
      </c>
      <c r="B9" s="134" t="str">
        <f ca="1">IFERROR(__xludf.DUMMYFUNCTION("""COMPUTED_VALUE"""),"CommuniCare")</f>
        <v>CommuniCare</v>
      </c>
      <c r="C9" s="134">
        <f ca="1">IFERROR(__xludf.DUMMYFUNCTION("""COMPUTED_VALUE"""),230)</f>
        <v>230</v>
      </c>
      <c r="D9" s="134" t="str">
        <f ca="1">IFERROR(__xludf.DUMMYFUNCTION("""COMPUTED_VALUE"""),"   377 Westridge Blvd")</f>
        <v xml:space="preserve">   377 Westridge Blvd</v>
      </c>
      <c r="E9" s="134" t="str">
        <f ca="1">IFERROR(__xludf.DUMMYFUNCTION("""COMPUTED_VALUE"""),"   Greenwood, In 46142")</f>
        <v xml:space="preserve">   Greenwood, In 46142</v>
      </c>
      <c r="F9" s="134" t="str">
        <f ca="1">IFERROR(__xludf.DUMMYFUNCTION("""COMPUTED_VALUE"""),"Onsite sample collection by ISDH team")</f>
        <v>Onsite sample collection by ISDH team</v>
      </c>
      <c r="G9" s="134" t="str">
        <f ca="1">IFERROR(__xludf.DUMMYFUNCTION("""COMPUTED_VALUE"""),"No")</f>
        <v>No</v>
      </c>
    </row>
    <row r="10" spans="1:7">
      <c r="A10" s="134" t="str">
        <f ca="1">IFERROR(__xludf.DUMMYFUNCTION("""COMPUTED_VALUE"""),"Harrison Healthcare Center")</f>
        <v>Harrison Healthcare Center</v>
      </c>
      <c r="B10" s="134" t="str">
        <f ca="1">IFERROR(__xludf.DUMMYFUNCTION("""COMPUTED_VALUE"""),"CommuniCare")</f>
        <v>CommuniCare</v>
      </c>
      <c r="C10" s="134">
        <f ca="1">IFERROR(__xludf.DUMMYFUNCTION("""COMPUTED_VALUE"""),95)</f>
        <v>95</v>
      </c>
      <c r="D10" s="134" t="str">
        <f ca="1">IFERROR(__xludf.DUMMYFUNCTION("""COMPUTED_VALUE"""),"   150 Beechmont Dr")</f>
        <v xml:space="preserve">   150 Beechmont Dr</v>
      </c>
      <c r="E10" s="134" t="str">
        <f ca="1">IFERROR(__xludf.DUMMYFUNCTION("""COMPUTED_VALUE"""),"   Corydon, In 47112")</f>
        <v xml:space="preserve">   Corydon, In 47112</v>
      </c>
      <c r="F10" s="134" t="str">
        <f ca="1">IFERROR(__xludf.DUMMYFUNCTION("""COMPUTED_VALUE"""),"Onsite sample collection by ISDH team")</f>
        <v>Onsite sample collection by ISDH team</v>
      </c>
      <c r="G10" s="134" t="str">
        <f ca="1">IFERROR(__xludf.DUMMYFUNCTION("""COMPUTED_VALUE"""),"No")</f>
        <v>No</v>
      </c>
    </row>
    <row r="11" spans="1:7">
      <c r="A11" s="134" t="str">
        <f ca="1">IFERROR(__xludf.DUMMYFUNCTION("""COMPUTED_VALUE"""),"Homestead Healthcare Center")</f>
        <v>Homestead Healthcare Center</v>
      </c>
      <c r="B11" s="134" t="str">
        <f ca="1">IFERROR(__xludf.DUMMYFUNCTION("""COMPUTED_VALUE"""),"CommuniCare")</f>
        <v>CommuniCare</v>
      </c>
      <c r="C11" s="134">
        <f ca="1">IFERROR(__xludf.DUMMYFUNCTION("""COMPUTED_VALUE"""),80)</f>
        <v>80</v>
      </c>
      <c r="D11" s="134" t="str">
        <f ca="1">IFERROR(__xludf.DUMMYFUNCTION("""COMPUTED_VALUE"""),"   7465 Madison Ave")</f>
        <v xml:space="preserve">   7465 Madison Ave</v>
      </c>
      <c r="E11" s="134" t="str">
        <f ca="1">IFERROR(__xludf.DUMMYFUNCTION("""COMPUTED_VALUE"""),"   Indianapolis, In 46227")</f>
        <v xml:space="preserve">   Indianapolis, In 46227</v>
      </c>
      <c r="F11" s="134" t="str">
        <f ca="1">IFERROR(__xludf.DUMMYFUNCTION("""COMPUTED_VALUE"""),"Onsite sample collection by ISDH team")</f>
        <v>Onsite sample collection by ISDH team</v>
      </c>
      <c r="G11" s="134" t="str">
        <f ca="1">IFERROR(__xludf.DUMMYFUNCTION("""COMPUTED_VALUE"""),"No")</f>
        <v>No</v>
      </c>
    </row>
    <row r="12" spans="1:7">
      <c r="A12" s="134" t="str">
        <f ca="1">IFERROR(__xludf.DUMMYFUNCTION("""COMPUTED_VALUE"""),"Indian Creek Healthcare Center")</f>
        <v>Indian Creek Healthcare Center</v>
      </c>
      <c r="B12" s="134" t="str">
        <f ca="1">IFERROR(__xludf.DUMMYFUNCTION("""COMPUTED_VALUE"""),"CommuniCare")</f>
        <v>CommuniCare</v>
      </c>
      <c r="C12" s="134">
        <f ca="1">IFERROR(__xludf.DUMMYFUNCTION("""COMPUTED_VALUE"""),200)</f>
        <v>200</v>
      </c>
      <c r="D12" s="134" t="str">
        <f ca="1">IFERROR(__xludf.DUMMYFUNCTION("""COMPUTED_VALUE"""),"   240 Beechmont Dr")</f>
        <v xml:space="preserve">   240 Beechmont Dr</v>
      </c>
      <c r="E12" s="134" t="str">
        <f ca="1">IFERROR(__xludf.DUMMYFUNCTION("""COMPUTED_VALUE"""),"   Corydon, In 47112")</f>
        <v xml:space="preserve">   Corydon, In 47112</v>
      </c>
      <c r="F12" s="134" t="str">
        <f ca="1">IFERROR(__xludf.DUMMYFUNCTION("""COMPUTED_VALUE"""),"Onsite sample collection by ISDH team")</f>
        <v>Onsite sample collection by ISDH team</v>
      </c>
      <c r="G12" s="134" t="str">
        <f ca="1">IFERROR(__xludf.DUMMYFUNCTION("""COMPUTED_VALUE"""),"No")</f>
        <v>No</v>
      </c>
    </row>
    <row r="13" spans="1:7">
      <c r="A13" s="134" t="str">
        <f ca="1">IFERROR(__xludf.DUMMYFUNCTION("""COMPUTED_VALUE"""),"Kokomo Healthcare Center")</f>
        <v>Kokomo Healthcare Center</v>
      </c>
      <c r="B13" s="134" t="str">
        <f ca="1">IFERROR(__xludf.DUMMYFUNCTION("""COMPUTED_VALUE"""),"CommuniCare")</f>
        <v>CommuniCare</v>
      </c>
      <c r="C13" s="134">
        <f ca="1">IFERROR(__xludf.DUMMYFUNCTION("""COMPUTED_VALUE"""),100)</f>
        <v>100</v>
      </c>
      <c r="D13" s="134" t="str">
        <f ca="1">IFERROR(__xludf.DUMMYFUNCTION("""COMPUTED_VALUE"""),"   429 W Lincoln Rd")</f>
        <v xml:space="preserve">   429 W Lincoln Rd</v>
      </c>
      <c r="E13" s="134" t="str">
        <f ca="1">IFERROR(__xludf.DUMMYFUNCTION("""COMPUTED_VALUE"""),"   Kokomo, In 46902")</f>
        <v xml:space="preserve">   Kokomo, In 46902</v>
      </c>
      <c r="F13" s="134" t="str">
        <f ca="1">IFERROR(__xludf.DUMMYFUNCTION("""COMPUTED_VALUE"""),"Onsite sample collection by ISDH team")</f>
        <v>Onsite sample collection by ISDH team</v>
      </c>
      <c r="G13" s="134" t="str">
        <f ca="1">IFERROR(__xludf.DUMMYFUNCTION("""COMPUTED_VALUE"""),"No")</f>
        <v>No</v>
      </c>
    </row>
    <row r="14" spans="1:7">
      <c r="A14" s="134" t="str">
        <f ca="1">IFERROR(__xludf.DUMMYFUNCTION("""COMPUTED_VALUE"""),"Rolling Hills Healthcare Center")</f>
        <v>Rolling Hills Healthcare Center</v>
      </c>
      <c r="B14" s="134" t="str">
        <f ca="1">IFERROR(__xludf.DUMMYFUNCTION("""COMPUTED_VALUE"""),"CommuniCare")</f>
        <v>CommuniCare</v>
      </c>
      <c r="C14" s="134">
        <f ca="1">IFERROR(__xludf.DUMMYFUNCTION("""COMPUTED_VALUE"""),108)</f>
        <v>108</v>
      </c>
      <c r="D14" s="134" t="str">
        <f ca="1">IFERROR(__xludf.DUMMYFUNCTION("""COMPUTED_VALUE"""),"   3625 St Joseph Rd")</f>
        <v xml:space="preserve">   3625 St Joseph Rd</v>
      </c>
      <c r="E14" s="134" t="str">
        <f ca="1">IFERROR(__xludf.DUMMYFUNCTION("""COMPUTED_VALUE"""),"   New Albany, In 47150")</f>
        <v xml:space="preserve">   New Albany, In 47150</v>
      </c>
      <c r="F14" s="134" t="str">
        <f ca="1">IFERROR(__xludf.DUMMYFUNCTION("""COMPUTED_VALUE"""),"Onsite sample collection by ISDH team")</f>
        <v>Onsite sample collection by ISDH team</v>
      </c>
      <c r="G14" s="134" t="str">
        <f ca="1">IFERROR(__xludf.DUMMYFUNCTION("""COMPUTED_VALUE"""),"No")</f>
        <v>No</v>
      </c>
    </row>
    <row r="15" spans="1:7">
      <c r="A15" s="134" t="str">
        <f ca="1">IFERROR(__xludf.DUMMYFUNCTION("""COMPUTED_VALUE"""),"Sellersburg Healthcare Center")</f>
        <v>Sellersburg Healthcare Center</v>
      </c>
      <c r="B15" s="134" t="str">
        <f ca="1">IFERROR(__xludf.DUMMYFUNCTION("""COMPUTED_VALUE"""),"CommuniCare")</f>
        <v>CommuniCare</v>
      </c>
      <c r="C15" s="134">
        <f ca="1">IFERROR(__xludf.DUMMYFUNCTION("""COMPUTED_VALUE"""),75)</f>
        <v>75</v>
      </c>
      <c r="D15" s="134" t="str">
        <f ca="1">IFERROR(__xludf.DUMMYFUNCTION("""COMPUTED_VALUE"""),"   7823 Old Hwy # 60")</f>
        <v xml:space="preserve">   7823 Old Hwy # 60</v>
      </c>
      <c r="E15" s="134" t="str">
        <f ca="1">IFERROR(__xludf.DUMMYFUNCTION("""COMPUTED_VALUE"""),"   Sellersburg, In 47172")</f>
        <v xml:space="preserve">   Sellersburg, In 47172</v>
      </c>
      <c r="F15" s="134" t="str">
        <f ca="1">IFERROR(__xludf.DUMMYFUNCTION("""COMPUTED_VALUE"""),"Onsite sample collection by ISDH team")</f>
        <v>Onsite sample collection by ISDH team</v>
      </c>
      <c r="G15" s="134" t="str">
        <f ca="1">IFERROR(__xludf.DUMMYFUNCTION("""COMPUTED_VALUE"""),"No")</f>
        <v>No</v>
      </c>
    </row>
    <row r="16" spans="1:7">
      <c r="A16" s="134" t="str">
        <f ca="1">IFERROR(__xludf.DUMMYFUNCTION("""COMPUTED_VALUE"""),"Southpointe Healthcare Center")</f>
        <v>Southpointe Healthcare Center</v>
      </c>
      <c r="B16" s="134" t="str">
        <f ca="1">IFERROR(__xludf.DUMMYFUNCTION("""COMPUTED_VALUE"""),"CommuniCare")</f>
        <v>CommuniCare</v>
      </c>
      <c r="C16" s="134">
        <f ca="1">IFERROR(__xludf.DUMMYFUNCTION("""COMPUTED_VALUE"""),110)</f>
        <v>110</v>
      </c>
      <c r="D16" s="134" t="str">
        <f ca="1">IFERROR(__xludf.DUMMYFUNCTION("""COMPUTED_VALUE"""),"   4904 War Admiral Drive")</f>
        <v xml:space="preserve">   4904 War Admiral Drive</v>
      </c>
      <c r="E16" s="134" t="str">
        <f ca="1">IFERROR(__xludf.DUMMYFUNCTION("""COMPUTED_VALUE"""),"   Indianapolis, In 46237")</f>
        <v xml:space="preserve">   Indianapolis, In 46237</v>
      </c>
      <c r="F16" s="134" t="str">
        <f ca="1">IFERROR(__xludf.DUMMYFUNCTION("""COMPUTED_VALUE"""),"Onsite sample collection by ISDH team")</f>
        <v>Onsite sample collection by ISDH team</v>
      </c>
      <c r="G16" s="134" t="str">
        <f ca="1">IFERROR(__xludf.DUMMYFUNCTION("""COMPUTED_VALUE"""),"No")</f>
        <v>No</v>
      </c>
    </row>
    <row r="17" spans="1:7">
      <c r="A17" s="134" t="str">
        <f ca="1">IFERROR(__xludf.DUMMYFUNCTION("""COMPUTED_VALUE"""),"Southwood Healthcare Center")</f>
        <v>Southwood Healthcare Center</v>
      </c>
      <c r="B17" s="134" t="str">
        <f ca="1">IFERROR(__xludf.DUMMYFUNCTION("""COMPUTED_VALUE"""),"CommuniCare")</f>
        <v>CommuniCare</v>
      </c>
      <c r="C17" s="134">
        <f ca="1">IFERROR(__xludf.DUMMYFUNCTION("""COMPUTED_VALUE"""),140)</f>
        <v>140</v>
      </c>
      <c r="D17" s="134" t="str">
        <f ca="1">IFERROR(__xludf.DUMMYFUNCTION("""COMPUTED_VALUE"""),"   2222 Margaret Ave")</f>
        <v xml:space="preserve">   2222 Margaret Ave</v>
      </c>
      <c r="E17" s="134" t="str">
        <f ca="1">IFERROR(__xludf.DUMMYFUNCTION("""COMPUTED_VALUE"""),"   Terre Haute, In 47802")</f>
        <v xml:space="preserve">   Terre Haute, In 47802</v>
      </c>
      <c r="F17" s="134" t="str">
        <f ca="1">IFERROR(__xludf.DUMMYFUNCTION("""COMPUTED_VALUE"""),"Onsite sample collection by ISDH team")</f>
        <v>Onsite sample collection by ISDH team</v>
      </c>
      <c r="G17" s="134" t="str">
        <f ca="1">IFERROR(__xludf.DUMMYFUNCTION("""COMPUTED_VALUE"""),"No")</f>
        <v>No</v>
      </c>
    </row>
    <row r="18" spans="1:7">
      <c r="A18" s="134" t="str">
        <f ca="1">IFERROR(__xludf.DUMMYFUNCTION("""COMPUTED_VALUE"""),"Valley View Healthcare Center")</f>
        <v>Valley View Healthcare Center</v>
      </c>
      <c r="B18" s="134" t="str">
        <f ca="1">IFERROR(__xludf.DUMMYFUNCTION("""COMPUTED_VALUE"""),"CommuniCare")</f>
        <v>CommuniCare</v>
      </c>
      <c r="C18" s="134">
        <f ca="1">IFERROR(__xludf.DUMMYFUNCTION("""COMPUTED_VALUE"""),130)</f>
        <v>130</v>
      </c>
      <c r="D18" s="134" t="str">
        <f ca="1">IFERROR(__xludf.DUMMYFUNCTION("""COMPUTED_VALUE"""),"   333 W Mishawaka Rd")</f>
        <v xml:space="preserve">   333 W Mishawaka Rd</v>
      </c>
      <c r="E18" s="134" t="str">
        <f ca="1">IFERROR(__xludf.DUMMYFUNCTION("""COMPUTED_VALUE"""),"   Elkhart, In 46517")</f>
        <v xml:space="preserve">   Elkhart, In 46517</v>
      </c>
      <c r="F18" s="134" t="str">
        <f ca="1">IFERROR(__xludf.DUMMYFUNCTION("""COMPUTED_VALUE"""),"Onsite sample collection by ISDH team")</f>
        <v>Onsite sample collection by ISDH team</v>
      </c>
      <c r="G18" s="134" t="str">
        <f ca="1">IFERROR(__xludf.DUMMYFUNCTION("""COMPUTED_VALUE"""),"No")</f>
        <v>No</v>
      </c>
    </row>
    <row r="19" spans="1:7">
      <c r="A19" s="134" t="str">
        <f ca="1">IFERROR(__xludf.DUMMYFUNCTION("""COMPUTED_VALUE"""),"Wedgewood Healthcare Center")</f>
        <v>Wedgewood Healthcare Center</v>
      </c>
      <c r="B19" s="134" t="str">
        <f ca="1">IFERROR(__xludf.DUMMYFUNCTION("""COMPUTED_VALUE"""),"CommuniCare")</f>
        <v>CommuniCare</v>
      </c>
      <c r="C19" s="134">
        <f ca="1">IFERROR(__xludf.DUMMYFUNCTION("""COMPUTED_VALUE"""),68)</f>
        <v>68</v>
      </c>
      <c r="D19" s="134" t="str">
        <f ca="1">IFERROR(__xludf.DUMMYFUNCTION("""COMPUTED_VALUE"""),"   101 Potters Ln")</f>
        <v xml:space="preserve">   101 Potters Ln</v>
      </c>
      <c r="E19" s="134" t="str">
        <f ca="1">IFERROR(__xludf.DUMMYFUNCTION("""COMPUTED_VALUE"""),"   Clarksville, In 47129")</f>
        <v xml:space="preserve">   Clarksville, In 47129</v>
      </c>
      <c r="F19" s="134" t="str">
        <f ca="1">IFERROR(__xludf.DUMMYFUNCTION("""COMPUTED_VALUE"""),"Onsite sample collection by ISDH team")</f>
        <v>Onsite sample collection by ISDH team</v>
      </c>
      <c r="G19" s="134" t="str">
        <f ca="1">IFERROR(__xludf.DUMMYFUNCTION("""COMPUTED_VALUE"""),"No")</f>
        <v>No</v>
      </c>
    </row>
    <row r="20" spans="1:7">
      <c r="A20" s="134" t="str">
        <f ca="1">IFERROR(__xludf.DUMMYFUNCTION("""COMPUTED_VALUE"""),"Wildwood Healthcare Center")</f>
        <v>Wildwood Healthcare Center</v>
      </c>
      <c r="B20" s="134" t="str">
        <f ca="1">IFERROR(__xludf.DUMMYFUNCTION("""COMPUTED_VALUE"""),"CommuniCare")</f>
        <v>CommuniCare</v>
      </c>
      <c r="C20" s="134">
        <f ca="1">IFERROR(__xludf.DUMMYFUNCTION("""COMPUTED_VALUE"""),120)</f>
        <v>120</v>
      </c>
      <c r="D20" s="134" t="str">
        <f ca="1">IFERROR(__xludf.DUMMYFUNCTION("""COMPUTED_VALUE"""),"   7301 E 16Th St")</f>
        <v xml:space="preserve">   7301 E 16Th St</v>
      </c>
      <c r="E20" s="134" t="str">
        <f ca="1">IFERROR(__xludf.DUMMYFUNCTION("""COMPUTED_VALUE"""),"   Indianapolis, In 46219")</f>
        <v xml:space="preserve">   Indianapolis, In 46219</v>
      </c>
      <c r="F20" s="134" t="str">
        <f ca="1">IFERROR(__xludf.DUMMYFUNCTION("""COMPUTED_VALUE"""),"Onsite sample collection by ISDH team")</f>
        <v>Onsite sample collection by ISDH team</v>
      </c>
      <c r="G20" s="134" t="str">
        <f ca="1">IFERROR(__xludf.DUMMYFUNCTION("""COMPUTED_VALUE"""),"No")</f>
        <v>No</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00FF"/>
    <outlinePr summaryBelow="0" summaryRight="0"/>
  </sheetPr>
  <dimension ref="A1:G8"/>
  <sheetViews>
    <sheetView workbookViewId="0"/>
  </sheetViews>
  <sheetFormatPr defaultColWidth="12.625" defaultRowHeight="15" customHeight="1"/>
  <cols>
    <col min="1" max="1" width="39.625" customWidth="1"/>
    <col min="3" max="3" width="12.5" customWidth="1"/>
    <col min="5" max="5" width="20" customWidth="1"/>
    <col min="6" max="6" width="17.375" customWidth="1"/>
    <col min="7" max="7" width="19.125" customWidth="1"/>
  </cols>
  <sheetData>
    <row r="1" spans="1:7">
      <c r="A1" s="134" t="str">
        <f ca="1">IFERROR(__xludf.DUMMYFUNCTION("query('Data Set'!1:99989, ""Select A,B,G,Y,Z,AA,AB Where B = 'Majestic'"",1)"),"Facility")</f>
        <v>Facility</v>
      </c>
      <c r="B1" s="134" t="str">
        <f ca="1">IFERROR(__xludf.DUMMYFUNCTION("""COMPUTED_VALUE"""),"Corporation")</f>
        <v>Corporation</v>
      </c>
      <c r="C1" s="134" t="str">
        <f ca="1">IFERROR(__xludf.DUMMYFUNCTION("""COMPUTED_VALUE"""),"Number of Staff")</f>
        <v>Number of Staff</v>
      </c>
      <c r="D1" s="134" t="str">
        <f ca="1">IFERROR(__xludf.DUMMYFUNCTION("""COMPUTED_VALUE"""),"Address 1")</f>
        <v>Address 1</v>
      </c>
      <c r="E1" s="134" t="str">
        <f ca="1">IFERROR(__xludf.DUMMYFUNCTION("""COMPUTED_VALUE"""),"Address 2")</f>
        <v>Address 2</v>
      </c>
      <c r="F1" s="134" t="str">
        <f ca="1">IFERROR(__xludf.DUMMYFUNCTION("""COMPUTED_VALUE"""),"Kit delivery and pickup")</f>
        <v>Kit delivery and pickup</v>
      </c>
      <c r="G1" s="134" t="str">
        <f ca="1">IFERROR(__xludf.DUMMYFUNCTION("""COMPUTED_VALUE"""),"Require Training of Staff?")</f>
        <v>Require Training of Staff?</v>
      </c>
    </row>
    <row r="2" spans="1:7">
      <c r="A2" s="134" t="str">
        <f ca="1">IFERROR(__xludf.DUMMYFUNCTION("""COMPUTED_VALUE"""),"Majestic Care Of Avon")</f>
        <v>Majestic Care Of Avon</v>
      </c>
      <c r="B2" s="134" t="str">
        <f ca="1">IFERROR(__xludf.DUMMYFUNCTION("""COMPUTED_VALUE"""),"Majestic")</f>
        <v>Majestic</v>
      </c>
      <c r="C2" s="134">
        <f ca="1">IFERROR(__xludf.DUMMYFUNCTION("""COMPUTED_VALUE"""),90)</f>
        <v>90</v>
      </c>
      <c r="D2" s="134" t="str">
        <f ca="1">IFERROR(__xludf.DUMMYFUNCTION("""COMPUTED_VALUE"""),"   445 S County Road 525 E")</f>
        <v xml:space="preserve">   445 S County Road 525 E</v>
      </c>
      <c r="E2" s="134" t="str">
        <f ca="1">IFERROR(__xludf.DUMMYFUNCTION("""COMPUTED_VALUE"""),"   Avon, In 46123")</f>
        <v xml:space="preserve">   Avon, In 46123</v>
      </c>
      <c r="F2" s="134" t="str">
        <f ca="1">IFERROR(__xludf.DUMMYFUNCTION("""COMPUTED_VALUE"""),"Kit delivery and pickup")</f>
        <v>Kit delivery and pickup</v>
      </c>
      <c r="G2" s="134" t="str">
        <f ca="1">IFERROR(__xludf.DUMMYFUNCTION("""COMPUTED_VALUE"""),"no")</f>
        <v>no</v>
      </c>
    </row>
    <row r="3" spans="1:7">
      <c r="A3" s="134" t="str">
        <f ca="1">IFERROR(__xludf.DUMMYFUNCTION("""COMPUTED_VALUE"""),"Majestic Care Of Fort Wayne")</f>
        <v>Majestic Care Of Fort Wayne</v>
      </c>
      <c r="B3" s="134" t="str">
        <f ca="1">IFERROR(__xludf.DUMMYFUNCTION("""COMPUTED_VALUE"""),"Majestic")</f>
        <v>Majestic</v>
      </c>
      <c r="C3" s="134">
        <f ca="1">IFERROR(__xludf.DUMMYFUNCTION("""COMPUTED_VALUE"""),86)</f>
        <v>86</v>
      </c>
      <c r="D3" s="134" t="str">
        <f ca="1">IFERROR(__xludf.DUMMYFUNCTION("""COMPUTED_VALUE"""),"   7519 Winchester Rd")</f>
        <v xml:space="preserve">   7519 Winchester Rd</v>
      </c>
      <c r="E3" s="134" t="str">
        <f ca="1">IFERROR(__xludf.DUMMYFUNCTION("""COMPUTED_VALUE"""),"   Fort Wayne, In 46819")</f>
        <v xml:space="preserve">   Fort Wayne, In 46819</v>
      </c>
      <c r="F3" s="134" t="str">
        <f ca="1">IFERROR(__xludf.DUMMYFUNCTION("""COMPUTED_VALUE"""),"Kit delivery and pickup")</f>
        <v>Kit delivery and pickup</v>
      </c>
      <c r="G3" s="134" t="str">
        <f ca="1">IFERROR(__xludf.DUMMYFUNCTION("""COMPUTED_VALUE"""),"no")</f>
        <v>no</v>
      </c>
    </row>
    <row r="4" spans="1:7">
      <c r="A4" s="134" t="str">
        <f ca="1">IFERROR(__xludf.DUMMYFUNCTION("""COMPUTED_VALUE"""),"Majestic Care Of New Haven")</f>
        <v>Majestic Care Of New Haven</v>
      </c>
      <c r="B4" s="134" t="str">
        <f ca="1">IFERROR(__xludf.DUMMYFUNCTION("""COMPUTED_VALUE"""),"Majestic")</f>
        <v>Majestic</v>
      </c>
      <c r="C4" s="134">
        <f ca="1">IFERROR(__xludf.DUMMYFUNCTION("""COMPUTED_VALUE"""),126)</f>
        <v>126</v>
      </c>
      <c r="D4" s="134" t="str">
        <f ca="1">IFERROR(__xludf.DUMMYFUNCTION("""COMPUTED_VALUE"""),"   1201 Daly Drive")</f>
        <v xml:space="preserve">   1201 Daly Drive</v>
      </c>
      <c r="E4" s="134" t="str">
        <f ca="1">IFERROR(__xludf.DUMMYFUNCTION("""COMPUTED_VALUE"""),"   New Haven, In 46774")</f>
        <v xml:space="preserve">   New Haven, In 46774</v>
      </c>
      <c r="F4" s="134" t="str">
        <f ca="1">IFERROR(__xludf.DUMMYFUNCTION("""COMPUTED_VALUE"""),"Kit delivery and pickup")</f>
        <v>Kit delivery and pickup</v>
      </c>
      <c r="G4" s="134" t="str">
        <f ca="1">IFERROR(__xludf.DUMMYFUNCTION("""COMPUTED_VALUE"""),"no")</f>
        <v>no</v>
      </c>
    </row>
    <row r="5" spans="1:7">
      <c r="A5" s="134" t="str">
        <f ca="1">IFERROR(__xludf.DUMMYFUNCTION("""COMPUTED_VALUE"""),"Majestic Care Of North Vernon")</f>
        <v>Majestic Care Of North Vernon</v>
      </c>
      <c r="B5" s="134" t="str">
        <f ca="1">IFERROR(__xludf.DUMMYFUNCTION("""COMPUTED_VALUE"""),"Majestic")</f>
        <v>Majestic</v>
      </c>
      <c r="C5" s="134">
        <f ca="1">IFERROR(__xludf.DUMMYFUNCTION("""COMPUTED_VALUE"""),100)</f>
        <v>100</v>
      </c>
      <c r="D5" s="134" t="str">
        <f ca="1">IFERROR(__xludf.DUMMYFUNCTION("""COMPUTED_VALUE"""),"   701 Henry Street")</f>
        <v xml:space="preserve">   701 Henry Street</v>
      </c>
      <c r="E5" s="134" t="str">
        <f ca="1">IFERROR(__xludf.DUMMYFUNCTION("""COMPUTED_VALUE"""),"   North Vernon, In 47265")</f>
        <v xml:space="preserve">   North Vernon, In 47265</v>
      </c>
      <c r="F5" s="134" t="str">
        <f ca="1">IFERROR(__xludf.DUMMYFUNCTION("""COMPUTED_VALUE"""),"Kit delivery and pickup")</f>
        <v>Kit delivery and pickup</v>
      </c>
      <c r="G5" s="134" t="str">
        <f ca="1">IFERROR(__xludf.DUMMYFUNCTION("""COMPUTED_VALUE"""),"no")</f>
        <v>no</v>
      </c>
    </row>
    <row r="6" spans="1:7">
      <c r="A6" s="134" t="str">
        <f ca="1">IFERROR(__xludf.DUMMYFUNCTION("""COMPUTED_VALUE"""),"Majestic Care Of Sheridan")</f>
        <v>Majestic Care Of Sheridan</v>
      </c>
      <c r="B6" s="134" t="str">
        <f ca="1">IFERROR(__xludf.DUMMYFUNCTION("""COMPUTED_VALUE"""),"Majestic")</f>
        <v>Majestic</v>
      </c>
      <c r="C6" s="134">
        <f ca="1">IFERROR(__xludf.DUMMYFUNCTION("""COMPUTED_VALUE"""),100)</f>
        <v>100</v>
      </c>
      <c r="D6" s="134" t="str">
        <f ca="1">IFERROR(__xludf.DUMMYFUNCTION("""COMPUTED_VALUE"""),"   803 S Hamilton St")</f>
        <v xml:space="preserve">   803 S Hamilton St</v>
      </c>
      <c r="E6" s="134" t="str">
        <f ca="1">IFERROR(__xludf.DUMMYFUNCTION("""COMPUTED_VALUE"""),"   Sheridan, In 46069")</f>
        <v xml:space="preserve">   Sheridan, In 46069</v>
      </c>
      <c r="F6" s="134" t="str">
        <f ca="1">IFERROR(__xludf.DUMMYFUNCTION("""COMPUTED_VALUE"""),"Kit delivery and pickup")</f>
        <v>Kit delivery and pickup</v>
      </c>
      <c r="G6" s="134" t="str">
        <f ca="1">IFERROR(__xludf.DUMMYFUNCTION("""COMPUTED_VALUE"""),"no")</f>
        <v>no</v>
      </c>
    </row>
    <row r="7" spans="1:7">
      <c r="A7" s="134" t="str">
        <f ca="1">IFERROR(__xludf.DUMMYFUNCTION("""COMPUTED_VALUE"""),"Majestic Care Of West Allen")</f>
        <v>Majestic Care Of West Allen</v>
      </c>
      <c r="B7" s="134" t="str">
        <f ca="1">IFERROR(__xludf.DUMMYFUNCTION("""COMPUTED_VALUE"""),"Majestic")</f>
        <v>Majestic</v>
      </c>
      <c r="C7" s="134">
        <f ca="1">IFERROR(__xludf.DUMMYFUNCTION("""COMPUTED_VALUE"""),77)</f>
        <v>77</v>
      </c>
      <c r="D7" s="134" t="str">
        <f ca="1">IFERROR(__xludf.DUMMYFUNCTION("""COMPUTED_VALUE"""),"   6050 S Cr 800 E 92")</f>
        <v xml:space="preserve">   6050 S Cr 800 E 92</v>
      </c>
      <c r="E7" s="134" t="str">
        <f ca="1">IFERROR(__xludf.DUMMYFUNCTION("""COMPUTED_VALUE"""),"   Fort Wayne, In 46814")</f>
        <v xml:space="preserve">   Fort Wayne, In 46814</v>
      </c>
      <c r="F7" s="134" t="str">
        <f ca="1">IFERROR(__xludf.DUMMYFUNCTION("""COMPUTED_VALUE"""),"Kit delivery and pickup")</f>
        <v>Kit delivery and pickup</v>
      </c>
      <c r="G7" s="134" t="str">
        <f ca="1">IFERROR(__xludf.DUMMYFUNCTION("""COMPUTED_VALUE"""),"no")</f>
        <v>no</v>
      </c>
    </row>
    <row r="8" spans="1:7">
      <c r="A8" s="134" t="str">
        <f ca="1">IFERROR(__xludf.DUMMYFUNCTION("""COMPUTED_VALUE"""),"St Anthony Home - Crown Point")</f>
        <v>St Anthony Home - Crown Point</v>
      </c>
      <c r="B8" s="134" t="str">
        <f ca="1">IFERROR(__xludf.DUMMYFUNCTION("""COMPUTED_VALUE"""),"Majestic")</f>
        <v>Majestic</v>
      </c>
      <c r="C8" s="134" t="str">
        <f ca="1">IFERROR(__xludf.DUMMYFUNCTION("""COMPUTED_VALUE"""),"")</f>
        <v/>
      </c>
      <c r="D8" s="134" t="str">
        <f ca="1">IFERROR(__xludf.DUMMYFUNCTION("""COMPUTED_VALUE"""),"203 Franciscan Dr")</f>
        <v>203 Franciscan Dr</v>
      </c>
      <c r="E8" s="134" t="str">
        <f ca="1">IFERROR(__xludf.DUMMYFUNCTION("""COMPUTED_VALUE"""),"")</f>
        <v/>
      </c>
      <c r="F8" s="134" t="str">
        <f ca="1">IFERROR(__xludf.DUMMYFUNCTION("""COMPUTED_VALUE"""),"Kit delivery and pickup")</f>
        <v>Kit delivery and pickup</v>
      </c>
      <c r="G8" s="134" t="str">
        <f ca="1">IFERROR(__xludf.DUMMYFUNCTION("""COMPUTED_VALUE"""),"No")</f>
        <v>No</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00FF"/>
    <outlinePr summaryBelow="0" summaryRight="0"/>
  </sheetPr>
  <dimension ref="A1:G18"/>
  <sheetViews>
    <sheetView workbookViewId="0"/>
  </sheetViews>
  <sheetFormatPr defaultColWidth="12.625" defaultRowHeight="15" customHeight="1"/>
  <cols>
    <col min="1" max="1" width="39.625" customWidth="1"/>
    <col min="3" max="3" width="12.5" customWidth="1"/>
    <col min="5" max="5" width="20" customWidth="1"/>
    <col min="6" max="6" width="17.375" customWidth="1"/>
    <col min="7" max="7" width="19.125" customWidth="1"/>
  </cols>
  <sheetData>
    <row r="1" spans="1:7">
      <c r="A1" s="134" t="str">
        <f ca="1">IFERROR(__xludf.DUMMYFUNCTION("query('Data Set'!1:99989, ""Select A,B,G,Y,Z,AA,AB Where B = 'Waters'"",1)"),"Facility")</f>
        <v>Facility</v>
      </c>
      <c r="B1" s="134" t="str">
        <f ca="1">IFERROR(__xludf.DUMMYFUNCTION("""COMPUTED_VALUE"""),"Corporation")</f>
        <v>Corporation</v>
      </c>
      <c r="C1" s="134" t="str">
        <f ca="1">IFERROR(__xludf.DUMMYFUNCTION("""COMPUTED_VALUE"""),"Number of Staff")</f>
        <v>Number of Staff</v>
      </c>
      <c r="D1" s="134" t="str">
        <f ca="1">IFERROR(__xludf.DUMMYFUNCTION("""COMPUTED_VALUE"""),"Address 1")</f>
        <v>Address 1</v>
      </c>
      <c r="E1" s="134" t="str">
        <f ca="1">IFERROR(__xludf.DUMMYFUNCTION("""COMPUTED_VALUE"""),"Address 2")</f>
        <v>Address 2</v>
      </c>
      <c r="F1" s="134" t="str">
        <f ca="1">IFERROR(__xludf.DUMMYFUNCTION("""COMPUTED_VALUE"""),"Kit delivery and pickup")</f>
        <v>Kit delivery and pickup</v>
      </c>
      <c r="G1" s="134" t="str">
        <f ca="1">IFERROR(__xludf.DUMMYFUNCTION("""COMPUTED_VALUE"""),"Require Training of Staff?")</f>
        <v>Require Training of Staff?</v>
      </c>
    </row>
    <row r="2" spans="1:7">
      <c r="A2" s="134" t="str">
        <f ca="1">IFERROR(__xludf.DUMMYFUNCTION("""COMPUTED_VALUE"""),"Alpha Home - A Waters Community")</f>
        <v>Alpha Home - A Waters Community</v>
      </c>
      <c r="B2" s="134" t="str">
        <f ca="1">IFERROR(__xludf.DUMMYFUNCTION("""COMPUTED_VALUE"""),"Waters")</f>
        <v>Waters</v>
      </c>
      <c r="C2" s="134" t="str">
        <f ca="1">IFERROR(__xludf.DUMMYFUNCTION("""COMPUTED_VALUE"""),"")</f>
        <v/>
      </c>
      <c r="D2" s="134" t="str">
        <f ca="1">IFERROR(__xludf.DUMMYFUNCTION("""COMPUTED_VALUE"""),"2640 Cold Spring Rd")</f>
        <v>2640 Cold Spring Rd</v>
      </c>
      <c r="E2" s="134" t="str">
        <f ca="1">IFERROR(__xludf.DUMMYFUNCTION("""COMPUTED_VALUE"""),"")</f>
        <v/>
      </c>
      <c r="F2" s="134" t="str">
        <f ca="1">IFERROR(__xludf.DUMMYFUNCTION("""COMPUTED_VALUE"""),"Kit delivery and pickup")</f>
        <v>Kit delivery and pickup</v>
      </c>
      <c r="G2" s="134" t="str">
        <f ca="1">IFERROR(__xludf.DUMMYFUNCTION("""COMPUTED_VALUE"""),"No")</f>
        <v>No</v>
      </c>
    </row>
    <row r="3" spans="1:7">
      <c r="A3" s="134" t="str">
        <f ca="1">IFERROR(__xludf.DUMMYFUNCTION("""COMPUTED_VALUE"""),"Waters Of Batesville, The")</f>
        <v>Waters Of Batesville, The</v>
      </c>
      <c r="B3" s="134" t="str">
        <f ca="1">IFERROR(__xludf.DUMMYFUNCTION("""COMPUTED_VALUE"""),"Waters")</f>
        <v>Waters</v>
      </c>
      <c r="C3" s="134" t="str">
        <f ca="1">IFERROR(__xludf.DUMMYFUNCTION("""COMPUTED_VALUE"""),"")</f>
        <v/>
      </c>
      <c r="D3" s="134" t="str">
        <f ca="1">IFERROR(__xludf.DUMMYFUNCTION("""COMPUTED_VALUE"""),"958 E Hwy 46")</f>
        <v>958 E Hwy 46</v>
      </c>
      <c r="E3" s="134" t="str">
        <f ca="1">IFERROR(__xludf.DUMMYFUNCTION("""COMPUTED_VALUE"""),"")</f>
        <v/>
      </c>
      <c r="F3" s="134" t="str">
        <f ca="1">IFERROR(__xludf.DUMMYFUNCTION("""COMPUTED_VALUE"""),"Kit delivery and pickup")</f>
        <v>Kit delivery and pickup</v>
      </c>
      <c r="G3" s="134" t="str">
        <f ca="1">IFERROR(__xludf.DUMMYFUNCTION("""COMPUTED_VALUE"""),"No")</f>
        <v>No</v>
      </c>
    </row>
    <row r="4" spans="1:7">
      <c r="A4" s="134" t="str">
        <f ca="1">IFERROR(__xludf.DUMMYFUNCTION("""COMPUTED_VALUE"""),"Waters Of Clifty Falls, The")</f>
        <v>Waters Of Clifty Falls, The</v>
      </c>
      <c r="B4" s="134" t="str">
        <f ca="1">IFERROR(__xludf.DUMMYFUNCTION("""COMPUTED_VALUE"""),"Waters")</f>
        <v>Waters</v>
      </c>
      <c r="C4" s="134" t="str">
        <f ca="1">IFERROR(__xludf.DUMMYFUNCTION("""COMPUTED_VALUE"""),"")</f>
        <v/>
      </c>
      <c r="D4" s="134" t="str">
        <f ca="1">IFERROR(__xludf.DUMMYFUNCTION("""COMPUTED_VALUE"""),"950 Cross Ave")</f>
        <v>950 Cross Ave</v>
      </c>
      <c r="E4" s="134" t="str">
        <f ca="1">IFERROR(__xludf.DUMMYFUNCTION("""COMPUTED_VALUE"""),"")</f>
        <v/>
      </c>
      <c r="F4" s="134" t="str">
        <f ca="1">IFERROR(__xludf.DUMMYFUNCTION("""COMPUTED_VALUE"""),"Kit delivery and pickup")</f>
        <v>Kit delivery and pickup</v>
      </c>
      <c r="G4" s="134" t="str">
        <f ca="1">IFERROR(__xludf.DUMMYFUNCTION("""COMPUTED_VALUE"""),"No")</f>
        <v>No</v>
      </c>
    </row>
    <row r="5" spans="1:7">
      <c r="A5" s="134" t="str">
        <f ca="1">IFERROR(__xludf.DUMMYFUNCTION("""COMPUTED_VALUE"""),"Waters Of Covington, The")</f>
        <v>Waters Of Covington, The</v>
      </c>
      <c r="B5" s="134" t="str">
        <f ca="1">IFERROR(__xludf.DUMMYFUNCTION("""COMPUTED_VALUE"""),"Waters")</f>
        <v>Waters</v>
      </c>
      <c r="C5" s="134">
        <f ca="1">IFERROR(__xludf.DUMMYFUNCTION("""COMPUTED_VALUE"""),120)</f>
        <v>120</v>
      </c>
      <c r="D5" s="134" t="str">
        <f ca="1">IFERROR(__xludf.DUMMYFUNCTION("""COMPUTED_VALUE"""),"   1600 E Liberty St")</f>
        <v xml:space="preserve">   1600 E Liberty St</v>
      </c>
      <c r="E5" s="134" t="str">
        <f ca="1">IFERROR(__xludf.DUMMYFUNCTION("""COMPUTED_VALUE"""),"   Covington, In 47932")</f>
        <v xml:space="preserve">   Covington, In 47932</v>
      </c>
      <c r="F5" s="134" t="str">
        <f ca="1">IFERROR(__xludf.DUMMYFUNCTION("""COMPUTED_VALUE"""),"Kit delivery and pickup")</f>
        <v>Kit delivery and pickup</v>
      </c>
      <c r="G5" s="134" t="str">
        <f ca="1">IFERROR(__xludf.DUMMYFUNCTION("""COMPUTED_VALUE"""),"")</f>
        <v/>
      </c>
    </row>
    <row r="6" spans="1:7">
      <c r="A6" s="134" t="str">
        <f ca="1">IFERROR(__xludf.DUMMYFUNCTION("""COMPUTED_VALUE"""),"Waters Of Dillsboro-Ross Manor, The")</f>
        <v>Waters Of Dillsboro-Ross Manor, The</v>
      </c>
      <c r="B6" s="134" t="str">
        <f ca="1">IFERROR(__xludf.DUMMYFUNCTION("""COMPUTED_VALUE"""),"Waters")</f>
        <v>Waters</v>
      </c>
      <c r="C6" s="134" t="str">
        <f ca="1">IFERROR(__xludf.DUMMYFUNCTION("""COMPUTED_VALUE"""),"")</f>
        <v/>
      </c>
      <c r="D6" s="134" t="str">
        <f ca="1">IFERROR(__xludf.DUMMYFUNCTION("""COMPUTED_VALUE"""),"12803 Lenover St")</f>
        <v>12803 Lenover St</v>
      </c>
      <c r="E6" s="134" t="str">
        <f ca="1">IFERROR(__xludf.DUMMYFUNCTION("""COMPUTED_VALUE"""),"")</f>
        <v/>
      </c>
      <c r="F6" s="134" t="str">
        <f ca="1">IFERROR(__xludf.DUMMYFUNCTION("""COMPUTED_VALUE"""),"Kit delivery and pickup")</f>
        <v>Kit delivery and pickup</v>
      </c>
      <c r="G6" s="134" t="str">
        <f ca="1">IFERROR(__xludf.DUMMYFUNCTION("""COMPUTED_VALUE"""),"No")</f>
        <v>No</v>
      </c>
    </row>
    <row r="7" spans="1:7">
      <c r="A7" s="134" t="str">
        <f ca="1">IFERROR(__xludf.DUMMYFUNCTION("""COMPUTED_VALUE"""),"Waters Of Greencastle, The")</f>
        <v>Waters Of Greencastle, The</v>
      </c>
      <c r="B7" s="134" t="str">
        <f ca="1">IFERROR(__xludf.DUMMYFUNCTION("""COMPUTED_VALUE"""),"Waters")</f>
        <v>Waters</v>
      </c>
      <c r="C7" s="134">
        <f ca="1">IFERROR(__xludf.DUMMYFUNCTION("""COMPUTED_VALUE"""),75)</f>
        <v>75</v>
      </c>
      <c r="D7" s="134" t="str">
        <f ca="1">IFERROR(__xludf.DUMMYFUNCTION("""COMPUTED_VALUE"""),"   1601 Hospital Dr")</f>
        <v xml:space="preserve">   1601 Hospital Dr</v>
      </c>
      <c r="E7" s="134" t="str">
        <f ca="1">IFERROR(__xludf.DUMMYFUNCTION("""COMPUTED_VALUE"""),"   Greencastle, In 46135")</f>
        <v xml:space="preserve">   Greencastle, In 46135</v>
      </c>
      <c r="F7" s="134" t="str">
        <f ca="1">IFERROR(__xludf.DUMMYFUNCTION("""COMPUTED_VALUE"""),"kit delivery and pickup")</f>
        <v>kit delivery and pickup</v>
      </c>
      <c r="G7" s="134" t="str">
        <f ca="1">IFERROR(__xludf.DUMMYFUNCTION("""COMPUTED_VALUE"""),"")</f>
        <v/>
      </c>
    </row>
    <row r="8" spans="1:7">
      <c r="A8" s="134" t="str">
        <f ca="1">IFERROR(__xludf.DUMMYFUNCTION("""COMPUTED_VALUE"""),"Waters Of Huntingburg, The")</f>
        <v>Waters Of Huntingburg, The</v>
      </c>
      <c r="B8" s="134" t="str">
        <f ca="1">IFERROR(__xludf.DUMMYFUNCTION("""COMPUTED_VALUE"""),"Waters")</f>
        <v>Waters</v>
      </c>
      <c r="C8" s="134">
        <f ca="1">IFERROR(__xludf.DUMMYFUNCTION("""COMPUTED_VALUE"""),67)</f>
        <v>67</v>
      </c>
      <c r="D8" s="134" t="str">
        <f ca="1">IFERROR(__xludf.DUMMYFUNCTION("""COMPUTED_VALUE"""),"   1712 Leland Dr")</f>
        <v xml:space="preserve">   1712 Leland Dr</v>
      </c>
      <c r="E8" s="134" t="str">
        <f ca="1">IFERROR(__xludf.DUMMYFUNCTION("""COMPUTED_VALUE"""),"   Huntingburg, In 47542")</f>
        <v xml:space="preserve">   Huntingburg, In 47542</v>
      </c>
      <c r="F8" s="134" t="str">
        <f ca="1">IFERROR(__xludf.DUMMYFUNCTION("""COMPUTED_VALUE"""),"Kit delivery and pickup")</f>
        <v>Kit delivery and pickup</v>
      </c>
      <c r="G8" s="134" t="str">
        <f ca="1">IFERROR(__xludf.DUMMYFUNCTION("""COMPUTED_VALUE"""),"No")</f>
        <v>No</v>
      </c>
    </row>
    <row r="9" spans="1:7">
      <c r="A9" s="134" t="str">
        <f ca="1">IFERROR(__xludf.DUMMYFUNCTION("""COMPUTED_VALUE"""),"Waters Of Indianapolis, The")</f>
        <v>Waters Of Indianapolis, The</v>
      </c>
      <c r="B9" s="134" t="str">
        <f ca="1">IFERROR(__xludf.DUMMYFUNCTION("""COMPUTED_VALUE"""),"Waters")</f>
        <v>Waters</v>
      </c>
      <c r="C9" s="134" t="str">
        <f ca="1">IFERROR(__xludf.DUMMYFUNCTION("""COMPUTED_VALUE"""),"")</f>
        <v/>
      </c>
      <c r="D9" s="134" t="str">
        <f ca="1">IFERROR(__xludf.DUMMYFUNCTION("""COMPUTED_VALUE"""),"3895 S Keystone Ave")</f>
        <v>3895 S Keystone Ave</v>
      </c>
      <c r="E9" s="134" t="str">
        <f ca="1">IFERROR(__xludf.DUMMYFUNCTION("""COMPUTED_VALUE"""),"")</f>
        <v/>
      </c>
      <c r="F9" s="134" t="str">
        <f ca="1">IFERROR(__xludf.DUMMYFUNCTION("""COMPUTED_VALUE"""),"Kit delivery and pickup")</f>
        <v>Kit delivery and pickup</v>
      </c>
      <c r="G9" s="134" t="str">
        <f ca="1">IFERROR(__xludf.DUMMYFUNCTION("""COMPUTED_VALUE"""),"No")</f>
        <v>No</v>
      </c>
    </row>
    <row r="10" spans="1:7">
      <c r="A10" s="134" t="str">
        <f ca="1">IFERROR(__xludf.DUMMYFUNCTION("""COMPUTED_VALUE"""),"Waters Of Lebanon, The")</f>
        <v>Waters Of Lebanon, The</v>
      </c>
      <c r="B10" s="134" t="str">
        <f ca="1">IFERROR(__xludf.DUMMYFUNCTION("""COMPUTED_VALUE"""),"Waters")</f>
        <v>Waters</v>
      </c>
      <c r="C10" s="134">
        <f ca="1">IFERROR(__xludf.DUMMYFUNCTION("""COMPUTED_VALUE"""),40)</f>
        <v>40</v>
      </c>
      <c r="D10" s="134" t="str">
        <f ca="1">IFERROR(__xludf.DUMMYFUNCTION("""COMPUTED_VALUE"""),"   1585 Perry Worth Rd")</f>
        <v xml:space="preserve">   1585 Perry Worth Rd</v>
      </c>
      <c r="E10" s="134" t="str">
        <f ca="1">IFERROR(__xludf.DUMMYFUNCTION("""COMPUTED_VALUE"""),"   Lebanon, In 46052")</f>
        <v xml:space="preserve">   Lebanon, In 46052</v>
      </c>
      <c r="F10" s="134" t="str">
        <f ca="1">IFERROR(__xludf.DUMMYFUNCTION("""COMPUTED_VALUE"""),"Kit delivery and pickup")</f>
        <v>Kit delivery and pickup</v>
      </c>
      <c r="G10" s="134" t="str">
        <f ca="1">IFERROR(__xludf.DUMMYFUNCTION("""COMPUTED_VALUE"""),"No")</f>
        <v>No</v>
      </c>
    </row>
    <row r="11" spans="1:7">
      <c r="A11" s="134" t="str">
        <f ca="1">IFERROR(__xludf.DUMMYFUNCTION("""COMPUTED_VALUE"""),"Waters Of Martinsville, The")</f>
        <v>Waters Of Martinsville, The</v>
      </c>
      <c r="B11" s="134" t="str">
        <f ca="1">IFERROR(__xludf.DUMMYFUNCTION("""COMPUTED_VALUE"""),"Waters")</f>
        <v>Waters</v>
      </c>
      <c r="C11" s="134">
        <f ca="1">IFERROR(__xludf.DUMMYFUNCTION("""COMPUTED_VALUE"""),76)</f>
        <v>76</v>
      </c>
      <c r="D11" s="134" t="str">
        <f ca="1">IFERROR(__xludf.DUMMYFUNCTION("""COMPUTED_VALUE"""),"   2055 Heritage Dr")</f>
        <v xml:space="preserve">   2055 Heritage Dr</v>
      </c>
      <c r="E11" s="134" t="str">
        <f ca="1">IFERROR(__xludf.DUMMYFUNCTION("""COMPUTED_VALUE"""),"   Martinsville, In 46151")</f>
        <v xml:space="preserve">   Martinsville, In 46151</v>
      </c>
      <c r="F11" s="134" t="str">
        <f ca="1">IFERROR(__xludf.DUMMYFUNCTION("""COMPUTED_VALUE"""),"Kit delivery and pickup")</f>
        <v>Kit delivery and pickup</v>
      </c>
      <c r="G11" s="134" t="str">
        <f ca="1">IFERROR(__xludf.DUMMYFUNCTION("""COMPUTED_VALUE"""),"No")</f>
        <v>No</v>
      </c>
    </row>
    <row r="12" spans="1:7">
      <c r="A12" s="134" t="str">
        <f ca="1">IFERROR(__xludf.DUMMYFUNCTION("""COMPUTED_VALUE"""),"Waters Of Muncie, The")</f>
        <v>Waters Of Muncie, The</v>
      </c>
      <c r="B12" s="134" t="str">
        <f ca="1">IFERROR(__xludf.DUMMYFUNCTION("""COMPUTED_VALUE"""),"Waters")</f>
        <v>Waters</v>
      </c>
      <c r="C12" s="134">
        <f ca="1">IFERROR(__xludf.DUMMYFUNCTION("""COMPUTED_VALUE"""),52)</f>
        <v>52</v>
      </c>
      <c r="D12" s="134" t="str">
        <f ca="1">IFERROR(__xludf.DUMMYFUNCTION("""COMPUTED_VALUE"""),"   2400 Chateau Dr")</f>
        <v xml:space="preserve">   2400 Chateau Dr</v>
      </c>
      <c r="E12" s="134" t="str">
        <f ca="1">IFERROR(__xludf.DUMMYFUNCTION("""COMPUTED_VALUE"""),"   Muncie, In 47303")</f>
        <v xml:space="preserve">   Muncie, In 47303</v>
      </c>
      <c r="F12" s="134" t="str">
        <f ca="1">IFERROR(__xludf.DUMMYFUNCTION("""COMPUTED_VALUE"""),"Kit delivery and pickup")</f>
        <v>Kit delivery and pickup</v>
      </c>
      <c r="G12" s="134" t="str">
        <f ca="1">IFERROR(__xludf.DUMMYFUNCTION("""COMPUTED_VALUE"""),"")</f>
        <v/>
      </c>
    </row>
    <row r="13" spans="1:7">
      <c r="A13" s="134" t="str">
        <f ca="1">IFERROR(__xludf.DUMMYFUNCTION("""COMPUTED_VALUE"""),"Waters Of New Castle, The")</f>
        <v>Waters Of New Castle, The</v>
      </c>
      <c r="B13" s="134" t="str">
        <f ca="1">IFERROR(__xludf.DUMMYFUNCTION("""COMPUTED_VALUE"""),"Waters")</f>
        <v>Waters</v>
      </c>
      <c r="C13" s="134">
        <f ca="1">IFERROR(__xludf.DUMMYFUNCTION("""COMPUTED_VALUE"""),72)</f>
        <v>72</v>
      </c>
      <c r="D13" s="134" t="str">
        <f ca="1">IFERROR(__xludf.DUMMYFUNCTION("""COMPUTED_VALUE"""),"   1000 N 16Th St")</f>
        <v xml:space="preserve">   1000 N 16Th St</v>
      </c>
      <c r="E13" s="134" t="str">
        <f ca="1">IFERROR(__xludf.DUMMYFUNCTION("""COMPUTED_VALUE"""),"   New Castle, In 47362")</f>
        <v xml:space="preserve">   New Castle, In 47362</v>
      </c>
      <c r="F13" s="134" t="str">
        <f ca="1">IFERROR(__xludf.DUMMYFUNCTION("""COMPUTED_VALUE"""),"Kit delivery and pickup")</f>
        <v>Kit delivery and pickup</v>
      </c>
      <c r="G13" s="134" t="str">
        <f ca="1">IFERROR(__xludf.DUMMYFUNCTION("""COMPUTED_VALUE"""),"No")</f>
        <v>No</v>
      </c>
    </row>
    <row r="14" spans="1:7">
      <c r="A14" s="134" t="str">
        <f ca="1">IFERROR(__xludf.DUMMYFUNCTION("""COMPUTED_VALUE"""),"Waters Of Princeton, The")</f>
        <v>Waters Of Princeton, The</v>
      </c>
      <c r="B14" s="134" t="str">
        <f ca="1">IFERROR(__xludf.DUMMYFUNCTION("""COMPUTED_VALUE"""),"Waters")</f>
        <v>Waters</v>
      </c>
      <c r="C14" s="134">
        <f ca="1">IFERROR(__xludf.DUMMYFUNCTION("""COMPUTED_VALUE"""),100)</f>
        <v>100</v>
      </c>
      <c r="D14" s="134" t="str">
        <f ca="1">IFERROR(__xludf.DUMMYFUNCTION("""COMPUTED_VALUE"""),"   1020 W Vine St")</f>
        <v xml:space="preserve">   1020 W Vine St</v>
      </c>
      <c r="E14" s="134" t="str">
        <f ca="1">IFERROR(__xludf.DUMMYFUNCTION("""COMPUTED_VALUE"""),"   Princeton, In 47670")</f>
        <v xml:space="preserve">   Princeton, In 47670</v>
      </c>
      <c r="F14" s="134" t="str">
        <f ca="1">IFERROR(__xludf.DUMMYFUNCTION("""COMPUTED_VALUE"""),"Kit delivery and pickup")</f>
        <v>Kit delivery and pickup</v>
      </c>
      <c r="G14" s="134" t="str">
        <f ca="1">IFERROR(__xludf.DUMMYFUNCTION("""COMPUTED_VALUE"""),"No")</f>
        <v>No</v>
      </c>
    </row>
    <row r="15" spans="1:7">
      <c r="A15" s="134" t="str">
        <f ca="1">IFERROR(__xludf.DUMMYFUNCTION("""COMPUTED_VALUE"""),"Waters Of Rising Sun, The")</f>
        <v>Waters Of Rising Sun, The</v>
      </c>
      <c r="B15" s="134" t="str">
        <f ca="1">IFERROR(__xludf.DUMMYFUNCTION("""COMPUTED_VALUE"""),"Waters")</f>
        <v>Waters</v>
      </c>
      <c r="C15" s="134">
        <f ca="1">IFERROR(__xludf.DUMMYFUNCTION("""COMPUTED_VALUE"""),50)</f>
        <v>50</v>
      </c>
      <c r="D15" s="134" t="str">
        <f ca="1">IFERROR(__xludf.DUMMYFUNCTION("""COMPUTED_VALUE"""),"   405 Rio Vista Ln")</f>
        <v xml:space="preserve">   405 Rio Vista Ln</v>
      </c>
      <c r="E15" s="134" t="str">
        <f ca="1">IFERROR(__xludf.DUMMYFUNCTION("""COMPUTED_VALUE"""),"   Rising Sun, In 47040")</f>
        <v xml:space="preserve">   Rising Sun, In 47040</v>
      </c>
      <c r="F15" s="134" t="str">
        <f ca="1">IFERROR(__xludf.DUMMYFUNCTION("""COMPUTED_VALUE"""),"Kit delivery and pickup")</f>
        <v>Kit delivery and pickup</v>
      </c>
      <c r="G15" s="134" t="str">
        <f ca="1">IFERROR(__xludf.DUMMYFUNCTION("""COMPUTED_VALUE"""),"No")</f>
        <v>No</v>
      </c>
    </row>
    <row r="16" spans="1:7">
      <c r="A16" s="134" t="str">
        <f ca="1">IFERROR(__xludf.DUMMYFUNCTION("""COMPUTED_VALUE"""),"Waters Of Scottsburg, The")</f>
        <v>Waters Of Scottsburg, The</v>
      </c>
      <c r="B16" s="134" t="str">
        <f ca="1">IFERROR(__xludf.DUMMYFUNCTION("""COMPUTED_VALUE"""),"Waters")</f>
        <v>Waters</v>
      </c>
      <c r="C16" s="134">
        <f ca="1">IFERROR(__xludf.DUMMYFUNCTION("""COMPUTED_VALUE"""),57)</f>
        <v>57</v>
      </c>
      <c r="D16" s="134" t="str">
        <f ca="1">IFERROR(__xludf.DUMMYFUNCTION("""COMPUTED_VALUE"""),"   1350 N Todd Dr")</f>
        <v xml:space="preserve">   1350 N Todd Dr</v>
      </c>
      <c r="E16" s="134" t="str">
        <f ca="1">IFERROR(__xludf.DUMMYFUNCTION("""COMPUTED_VALUE"""),"   Scottsburg, In 47170")</f>
        <v xml:space="preserve">   Scottsburg, In 47170</v>
      </c>
      <c r="F16" s="134" t="str">
        <f ca="1">IFERROR(__xludf.DUMMYFUNCTION("""COMPUTED_VALUE"""),"Kit delivery and pickup")</f>
        <v>Kit delivery and pickup</v>
      </c>
      <c r="G16" s="134" t="str">
        <f ca="1">IFERROR(__xludf.DUMMYFUNCTION("""COMPUTED_VALUE"""),"No")</f>
        <v>No</v>
      </c>
    </row>
    <row r="17" spans="1:7">
      <c r="A17" s="134" t="str">
        <f ca="1">IFERROR(__xludf.DUMMYFUNCTION("""COMPUTED_VALUE"""),"Westpark A Waters Community")</f>
        <v>Westpark A Waters Community</v>
      </c>
      <c r="B17" s="134" t="str">
        <f ca="1">IFERROR(__xludf.DUMMYFUNCTION("""COMPUTED_VALUE"""),"Waters")</f>
        <v>Waters</v>
      </c>
      <c r="C17" s="134" t="str">
        <f ca="1">IFERROR(__xludf.DUMMYFUNCTION("""COMPUTED_VALUE"""),"")</f>
        <v/>
      </c>
      <c r="D17" s="134" t="str">
        <f ca="1">IFERROR(__xludf.DUMMYFUNCTION("""COMPUTED_VALUE"""),"1316 N Tibbs Ave")</f>
        <v>1316 N Tibbs Ave</v>
      </c>
      <c r="E17" s="134" t="str">
        <f ca="1">IFERROR(__xludf.DUMMYFUNCTION("""COMPUTED_VALUE"""),"")</f>
        <v/>
      </c>
      <c r="F17" s="134" t="str">
        <f ca="1">IFERROR(__xludf.DUMMYFUNCTION("""COMPUTED_VALUE"""),"Kit delivery and pickup")</f>
        <v>Kit delivery and pickup</v>
      </c>
      <c r="G17" s="134" t="str">
        <f ca="1">IFERROR(__xludf.DUMMYFUNCTION("""COMPUTED_VALUE"""),"No")</f>
        <v>No</v>
      </c>
    </row>
    <row r="18" spans="1:7">
      <c r="A18" s="134" t="str">
        <f ca="1">IFERROR(__xludf.DUMMYFUNCTION("""COMPUTED_VALUE"""),"Woodview A Waters Community")</f>
        <v>Woodview A Waters Community</v>
      </c>
      <c r="B18" s="134" t="str">
        <f ca="1">IFERROR(__xludf.DUMMYFUNCTION("""COMPUTED_VALUE"""),"Waters")</f>
        <v>Waters</v>
      </c>
      <c r="C18" s="134">
        <f ca="1">IFERROR(__xludf.DUMMYFUNCTION("""COMPUTED_VALUE"""),76)</f>
        <v>76</v>
      </c>
      <c r="D18" s="134" t="str">
        <f ca="1">IFERROR(__xludf.DUMMYFUNCTION("""COMPUTED_VALUE"""),"   3420 East State Blvd")</f>
        <v xml:space="preserve">   3420 East State Blvd</v>
      </c>
      <c r="E18" s="134" t="str">
        <f ca="1">IFERROR(__xludf.DUMMYFUNCTION("""COMPUTED_VALUE"""),"   Fort Wayne, In 46805")</f>
        <v xml:space="preserve">   Fort Wayne, In 46805</v>
      </c>
      <c r="F18" s="134" t="str">
        <f ca="1">IFERROR(__xludf.DUMMYFUNCTION("""COMPUTED_VALUE"""),"Kit delivery and pickup")</f>
        <v>Kit delivery and pickup</v>
      </c>
      <c r="G18" s="134" t="str">
        <f ca="1">IFERROR(__xludf.DUMMYFUNCTION("""COMPUTED_VALUE"""),"No")</f>
        <v>No</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outlinePr summaryBelow="0" summaryRight="0"/>
  </sheetPr>
  <dimension ref="A1:Z1000"/>
  <sheetViews>
    <sheetView workbookViewId="0"/>
  </sheetViews>
  <sheetFormatPr defaultColWidth="12.625" defaultRowHeight="15" customHeight="1"/>
  <cols>
    <col min="1" max="1" width="39.75" customWidth="1"/>
    <col min="3" max="3" width="15.75" customWidth="1"/>
    <col min="4" max="4" width="30.75" customWidth="1"/>
    <col min="5" max="5" width="25.5" customWidth="1"/>
    <col min="6" max="6" width="16.75" customWidth="1"/>
    <col min="8" max="8" width="22.25" customWidth="1"/>
    <col min="10" max="10" width="49.625" customWidth="1"/>
  </cols>
  <sheetData>
    <row r="1" spans="1:26">
      <c r="A1" s="2" t="str">
        <f ca="1">IFERROR(__xludf.DUMMYFUNCTION("query('Data Set'!1:99931, ""Select A,B,X,Y,Z,F,G,H,I,J Where I = 'GREEN'"",1)"),"Facility")</f>
        <v>Facility</v>
      </c>
      <c r="B1" s="2" t="str">
        <f ca="1">IFERROR(__xludf.DUMMYFUNCTION("""COMPUTED_VALUE"""),"Corporation")</f>
        <v>Corporation</v>
      </c>
      <c r="C1" s="2" t="str">
        <f ca="1">IFERROR(__xludf.DUMMYFUNCTION("""COMPUTED_VALUE"""),"Phone")</f>
        <v>Phone</v>
      </c>
      <c r="D1" s="2" t="str">
        <f ca="1">IFERROR(__xludf.DUMMYFUNCTION("""COMPUTED_VALUE"""),"Address 1")</f>
        <v>Address 1</v>
      </c>
      <c r="E1" s="2" t="str">
        <f ca="1">IFERROR(__xludf.DUMMYFUNCTION("""COMPUTED_VALUE"""),"Address 2")</f>
        <v>Address 2</v>
      </c>
      <c r="F1" s="2" t="str">
        <f ca="1">IFERROR(__xludf.DUMMYFUNCTION("""COMPUTED_VALUE"""),"Within 10 mi OPTUM")</f>
        <v>Within 10 mi OPTUM</v>
      </c>
      <c r="G1" s="2" t="str">
        <f ca="1">IFERROR(__xludf.DUMMYFUNCTION("""COMPUTED_VALUE"""),"Number of Staff")</f>
        <v>Number of Staff</v>
      </c>
      <c r="H1" s="2" t="str">
        <f ca="1">IFERROR(__xludf.DUMMYFUNCTION("""COMPUTED_VALUE"""),"Status")</f>
        <v>Status</v>
      </c>
      <c r="I1" s="2" t="str">
        <f ca="1">IFERROR(__xludf.DUMMYFUNCTION("""COMPUTED_VALUE"""),"Designation")</f>
        <v>Designation</v>
      </c>
      <c r="J1" s="2" t="str">
        <f ca="1">IFERROR(__xludf.DUMMYFUNCTION("""COMPUTED_VALUE"""),"Notes")</f>
        <v>Notes</v>
      </c>
      <c r="K1" s="2"/>
      <c r="L1" s="2"/>
      <c r="M1" s="2"/>
      <c r="N1" s="2"/>
      <c r="O1" s="2"/>
      <c r="P1" s="2"/>
      <c r="Q1" s="2"/>
      <c r="R1" s="2"/>
      <c r="S1" s="2"/>
      <c r="T1" s="2"/>
      <c r="U1" s="2"/>
      <c r="V1" s="2"/>
      <c r="W1" s="2"/>
      <c r="X1" s="2"/>
      <c r="Y1" s="2"/>
      <c r="Z1" s="2"/>
    </row>
    <row r="2" spans="1:26">
      <c r="A2" s="135" t="str">
        <f ca="1">IFERROR(__xludf.DUMMYFUNCTION("""COMPUTED_VALUE"""),"Albany Health Care &amp; Rehabilitation Center")</f>
        <v>Albany Health Care &amp; Rehabilitation Center</v>
      </c>
      <c r="B2" s="135" t="str">
        <f ca="1">IFERROR(__xludf.DUMMYFUNCTION("""COMPUTED_VALUE"""),"TLC")</f>
        <v>TLC</v>
      </c>
      <c r="C2" s="135" t="str">
        <f ca="1">IFERROR(__xludf.DUMMYFUNCTION("""COMPUTED_VALUE"""),"   Tel: (765)789-4423")</f>
        <v xml:space="preserve">   Tel: (765)789-4423</v>
      </c>
      <c r="D2" s="135" t="str">
        <f ca="1">IFERROR(__xludf.DUMMYFUNCTION("""COMPUTED_VALUE"""),"   910 W Walnut St")</f>
        <v xml:space="preserve">   910 W Walnut St</v>
      </c>
      <c r="E2" s="135" t="str">
        <f ca="1">IFERROR(__xludf.DUMMYFUNCTION("""COMPUTED_VALUE"""),"   Albany, In 47320")</f>
        <v xml:space="preserve">   Albany, In 47320</v>
      </c>
      <c r="F2" s="135" t="str">
        <f ca="1">IFERROR(__xludf.DUMMYFUNCTION("""COMPUTED_VALUE"""),"")</f>
        <v/>
      </c>
      <c r="G2" s="135">
        <f ca="1">IFERROR(__xludf.DUMMYFUNCTION("""COMPUTED_VALUE"""),110)</f>
        <v>110</v>
      </c>
      <c r="H2" s="135" t="str">
        <f ca="1">IFERROR(__xludf.DUMMYFUNCTION("""COMPUTED_VALUE"""),"Plan to do testing themselves")</f>
        <v>Plan to do testing themselves</v>
      </c>
      <c r="I2" s="135" t="str">
        <f ca="1">IFERROR(__xludf.DUMMYFUNCTION("""COMPUTED_VALUE"""),"GREEN")</f>
        <v>GREEN</v>
      </c>
      <c r="J2" s="135" t="str">
        <f ca="1">IFERROR(__xludf.DUMMYFUNCTION("""COMPUTED_VALUE"""),"")</f>
        <v/>
      </c>
      <c r="K2" s="135"/>
      <c r="L2" s="135"/>
      <c r="M2" s="135"/>
      <c r="N2" s="135"/>
      <c r="O2" s="135"/>
      <c r="P2" s="135"/>
      <c r="Q2" s="135"/>
      <c r="R2" s="135"/>
      <c r="S2" s="135"/>
      <c r="T2" s="135"/>
      <c r="U2" s="135"/>
      <c r="V2" s="135"/>
      <c r="W2" s="135"/>
      <c r="X2" s="135"/>
      <c r="Y2" s="135"/>
      <c r="Z2" s="135"/>
    </row>
    <row r="3" spans="1:26">
      <c r="A3" s="135" t="str">
        <f ca="1">IFERROR(__xludf.DUMMYFUNCTION("""COMPUTED_VALUE"""),"Ambassador Healthcare")</f>
        <v>Ambassador Healthcare</v>
      </c>
      <c r="B3" s="135" t="str">
        <f ca="1">IFERROR(__xludf.DUMMYFUNCTION("""COMPUTED_VALUE"""),"")</f>
        <v/>
      </c>
      <c r="C3" s="135" t="str">
        <f ca="1">IFERROR(__xludf.DUMMYFUNCTION("""COMPUTED_VALUE"""),"   Tel: (765)855-3424")</f>
        <v xml:space="preserve">   Tel: (765)855-3424</v>
      </c>
      <c r="D3" s="135" t="str">
        <f ca="1">IFERROR(__xludf.DUMMYFUNCTION("""COMPUTED_VALUE"""),"   705 E Main St")</f>
        <v xml:space="preserve">   705 E Main St</v>
      </c>
      <c r="E3" s="135" t="str">
        <f ca="1">IFERROR(__xludf.DUMMYFUNCTION("""COMPUTED_VALUE"""),"   Centerville, In 47330")</f>
        <v xml:space="preserve">   Centerville, In 47330</v>
      </c>
      <c r="F3" s="135" t="str">
        <f ca="1">IFERROR(__xludf.DUMMYFUNCTION("""COMPUTED_VALUE"""),"")</f>
        <v/>
      </c>
      <c r="G3" s="135">
        <f ca="1">IFERROR(__xludf.DUMMYFUNCTION("""COMPUTED_VALUE"""),165)</f>
        <v>165</v>
      </c>
      <c r="H3" s="135" t="str">
        <f ca="1">IFERROR(__xludf.DUMMYFUNCTION("""COMPUTED_VALUE"""),"Plan to do testing themselves")</f>
        <v>Plan to do testing themselves</v>
      </c>
      <c r="I3" s="135" t="str">
        <f ca="1">IFERROR(__xludf.DUMMYFUNCTION("""COMPUTED_VALUE"""),"GREEN")</f>
        <v>GREEN</v>
      </c>
      <c r="J3" s="135" t="str">
        <f ca="1">IFERROR(__xludf.DUMMYFUNCTION("""COMPUTED_VALUE"""),"")</f>
        <v/>
      </c>
      <c r="K3" s="135"/>
      <c r="L3" s="135"/>
      <c r="M3" s="135"/>
      <c r="N3" s="135"/>
      <c r="O3" s="135"/>
      <c r="P3" s="135"/>
      <c r="Q3" s="135"/>
      <c r="R3" s="135"/>
      <c r="S3" s="135"/>
      <c r="T3" s="135"/>
      <c r="U3" s="135"/>
      <c r="V3" s="135"/>
      <c r="W3" s="135"/>
      <c r="X3" s="135"/>
      <c r="Y3" s="135"/>
      <c r="Z3" s="135"/>
    </row>
    <row r="4" spans="1:26">
      <c r="A4" s="135" t="str">
        <f ca="1">IFERROR(__xludf.DUMMYFUNCTION("""COMPUTED_VALUE"""),"Amber Manor Care Center")</f>
        <v>Amber Manor Care Center</v>
      </c>
      <c r="B4" s="135" t="str">
        <f ca="1">IFERROR(__xludf.DUMMYFUNCTION("""COMPUTED_VALUE"""),"Trilogy")</f>
        <v>Trilogy</v>
      </c>
      <c r="C4" s="135" t="str">
        <f ca="1">IFERROR(__xludf.DUMMYFUNCTION("""COMPUTED_VALUE"""),"   Tel: (812)354-3001")</f>
        <v xml:space="preserve">   Tel: (812)354-3001</v>
      </c>
      <c r="D4" s="135" t="str">
        <f ca="1">IFERROR(__xludf.DUMMYFUNCTION("""COMPUTED_VALUE"""),"   801 E Illinois St")</f>
        <v xml:space="preserve">   801 E Illinois St</v>
      </c>
      <c r="E4" s="135" t="str">
        <f ca="1">IFERROR(__xludf.DUMMYFUNCTION("""COMPUTED_VALUE"""),"   Petersburg, In 47567")</f>
        <v xml:space="preserve">   Petersburg, In 47567</v>
      </c>
      <c r="F4" s="135" t="str">
        <f ca="1">IFERROR(__xludf.DUMMYFUNCTION("""COMPUTED_VALUE"""),"No")</f>
        <v>No</v>
      </c>
      <c r="G4" s="135">
        <f ca="1">IFERROR(__xludf.DUMMYFUNCTION("""COMPUTED_VALUE"""),111)</f>
        <v>111</v>
      </c>
      <c r="H4" s="135" t="str">
        <f ca="1">IFERROR(__xludf.DUMMYFUNCTION("""COMPUTED_VALUE"""),"Plan to do testing themselves")</f>
        <v>Plan to do testing themselves</v>
      </c>
      <c r="I4" s="135" t="str">
        <f ca="1">IFERROR(__xludf.DUMMYFUNCTION("""COMPUTED_VALUE"""),"GREEN")</f>
        <v>GREEN</v>
      </c>
      <c r="J4" s="135" t="str">
        <f ca="1">IFERROR(__xludf.DUMMYFUNCTION("""COMPUTED_VALUE"""),"")</f>
        <v/>
      </c>
      <c r="K4" s="135"/>
      <c r="L4" s="135"/>
      <c r="M4" s="135"/>
      <c r="N4" s="135"/>
      <c r="O4" s="135"/>
      <c r="P4" s="135"/>
      <c r="Q4" s="135"/>
      <c r="R4" s="135"/>
      <c r="S4" s="135"/>
      <c r="T4" s="135"/>
      <c r="U4" s="135"/>
      <c r="V4" s="135"/>
      <c r="W4" s="135"/>
      <c r="X4" s="135"/>
      <c r="Y4" s="135"/>
      <c r="Z4" s="135"/>
    </row>
    <row r="5" spans="1:26">
      <c r="A5" s="135" t="str">
        <f ca="1">IFERROR(__xludf.DUMMYFUNCTION("""COMPUTED_VALUE"""),"Aperion Care Arbors Michigan City")</f>
        <v>Aperion Care Arbors Michigan City</v>
      </c>
      <c r="B5" s="135" t="str">
        <f ca="1">IFERROR(__xludf.DUMMYFUNCTION("""COMPUTED_VALUE"""),"Aperion Care")</f>
        <v>Aperion Care</v>
      </c>
      <c r="C5" s="135" t="str">
        <f ca="1">IFERROR(__xludf.DUMMYFUNCTION("""COMPUTED_VALUE"""),"   Tel: (219)874-5211")</f>
        <v xml:space="preserve">   Tel: (219)874-5211</v>
      </c>
      <c r="D5" s="135" t="str">
        <f ca="1">IFERROR(__xludf.DUMMYFUNCTION("""COMPUTED_VALUE"""),"   1101 E Coolspring Ave")</f>
        <v xml:space="preserve">   1101 E Coolspring Ave</v>
      </c>
      <c r="E5" s="135" t="str">
        <f ca="1">IFERROR(__xludf.DUMMYFUNCTION("""COMPUTED_VALUE"""),"   Michigan City, In 46360")</f>
        <v xml:space="preserve">   Michigan City, In 46360</v>
      </c>
      <c r="F5" s="135" t="str">
        <f ca="1">IFERROR(__xludf.DUMMYFUNCTION("""COMPUTED_VALUE"""),"")</f>
        <v/>
      </c>
      <c r="G5" s="135">
        <f ca="1">IFERROR(__xludf.DUMMYFUNCTION("""COMPUTED_VALUE"""),153)</f>
        <v>153</v>
      </c>
      <c r="H5" s="135" t="str">
        <f ca="1">IFERROR(__xludf.DUMMYFUNCTION("""COMPUTED_VALUE"""),"Plan to do testing themselves")</f>
        <v>Plan to do testing themselves</v>
      </c>
      <c r="I5" s="135" t="str">
        <f ca="1">IFERROR(__xludf.DUMMYFUNCTION("""COMPUTED_VALUE"""),"GREEN")</f>
        <v>GREEN</v>
      </c>
      <c r="J5" s="135" t="str">
        <f ca="1">IFERROR(__xludf.DUMMYFUNCTION("""COMPUTED_VALUE"""),"")</f>
        <v/>
      </c>
      <c r="K5" s="135"/>
      <c r="L5" s="135"/>
      <c r="M5" s="135"/>
      <c r="N5" s="135"/>
      <c r="O5" s="135"/>
      <c r="P5" s="135"/>
      <c r="Q5" s="135"/>
      <c r="R5" s="135"/>
      <c r="S5" s="135"/>
      <c r="T5" s="135"/>
      <c r="U5" s="135"/>
      <c r="V5" s="135"/>
      <c r="W5" s="135"/>
      <c r="X5" s="135"/>
      <c r="Y5" s="135"/>
      <c r="Z5" s="135"/>
    </row>
    <row r="6" spans="1:26">
      <c r="A6" s="135" t="str">
        <f ca="1">IFERROR(__xludf.DUMMYFUNCTION("""COMPUTED_VALUE"""),"Aperion Care Demotte")</f>
        <v>Aperion Care Demotte</v>
      </c>
      <c r="B6" s="135" t="str">
        <f ca="1">IFERROR(__xludf.DUMMYFUNCTION("""COMPUTED_VALUE"""),"Aperion Care")</f>
        <v>Aperion Care</v>
      </c>
      <c r="C6" s="135" t="str">
        <f ca="1">IFERROR(__xludf.DUMMYFUNCTION("""COMPUTED_VALUE"""),"   Tel: (219)345-5211")</f>
        <v xml:space="preserve">   Tel: (219)345-5211</v>
      </c>
      <c r="D6" s="135" t="str">
        <f ca="1">IFERROR(__xludf.DUMMYFUNCTION("""COMPUTED_VALUE"""),"   10352 N 600 E  County Line Rd")</f>
        <v xml:space="preserve">   10352 N 600 E  County Line Rd</v>
      </c>
      <c r="E6" s="135" t="str">
        <f ca="1">IFERROR(__xludf.DUMMYFUNCTION("""COMPUTED_VALUE"""),"   Demotte, In 46310")</f>
        <v xml:space="preserve">   Demotte, In 46310</v>
      </c>
      <c r="F6" s="135" t="str">
        <f ca="1">IFERROR(__xludf.DUMMYFUNCTION("""COMPUTED_VALUE"""),"No")</f>
        <v>No</v>
      </c>
      <c r="G6" s="135">
        <f ca="1">IFERROR(__xludf.DUMMYFUNCTION("""COMPUTED_VALUE"""),88)</f>
        <v>88</v>
      </c>
      <c r="H6" s="135" t="str">
        <f ca="1">IFERROR(__xludf.DUMMYFUNCTION("""COMPUTED_VALUE"""),"Plan to do testing themselves")</f>
        <v>Plan to do testing themselves</v>
      </c>
      <c r="I6" s="135" t="str">
        <f ca="1">IFERROR(__xludf.DUMMYFUNCTION("""COMPUTED_VALUE"""),"GREEN")</f>
        <v>GREEN</v>
      </c>
      <c r="J6" s="135" t="str">
        <f ca="1">IFERROR(__xludf.DUMMYFUNCTION("""COMPUTED_VALUE"""),"")</f>
        <v/>
      </c>
      <c r="K6" s="135"/>
      <c r="L6" s="135"/>
      <c r="M6" s="135"/>
      <c r="N6" s="135"/>
      <c r="O6" s="135"/>
      <c r="P6" s="135"/>
      <c r="Q6" s="135"/>
      <c r="R6" s="135"/>
      <c r="S6" s="135"/>
      <c r="T6" s="135"/>
      <c r="U6" s="135"/>
      <c r="V6" s="135"/>
      <c r="W6" s="135"/>
      <c r="X6" s="135"/>
      <c r="Y6" s="135"/>
      <c r="Z6" s="135"/>
    </row>
    <row r="7" spans="1:26">
      <c r="A7" s="135" t="str">
        <f ca="1">IFERROR(__xludf.DUMMYFUNCTION("""COMPUTED_VALUE"""),"Aperion Care Fort Wayne")</f>
        <v>Aperion Care Fort Wayne</v>
      </c>
      <c r="B7" s="135" t="str">
        <f ca="1">IFERROR(__xludf.DUMMYFUNCTION("""COMPUTED_VALUE"""),"Aperion Care")</f>
        <v>Aperion Care</v>
      </c>
      <c r="C7" s="135" t="str">
        <f ca="1">IFERROR(__xludf.DUMMYFUNCTION("""COMPUTED_VALUE"""),"   Tel: (260)432-7556")</f>
        <v xml:space="preserve">   Tel: (260)432-7556</v>
      </c>
      <c r="D7" s="135" t="str">
        <f ca="1">IFERROR(__xludf.DUMMYFUNCTION("""COMPUTED_VALUE"""),"   5700 Wilkie Dr")</f>
        <v xml:space="preserve">   5700 Wilkie Dr</v>
      </c>
      <c r="E7" s="135" t="str">
        <f ca="1">IFERROR(__xludf.DUMMYFUNCTION("""COMPUTED_VALUE"""),"   Fort Wayne, In 46804")</f>
        <v xml:space="preserve">   Fort Wayne, In 46804</v>
      </c>
      <c r="F7" s="135" t="str">
        <f ca="1">IFERROR(__xludf.DUMMYFUNCTION("""COMPUTED_VALUE"""),"")</f>
        <v/>
      </c>
      <c r="G7" s="135">
        <f ca="1">IFERROR(__xludf.DUMMYFUNCTION("""COMPUTED_VALUE"""),101)</f>
        <v>101</v>
      </c>
      <c r="H7" s="135" t="str">
        <f ca="1">IFERROR(__xludf.DUMMYFUNCTION("""COMPUTED_VALUE"""),"Plan to do testing themselves")</f>
        <v>Plan to do testing themselves</v>
      </c>
      <c r="I7" s="135" t="str">
        <f ca="1">IFERROR(__xludf.DUMMYFUNCTION("""COMPUTED_VALUE"""),"GREEN")</f>
        <v>GREEN</v>
      </c>
      <c r="J7" s="135" t="str">
        <f ca="1">IFERROR(__xludf.DUMMYFUNCTION("""COMPUTED_VALUE"""),"")</f>
        <v/>
      </c>
      <c r="K7" s="135"/>
      <c r="L7" s="135"/>
      <c r="M7" s="135"/>
      <c r="N7" s="135"/>
      <c r="O7" s="135"/>
      <c r="P7" s="135"/>
      <c r="Q7" s="135"/>
      <c r="R7" s="135"/>
      <c r="S7" s="135"/>
      <c r="T7" s="135"/>
      <c r="U7" s="135"/>
      <c r="V7" s="135"/>
      <c r="W7" s="135"/>
      <c r="X7" s="135"/>
      <c r="Y7" s="135"/>
      <c r="Z7" s="135"/>
    </row>
    <row r="8" spans="1:26">
      <c r="A8" s="135" t="str">
        <f ca="1">IFERROR(__xludf.DUMMYFUNCTION("""COMPUTED_VALUE"""),"Aperion Care Kokomo")</f>
        <v>Aperion Care Kokomo</v>
      </c>
      <c r="B8" s="135" t="str">
        <f ca="1">IFERROR(__xludf.DUMMYFUNCTION("""COMPUTED_VALUE"""),"Aperion Care")</f>
        <v>Aperion Care</v>
      </c>
      <c r="C8" s="135" t="str">
        <f ca="1">IFERROR(__xludf.DUMMYFUNCTION("""COMPUTED_VALUE"""),"   Tel: (765)453-4666")</f>
        <v xml:space="preserve">   Tel: (765)453-4666</v>
      </c>
      <c r="D8" s="135" t="str">
        <f ca="1">IFERROR(__xludf.DUMMYFUNCTION("""COMPUTED_VALUE"""),"   3518 S Lafountain St")</f>
        <v xml:space="preserve">   3518 S Lafountain St</v>
      </c>
      <c r="E8" s="135" t="str">
        <f ca="1">IFERROR(__xludf.DUMMYFUNCTION("""COMPUTED_VALUE"""),"   Kokomo, In 46902")</f>
        <v xml:space="preserve">   Kokomo, In 46902</v>
      </c>
      <c r="F8" s="135" t="str">
        <f ca="1">IFERROR(__xludf.DUMMYFUNCTION("""COMPUTED_VALUE"""),"")</f>
        <v/>
      </c>
      <c r="G8" s="135">
        <f ca="1">IFERROR(__xludf.DUMMYFUNCTION("""COMPUTED_VALUE"""),71)</f>
        <v>71</v>
      </c>
      <c r="H8" s="135" t="str">
        <f ca="1">IFERROR(__xludf.DUMMYFUNCTION("""COMPUTED_VALUE"""),"Plan to do testing themselves")</f>
        <v>Plan to do testing themselves</v>
      </c>
      <c r="I8" s="135" t="str">
        <f ca="1">IFERROR(__xludf.DUMMYFUNCTION("""COMPUTED_VALUE"""),"GREEN")</f>
        <v>GREEN</v>
      </c>
      <c r="J8" s="135" t="str">
        <f ca="1">IFERROR(__xludf.DUMMYFUNCTION("""COMPUTED_VALUE"""),"")</f>
        <v/>
      </c>
      <c r="K8" s="135"/>
      <c r="L8" s="135"/>
      <c r="M8" s="135"/>
      <c r="N8" s="135"/>
      <c r="O8" s="135"/>
      <c r="P8" s="135"/>
      <c r="Q8" s="135"/>
      <c r="R8" s="135"/>
      <c r="S8" s="135"/>
      <c r="T8" s="135"/>
      <c r="U8" s="135"/>
      <c r="V8" s="135"/>
      <c r="W8" s="135"/>
      <c r="X8" s="135"/>
      <c r="Y8" s="135"/>
      <c r="Z8" s="135"/>
    </row>
    <row r="9" spans="1:26">
      <c r="A9" s="135" t="str">
        <f ca="1">IFERROR(__xludf.DUMMYFUNCTION("""COMPUTED_VALUE"""),"Aperion Care Marion Llc")</f>
        <v>Aperion Care Marion Llc</v>
      </c>
      <c r="B9" s="135" t="str">
        <f ca="1">IFERROR(__xludf.DUMMYFUNCTION("""COMPUTED_VALUE"""),"Aperion Care")</f>
        <v>Aperion Care</v>
      </c>
      <c r="C9" s="135" t="str">
        <f ca="1">IFERROR(__xludf.DUMMYFUNCTION("""COMPUTED_VALUE"""),"   Tel: (765)662-3701")</f>
        <v xml:space="preserve">   Tel: (765)662-3701</v>
      </c>
      <c r="D9" s="135" t="str">
        <f ca="1">IFERROR(__xludf.DUMMYFUNCTION("""COMPUTED_VALUE"""),"   614 West 14Th Street")</f>
        <v xml:space="preserve">   614 West 14Th Street</v>
      </c>
      <c r="E9" s="135" t="str">
        <f ca="1">IFERROR(__xludf.DUMMYFUNCTION("""COMPUTED_VALUE"""),"   Marion, In 46953")</f>
        <v xml:space="preserve">   Marion, In 46953</v>
      </c>
      <c r="F9" s="135" t="str">
        <f ca="1">IFERROR(__xludf.DUMMYFUNCTION("""COMPUTED_VALUE"""),"")</f>
        <v/>
      </c>
      <c r="G9" s="135">
        <f ca="1">IFERROR(__xludf.DUMMYFUNCTION("""COMPUTED_VALUE"""),55)</f>
        <v>55</v>
      </c>
      <c r="H9" s="135" t="str">
        <f ca="1">IFERROR(__xludf.DUMMYFUNCTION("""COMPUTED_VALUE"""),"Plan to do testing themselves")</f>
        <v>Plan to do testing themselves</v>
      </c>
      <c r="I9" s="135" t="str">
        <f ca="1">IFERROR(__xludf.DUMMYFUNCTION("""COMPUTED_VALUE"""),"GREEN")</f>
        <v>GREEN</v>
      </c>
      <c r="J9" s="135" t="str">
        <f ca="1">IFERROR(__xludf.DUMMYFUNCTION("""COMPUTED_VALUE"""),"")</f>
        <v/>
      </c>
      <c r="K9" s="135"/>
      <c r="L9" s="135"/>
      <c r="M9" s="135"/>
      <c r="N9" s="135"/>
      <c r="O9" s="135"/>
      <c r="P9" s="135"/>
      <c r="Q9" s="135"/>
      <c r="R9" s="135"/>
      <c r="S9" s="135"/>
      <c r="T9" s="135"/>
      <c r="U9" s="135"/>
      <c r="V9" s="135"/>
      <c r="W9" s="135"/>
      <c r="X9" s="135"/>
      <c r="Y9" s="135"/>
      <c r="Z9" s="135"/>
    </row>
    <row r="10" spans="1:26">
      <c r="A10" s="135" t="str">
        <f ca="1">IFERROR(__xludf.DUMMYFUNCTION("""COMPUTED_VALUE"""),"Arbor Grove Village")</f>
        <v>Arbor Grove Village</v>
      </c>
      <c r="B10" s="135" t="str">
        <f ca="1">IFERROR(__xludf.DUMMYFUNCTION("""COMPUTED_VALUE"""),"ASC")</f>
        <v>ASC</v>
      </c>
      <c r="C10" s="135" t="str">
        <f ca="1">IFERROR(__xludf.DUMMYFUNCTION("""COMPUTED_VALUE"""),"   Tel: (812)663-8553")</f>
        <v xml:space="preserve">   Tel: (812)663-8553</v>
      </c>
      <c r="D10" s="135" t="str">
        <f ca="1">IFERROR(__xludf.DUMMYFUNCTION("""COMPUTED_VALUE"""),"   1021 E Central Ave")</f>
        <v xml:space="preserve">   1021 E Central Ave</v>
      </c>
      <c r="E10" s="135" t="str">
        <f ca="1">IFERROR(__xludf.DUMMYFUNCTION("""COMPUTED_VALUE"""),"   Greensburg, In 47240")</f>
        <v xml:space="preserve">   Greensburg, In 47240</v>
      </c>
      <c r="F10" s="135" t="str">
        <f ca="1">IFERROR(__xludf.DUMMYFUNCTION("""COMPUTED_VALUE"""),"")</f>
        <v/>
      </c>
      <c r="G10" s="135">
        <f ca="1">IFERROR(__xludf.DUMMYFUNCTION("""COMPUTED_VALUE"""),99)</f>
        <v>99</v>
      </c>
      <c r="H10" s="135" t="str">
        <f ca="1">IFERROR(__xludf.DUMMYFUNCTION("""COMPUTED_VALUE"""),"Plan to do testing themselves")</f>
        <v>Plan to do testing themselves</v>
      </c>
      <c r="I10" s="135" t="str">
        <f ca="1">IFERROR(__xludf.DUMMYFUNCTION("""COMPUTED_VALUE"""),"GREEN")</f>
        <v>GREEN</v>
      </c>
      <c r="J10" s="135" t="str">
        <f ca="1">IFERROR(__xludf.DUMMYFUNCTION("""COMPUTED_VALUE"""),"")</f>
        <v/>
      </c>
      <c r="K10" s="135"/>
      <c r="L10" s="135"/>
      <c r="M10" s="135"/>
      <c r="N10" s="135"/>
      <c r="O10" s="135"/>
      <c r="P10" s="135"/>
      <c r="Q10" s="135"/>
      <c r="R10" s="135"/>
      <c r="S10" s="135"/>
      <c r="T10" s="135"/>
      <c r="U10" s="135"/>
      <c r="V10" s="135"/>
      <c r="W10" s="135"/>
      <c r="X10" s="135"/>
      <c r="Y10" s="135"/>
      <c r="Z10" s="135"/>
    </row>
    <row r="11" spans="1:26">
      <c r="A11" s="135" t="str">
        <f ca="1">IFERROR(__xludf.DUMMYFUNCTION("""COMPUTED_VALUE"""),"Arlington Place Health Campus")</f>
        <v>Arlington Place Health Campus</v>
      </c>
      <c r="B11" s="135" t="str">
        <f ca="1">IFERROR(__xludf.DUMMYFUNCTION("""COMPUTED_VALUE"""),"Trilogy")</f>
        <v>Trilogy</v>
      </c>
      <c r="C11" s="135" t="str">
        <f ca="1">IFERROR(__xludf.DUMMYFUNCTION("""COMPUTED_VALUE"""),"   Tel: (317)353-6000")</f>
        <v xml:space="preserve">   Tel: (317)353-6000</v>
      </c>
      <c r="D11" s="135" t="str">
        <f ca="1">IFERROR(__xludf.DUMMYFUNCTION("""COMPUTED_VALUE"""),"   1635 N Arlington Ave")</f>
        <v xml:space="preserve">   1635 N Arlington Ave</v>
      </c>
      <c r="E11" s="135" t="str">
        <f ca="1">IFERROR(__xludf.DUMMYFUNCTION("""COMPUTED_VALUE"""),"   Indianapolis, In 46218")</f>
        <v xml:space="preserve">   Indianapolis, In 46218</v>
      </c>
      <c r="F11" s="135" t="str">
        <f ca="1">IFERROR(__xludf.DUMMYFUNCTION("""COMPUTED_VALUE"""),"")</f>
        <v/>
      </c>
      <c r="G11" s="135">
        <f ca="1">IFERROR(__xludf.DUMMYFUNCTION("""COMPUTED_VALUE"""),100)</f>
        <v>100</v>
      </c>
      <c r="H11" s="135" t="str">
        <f ca="1">IFERROR(__xludf.DUMMYFUNCTION("""COMPUTED_VALUE"""),"Plan to do testing themselves")</f>
        <v>Plan to do testing themselves</v>
      </c>
      <c r="I11" s="135" t="str">
        <f ca="1">IFERROR(__xludf.DUMMYFUNCTION("""COMPUTED_VALUE"""),"GREEN")</f>
        <v>GREEN</v>
      </c>
      <c r="J11" s="135" t="str">
        <f ca="1">IFERROR(__xludf.DUMMYFUNCTION("""COMPUTED_VALUE"""),"")</f>
        <v/>
      </c>
      <c r="K11" s="135"/>
      <c r="L11" s="135"/>
      <c r="M11" s="135"/>
      <c r="N11" s="135"/>
      <c r="O11" s="135"/>
      <c r="P11" s="135"/>
      <c r="Q11" s="135"/>
      <c r="R11" s="135"/>
      <c r="S11" s="135"/>
      <c r="T11" s="135"/>
      <c r="U11" s="135"/>
      <c r="V11" s="135"/>
      <c r="W11" s="135"/>
      <c r="X11" s="135"/>
      <c r="Y11" s="135"/>
      <c r="Z11" s="135"/>
    </row>
    <row r="12" spans="1:26">
      <c r="A12" s="135" t="str">
        <f ca="1">IFERROR(__xludf.DUMMYFUNCTION("""COMPUTED_VALUE"""),"Asbury Towers Health Care Center")</f>
        <v>Asbury Towers Health Care Center</v>
      </c>
      <c r="B12" s="135" t="str">
        <f ca="1">IFERROR(__xludf.DUMMYFUNCTION("""COMPUTED_VALUE"""),"")</f>
        <v/>
      </c>
      <c r="C12" s="135" t="str">
        <f ca="1">IFERROR(__xludf.DUMMYFUNCTION("""COMPUTED_VALUE"""),"   Tel: (765)653-5148")</f>
        <v xml:space="preserve">   Tel: (765)653-5148</v>
      </c>
      <c r="D12" s="135" t="str">
        <f ca="1">IFERROR(__xludf.DUMMYFUNCTION("""COMPUTED_VALUE"""),"   102 W Poplar St")</f>
        <v xml:space="preserve">   102 W Poplar St</v>
      </c>
      <c r="E12" s="135" t="str">
        <f ca="1">IFERROR(__xludf.DUMMYFUNCTION("""COMPUTED_VALUE"""),"   Greencastle, In 46135")</f>
        <v xml:space="preserve">   Greencastle, In 46135</v>
      </c>
      <c r="F12" s="135" t="str">
        <f ca="1">IFERROR(__xludf.DUMMYFUNCTION("""COMPUTED_VALUE"""),"")</f>
        <v/>
      </c>
      <c r="G12" s="135">
        <f ca="1">IFERROR(__xludf.DUMMYFUNCTION("""COMPUTED_VALUE"""),130)</f>
        <v>130</v>
      </c>
      <c r="H12" s="135" t="str">
        <f ca="1">IFERROR(__xludf.DUMMYFUNCTION("""COMPUTED_VALUE"""),"Plan to do testing themselves")</f>
        <v>Plan to do testing themselves</v>
      </c>
      <c r="I12" s="135" t="str">
        <f ca="1">IFERROR(__xludf.DUMMYFUNCTION("""COMPUTED_VALUE"""),"GREEN")</f>
        <v>GREEN</v>
      </c>
      <c r="J12" s="135" t="str">
        <f ca="1">IFERROR(__xludf.DUMMYFUNCTION("""COMPUTED_VALUE"""),"")</f>
        <v/>
      </c>
      <c r="K12" s="135"/>
      <c r="L12" s="135"/>
      <c r="M12" s="135"/>
      <c r="N12" s="135"/>
      <c r="O12" s="135"/>
      <c r="P12" s="135"/>
      <c r="Q12" s="135"/>
      <c r="R12" s="135"/>
      <c r="S12" s="135"/>
      <c r="T12" s="135"/>
      <c r="U12" s="135"/>
      <c r="V12" s="135"/>
      <c r="W12" s="135"/>
      <c r="X12" s="135"/>
      <c r="Y12" s="135"/>
      <c r="Z12" s="135"/>
    </row>
    <row r="13" spans="1:26">
      <c r="A13" s="135" t="str">
        <f ca="1">IFERROR(__xludf.DUMMYFUNCTION("""COMPUTED_VALUE"""),"Ashford Place Health Campus")</f>
        <v>Ashford Place Health Campus</v>
      </c>
      <c r="B13" s="135" t="str">
        <f ca="1">IFERROR(__xludf.DUMMYFUNCTION("""COMPUTED_VALUE"""),"Trilogy")</f>
        <v>Trilogy</v>
      </c>
      <c r="C13" s="135" t="str">
        <f ca="1">IFERROR(__xludf.DUMMYFUNCTION("""COMPUTED_VALUE"""),"   Tel: (317)398-8422")</f>
        <v xml:space="preserve">   Tel: (317)398-8422</v>
      </c>
      <c r="D13" s="135" t="str">
        <f ca="1">IFERROR(__xludf.DUMMYFUNCTION("""COMPUTED_VALUE"""),"   2200 N Riley Hwy")</f>
        <v xml:space="preserve">   2200 N Riley Hwy</v>
      </c>
      <c r="E13" s="135" t="str">
        <f ca="1">IFERROR(__xludf.DUMMYFUNCTION("""COMPUTED_VALUE"""),"   Shelbyville, In 46176")</f>
        <v xml:space="preserve">   Shelbyville, In 46176</v>
      </c>
      <c r="F13" s="135" t="str">
        <f ca="1">IFERROR(__xludf.DUMMYFUNCTION("""COMPUTED_VALUE"""),"")</f>
        <v/>
      </c>
      <c r="G13" s="135">
        <f ca="1">IFERROR(__xludf.DUMMYFUNCTION("""COMPUTED_VALUE"""),122)</f>
        <v>122</v>
      </c>
      <c r="H13" s="135" t="str">
        <f ca="1">IFERROR(__xludf.DUMMYFUNCTION("""COMPUTED_VALUE"""),"Plan to do testing themselves")</f>
        <v>Plan to do testing themselves</v>
      </c>
      <c r="I13" s="135" t="str">
        <f ca="1">IFERROR(__xludf.DUMMYFUNCTION("""COMPUTED_VALUE"""),"GREEN")</f>
        <v>GREEN</v>
      </c>
      <c r="J13" s="135" t="str">
        <f ca="1">IFERROR(__xludf.DUMMYFUNCTION("""COMPUTED_VALUE"""),"")</f>
        <v/>
      </c>
      <c r="K13" s="135"/>
      <c r="L13" s="135"/>
      <c r="M13" s="135"/>
      <c r="N13" s="135"/>
      <c r="O13" s="135"/>
      <c r="P13" s="135"/>
      <c r="Q13" s="135"/>
      <c r="R13" s="135"/>
      <c r="S13" s="135"/>
      <c r="T13" s="135"/>
      <c r="U13" s="135"/>
      <c r="V13" s="135"/>
      <c r="W13" s="135"/>
      <c r="X13" s="135"/>
      <c r="Y13" s="135"/>
      <c r="Z13" s="135"/>
    </row>
    <row r="14" spans="1:26">
      <c r="A14" s="135" t="str">
        <f ca="1">IFERROR(__xludf.DUMMYFUNCTION("""COMPUTED_VALUE"""),"Aspen Place Health Campus")</f>
        <v>Aspen Place Health Campus</v>
      </c>
      <c r="B14" s="135" t="str">
        <f ca="1">IFERROR(__xludf.DUMMYFUNCTION("""COMPUTED_VALUE"""),"Trilogy")</f>
        <v>Trilogy</v>
      </c>
      <c r="C14" s="135" t="str">
        <f ca="1">IFERROR(__xludf.DUMMYFUNCTION("""COMPUTED_VALUE"""),"   Tel: (812)527-2222")</f>
        <v xml:space="preserve">   Tel: (812)527-2222</v>
      </c>
      <c r="D14" s="135" t="str">
        <f ca="1">IFERROR(__xludf.DUMMYFUNCTION("""COMPUTED_VALUE"""),"   2320 N Montgomery Road")</f>
        <v xml:space="preserve">   2320 N Montgomery Road</v>
      </c>
      <c r="E14" s="135" t="str">
        <f ca="1">IFERROR(__xludf.DUMMYFUNCTION("""COMPUTED_VALUE"""),"   Greensburg, In 47240")</f>
        <v xml:space="preserve">   Greensburg, In 47240</v>
      </c>
      <c r="F14" s="135" t="str">
        <f ca="1">IFERROR(__xludf.DUMMYFUNCTION("""COMPUTED_VALUE"""),"")</f>
        <v/>
      </c>
      <c r="G14" s="135">
        <f ca="1">IFERROR(__xludf.DUMMYFUNCTION("""COMPUTED_VALUE"""),111)</f>
        <v>111</v>
      </c>
      <c r="H14" s="135" t="str">
        <f ca="1">IFERROR(__xludf.DUMMYFUNCTION("""COMPUTED_VALUE"""),"Plan to do testing themselves")</f>
        <v>Plan to do testing themselves</v>
      </c>
      <c r="I14" s="135" t="str">
        <f ca="1">IFERROR(__xludf.DUMMYFUNCTION("""COMPUTED_VALUE"""),"GREEN")</f>
        <v>GREEN</v>
      </c>
      <c r="J14" s="135" t="str">
        <f ca="1">IFERROR(__xludf.DUMMYFUNCTION("""COMPUTED_VALUE"""),"")</f>
        <v/>
      </c>
      <c r="K14" s="135"/>
      <c r="L14" s="135"/>
      <c r="M14" s="135"/>
      <c r="N14" s="135"/>
      <c r="O14" s="135"/>
      <c r="P14" s="135"/>
      <c r="Q14" s="135"/>
      <c r="R14" s="135"/>
      <c r="S14" s="135"/>
      <c r="T14" s="135"/>
      <c r="U14" s="135"/>
      <c r="V14" s="135"/>
      <c r="W14" s="135"/>
      <c r="X14" s="135"/>
      <c r="Y14" s="135"/>
      <c r="Z14" s="135"/>
    </row>
    <row r="15" spans="1:26">
      <c r="A15" s="135" t="str">
        <f ca="1">IFERROR(__xludf.DUMMYFUNCTION("""COMPUTED_VALUE"""),"Auburn Village")</f>
        <v>Auburn Village</v>
      </c>
      <c r="B15" s="135" t="str">
        <f ca="1">IFERROR(__xludf.DUMMYFUNCTION("""COMPUTED_VALUE"""),"")</f>
        <v/>
      </c>
      <c r="C15" s="135" t="str">
        <f ca="1">IFERROR(__xludf.DUMMYFUNCTION("""COMPUTED_VALUE"""),"   Tel: (260)925-5494")</f>
        <v xml:space="preserve">   Tel: (260)925-5494</v>
      </c>
      <c r="D15" s="135" t="str">
        <f ca="1">IFERROR(__xludf.DUMMYFUNCTION("""COMPUTED_VALUE"""),"   1751 Wesley Road")</f>
        <v xml:space="preserve">   1751 Wesley Road</v>
      </c>
      <c r="E15" s="135" t="str">
        <f ca="1">IFERROR(__xludf.DUMMYFUNCTION("""COMPUTED_VALUE"""),"   Auburn, In 46706")</f>
        <v xml:space="preserve">   Auburn, In 46706</v>
      </c>
      <c r="F15" s="135" t="str">
        <f ca="1">IFERROR(__xludf.DUMMYFUNCTION("""COMPUTED_VALUE"""),"")</f>
        <v/>
      </c>
      <c r="G15" s="135">
        <f ca="1">IFERROR(__xludf.DUMMYFUNCTION("""COMPUTED_VALUE"""),115)</f>
        <v>115</v>
      </c>
      <c r="H15" s="135" t="str">
        <f ca="1">IFERROR(__xludf.DUMMYFUNCTION("""COMPUTED_VALUE"""),"Plan to do testing themselves")</f>
        <v>Plan to do testing themselves</v>
      </c>
      <c r="I15" s="135" t="str">
        <f ca="1">IFERROR(__xludf.DUMMYFUNCTION("""COMPUTED_VALUE"""),"GREEN")</f>
        <v>GREEN</v>
      </c>
      <c r="J15" s="135" t="str">
        <f ca="1">IFERROR(__xludf.DUMMYFUNCTION("""COMPUTED_VALUE"""),"")</f>
        <v/>
      </c>
      <c r="K15" s="135"/>
      <c r="L15" s="135"/>
      <c r="M15" s="135"/>
      <c r="N15" s="135"/>
      <c r="O15" s="135"/>
      <c r="P15" s="135"/>
      <c r="Q15" s="135"/>
      <c r="R15" s="135"/>
      <c r="S15" s="135"/>
      <c r="T15" s="135"/>
      <c r="U15" s="135"/>
      <c r="V15" s="135"/>
      <c r="W15" s="135"/>
      <c r="X15" s="135"/>
      <c r="Y15" s="135"/>
      <c r="Z15" s="135"/>
    </row>
    <row r="16" spans="1:26">
      <c r="A16" s="135" t="str">
        <f ca="1">IFERROR(__xludf.DUMMYFUNCTION("""COMPUTED_VALUE"""),"Autumn Woods Health Campus")</f>
        <v>Autumn Woods Health Campus</v>
      </c>
      <c r="B16" s="135" t="str">
        <f ca="1">IFERROR(__xludf.DUMMYFUNCTION("""COMPUTED_VALUE"""),"Trilogy")</f>
        <v>Trilogy</v>
      </c>
      <c r="C16" s="135" t="str">
        <f ca="1">IFERROR(__xludf.DUMMYFUNCTION("""COMPUTED_VALUE"""),"   Tel: (812)941-9893")</f>
        <v xml:space="preserve">   Tel: (812)941-9893</v>
      </c>
      <c r="D16" s="135" t="str">
        <f ca="1">IFERROR(__xludf.DUMMYFUNCTION("""COMPUTED_VALUE"""),"   2911 Green Valley Rd")</f>
        <v xml:space="preserve">   2911 Green Valley Rd</v>
      </c>
      <c r="E16" s="135" t="str">
        <f ca="1">IFERROR(__xludf.DUMMYFUNCTION("""COMPUTED_VALUE"""),"   New Albany, In 47150")</f>
        <v xml:space="preserve">   New Albany, In 47150</v>
      </c>
      <c r="F16" s="135" t="str">
        <f ca="1">IFERROR(__xludf.DUMMYFUNCTION("""COMPUTED_VALUE"""),"")</f>
        <v/>
      </c>
      <c r="G16" s="135">
        <f ca="1">IFERROR(__xludf.DUMMYFUNCTION("""COMPUTED_VALUE"""),137)</f>
        <v>137</v>
      </c>
      <c r="H16" s="135" t="str">
        <f ca="1">IFERROR(__xludf.DUMMYFUNCTION("""COMPUTED_VALUE"""),"Plan to do testing themselves")</f>
        <v>Plan to do testing themselves</v>
      </c>
      <c r="I16" s="135" t="str">
        <f ca="1">IFERROR(__xludf.DUMMYFUNCTION("""COMPUTED_VALUE"""),"GREEN")</f>
        <v>GREEN</v>
      </c>
      <c r="J16" s="135" t="str">
        <f ca="1">IFERROR(__xludf.DUMMYFUNCTION("""COMPUTED_VALUE"""),"")</f>
        <v/>
      </c>
      <c r="K16" s="135"/>
      <c r="L16" s="135"/>
      <c r="M16" s="135"/>
      <c r="N16" s="135"/>
      <c r="O16" s="135"/>
      <c r="P16" s="135"/>
      <c r="Q16" s="135"/>
      <c r="R16" s="135"/>
      <c r="S16" s="135"/>
      <c r="T16" s="135"/>
      <c r="U16" s="135"/>
      <c r="V16" s="135"/>
      <c r="W16" s="135"/>
      <c r="X16" s="135"/>
      <c r="Y16" s="135"/>
      <c r="Z16" s="135"/>
    </row>
    <row r="17" spans="1:26">
      <c r="A17" s="135" t="str">
        <f ca="1">IFERROR(__xludf.DUMMYFUNCTION("""COMPUTED_VALUE"""),"Avalon Springs Health Campus")</f>
        <v>Avalon Springs Health Campus</v>
      </c>
      <c r="B17" s="135" t="str">
        <f ca="1">IFERROR(__xludf.DUMMYFUNCTION("""COMPUTED_VALUE"""),"Trilogy")</f>
        <v>Trilogy</v>
      </c>
      <c r="C17" s="135" t="str">
        <f ca="1">IFERROR(__xludf.DUMMYFUNCTION("""COMPUTED_VALUE"""),"   Tel: (219)462-1778")</f>
        <v xml:space="preserve">   Tel: (219)462-1778</v>
      </c>
      <c r="D17" s="135" t="str">
        <f ca="1">IFERROR(__xludf.DUMMYFUNCTION("""COMPUTED_VALUE"""),"   2400 Silhavy Road")</f>
        <v xml:space="preserve">   2400 Silhavy Road</v>
      </c>
      <c r="E17" s="135" t="str">
        <f ca="1">IFERROR(__xludf.DUMMYFUNCTION("""COMPUTED_VALUE"""),"   Valparaiso, In 46383")</f>
        <v xml:space="preserve">   Valparaiso, In 46383</v>
      </c>
      <c r="F17" s="135" t="str">
        <f ca="1">IFERROR(__xludf.DUMMYFUNCTION("""COMPUTED_VALUE"""),"")</f>
        <v/>
      </c>
      <c r="G17" s="135">
        <f ca="1">IFERROR(__xludf.DUMMYFUNCTION("""COMPUTED_VALUE"""),161)</f>
        <v>161</v>
      </c>
      <c r="H17" s="135" t="str">
        <f ca="1">IFERROR(__xludf.DUMMYFUNCTION("""COMPUTED_VALUE"""),"Plan to do testing themselves")</f>
        <v>Plan to do testing themselves</v>
      </c>
      <c r="I17" s="135" t="str">
        <f ca="1">IFERROR(__xludf.DUMMYFUNCTION("""COMPUTED_VALUE"""),"GREEN")</f>
        <v>GREEN</v>
      </c>
      <c r="J17" s="135" t="str">
        <f ca="1">IFERROR(__xludf.DUMMYFUNCTION("""COMPUTED_VALUE"""),"")</f>
        <v/>
      </c>
      <c r="K17" s="135"/>
      <c r="L17" s="135"/>
      <c r="M17" s="135"/>
      <c r="N17" s="135"/>
      <c r="O17" s="135"/>
      <c r="P17" s="135"/>
      <c r="Q17" s="135"/>
      <c r="R17" s="135"/>
      <c r="S17" s="135"/>
      <c r="T17" s="135"/>
      <c r="U17" s="135"/>
      <c r="V17" s="135"/>
      <c r="W17" s="135"/>
      <c r="X17" s="135"/>
      <c r="Y17" s="135"/>
      <c r="Z17" s="135"/>
    </row>
    <row r="18" spans="1:26">
      <c r="A18" s="135" t="str">
        <f ca="1">IFERROR(__xludf.DUMMYFUNCTION("""COMPUTED_VALUE"""),"Avon Health &amp; Rehabilitation Center")</f>
        <v>Avon Health &amp; Rehabilitation Center</v>
      </c>
      <c r="B18" s="135" t="str">
        <f ca="1">IFERROR(__xludf.DUMMYFUNCTION("""COMPUTED_VALUE"""),"TLC")</f>
        <v>TLC</v>
      </c>
      <c r="C18" s="135" t="str">
        <f ca="1">IFERROR(__xludf.DUMMYFUNCTION("""COMPUTED_VALUE"""),"   Tel: (317)745-5184")</f>
        <v xml:space="preserve">   Tel: (317)745-5184</v>
      </c>
      <c r="D18" s="135" t="str">
        <f ca="1">IFERROR(__xludf.DUMMYFUNCTION("""COMPUTED_VALUE"""),"   4171 Forest Pointe Circle")</f>
        <v xml:space="preserve">   4171 Forest Pointe Circle</v>
      </c>
      <c r="E18" s="135" t="str">
        <f ca="1">IFERROR(__xludf.DUMMYFUNCTION("""COMPUTED_VALUE"""),"   Avon, In 46123")</f>
        <v xml:space="preserve">   Avon, In 46123</v>
      </c>
      <c r="F18" s="135" t="str">
        <f ca="1">IFERROR(__xludf.DUMMYFUNCTION("""COMPUTED_VALUE"""),"")</f>
        <v/>
      </c>
      <c r="G18" s="135">
        <f ca="1">IFERROR(__xludf.DUMMYFUNCTION("""COMPUTED_VALUE"""),135)</f>
        <v>135</v>
      </c>
      <c r="H18" s="135" t="str">
        <f ca="1">IFERROR(__xludf.DUMMYFUNCTION("""COMPUTED_VALUE"""),"Plan to do testing themselves")</f>
        <v>Plan to do testing themselves</v>
      </c>
      <c r="I18" s="135" t="str">
        <f ca="1">IFERROR(__xludf.DUMMYFUNCTION("""COMPUTED_VALUE"""),"GREEN")</f>
        <v>GREEN</v>
      </c>
      <c r="J18" s="135" t="str">
        <f ca="1">IFERROR(__xludf.DUMMYFUNCTION("""COMPUTED_VALUE"""),"")</f>
        <v/>
      </c>
      <c r="K18" s="135"/>
      <c r="L18" s="135"/>
      <c r="M18" s="135"/>
      <c r="N18" s="135"/>
      <c r="O18" s="135"/>
      <c r="P18" s="135"/>
      <c r="Q18" s="135"/>
      <c r="R18" s="135"/>
      <c r="S18" s="135"/>
      <c r="T18" s="135"/>
      <c r="U18" s="135"/>
      <c r="V18" s="135"/>
      <c r="W18" s="135"/>
      <c r="X18" s="135"/>
      <c r="Y18" s="135"/>
      <c r="Z18" s="135"/>
    </row>
    <row r="19" spans="1:26">
      <c r="A19" s="135" t="str">
        <f ca="1">IFERROR(__xludf.DUMMYFUNCTION("""COMPUTED_VALUE"""),"Barrington Of Carmel")</f>
        <v>Barrington Of Carmel</v>
      </c>
      <c r="B19" s="135" t="str">
        <f ca="1">IFERROR(__xludf.DUMMYFUNCTION("""COMPUTED_VALUE"""),"BHI")</f>
        <v>BHI</v>
      </c>
      <c r="C19" s="135" t="str">
        <f ca="1">IFERROR(__xludf.DUMMYFUNCTION("""COMPUTED_VALUE"""),"   Tel: (317)810-1800")</f>
        <v xml:space="preserve">   Tel: (317)810-1800</v>
      </c>
      <c r="D19" s="135" t="str">
        <f ca="1">IFERROR(__xludf.DUMMYFUNCTION("""COMPUTED_VALUE"""),"   1335 S Guilford Road")</f>
        <v xml:space="preserve">   1335 S Guilford Road</v>
      </c>
      <c r="E19" s="135" t="str">
        <f ca="1">IFERROR(__xludf.DUMMYFUNCTION("""COMPUTED_VALUE"""),"   Carmel, In 46032")</f>
        <v xml:space="preserve">   Carmel, In 46032</v>
      </c>
      <c r="F19" s="135" t="str">
        <f ca="1">IFERROR(__xludf.DUMMYFUNCTION("""COMPUTED_VALUE"""),"")</f>
        <v/>
      </c>
      <c r="G19" s="135">
        <f ca="1">IFERROR(__xludf.DUMMYFUNCTION("""COMPUTED_VALUE"""),173)</f>
        <v>173</v>
      </c>
      <c r="H19" s="135" t="str">
        <f ca="1">IFERROR(__xludf.DUMMYFUNCTION("""COMPUTED_VALUE"""),"Already Testing Staff")</f>
        <v>Already Testing Staff</v>
      </c>
      <c r="I19" s="135" t="str">
        <f ca="1">IFERROR(__xludf.DUMMYFUNCTION("""COMPUTED_VALUE"""),"GREEN")</f>
        <v>GREEN</v>
      </c>
      <c r="J19" s="135" t="str">
        <f ca="1">IFERROR(__xludf.DUMMYFUNCTION("""COMPUTED_VALUE"""),"")</f>
        <v/>
      </c>
      <c r="K19" s="135"/>
      <c r="L19" s="135"/>
      <c r="M19" s="135"/>
      <c r="N19" s="135"/>
      <c r="O19" s="135"/>
      <c r="P19" s="135"/>
      <c r="Q19" s="135"/>
      <c r="R19" s="135"/>
      <c r="S19" s="135"/>
      <c r="T19" s="135"/>
      <c r="U19" s="135"/>
      <c r="V19" s="135"/>
      <c r="W19" s="135"/>
      <c r="X19" s="135"/>
      <c r="Y19" s="135"/>
      <c r="Z19" s="135"/>
    </row>
    <row r="20" spans="1:26">
      <c r="A20" s="135" t="str">
        <f ca="1">IFERROR(__xludf.DUMMYFUNCTION("""COMPUTED_VALUE"""),"Belltower Health &amp; Rehabilitation Center")</f>
        <v>Belltower Health &amp; Rehabilitation Center</v>
      </c>
      <c r="B20" s="135" t="str">
        <f ca="1">IFERROR(__xludf.DUMMYFUNCTION("""COMPUTED_VALUE"""),"")</f>
        <v/>
      </c>
      <c r="C20" s="135" t="str">
        <f ca="1">IFERROR(__xludf.DUMMYFUNCTION("""COMPUTED_VALUE"""),"   Tel: (574)406-6600")</f>
        <v xml:space="preserve">   Tel: (574)406-6600</v>
      </c>
      <c r="D20" s="135" t="str">
        <f ca="1">IFERROR(__xludf.DUMMYFUNCTION("""COMPUTED_VALUE"""),"   5805 North Fir Road")</f>
        <v xml:space="preserve">   5805 North Fir Road</v>
      </c>
      <c r="E20" s="135" t="str">
        <f ca="1">IFERROR(__xludf.DUMMYFUNCTION("""COMPUTED_VALUE"""),"   Granger, In 46530")</f>
        <v xml:space="preserve">   Granger, In 46530</v>
      </c>
      <c r="F20" s="135" t="str">
        <f ca="1">IFERROR(__xludf.DUMMYFUNCTION("""COMPUTED_VALUE"""),"")</f>
        <v/>
      </c>
      <c r="G20" s="135">
        <f ca="1">IFERROR(__xludf.DUMMYFUNCTION("""COMPUTED_VALUE"""),100)</f>
        <v>100</v>
      </c>
      <c r="H20" s="135" t="str">
        <f ca="1">IFERROR(__xludf.DUMMYFUNCTION("""COMPUTED_VALUE"""),"Plan to do testing themselves")</f>
        <v>Plan to do testing themselves</v>
      </c>
      <c r="I20" s="135" t="str">
        <f ca="1">IFERROR(__xludf.DUMMYFUNCTION("""COMPUTED_VALUE"""),"GREEN")</f>
        <v>GREEN</v>
      </c>
      <c r="J20" s="135" t="str">
        <f ca="1">IFERROR(__xludf.DUMMYFUNCTION("""COMPUTED_VALUE"""),"")</f>
        <v/>
      </c>
      <c r="K20" s="135"/>
      <c r="L20" s="135"/>
      <c r="M20" s="135"/>
      <c r="N20" s="135"/>
      <c r="O20" s="135"/>
      <c r="P20" s="135"/>
      <c r="Q20" s="135"/>
      <c r="R20" s="135"/>
      <c r="S20" s="135"/>
      <c r="T20" s="135"/>
      <c r="U20" s="135"/>
      <c r="V20" s="135"/>
      <c r="W20" s="135"/>
      <c r="X20" s="135"/>
      <c r="Y20" s="135"/>
      <c r="Z20" s="135"/>
    </row>
    <row r="21" spans="1:26">
      <c r="A21" s="135" t="str">
        <f ca="1">IFERROR(__xludf.DUMMYFUNCTION("""COMPUTED_VALUE"""),"Bethany Pointe Health Campus")</f>
        <v>Bethany Pointe Health Campus</v>
      </c>
      <c r="B21" s="135" t="str">
        <f ca="1">IFERROR(__xludf.DUMMYFUNCTION("""COMPUTED_VALUE"""),"Trilogy")</f>
        <v>Trilogy</v>
      </c>
      <c r="C21" s="135" t="str">
        <f ca="1">IFERROR(__xludf.DUMMYFUNCTION("""COMPUTED_VALUE"""),"   Tel: (765)622-1211")</f>
        <v xml:space="preserve">   Tel: (765)622-1211</v>
      </c>
      <c r="D21" s="135" t="str">
        <f ca="1">IFERROR(__xludf.DUMMYFUNCTION("""COMPUTED_VALUE"""),"   1707 Bethany Rd")</f>
        <v xml:space="preserve">   1707 Bethany Rd</v>
      </c>
      <c r="E21" s="135" t="str">
        <f ca="1">IFERROR(__xludf.DUMMYFUNCTION("""COMPUTED_VALUE"""),"   Anderson, In 46012")</f>
        <v xml:space="preserve">   Anderson, In 46012</v>
      </c>
      <c r="F21" s="135" t="str">
        <f ca="1">IFERROR(__xludf.DUMMYFUNCTION("""COMPUTED_VALUE"""),"")</f>
        <v/>
      </c>
      <c r="G21" s="135">
        <f ca="1">IFERROR(__xludf.DUMMYFUNCTION("""COMPUTED_VALUE"""),65)</f>
        <v>65</v>
      </c>
      <c r="H21" s="135" t="str">
        <f ca="1">IFERROR(__xludf.DUMMYFUNCTION("""COMPUTED_VALUE"""),"Plan to do testing themselves")</f>
        <v>Plan to do testing themselves</v>
      </c>
      <c r="I21" s="135" t="str">
        <f ca="1">IFERROR(__xludf.DUMMYFUNCTION("""COMPUTED_VALUE"""),"GREEN")</f>
        <v>GREEN</v>
      </c>
      <c r="J21" s="135" t="str">
        <f ca="1">IFERROR(__xludf.DUMMYFUNCTION("""COMPUTED_VALUE"""),"")</f>
        <v/>
      </c>
      <c r="K21" s="135"/>
      <c r="L21" s="135"/>
      <c r="M21" s="135"/>
      <c r="N21" s="135"/>
      <c r="O21" s="135"/>
      <c r="P21" s="135"/>
      <c r="Q21" s="135"/>
      <c r="R21" s="135"/>
      <c r="S21" s="135"/>
      <c r="T21" s="135"/>
      <c r="U21" s="135"/>
      <c r="V21" s="135"/>
      <c r="W21" s="135"/>
      <c r="X21" s="135"/>
      <c r="Y21" s="135"/>
      <c r="Z21" s="135"/>
    </row>
    <row r="22" spans="1:26">
      <c r="A22" s="135" t="str">
        <f ca="1">IFERROR(__xludf.DUMMYFUNCTION("""COMPUTED_VALUE"""),"Blair Ridge Health Campus")</f>
        <v>Blair Ridge Health Campus</v>
      </c>
      <c r="B22" s="135" t="str">
        <f ca="1">IFERROR(__xludf.DUMMYFUNCTION("""COMPUTED_VALUE"""),"Trilogy")</f>
        <v>Trilogy</v>
      </c>
      <c r="C22" s="135" t="str">
        <f ca="1">IFERROR(__xludf.DUMMYFUNCTION("""COMPUTED_VALUE"""),"   Tel: (765)472-8049")</f>
        <v xml:space="preserve">   Tel: (765)472-8049</v>
      </c>
      <c r="D22" s="135" t="str">
        <f ca="1">IFERROR(__xludf.DUMMYFUNCTION("""COMPUTED_VALUE"""),"   269 Meadowview Dr")</f>
        <v xml:space="preserve">   269 Meadowview Dr</v>
      </c>
      <c r="E22" s="135" t="str">
        <f ca="1">IFERROR(__xludf.DUMMYFUNCTION("""COMPUTED_VALUE"""),"   Peru, In 46970")</f>
        <v xml:space="preserve">   Peru, In 46970</v>
      </c>
      <c r="F22" s="135" t="str">
        <f ca="1">IFERROR(__xludf.DUMMYFUNCTION("""COMPUTED_VALUE"""),"")</f>
        <v/>
      </c>
      <c r="G22" s="135">
        <f ca="1">IFERROR(__xludf.DUMMYFUNCTION("""COMPUTED_VALUE"""),117)</f>
        <v>117</v>
      </c>
      <c r="H22" s="135" t="str">
        <f ca="1">IFERROR(__xludf.DUMMYFUNCTION("""COMPUTED_VALUE"""),"Plan to do testing themselves")</f>
        <v>Plan to do testing themselves</v>
      </c>
      <c r="I22" s="135" t="str">
        <f ca="1">IFERROR(__xludf.DUMMYFUNCTION("""COMPUTED_VALUE"""),"GREEN")</f>
        <v>GREEN</v>
      </c>
      <c r="J22" s="135" t="str">
        <f ca="1">IFERROR(__xludf.DUMMYFUNCTION("""COMPUTED_VALUE"""),"")</f>
        <v/>
      </c>
      <c r="K22" s="135"/>
      <c r="L22" s="135"/>
      <c r="M22" s="135"/>
      <c r="N22" s="135"/>
      <c r="O22" s="135"/>
      <c r="P22" s="135"/>
      <c r="Q22" s="135"/>
      <c r="R22" s="135"/>
      <c r="S22" s="135"/>
      <c r="T22" s="135"/>
      <c r="U22" s="135"/>
      <c r="V22" s="135"/>
      <c r="W22" s="135"/>
      <c r="X22" s="135"/>
      <c r="Y22" s="135"/>
      <c r="Z22" s="135"/>
    </row>
    <row r="23" spans="1:26">
      <c r="A23" s="135" t="str">
        <f ca="1">IFERROR(__xludf.DUMMYFUNCTION("""COMPUTED_VALUE"""),"Braun's Nursing Home")</f>
        <v>Braun's Nursing Home</v>
      </c>
      <c r="B23" s="135" t="str">
        <f ca="1">IFERROR(__xludf.DUMMYFUNCTION("""COMPUTED_VALUE"""),"")</f>
        <v/>
      </c>
      <c r="C23" s="135" t="str">
        <f ca="1">IFERROR(__xludf.DUMMYFUNCTION("""COMPUTED_VALUE"""),"   Tel: (812)423-6214")</f>
        <v xml:space="preserve">   Tel: (812)423-6214</v>
      </c>
      <c r="D23" s="135" t="str">
        <f ca="1">IFERROR(__xludf.DUMMYFUNCTION("""COMPUTED_VALUE"""),"   909 First Ave")</f>
        <v xml:space="preserve">   909 First Ave</v>
      </c>
      <c r="E23" s="135" t="str">
        <f ca="1">IFERROR(__xludf.DUMMYFUNCTION("""COMPUTED_VALUE"""),"   Evansville, In 47710")</f>
        <v xml:space="preserve">   Evansville, In 47710</v>
      </c>
      <c r="F23" s="135" t="str">
        <f ca="1">IFERROR(__xludf.DUMMYFUNCTION("""COMPUTED_VALUE"""),"")</f>
        <v/>
      </c>
      <c r="G23" s="135">
        <f ca="1">IFERROR(__xludf.DUMMYFUNCTION("""COMPUTED_VALUE"""),60)</f>
        <v>60</v>
      </c>
      <c r="H23" s="135" t="str">
        <f ca="1">IFERROR(__xludf.DUMMYFUNCTION("""COMPUTED_VALUE"""),"Plan to do testing themselves")</f>
        <v>Plan to do testing themselves</v>
      </c>
      <c r="I23" s="135" t="str">
        <f ca="1">IFERROR(__xludf.DUMMYFUNCTION("""COMPUTED_VALUE"""),"GREEN")</f>
        <v>GREEN</v>
      </c>
      <c r="J23" s="135" t="str">
        <f ca="1">IFERROR(__xludf.DUMMYFUNCTION("""COMPUTED_VALUE"""),"")</f>
        <v/>
      </c>
      <c r="K23" s="135"/>
      <c r="L23" s="135"/>
      <c r="M23" s="135"/>
      <c r="N23" s="135"/>
      <c r="O23" s="135"/>
      <c r="P23" s="135"/>
      <c r="Q23" s="135"/>
      <c r="R23" s="135"/>
      <c r="S23" s="135"/>
      <c r="T23" s="135"/>
      <c r="U23" s="135"/>
      <c r="V23" s="135"/>
      <c r="W23" s="135"/>
      <c r="X23" s="135"/>
      <c r="Y23" s="135"/>
      <c r="Z23" s="135"/>
    </row>
    <row r="24" spans="1:26">
      <c r="A24" s="135" t="str">
        <f ca="1">IFERROR(__xludf.DUMMYFUNCTION("""COMPUTED_VALUE"""),"Briarcliff Health &amp; Rehabilitation Center")</f>
        <v>Briarcliff Health &amp; Rehabilitation Center</v>
      </c>
      <c r="B24" s="135" t="str">
        <f ca="1">IFERROR(__xludf.DUMMYFUNCTION("""COMPUTED_VALUE"""),"")</f>
        <v/>
      </c>
      <c r="C24" s="135" t="str">
        <f ca="1">IFERROR(__xludf.DUMMYFUNCTION("""COMPUTED_VALUE"""),"   Tel: (574)318-4600")</f>
        <v xml:space="preserve">   Tel: (574)318-4600</v>
      </c>
      <c r="D24" s="135" t="str">
        <f ca="1">IFERROR(__xludf.DUMMYFUNCTION("""COMPUTED_VALUE"""),"   5024 Western Avenue")</f>
        <v xml:space="preserve">   5024 Western Avenue</v>
      </c>
      <c r="E24" s="135" t="str">
        <f ca="1">IFERROR(__xludf.DUMMYFUNCTION("""COMPUTED_VALUE"""),"   South Bend, In 46619")</f>
        <v xml:space="preserve">   South Bend, In 46619</v>
      </c>
      <c r="F24" s="135" t="str">
        <f ca="1">IFERROR(__xludf.DUMMYFUNCTION("""COMPUTED_VALUE"""),"")</f>
        <v/>
      </c>
      <c r="G24" s="135">
        <f ca="1">IFERROR(__xludf.DUMMYFUNCTION("""COMPUTED_VALUE"""),100)</f>
        <v>100</v>
      </c>
      <c r="H24" s="135" t="str">
        <f ca="1">IFERROR(__xludf.DUMMYFUNCTION("""COMPUTED_VALUE"""),"Plan to do testing themselves")</f>
        <v>Plan to do testing themselves</v>
      </c>
      <c r="I24" s="135" t="str">
        <f ca="1">IFERROR(__xludf.DUMMYFUNCTION("""COMPUTED_VALUE"""),"GREEN")</f>
        <v>GREEN</v>
      </c>
      <c r="J24" s="135" t="str">
        <f ca="1">IFERROR(__xludf.DUMMYFUNCTION("""COMPUTED_VALUE"""),"")</f>
        <v/>
      </c>
      <c r="K24" s="135"/>
      <c r="L24" s="135"/>
      <c r="M24" s="135"/>
      <c r="N24" s="135"/>
      <c r="O24" s="135"/>
      <c r="P24" s="135"/>
      <c r="Q24" s="135"/>
      <c r="R24" s="135"/>
      <c r="S24" s="135"/>
      <c r="T24" s="135"/>
      <c r="U24" s="135"/>
      <c r="V24" s="135"/>
      <c r="W24" s="135"/>
      <c r="X24" s="135"/>
      <c r="Y24" s="135"/>
      <c r="Z24" s="135"/>
    </row>
    <row r="25" spans="1:26">
      <c r="A25" s="135" t="str">
        <f ca="1">IFERROR(__xludf.DUMMYFUNCTION("""COMPUTED_VALUE"""),"Bridgepointe Health Campus")</f>
        <v>Bridgepointe Health Campus</v>
      </c>
      <c r="B25" s="135" t="str">
        <f ca="1">IFERROR(__xludf.DUMMYFUNCTION("""COMPUTED_VALUE"""),"Trilogy")</f>
        <v>Trilogy</v>
      </c>
      <c r="C25" s="135" t="str">
        <f ca="1">IFERROR(__xludf.DUMMYFUNCTION("""COMPUTED_VALUE"""),"   Tel: (812)886-9870")</f>
        <v xml:space="preserve">   Tel: (812)886-9870</v>
      </c>
      <c r="D25" s="135" t="str">
        <f ca="1">IFERROR(__xludf.DUMMYFUNCTION("""COMPUTED_VALUE"""),"   1900 College Ave")</f>
        <v xml:space="preserve">   1900 College Ave</v>
      </c>
      <c r="E25" s="135" t="str">
        <f ca="1">IFERROR(__xludf.DUMMYFUNCTION("""COMPUTED_VALUE"""),"   Vincennes, In 47591")</f>
        <v xml:space="preserve">   Vincennes, In 47591</v>
      </c>
      <c r="F25" s="135" t="str">
        <f ca="1">IFERROR(__xludf.DUMMYFUNCTION("""COMPUTED_VALUE"""),"")</f>
        <v/>
      </c>
      <c r="G25" s="135">
        <f ca="1">IFERROR(__xludf.DUMMYFUNCTION("""COMPUTED_VALUE"""),110)</f>
        <v>110</v>
      </c>
      <c r="H25" s="135" t="str">
        <f ca="1">IFERROR(__xludf.DUMMYFUNCTION("""COMPUTED_VALUE"""),"Plan to do testing themselves")</f>
        <v>Plan to do testing themselves</v>
      </c>
      <c r="I25" s="135" t="str">
        <f ca="1">IFERROR(__xludf.DUMMYFUNCTION("""COMPUTED_VALUE"""),"GREEN")</f>
        <v>GREEN</v>
      </c>
      <c r="J25" s="135" t="str">
        <f ca="1">IFERROR(__xludf.DUMMYFUNCTION("""COMPUTED_VALUE"""),"")</f>
        <v/>
      </c>
      <c r="K25" s="135"/>
      <c r="L25" s="135"/>
      <c r="M25" s="135"/>
      <c r="N25" s="135"/>
      <c r="O25" s="135"/>
      <c r="P25" s="135"/>
      <c r="Q25" s="135"/>
      <c r="R25" s="135"/>
      <c r="S25" s="135"/>
      <c r="T25" s="135"/>
      <c r="U25" s="135"/>
      <c r="V25" s="135"/>
      <c r="W25" s="135"/>
      <c r="X25" s="135"/>
      <c r="Y25" s="135"/>
      <c r="Z25" s="135"/>
    </row>
    <row r="26" spans="1:26">
      <c r="A26" s="135" t="str">
        <f ca="1">IFERROR(__xludf.DUMMYFUNCTION("""COMPUTED_VALUE"""),"Cedar Creek Health Campus")</f>
        <v>Cedar Creek Health Campus</v>
      </c>
      <c r="B26" s="135" t="str">
        <f ca="1">IFERROR(__xludf.DUMMYFUNCTION("""COMPUTED_VALUE"""),"Trilogy")</f>
        <v>Trilogy</v>
      </c>
      <c r="C26" s="135" t="str">
        <f ca="1">IFERROR(__xludf.DUMMYFUNCTION("""COMPUTED_VALUE"""),"   Tel: (219)696-6750")</f>
        <v xml:space="preserve">   Tel: (219)696-6750</v>
      </c>
      <c r="D26" s="135" t="str">
        <f ca="1">IFERROR(__xludf.DUMMYFUNCTION("""COMPUTED_VALUE"""),"   18275 Burr Street")</f>
        <v xml:space="preserve">   18275 Burr Street</v>
      </c>
      <c r="E26" s="135" t="str">
        <f ca="1">IFERROR(__xludf.DUMMYFUNCTION("""COMPUTED_VALUE"""),"   Lowell, In 46356")</f>
        <v xml:space="preserve">   Lowell, In 46356</v>
      </c>
      <c r="F26" s="135" t="str">
        <f ca="1">IFERROR(__xludf.DUMMYFUNCTION("""COMPUTED_VALUE"""),"No")</f>
        <v>No</v>
      </c>
      <c r="G26" s="135">
        <f ca="1">IFERROR(__xludf.DUMMYFUNCTION("""COMPUTED_VALUE"""),136)</f>
        <v>136</v>
      </c>
      <c r="H26" s="135" t="str">
        <f ca="1">IFERROR(__xludf.DUMMYFUNCTION("""COMPUTED_VALUE"""),"Plan to do testing themselves")</f>
        <v>Plan to do testing themselves</v>
      </c>
      <c r="I26" s="135" t="str">
        <f ca="1">IFERROR(__xludf.DUMMYFUNCTION("""COMPUTED_VALUE"""),"GREEN")</f>
        <v>GREEN</v>
      </c>
      <c r="J26" s="135" t="str">
        <f ca="1">IFERROR(__xludf.DUMMYFUNCTION("""COMPUTED_VALUE"""),"")</f>
        <v/>
      </c>
      <c r="K26" s="135"/>
      <c r="L26" s="135"/>
      <c r="M26" s="135"/>
      <c r="N26" s="135"/>
      <c r="O26" s="135"/>
      <c r="P26" s="135"/>
      <c r="Q26" s="135"/>
      <c r="R26" s="135"/>
      <c r="S26" s="135"/>
      <c r="T26" s="135"/>
      <c r="U26" s="135"/>
      <c r="V26" s="135"/>
      <c r="W26" s="135"/>
      <c r="X26" s="135"/>
      <c r="Y26" s="135"/>
      <c r="Z26" s="135"/>
    </row>
    <row r="27" spans="1:26">
      <c r="A27" s="135" t="str">
        <f ca="1">IFERROR(__xludf.DUMMYFUNCTION("""COMPUTED_VALUE"""),"Clearvista Lake Health Campus")</f>
        <v>Clearvista Lake Health Campus</v>
      </c>
      <c r="B27" s="135" t="str">
        <f ca="1">IFERROR(__xludf.DUMMYFUNCTION("""COMPUTED_VALUE"""),"Trilogy")</f>
        <v>Trilogy</v>
      </c>
      <c r="C27" s="135" t="str">
        <f ca="1">IFERROR(__xludf.DUMMYFUNCTION("""COMPUTED_VALUE"""),"   Tel: (317)578-7500")</f>
        <v xml:space="preserve">   Tel: (317)578-7500</v>
      </c>
      <c r="D27" s="135" t="str">
        <f ca="1">IFERROR(__xludf.DUMMYFUNCTION("""COMPUTED_VALUE"""),"   8405 Clearvista Place")</f>
        <v xml:space="preserve">   8405 Clearvista Place</v>
      </c>
      <c r="E27" s="135" t="str">
        <f ca="1">IFERROR(__xludf.DUMMYFUNCTION("""COMPUTED_VALUE"""),"   Indianapolis, In 46256")</f>
        <v xml:space="preserve">   Indianapolis, In 46256</v>
      </c>
      <c r="F27" s="135" t="str">
        <f ca="1">IFERROR(__xludf.DUMMYFUNCTION("""COMPUTED_VALUE"""),"")</f>
        <v/>
      </c>
      <c r="G27" s="135">
        <f ca="1">IFERROR(__xludf.DUMMYFUNCTION("""COMPUTED_VALUE"""),101)</f>
        <v>101</v>
      </c>
      <c r="H27" s="135" t="str">
        <f ca="1">IFERROR(__xludf.DUMMYFUNCTION("""COMPUTED_VALUE"""),"Plan to do testing themselves")</f>
        <v>Plan to do testing themselves</v>
      </c>
      <c r="I27" s="135" t="str">
        <f ca="1">IFERROR(__xludf.DUMMYFUNCTION("""COMPUTED_VALUE"""),"GREEN")</f>
        <v>GREEN</v>
      </c>
      <c r="J27" s="135" t="str">
        <f ca="1">IFERROR(__xludf.DUMMYFUNCTION("""COMPUTED_VALUE"""),"")</f>
        <v/>
      </c>
      <c r="K27" s="135"/>
      <c r="L27" s="135"/>
      <c r="M27" s="135"/>
      <c r="N27" s="135"/>
      <c r="O27" s="135"/>
      <c r="P27" s="135"/>
      <c r="Q27" s="135"/>
      <c r="R27" s="135"/>
      <c r="S27" s="135"/>
      <c r="T27" s="135"/>
      <c r="U27" s="135"/>
      <c r="V27" s="135"/>
      <c r="W27" s="135"/>
      <c r="X27" s="135"/>
      <c r="Y27" s="135"/>
      <c r="Z27" s="135"/>
    </row>
    <row r="28" spans="1:26">
      <c r="A28" s="135" t="str">
        <f ca="1">IFERROR(__xludf.DUMMYFUNCTION("""COMPUTED_VALUE"""),"Cobblestone Crossings Health Campus")</f>
        <v>Cobblestone Crossings Health Campus</v>
      </c>
      <c r="B28" s="135" t="str">
        <f ca="1">IFERROR(__xludf.DUMMYFUNCTION("""COMPUTED_VALUE"""),"Trilogy")</f>
        <v>Trilogy</v>
      </c>
      <c r="C28" s="135" t="str">
        <f ca="1">IFERROR(__xludf.DUMMYFUNCTION("""COMPUTED_VALUE"""),"   Tel: (812)232-0406")</f>
        <v xml:space="preserve">   Tel: (812)232-0406</v>
      </c>
      <c r="D28" s="135" t="str">
        <f ca="1">IFERROR(__xludf.DUMMYFUNCTION("""COMPUTED_VALUE"""),"   1850 E Howard Wayne Dr")</f>
        <v xml:space="preserve">   1850 E Howard Wayne Dr</v>
      </c>
      <c r="E28" s="135" t="str">
        <f ca="1">IFERROR(__xludf.DUMMYFUNCTION("""COMPUTED_VALUE"""),"   Terre Haute, In 47802")</f>
        <v xml:space="preserve">   Terre Haute, In 47802</v>
      </c>
      <c r="F28" s="135" t="str">
        <f ca="1">IFERROR(__xludf.DUMMYFUNCTION("""COMPUTED_VALUE"""),"")</f>
        <v/>
      </c>
      <c r="G28" s="135">
        <f ca="1">IFERROR(__xludf.DUMMYFUNCTION("""COMPUTED_VALUE"""),137)</f>
        <v>137</v>
      </c>
      <c r="H28" s="135" t="str">
        <f ca="1">IFERROR(__xludf.DUMMYFUNCTION("""COMPUTED_VALUE"""),"Plan to do testing themselves")</f>
        <v>Plan to do testing themselves</v>
      </c>
      <c r="I28" s="135" t="str">
        <f ca="1">IFERROR(__xludf.DUMMYFUNCTION("""COMPUTED_VALUE"""),"GREEN")</f>
        <v>GREEN</v>
      </c>
      <c r="J28" s="135" t="str">
        <f ca="1">IFERROR(__xludf.DUMMYFUNCTION("""COMPUTED_VALUE"""),"")</f>
        <v/>
      </c>
      <c r="K28" s="135"/>
      <c r="L28" s="135"/>
      <c r="M28" s="135"/>
      <c r="N28" s="135"/>
      <c r="O28" s="135"/>
      <c r="P28" s="135"/>
      <c r="Q28" s="135"/>
      <c r="R28" s="135"/>
      <c r="S28" s="135"/>
      <c r="T28" s="135"/>
      <c r="U28" s="135"/>
      <c r="V28" s="135"/>
      <c r="W28" s="135"/>
      <c r="X28" s="135"/>
      <c r="Y28" s="135"/>
      <c r="Z28" s="135"/>
    </row>
    <row r="29" spans="1:26">
      <c r="A29" s="135" t="str">
        <f ca="1">IFERROR(__xludf.DUMMYFUNCTION("""COMPUTED_VALUE"""),"Colonial Oaks Health Care Center")</f>
        <v>Colonial Oaks Health Care Center</v>
      </c>
      <c r="B29" s="135" t="str">
        <f ca="1">IFERROR(__xludf.DUMMYFUNCTION("""COMPUTED_VALUE"""),"TLC")</f>
        <v>TLC</v>
      </c>
      <c r="C29" s="135" t="str">
        <f ca="1">IFERROR(__xludf.DUMMYFUNCTION("""COMPUTED_VALUE"""),"   Tel: (765)674-9791")</f>
        <v xml:space="preserve">   Tel: (765)674-9791</v>
      </c>
      <c r="D29" s="135" t="str">
        <f ca="1">IFERROR(__xludf.DUMMYFUNCTION("""COMPUTED_VALUE"""),"   4725 S Colonial Oaks Dr")</f>
        <v xml:space="preserve">   4725 S Colonial Oaks Dr</v>
      </c>
      <c r="E29" s="135" t="str">
        <f ca="1">IFERROR(__xludf.DUMMYFUNCTION("""COMPUTED_VALUE"""),"   Marion, In 46953")</f>
        <v xml:space="preserve">   Marion, In 46953</v>
      </c>
      <c r="F29" s="135" t="str">
        <f ca="1">IFERROR(__xludf.DUMMYFUNCTION("""COMPUTED_VALUE"""),"")</f>
        <v/>
      </c>
      <c r="G29" s="135">
        <f ca="1">IFERROR(__xludf.DUMMYFUNCTION("""COMPUTED_VALUE"""),150)</f>
        <v>150</v>
      </c>
      <c r="H29" s="135" t="str">
        <f ca="1">IFERROR(__xludf.DUMMYFUNCTION("""COMPUTED_VALUE"""),"Already Testing Staff")</f>
        <v>Already Testing Staff</v>
      </c>
      <c r="I29" s="135" t="str">
        <f ca="1">IFERROR(__xludf.DUMMYFUNCTION("""COMPUTED_VALUE"""),"GREEN")</f>
        <v>GREEN</v>
      </c>
      <c r="J29" s="135" t="str">
        <f ca="1">IFERROR(__xludf.DUMMYFUNCTION("""COMPUTED_VALUE"""),"")</f>
        <v/>
      </c>
      <c r="K29" s="135"/>
      <c r="L29" s="135"/>
      <c r="M29" s="135"/>
      <c r="N29" s="135"/>
      <c r="O29" s="135"/>
      <c r="P29" s="135"/>
      <c r="Q29" s="135"/>
      <c r="R29" s="135"/>
      <c r="S29" s="135"/>
      <c r="T29" s="135"/>
      <c r="U29" s="135"/>
      <c r="V29" s="135"/>
      <c r="W29" s="135"/>
      <c r="X29" s="135"/>
      <c r="Y29" s="135"/>
      <c r="Z29" s="135"/>
    </row>
    <row r="30" spans="1:26">
      <c r="A30" s="135" t="str">
        <f ca="1">IFERROR(__xludf.DUMMYFUNCTION("""COMPUTED_VALUE"""),"Covered Bridge Health Campus")</f>
        <v>Covered Bridge Health Campus</v>
      </c>
      <c r="B30" s="135" t="str">
        <f ca="1">IFERROR(__xludf.DUMMYFUNCTION("""COMPUTED_VALUE"""),"Trilogy")</f>
        <v>Trilogy</v>
      </c>
      <c r="C30" s="135" t="str">
        <f ca="1">IFERROR(__xludf.DUMMYFUNCTION("""COMPUTED_VALUE"""),"   Tel: (812)523-6405")</f>
        <v xml:space="preserve">   Tel: (812)523-6405</v>
      </c>
      <c r="D30" s="135" t="str">
        <f ca="1">IFERROR(__xludf.DUMMYFUNCTION("""COMPUTED_VALUE"""),"   1675 W Tipton St")</f>
        <v xml:space="preserve">   1675 W Tipton St</v>
      </c>
      <c r="E30" s="135" t="str">
        <f ca="1">IFERROR(__xludf.DUMMYFUNCTION("""COMPUTED_VALUE"""),"   Seymour, In 47274")</f>
        <v xml:space="preserve">   Seymour, In 47274</v>
      </c>
      <c r="F30" s="135" t="str">
        <f ca="1">IFERROR(__xludf.DUMMYFUNCTION("""COMPUTED_VALUE"""),"")</f>
        <v/>
      </c>
      <c r="G30" s="135">
        <f ca="1">IFERROR(__xludf.DUMMYFUNCTION("""COMPUTED_VALUE"""),109)</f>
        <v>109</v>
      </c>
      <c r="H30" s="135" t="str">
        <f ca="1">IFERROR(__xludf.DUMMYFUNCTION("""COMPUTED_VALUE"""),"Plan to do testing themselves")</f>
        <v>Plan to do testing themselves</v>
      </c>
      <c r="I30" s="135" t="str">
        <f ca="1">IFERROR(__xludf.DUMMYFUNCTION("""COMPUTED_VALUE"""),"GREEN")</f>
        <v>GREEN</v>
      </c>
      <c r="J30" s="135" t="str">
        <f ca="1">IFERROR(__xludf.DUMMYFUNCTION("""COMPUTED_VALUE"""),"")</f>
        <v/>
      </c>
      <c r="K30" s="135"/>
      <c r="L30" s="135"/>
      <c r="M30" s="135"/>
      <c r="N30" s="135"/>
      <c r="O30" s="135"/>
      <c r="P30" s="135"/>
      <c r="Q30" s="135"/>
      <c r="R30" s="135"/>
      <c r="S30" s="135"/>
      <c r="T30" s="135"/>
      <c r="U30" s="135"/>
      <c r="V30" s="135"/>
      <c r="W30" s="135"/>
      <c r="X30" s="135"/>
      <c r="Y30" s="135"/>
      <c r="Z30" s="135"/>
    </row>
    <row r="31" spans="1:26">
      <c r="A31" s="135" t="str">
        <f ca="1">IFERROR(__xludf.DUMMYFUNCTION("""COMPUTED_VALUE"""),"Creasy Springs Health Campus")</f>
        <v>Creasy Springs Health Campus</v>
      </c>
      <c r="B31" s="135" t="str">
        <f ca="1">IFERROR(__xludf.DUMMYFUNCTION("""COMPUTED_VALUE"""),"Trilogy")</f>
        <v>Trilogy</v>
      </c>
      <c r="C31" s="135" t="str">
        <f ca="1">IFERROR(__xludf.DUMMYFUNCTION("""COMPUTED_VALUE"""),"   Tel: (765)447-6600")</f>
        <v xml:space="preserve">   Tel: (765)447-6600</v>
      </c>
      <c r="D31" s="135" t="str">
        <f ca="1">IFERROR(__xludf.DUMMYFUNCTION("""COMPUTED_VALUE"""),"   1750 S Creasy Ln")</f>
        <v xml:space="preserve">   1750 S Creasy Ln</v>
      </c>
      <c r="E31" s="135" t="str">
        <f ca="1">IFERROR(__xludf.DUMMYFUNCTION("""COMPUTED_VALUE"""),"   Lafayette, In 47905")</f>
        <v xml:space="preserve">   Lafayette, In 47905</v>
      </c>
      <c r="F31" s="135" t="str">
        <f ca="1">IFERROR(__xludf.DUMMYFUNCTION("""COMPUTED_VALUE"""),"")</f>
        <v/>
      </c>
      <c r="G31" s="135">
        <f ca="1">IFERROR(__xludf.DUMMYFUNCTION("""COMPUTED_VALUE"""),125)</f>
        <v>125</v>
      </c>
      <c r="H31" s="135" t="str">
        <f ca="1">IFERROR(__xludf.DUMMYFUNCTION("""COMPUTED_VALUE"""),"Plan to do testing themselves")</f>
        <v>Plan to do testing themselves</v>
      </c>
      <c r="I31" s="135" t="str">
        <f ca="1">IFERROR(__xludf.DUMMYFUNCTION("""COMPUTED_VALUE"""),"GREEN")</f>
        <v>GREEN</v>
      </c>
      <c r="J31" s="135" t="str">
        <f ca="1">IFERROR(__xludf.DUMMYFUNCTION("""COMPUTED_VALUE"""),"")</f>
        <v/>
      </c>
      <c r="K31" s="135"/>
      <c r="L31" s="135"/>
      <c r="M31" s="135"/>
      <c r="N31" s="135"/>
      <c r="O31" s="135"/>
      <c r="P31" s="135"/>
      <c r="Q31" s="135"/>
      <c r="R31" s="135"/>
      <c r="S31" s="135"/>
      <c r="T31" s="135"/>
      <c r="U31" s="135"/>
      <c r="V31" s="135"/>
      <c r="W31" s="135"/>
      <c r="X31" s="135"/>
      <c r="Y31" s="135"/>
      <c r="Z31" s="135"/>
    </row>
    <row r="32" spans="1:26">
      <c r="A32" s="135" t="str">
        <f ca="1">IFERROR(__xludf.DUMMYFUNCTION("""COMPUTED_VALUE"""),"Creekside Health And Rehabilitation Center")</f>
        <v>Creekside Health And Rehabilitation Center</v>
      </c>
      <c r="B32" s="135" t="str">
        <f ca="1">IFERROR(__xludf.DUMMYFUNCTION("""COMPUTED_VALUE"""),"TLC")</f>
        <v>TLC</v>
      </c>
      <c r="C32" s="135" t="str">
        <f ca="1">IFERROR(__xludf.DUMMYFUNCTION("""COMPUTED_VALUE"""),"   Tel: (317)920-7888")</f>
        <v xml:space="preserve">   Tel: (317)920-7888</v>
      </c>
      <c r="D32" s="135" t="str">
        <f ca="1">IFERROR(__xludf.DUMMYFUNCTION("""COMPUTED_VALUE"""),"   3114 East 46Th Street")</f>
        <v xml:space="preserve">   3114 East 46Th Street</v>
      </c>
      <c r="E32" s="135" t="str">
        <f ca="1">IFERROR(__xludf.DUMMYFUNCTION("""COMPUTED_VALUE"""),"   Indianapolis, In 46205")</f>
        <v xml:space="preserve">   Indianapolis, In 46205</v>
      </c>
      <c r="F32" s="135" t="str">
        <f ca="1">IFERROR(__xludf.DUMMYFUNCTION("""COMPUTED_VALUE"""),"")</f>
        <v/>
      </c>
      <c r="G32" s="135">
        <f ca="1">IFERROR(__xludf.DUMMYFUNCTION("""COMPUTED_VALUE"""),180)</f>
        <v>180</v>
      </c>
      <c r="H32" s="135" t="str">
        <f ca="1">IFERROR(__xludf.DUMMYFUNCTION("""COMPUTED_VALUE"""),"Plan to do testing themselves")</f>
        <v>Plan to do testing themselves</v>
      </c>
      <c r="I32" s="135" t="str">
        <f ca="1">IFERROR(__xludf.DUMMYFUNCTION("""COMPUTED_VALUE"""),"GREEN")</f>
        <v>GREEN</v>
      </c>
      <c r="J32" s="135" t="str">
        <f ca="1">IFERROR(__xludf.DUMMYFUNCTION("""COMPUTED_VALUE"""),"")</f>
        <v/>
      </c>
      <c r="K32" s="135"/>
      <c r="L32" s="135"/>
      <c r="M32" s="135"/>
      <c r="N32" s="135"/>
      <c r="O32" s="135"/>
      <c r="P32" s="135"/>
      <c r="Q32" s="135"/>
      <c r="R32" s="135"/>
      <c r="S32" s="135"/>
      <c r="T32" s="135"/>
      <c r="U32" s="135"/>
      <c r="V32" s="135"/>
      <c r="W32" s="135"/>
      <c r="X32" s="135"/>
      <c r="Y32" s="135"/>
      <c r="Z32" s="135"/>
    </row>
    <row r="33" spans="1:26">
      <c r="A33" s="135" t="str">
        <f ca="1">IFERROR(__xludf.DUMMYFUNCTION("""COMPUTED_VALUE"""),"Cumberland Pointe Health Campus")</f>
        <v>Cumberland Pointe Health Campus</v>
      </c>
      <c r="B33" s="135" t="str">
        <f ca="1">IFERROR(__xludf.DUMMYFUNCTION("""COMPUTED_VALUE"""),"Trilogy")</f>
        <v>Trilogy</v>
      </c>
      <c r="C33" s="135" t="str">
        <f ca="1">IFERROR(__xludf.DUMMYFUNCTION("""COMPUTED_VALUE"""),"   Tel: (765)463-2571")</f>
        <v xml:space="preserve">   Tel: (765)463-2571</v>
      </c>
      <c r="D33" s="135" t="str">
        <f ca="1">IFERROR(__xludf.DUMMYFUNCTION("""COMPUTED_VALUE"""),"   1051 Cumberland Ave")</f>
        <v xml:space="preserve">   1051 Cumberland Ave</v>
      </c>
      <c r="E33" s="135" t="str">
        <f ca="1">IFERROR(__xludf.DUMMYFUNCTION("""COMPUTED_VALUE"""),"   West Lafayette, In 47906")</f>
        <v xml:space="preserve">   West Lafayette, In 47906</v>
      </c>
      <c r="F33" s="135" t="str">
        <f ca="1">IFERROR(__xludf.DUMMYFUNCTION("""COMPUTED_VALUE"""),"")</f>
        <v/>
      </c>
      <c r="G33" s="135">
        <f ca="1">IFERROR(__xludf.DUMMYFUNCTION("""COMPUTED_VALUE"""),130)</f>
        <v>130</v>
      </c>
      <c r="H33" s="135" t="str">
        <f ca="1">IFERROR(__xludf.DUMMYFUNCTION("""COMPUTED_VALUE"""),"Plan to do testing themselves")</f>
        <v>Plan to do testing themselves</v>
      </c>
      <c r="I33" s="135" t="str">
        <f ca="1">IFERROR(__xludf.DUMMYFUNCTION("""COMPUTED_VALUE"""),"GREEN")</f>
        <v>GREEN</v>
      </c>
      <c r="J33" s="135" t="str">
        <f ca="1">IFERROR(__xludf.DUMMYFUNCTION("""COMPUTED_VALUE"""),"")</f>
        <v/>
      </c>
      <c r="K33" s="135"/>
      <c r="L33" s="135"/>
      <c r="M33" s="135"/>
      <c r="N33" s="135"/>
      <c r="O33" s="135"/>
      <c r="P33" s="135"/>
      <c r="Q33" s="135"/>
      <c r="R33" s="135"/>
      <c r="S33" s="135"/>
      <c r="T33" s="135"/>
      <c r="U33" s="135"/>
      <c r="V33" s="135"/>
      <c r="W33" s="135"/>
      <c r="X33" s="135"/>
      <c r="Y33" s="135"/>
      <c r="Z33" s="135"/>
    </row>
    <row r="34" spans="1:26">
      <c r="A34" s="135" t="str">
        <f ca="1">IFERROR(__xludf.DUMMYFUNCTION("""COMPUTED_VALUE"""),"Decatur Township Center")</f>
        <v>Decatur Township Center</v>
      </c>
      <c r="B34" s="135" t="str">
        <f ca="1">IFERROR(__xludf.DUMMYFUNCTION("""COMPUTED_VALUE"""),"")</f>
        <v/>
      </c>
      <c r="C34" s="135" t="str">
        <f ca="1">IFERROR(__xludf.DUMMYFUNCTION("""COMPUTED_VALUE"""),"   Tel: (317)856-4851")</f>
        <v xml:space="preserve">   Tel: (317)856-4851</v>
      </c>
      <c r="D34" s="135" t="str">
        <f ca="1">IFERROR(__xludf.DUMMYFUNCTION("""COMPUTED_VALUE"""),"   4851 Tincher Rd")</f>
        <v xml:space="preserve">   4851 Tincher Rd</v>
      </c>
      <c r="E34" s="135" t="str">
        <f ca="1">IFERROR(__xludf.DUMMYFUNCTION("""COMPUTED_VALUE"""),"   Indianapolis, In 46221")</f>
        <v xml:space="preserve">   Indianapolis, In 46221</v>
      </c>
      <c r="F34" s="135" t="str">
        <f ca="1">IFERROR(__xludf.DUMMYFUNCTION("""COMPUTED_VALUE"""),"")</f>
        <v/>
      </c>
      <c r="G34" s="135">
        <f ca="1">IFERROR(__xludf.DUMMYFUNCTION("""COMPUTED_VALUE"""),50)</f>
        <v>50</v>
      </c>
      <c r="H34" s="135" t="str">
        <f ca="1">IFERROR(__xludf.DUMMYFUNCTION("""COMPUTED_VALUE"""),"Plan to do testing themselves")</f>
        <v>Plan to do testing themselves</v>
      </c>
      <c r="I34" s="135" t="str">
        <f ca="1">IFERROR(__xludf.DUMMYFUNCTION("""COMPUTED_VALUE"""),"GREEN")</f>
        <v>GREEN</v>
      </c>
      <c r="J34" s="135" t="str">
        <f ca="1">IFERROR(__xludf.DUMMYFUNCTION("""COMPUTED_VALUE"""),"")</f>
        <v/>
      </c>
      <c r="K34" s="135"/>
      <c r="L34" s="135"/>
      <c r="M34" s="135"/>
      <c r="N34" s="135"/>
      <c r="O34" s="135"/>
      <c r="P34" s="135"/>
      <c r="Q34" s="135"/>
      <c r="R34" s="135"/>
      <c r="S34" s="135"/>
      <c r="T34" s="135"/>
      <c r="U34" s="135"/>
      <c r="V34" s="135"/>
      <c r="W34" s="135"/>
      <c r="X34" s="135"/>
      <c r="Y34" s="135"/>
      <c r="Z34" s="135"/>
    </row>
    <row r="35" spans="1:26">
      <c r="A35" s="135" t="str">
        <f ca="1">IFERROR(__xludf.DUMMYFUNCTION("""COMPUTED_VALUE"""),"Diversicare Of Providence")</f>
        <v>Diversicare Of Providence</v>
      </c>
      <c r="B35" s="135" t="str">
        <f ca="1">IFERROR(__xludf.DUMMYFUNCTION("""COMPUTED_VALUE"""),"")</f>
        <v/>
      </c>
      <c r="C35" s="135" t="str">
        <f ca="1">IFERROR(__xludf.DUMMYFUNCTION("""COMPUTED_VALUE"""),"   Tel: (812)945-5221")</f>
        <v xml:space="preserve">   Tel: (812)945-5221</v>
      </c>
      <c r="D35" s="135" t="str">
        <f ca="1">IFERROR(__xludf.DUMMYFUNCTION("""COMPUTED_VALUE"""),"   4915 Charlestown Rd")</f>
        <v xml:space="preserve">   4915 Charlestown Rd</v>
      </c>
      <c r="E35" s="135" t="str">
        <f ca="1">IFERROR(__xludf.DUMMYFUNCTION("""COMPUTED_VALUE"""),"   New Albany, In 47150")</f>
        <v xml:space="preserve">   New Albany, In 47150</v>
      </c>
      <c r="F35" s="135" t="str">
        <f ca="1">IFERROR(__xludf.DUMMYFUNCTION("""COMPUTED_VALUE"""),"")</f>
        <v/>
      </c>
      <c r="G35" s="135">
        <f ca="1">IFERROR(__xludf.DUMMYFUNCTION("""COMPUTED_VALUE"""),140)</f>
        <v>140</v>
      </c>
      <c r="H35" s="135" t="str">
        <f ca="1">IFERROR(__xludf.DUMMYFUNCTION("""COMPUTED_VALUE"""),"Already Testing Staff")</f>
        <v>Already Testing Staff</v>
      </c>
      <c r="I35" s="135" t="str">
        <f ca="1">IFERROR(__xludf.DUMMYFUNCTION("""COMPUTED_VALUE"""),"GREEN")</f>
        <v>GREEN</v>
      </c>
      <c r="J35" s="135" t="str">
        <f ca="1">IFERROR(__xludf.DUMMYFUNCTION("""COMPUTED_VALUE"""),"")</f>
        <v/>
      </c>
      <c r="K35" s="135"/>
      <c r="L35" s="135"/>
      <c r="M35" s="135"/>
      <c r="N35" s="135"/>
      <c r="O35" s="135"/>
      <c r="P35" s="135"/>
      <c r="Q35" s="135"/>
      <c r="R35" s="135"/>
      <c r="S35" s="135"/>
      <c r="T35" s="135"/>
      <c r="U35" s="135"/>
      <c r="V35" s="135"/>
      <c r="W35" s="135"/>
      <c r="X35" s="135"/>
      <c r="Y35" s="135"/>
      <c r="Z35" s="135"/>
    </row>
    <row r="36" spans="1:26">
      <c r="A36" s="135" t="str">
        <f ca="1">IFERROR(__xludf.DUMMYFUNCTION("""COMPUTED_VALUE"""),"Dyer Nursing And Rehabilitation Center")</f>
        <v>Dyer Nursing And Rehabilitation Center</v>
      </c>
      <c r="B36" s="135" t="str">
        <f ca="1">IFERROR(__xludf.DUMMYFUNCTION("""COMPUTED_VALUE"""),"")</f>
        <v/>
      </c>
      <c r="C36" s="135" t="str">
        <f ca="1">IFERROR(__xludf.DUMMYFUNCTION("""COMPUTED_VALUE"""),"   Tel: (219)322-2273")</f>
        <v xml:space="preserve">   Tel: (219)322-2273</v>
      </c>
      <c r="D36" s="135" t="str">
        <f ca="1">IFERROR(__xludf.DUMMYFUNCTION("""COMPUTED_VALUE"""),"   601 Sheffield Ave")</f>
        <v xml:space="preserve">   601 Sheffield Ave</v>
      </c>
      <c r="E36" s="135" t="str">
        <f ca="1">IFERROR(__xludf.DUMMYFUNCTION("""COMPUTED_VALUE"""),"   Dyer, In 46311")</f>
        <v xml:space="preserve">   Dyer, In 46311</v>
      </c>
      <c r="F36" s="135" t="str">
        <f ca="1">IFERROR(__xludf.DUMMYFUNCTION("""COMPUTED_VALUE"""),"")</f>
        <v/>
      </c>
      <c r="G36" s="135">
        <f ca="1">IFERROR(__xludf.DUMMYFUNCTION("""COMPUTED_VALUE"""),80)</f>
        <v>80</v>
      </c>
      <c r="H36" s="135" t="str">
        <f ca="1">IFERROR(__xludf.DUMMYFUNCTION("""COMPUTED_VALUE"""),"Plan to do testing themselves")</f>
        <v>Plan to do testing themselves</v>
      </c>
      <c r="I36" s="135" t="str">
        <f ca="1">IFERROR(__xludf.DUMMYFUNCTION("""COMPUTED_VALUE"""),"GREEN")</f>
        <v>GREEN</v>
      </c>
      <c r="J36" s="135" t="str">
        <f ca="1">IFERROR(__xludf.DUMMYFUNCTION("""COMPUTED_VALUE"""),"")</f>
        <v/>
      </c>
      <c r="K36" s="135"/>
      <c r="L36" s="135"/>
      <c r="M36" s="135"/>
      <c r="N36" s="135"/>
      <c r="O36" s="135"/>
      <c r="P36" s="135"/>
      <c r="Q36" s="135"/>
      <c r="R36" s="135"/>
      <c r="S36" s="135"/>
      <c r="T36" s="135"/>
      <c r="U36" s="135"/>
      <c r="V36" s="135"/>
      <c r="W36" s="135"/>
      <c r="X36" s="135"/>
      <c r="Y36" s="135"/>
      <c r="Z36" s="135"/>
    </row>
    <row r="37" spans="1:26">
      <c r="A37" s="135" t="str">
        <f ca="1">IFERROR(__xludf.DUMMYFUNCTION("""COMPUTED_VALUE"""),"Enmotion Recovery Care")</f>
        <v>Enmotion Recovery Care</v>
      </c>
      <c r="B37" s="135" t="str">
        <f ca="1">IFERROR(__xludf.DUMMYFUNCTION("""COMPUTED_VALUE"""),"")</f>
        <v/>
      </c>
      <c r="C37" s="135" t="str">
        <f ca="1">IFERROR(__xludf.DUMMYFUNCTION("""COMPUTED_VALUE"""),"   Tel: (317)745-8774")</f>
        <v xml:space="preserve">   Tel: (317)745-8774</v>
      </c>
      <c r="D37" s="135" t="str">
        <f ca="1">IFERROR(__xludf.DUMMYFUNCTION("""COMPUTED_VALUE"""),"   1000 E Main Street")</f>
        <v xml:space="preserve">   1000 E Main Street</v>
      </c>
      <c r="E37" s="135" t="str">
        <f ca="1">IFERROR(__xludf.DUMMYFUNCTION("""COMPUTED_VALUE"""),"   Danville, In 46122")</f>
        <v xml:space="preserve">   Danville, In 46122</v>
      </c>
      <c r="F37" s="135" t="str">
        <f ca="1">IFERROR(__xludf.DUMMYFUNCTION("""COMPUTED_VALUE"""),"")</f>
        <v/>
      </c>
      <c r="G37" s="135">
        <f ca="1">IFERROR(__xludf.DUMMYFUNCTION("""COMPUTED_VALUE"""),25)</f>
        <v>25</v>
      </c>
      <c r="H37" s="135" t="str">
        <f ca="1">IFERROR(__xludf.DUMMYFUNCTION("""COMPUTED_VALUE"""),"Plan to do testing themselves")</f>
        <v>Plan to do testing themselves</v>
      </c>
      <c r="I37" s="135" t="str">
        <f ca="1">IFERROR(__xludf.DUMMYFUNCTION("""COMPUTED_VALUE"""),"GREEN")</f>
        <v>GREEN</v>
      </c>
      <c r="J37" s="135" t="str">
        <f ca="1">IFERROR(__xludf.DUMMYFUNCTION("""COMPUTED_VALUE"""),"")</f>
        <v/>
      </c>
      <c r="K37" s="135"/>
      <c r="L37" s="135"/>
      <c r="M37" s="135"/>
      <c r="N37" s="135"/>
      <c r="O37" s="135"/>
      <c r="P37" s="135"/>
      <c r="Q37" s="135"/>
      <c r="R37" s="135"/>
      <c r="S37" s="135"/>
      <c r="T37" s="135"/>
      <c r="U37" s="135"/>
      <c r="V37" s="135"/>
      <c r="W37" s="135"/>
      <c r="X37" s="135"/>
      <c r="Y37" s="135"/>
      <c r="Z37" s="135"/>
    </row>
    <row r="38" spans="1:26">
      <c r="A38" s="135" t="str">
        <f ca="1">IFERROR(__xludf.DUMMYFUNCTION("""COMPUTED_VALUE"""),"Evansville Protestant Home")</f>
        <v>Evansville Protestant Home</v>
      </c>
      <c r="B38" s="135" t="str">
        <f ca="1">IFERROR(__xludf.DUMMYFUNCTION("""COMPUTED_VALUE"""),"")</f>
        <v/>
      </c>
      <c r="C38" s="135" t="str">
        <f ca="1">IFERROR(__xludf.DUMMYFUNCTION("""COMPUTED_VALUE"""),"(812) 476-3360")</f>
        <v>(812) 476-3360</v>
      </c>
      <c r="D38" s="135" t="str">
        <f ca="1">IFERROR(__xludf.DUMMYFUNCTION("""COMPUTED_VALUE"""),"3701 Washington Ave")</f>
        <v>3701 Washington Ave</v>
      </c>
      <c r="E38" s="135" t="str">
        <f ca="1">IFERROR(__xludf.DUMMYFUNCTION("""COMPUTED_VALUE"""),"Evansville, In  47714")</f>
        <v>Evansville, In  47714</v>
      </c>
      <c r="F38" s="135" t="str">
        <f ca="1">IFERROR(__xludf.DUMMYFUNCTION("""COMPUTED_VALUE"""),"")</f>
        <v/>
      </c>
      <c r="G38" s="135">
        <f ca="1">IFERROR(__xludf.DUMMYFUNCTION("""COMPUTED_VALUE"""),98)</f>
        <v>98</v>
      </c>
      <c r="H38" s="135" t="str">
        <f ca="1">IFERROR(__xludf.DUMMYFUNCTION("""COMPUTED_VALUE"""),"Plan to do testing themselves")</f>
        <v>Plan to do testing themselves</v>
      </c>
      <c r="I38" s="135" t="str">
        <f ca="1">IFERROR(__xludf.DUMMYFUNCTION("""COMPUTED_VALUE"""),"GREEN")</f>
        <v>GREEN</v>
      </c>
      <c r="J38" s="135" t="str">
        <f ca="1">IFERROR(__xludf.DUMMYFUNCTION("""COMPUTED_VALUE"""),"")</f>
        <v/>
      </c>
      <c r="K38" s="135"/>
      <c r="L38" s="135"/>
      <c r="M38" s="135"/>
      <c r="N38" s="135"/>
      <c r="O38" s="135"/>
      <c r="P38" s="135"/>
      <c r="Q38" s="135"/>
      <c r="R38" s="135"/>
      <c r="S38" s="135"/>
      <c r="T38" s="135"/>
      <c r="U38" s="135"/>
      <c r="V38" s="135"/>
      <c r="W38" s="135"/>
      <c r="X38" s="135"/>
      <c r="Y38" s="135"/>
      <c r="Z38" s="135"/>
    </row>
    <row r="39" spans="1:26">
      <c r="A39" s="135" t="str">
        <f ca="1">IFERROR(__xludf.DUMMYFUNCTION("""COMPUTED_VALUE"""),"Forest Park Health Campus")</f>
        <v>Forest Park Health Campus</v>
      </c>
      <c r="B39" s="135" t="str">
        <f ca="1">IFERROR(__xludf.DUMMYFUNCTION("""COMPUTED_VALUE"""),"Trilogy")</f>
        <v>Trilogy</v>
      </c>
      <c r="C39" s="135" t="str">
        <f ca="1">IFERROR(__xludf.DUMMYFUNCTION("""COMPUTED_VALUE"""),"   Tel: (765)966-5705")</f>
        <v xml:space="preserve">   Tel: (765)966-5705</v>
      </c>
      <c r="D39" s="135" t="str">
        <f ca="1">IFERROR(__xludf.DUMMYFUNCTION("""COMPUTED_VALUE"""),"   2401 South L St")</f>
        <v xml:space="preserve">   2401 South L St</v>
      </c>
      <c r="E39" s="135" t="str">
        <f ca="1">IFERROR(__xludf.DUMMYFUNCTION("""COMPUTED_VALUE"""),"   Richmond, In 47374")</f>
        <v xml:space="preserve">   Richmond, In 47374</v>
      </c>
      <c r="F39" s="135" t="str">
        <f ca="1">IFERROR(__xludf.DUMMYFUNCTION("""COMPUTED_VALUE"""),"")</f>
        <v/>
      </c>
      <c r="G39" s="135">
        <f ca="1">IFERROR(__xludf.DUMMYFUNCTION("""COMPUTED_VALUE"""),98)</f>
        <v>98</v>
      </c>
      <c r="H39" s="135" t="str">
        <f ca="1">IFERROR(__xludf.DUMMYFUNCTION("""COMPUTED_VALUE"""),"Plan to do testing themselves")</f>
        <v>Plan to do testing themselves</v>
      </c>
      <c r="I39" s="135" t="str">
        <f ca="1">IFERROR(__xludf.DUMMYFUNCTION("""COMPUTED_VALUE"""),"GREEN")</f>
        <v>GREEN</v>
      </c>
      <c r="J39" s="135" t="str">
        <f ca="1">IFERROR(__xludf.DUMMYFUNCTION("""COMPUTED_VALUE"""),"")</f>
        <v/>
      </c>
      <c r="K39" s="135"/>
      <c r="L39" s="135"/>
      <c r="M39" s="135"/>
      <c r="N39" s="135"/>
      <c r="O39" s="135"/>
      <c r="P39" s="135"/>
      <c r="Q39" s="135"/>
      <c r="R39" s="135"/>
      <c r="S39" s="135"/>
      <c r="T39" s="135"/>
      <c r="U39" s="135"/>
      <c r="V39" s="135"/>
      <c r="W39" s="135"/>
      <c r="X39" s="135"/>
      <c r="Y39" s="135"/>
      <c r="Z39" s="135"/>
    </row>
    <row r="40" spans="1:26">
      <c r="A40" s="135" t="str">
        <f ca="1">IFERROR(__xludf.DUMMYFUNCTION("""COMPUTED_VALUE"""),"Forum At The Crossing")</f>
        <v>Forum At The Crossing</v>
      </c>
      <c r="B40" s="135" t="str">
        <f ca="1">IFERROR(__xludf.DUMMYFUNCTION("""COMPUTED_VALUE"""),"")</f>
        <v/>
      </c>
      <c r="C40" s="135" t="str">
        <f ca="1">IFERROR(__xludf.DUMMYFUNCTION("""COMPUTED_VALUE"""),"   Tel: (317)466-2020")</f>
        <v xml:space="preserve">   Tel: (317)466-2020</v>
      </c>
      <c r="D40" s="135" t="str">
        <f ca="1">IFERROR(__xludf.DUMMYFUNCTION("""COMPUTED_VALUE"""),"   8505 Woodfield Crossing Blvd")</f>
        <v xml:space="preserve">   8505 Woodfield Crossing Blvd</v>
      </c>
      <c r="E40" s="135" t="str">
        <f ca="1">IFERROR(__xludf.DUMMYFUNCTION("""COMPUTED_VALUE"""),"   Indianapolis, In 46240")</f>
        <v xml:space="preserve">   Indianapolis, In 46240</v>
      </c>
      <c r="F40" s="135" t="str">
        <f ca="1">IFERROR(__xludf.DUMMYFUNCTION("""COMPUTED_VALUE"""),"")</f>
        <v/>
      </c>
      <c r="G40" s="135">
        <f ca="1">IFERROR(__xludf.DUMMYFUNCTION("""COMPUTED_VALUE"""),125)</f>
        <v>125</v>
      </c>
      <c r="H40" s="135" t="str">
        <f ca="1">IFERROR(__xludf.DUMMYFUNCTION("""COMPUTED_VALUE"""),"Already Testing Staff")</f>
        <v>Already Testing Staff</v>
      </c>
      <c r="I40" s="135" t="str">
        <f ca="1">IFERROR(__xludf.DUMMYFUNCTION("""COMPUTED_VALUE"""),"GREEN")</f>
        <v>GREEN</v>
      </c>
      <c r="J40" s="135" t="str">
        <f ca="1">IFERROR(__xludf.DUMMYFUNCTION("""COMPUTED_VALUE"""),"")</f>
        <v/>
      </c>
      <c r="K40" s="135"/>
      <c r="L40" s="135"/>
      <c r="M40" s="135"/>
      <c r="N40" s="135"/>
      <c r="O40" s="135"/>
      <c r="P40" s="135"/>
      <c r="Q40" s="135"/>
      <c r="R40" s="135"/>
      <c r="S40" s="135"/>
      <c r="T40" s="135"/>
      <c r="U40" s="135"/>
      <c r="V40" s="135"/>
      <c r="W40" s="135"/>
      <c r="X40" s="135"/>
      <c r="Y40" s="135"/>
      <c r="Z40" s="135"/>
    </row>
    <row r="41" spans="1:26">
      <c r="A41" s="135" t="str">
        <f ca="1">IFERROR(__xludf.DUMMYFUNCTION("""COMPUTED_VALUE"""),"Four Seasons Retirement Center")</f>
        <v>Four Seasons Retirement Center</v>
      </c>
      <c r="B41" s="135" t="str">
        <f ca="1">IFERROR(__xludf.DUMMYFUNCTION("""COMPUTED_VALUE"""),"BHI")</f>
        <v>BHI</v>
      </c>
      <c r="C41" s="135" t="str">
        <f ca="1">IFERROR(__xludf.DUMMYFUNCTION("""COMPUTED_VALUE"""),"   Tel: (812)372-8481")</f>
        <v xml:space="preserve">   Tel: (812)372-8481</v>
      </c>
      <c r="D41" s="135" t="str">
        <f ca="1">IFERROR(__xludf.DUMMYFUNCTION("""COMPUTED_VALUE"""),"   1901 Taylor Rd")</f>
        <v xml:space="preserve">   1901 Taylor Rd</v>
      </c>
      <c r="E41" s="135" t="str">
        <f ca="1">IFERROR(__xludf.DUMMYFUNCTION("""COMPUTED_VALUE"""),"   Columbus, In 47203")</f>
        <v xml:space="preserve">   Columbus, In 47203</v>
      </c>
      <c r="F41" s="135" t="str">
        <f ca="1">IFERROR(__xludf.DUMMYFUNCTION("""COMPUTED_VALUE"""),"")</f>
        <v/>
      </c>
      <c r="G41" s="135">
        <f ca="1">IFERROR(__xludf.DUMMYFUNCTION("""COMPUTED_VALUE"""),85)</f>
        <v>85</v>
      </c>
      <c r="H41" s="135" t="str">
        <f ca="1">IFERROR(__xludf.DUMMYFUNCTION("""COMPUTED_VALUE"""),"Already Testing Staff")</f>
        <v>Already Testing Staff</v>
      </c>
      <c r="I41" s="135" t="str">
        <f ca="1">IFERROR(__xludf.DUMMYFUNCTION("""COMPUTED_VALUE"""),"GREEN")</f>
        <v>GREEN</v>
      </c>
      <c r="J41" s="135" t="str">
        <f ca="1">IFERROR(__xludf.DUMMYFUNCTION("""COMPUTED_VALUE"""),"")</f>
        <v/>
      </c>
      <c r="K41" s="135"/>
      <c r="L41" s="135"/>
      <c r="M41" s="135"/>
      <c r="N41" s="135"/>
      <c r="O41" s="135"/>
      <c r="P41" s="135"/>
      <c r="Q41" s="135"/>
      <c r="R41" s="135"/>
      <c r="S41" s="135"/>
      <c r="T41" s="135"/>
      <c r="U41" s="135"/>
      <c r="V41" s="135"/>
      <c r="W41" s="135"/>
      <c r="X41" s="135"/>
      <c r="Y41" s="135"/>
      <c r="Z41" s="135"/>
    </row>
    <row r="42" spans="1:26">
      <c r="A42" s="135" t="str">
        <f ca="1">IFERROR(__xludf.DUMMYFUNCTION("""COMPUTED_VALUE"""),"George Ade Memorial Health Care Center")</f>
        <v>George Ade Memorial Health Care Center</v>
      </c>
      <c r="B42" s="135" t="str">
        <f ca="1">IFERROR(__xludf.DUMMYFUNCTION("""COMPUTED_VALUE"""),"")</f>
        <v/>
      </c>
      <c r="C42" s="135" t="str">
        <f ca="1">IFERROR(__xludf.DUMMYFUNCTION("""COMPUTED_VALUE"""),"   Tel: (219)275-2531")</f>
        <v xml:space="preserve">   Tel: (219)275-2531</v>
      </c>
      <c r="D42" s="135" t="str">
        <f ca="1">IFERROR(__xludf.DUMMYFUNCTION("""COMPUTED_VALUE"""),"   3623 In-16")</f>
        <v xml:space="preserve">   3623 In-16</v>
      </c>
      <c r="E42" s="135" t="str">
        <f ca="1">IFERROR(__xludf.DUMMYFUNCTION("""COMPUTED_VALUE"""),"   Brook, In 47922")</f>
        <v xml:space="preserve">   Brook, In 47922</v>
      </c>
      <c r="F42" s="135" t="str">
        <f ca="1">IFERROR(__xludf.DUMMYFUNCTION("""COMPUTED_VALUE"""),"No")</f>
        <v>No</v>
      </c>
      <c r="G42" s="135">
        <f ca="1">IFERROR(__xludf.DUMMYFUNCTION("""COMPUTED_VALUE"""),83)</f>
        <v>83</v>
      </c>
      <c r="H42" s="135" t="str">
        <f ca="1">IFERROR(__xludf.DUMMYFUNCTION("""COMPUTED_VALUE"""),"Plan to do testing themselves")</f>
        <v>Plan to do testing themselves</v>
      </c>
      <c r="I42" s="135" t="str">
        <f ca="1">IFERROR(__xludf.DUMMYFUNCTION("""COMPUTED_VALUE"""),"GREEN")</f>
        <v>GREEN</v>
      </c>
      <c r="J42" s="135" t="str">
        <f ca="1">IFERROR(__xludf.DUMMYFUNCTION("""COMPUTED_VALUE"""),"")</f>
        <v/>
      </c>
      <c r="K42" s="135"/>
      <c r="L42" s="135"/>
      <c r="M42" s="135"/>
      <c r="N42" s="135"/>
      <c r="O42" s="135"/>
      <c r="P42" s="135"/>
      <c r="Q42" s="135"/>
      <c r="R42" s="135"/>
      <c r="S42" s="135"/>
      <c r="T42" s="135"/>
      <c r="U42" s="135"/>
      <c r="V42" s="135"/>
      <c r="W42" s="135"/>
      <c r="X42" s="135"/>
      <c r="Y42" s="135"/>
      <c r="Z42" s="135"/>
    </row>
    <row r="43" spans="1:26">
      <c r="A43" s="135" t="str">
        <f ca="1">IFERROR(__xludf.DUMMYFUNCTION("""COMPUTED_VALUE"""),"Glen Oaks Health Campus")</f>
        <v>Glen Oaks Health Campus</v>
      </c>
      <c r="B43" s="135" t="str">
        <f ca="1">IFERROR(__xludf.DUMMYFUNCTION("""COMPUTED_VALUE"""),"Trilogy")</f>
        <v>Trilogy</v>
      </c>
      <c r="C43" s="135" t="str">
        <f ca="1">IFERROR(__xludf.DUMMYFUNCTION("""COMPUTED_VALUE"""),"   Tel: (765)529-5796")</f>
        <v xml:space="preserve">   Tel: (765)529-5796</v>
      </c>
      <c r="D43" s="135" t="str">
        <f ca="1">IFERROR(__xludf.DUMMYFUNCTION("""COMPUTED_VALUE"""),"   601 W Cr 200 S")</f>
        <v xml:space="preserve">   601 W Cr 200 S</v>
      </c>
      <c r="E43" s="135" t="str">
        <f ca="1">IFERROR(__xludf.DUMMYFUNCTION("""COMPUTED_VALUE"""),"   New Castle, In 47362")</f>
        <v xml:space="preserve">   New Castle, In 47362</v>
      </c>
      <c r="F43" s="135" t="str">
        <f ca="1">IFERROR(__xludf.DUMMYFUNCTION("""COMPUTED_VALUE"""),"")</f>
        <v/>
      </c>
      <c r="G43" s="135">
        <f ca="1">IFERROR(__xludf.DUMMYFUNCTION("""COMPUTED_VALUE"""),120)</f>
        <v>120</v>
      </c>
      <c r="H43" s="135" t="str">
        <f ca="1">IFERROR(__xludf.DUMMYFUNCTION("""COMPUTED_VALUE"""),"Plan to do testing themselves")</f>
        <v>Plan to do testing themselves</v>
      </c>
      <c r="I43" s="135" t="str">
        <f ca="1">IFERROR(__xludf.DUMMYFUNCTION("""COMPUTED_VALUE"""),"GREEN")</f>
        <v>GREEN</v>
      </c>
      <c r="J43" s="135" t="str">
        <f ca="1">IFERROR(__xludf.DUMMYFUNCTION("""COMPUTED_VALUE"""),"")</f>
        <v/>
      </c>
      <c r="K43" s="135"/>
      <c r="L43" s="135"/>
      <c r="M43" s="135"/>
      <c r="N43" s="135"/>
      <c r="O43" s="135"/>
      <c r="P43" s="135"/>
      <c r="Q43" s="135"/>
      <c r="R43" s="135"/>
      <c r="S43" s="135"/>
      <c r="T43" s="135"/>
      <c r="U43" s="135"/>
      <c r="V43" s="135"/>
      <c r="W43" s="135"/>
      <c r="X43" s="135"/>
      <c r="Y43" s="135"/>
      <c r="Z43" s="135"/>
    </row>
    <row r="44" spans="1:26">
      <c r="A44" s="135" t="str">
        <f ca="1">IFERROR(__xludf.DUMMYFUNCTION("""COMPUTED_VALUE"""),"Golden Living Center-Fountainview Place")</f>
        <v>Golden Living Center-Fountainview Place</v>
      </c>
      <c r="B44" s="135" t="str">
        <f ca="1">IFERROR(__xludf.DUMMYFUNCTION("""COMPUTED_VALUE"""),"Golden Living")</f>
        <v>Golden Living</v>
      </c>
      <c r="C44" s="135" t="str">
        <f ca="1">IFERROR(__xludf.DUMMYFUNCTION("""COMPUTED_VALUE"""),"   Tel: (219)762-9571")</f>
        <v xml:space="preserve">   Tel: (219)762-9571</v>
      </c>
      <c r="D44" s="135" t="str">
        <f ca="1">IFERROR(__xludf.DUMMYFUNCTION("""COMPUTED_VALUE"""),"   3175 Lancer St")</f>
        <v xml:space="preserve">   3175 Lancer St</v>
      </c>
      <c r="E44" s="135" t="str">
        <f ca="1">IFERROR(__xludf.DUMMYFUNCTION("""COMPUTED_VALUE"""),"   Portage, In 46368")</f>
        <v xml:space="preserve">   Portage, In 46368</v>
      </c>
      <c r="F44" s="135" t="str">
        <f ca="1">IFERROR(__xludf.DUMMYFUNCTION("""COMPUTED_VALUE"""),"")</f>
        <v/>
      </c>
      <c r="G44" s="135">
        <f ca="1">IFERROR(__xludf.DUMMYFUNCTION("""COMPUTED_VALUE"""),138)</f>
        <v>138</v>
      </c>
      <c r="H44" s="135" t="str">
        <f ca="1">IFERROR(__xludf.DUMMYFUNCTION("""COMPUTED_VALUE"""),"Plan to do testing themselves")</f>
        <v>Plan to do testing themselves</v>
      </c>
      <c r="I44" s="135" t="str">
        <f ca="1">IFERROR(__xludf.DUMMYFUNCTION("""COMPUTED_VALUE"""),"GREEN")</f>
        <v>GREEN</v>
      </c>
      <c r="J44" s="135" t="str">
        <f ca="1">IFERROR(__xludf.DUMMYFUNCTION("""COMPUTED_VALUE"""),"")</f>
        <v/>
      </c>
      <c r="K44" s="135"/>
      <c r="L44" s="135"/>
      <c r="M44" s="135"/>
      <c r="N44" s="135"/>
      <c r="O44" s="135"/>
      <c r="P44" s="135"/>
      <c r="Q44" s="135"/>
      <c r="R44" s="135"/>
      <c r="S44" s="135"/>
      <c r="T44" s="135"/>
      <c r="U44" s="135"/>
      <c r="V44" s="135"/>
      <c r="W44" s="135"/>
      <c r="X44" s="135"/>
      <c r="Y44" s="135"/>
      <c r="Z44" s="135"/>
    </row>
    <row r="45" spans="1:26">
      <c r="A45" s="135" t="str">
        <f ca="1">IFERROR(__xludf.DUMMYFUNCTION("""COMPUTED_VALUE"""),"Golden Living Center-Mishawaka")</f>
        <v>Golden Living Center-Mishawaka</v>
      </c>
      <c r="B45" s="135" t="str">
        <f ca="1">IFERROR(__xludf.DUMMYFUNCTION("""COMPUTED_VALUE"""),"Golden Living")</f>
        <v>Golden Living</v>
      </c>
      <c r="C45" s="135" t="str">
        <f ca="1">IFERROR(__xludf.DUMMYFUNCTION("""COMPUTED_VALUE"""),"   Tel: (574)259-1917")</f>
        <v xml:space="preserve">   Tel: (574)259-1917</v>
      </c>
      <c r="D45" s="135" t="str">
        <f ca="1">IFERROR(__xludf.DUMMYFUNCTION("""COMPUTED_VALUE"""),"   811 E 12Th Street")</f>
        <v xml:space="preserve">   811 E 12Th Street</v>
      </c>
      <c r="E45" s="135" t="str">
        <f ca="1">IFERROR(__xludf.DUMMYFUNCTION("""COMPUTED_VALUE"""),"   Mishawaka, In 46544")</f>
        <v xml:space="preserve">   Mishawaka, In 46544</v>
      </c>
      <c r="F45" s="135" t="str">
        <f ca="1">IFERROR(__xludf.DUMMYFUNCTION("""COMPUTED_VALUE"""),"")</f>
        <v/>
      </c>
      <c r="G45" s="135">
        <f ca="1">IFERROR(__xludf.DUMMYFUNCTION("""COMPUTED_VALUE"""),70)</f>
        <v>70</v>
      </c>
      <c r="H45" s="135" t="str">
        <f ca="1">IFERROR(__xludf.DUMMYFUNCTION("""COMPUTED_VALUE"""),"Plan to do testing themselves")</f>
        <v>Plan to do testing themselves</v>
      </c>
      <c r="I45" s="135" t="str">
        <f ca="1">IFERROR(__xludf.DUMMYFUNCTION("""COMPUTED_VALUE"""),"GREEN")</f>
        <v>GREEN</v>
      </c>
      <c r="J45" s="135" t="str">
        <f ca="1">IFERROR(__xludf.DUMMYFUNCTION("""COMPUTED_VALUE"""),"")</f>
        <v/>
      </c>
      <c r="K45" s="135"/>
      <c r="L45" s="135"/>
      <c r="M45" s="135"/>
      <c r="N45" s="135"/>
      <c r="O45" s="135"/>
      <c r="P45" s="135"/>
      <c r="Q45" s="135"/>
      <c r="R45" s="135"/>
      <c r="S45" s="135"/>
      <c r="T45" s="135"/>
      <c r="U45" s="135"/>
      <c r="V45" s="135"/>
      <c r="W45" s="135"/>
      <c r="X45" s="135"/>
      <c r="Y45" s="135"/>
      <c r="Z45" s="135"/>
    </row>
    <row r="46" spans="1:26">
      <c r="A46" s="135" t="str">
        <f ca="1">IFERROR(__xludf.DUMMYFUNCTION("""COMPUTED_VALUE"""),"Green House Cottages Of Carmel")</f>
        <v>Green House Cottages Of Carmel</v>
      </c>
      <c r="B46" s="135" t="str">
        <f ca="1">IFERROR(__xludf.DUMMYFUNCTION("""COMPUTED_VALUE"""),"")</f>
        <v/>
      </c>
      <c r="C46" s="135" t="str">
        <f ca="1">IFERROR(__xludf.DUMMYFUNCTION("""COMPUTED_VALUE"""),"   Tel: (317)816-3151")</f>
        <v xml:space="preserve">   Tel: (317)816-3151</v>
      </c>
      <c r="D46" s="135" t="str">
        <f ca="1">IFERROR(__xludf.DUMMYFUNCTION("""COMPUTED_VALUE"""),"   616 Green House Way")</f>
        <v xml:space="preserve">   616 Green House Way</v>
      </c>
      <c r="E46" s="135" t="str">
        <f ca="1">IFERROR(__xludf.DUMMYFUNCTION("""COMPUTED_VALUE"""),"   Carmel, In 46032")</f>
        <v xml:space="preserve">   Carmel, In 46032</v>
      </c>
      <c r="F46" s="135" t="str">
        <f ca="1">IFERROR(__xludf.DUMMYFUNCTION("""COMPUTED_VALUE"""),"")</f>
        <v/>
      </c>
      <c r="G46" s="135">
        <f ca="1">IFERROR(__xludf.DUMMYFUNCTION("""COMPUTED_VALUE"""),100)</f>
        <v>100</v>
      </c>
      <c r="H46" s="135" t="str">
        <f ca="1">IFERROR(__xludf.DUMMYFUNCTION("""COMPUTED_VALUE"""),"Already Testing Staff")</f>
        <v>Already Testing Staff</v>
      </c>
      <c r="I46" s="135" t="str">
        <f ca="1">IFERROR(__xludf.DUMMYFUNCTION("""COMPUTED_VALUE"""),"GREEN")</f>
        <v>GREEN</v>
      </c>
      <c r="J46" s="135" t="str">
        <f ca="1">IFERROR(__xludf.DUMMYFUNCTION("""COMPUTED_VALUE"""),"")</f>
        <v/>
      </c>
      <c r="K46" s="135"/>
      <c r="L46" s="135"/>
      <c r="M46" s="135"/>
      <c r="N46" s="135"/>
      <c r="O46" s="135"/>
      <c r="P46" s="135"/>
      <c r="Q46" s="135"/>
      <c r="R46" s="135"/>
      <c r="S46" s="135"/>
      <c r="T46" s="135"/>
      <c r="U46" s="135"/>
      <c r="V46" s="135"/>
      <c r="W46" s="135"/>
      <c r="X46" s="135"/>
      <c r="Y46" s="135"/>
      <c r="Z46" s="135"/>
    </row>
    <row r="47" spans="1:26">
      <c r="A47" s="135" t="str">
        <f ca="1">IFERROR(__xludf.DUMMYFUNCTION("""COMPUTED_VALUE"""),"Greencroft Healthcare")</f>
        <v>Greencroft Healthcare</v>
      </c>
      <c r="B47" s="135" t="str">
        <f ca="1">IFERROR(__xludf.DUMMYFUNCTION("""COMPUTED_VALUE"""),"")</f>
        <v/>
      </c>
      <c r="C47" s="135" t="str">
        <f ca="1">IFERROR(__xludf.DUMMYFUNCTION("""COMPUTED_VALUE"""),"   Tel: (574)537-4000")</f>
        <v xml:space="preserve">   Tel: (574)537-4000</v>
      </c>
      <c r="D47" s="135" t="str">
        <f ca="1">IFERROR(__xludf.DUMMYFUNCTION("""COMPUTED_VALUE"""),"   1225 Greencroft Dr")</f>
        <v xml:space="preserve">   1225 Greencroft Dr</v>
      </c>
      <c r="E47" s="135" t="str">
        <f ca="1">IFERROR(__xludf.DUMMYFUNCTION("""COMPUTED_VALUE"""),"   Goshen, In 46527")</f>
        <v xml:space="preserve">   Goshen, In 46527</v>
      </c>
      <c r="F47" s="135" t="str">
        <f ca="1">IFERROR(__xludf.DUMMYFUNCTION("""COMPUTED_VALUE"""),"")</f>
        <v/>
      </c>
      <c r="G47" s="135">
        <f ca="1">IFERROR(__xludf.DUMMYFUNCTION("""COMPUTED_VALUE"""),466)</f>
        <v>466</v>
      </c>
      <c r="H47" s="135" t="str">
        <f ca="1">IFERROR(__xludf.DUMMYFUNCTION("""COMPUTED_VALUE"""),"Plan to do testing themselves")</f>
        <v>Plan to do testing themselves</v>
      </c>
      <c r="I47" s="135" t="str">
        <f ca="1">IFERROR(__xludf.DUMMYFUNCTION("""COMPUTED_VALUE"""),"GREEN")</f>
        <v>GREEN</v>
      </c>
      <c r="J47" s="135" t="str">
        <f ca="1">IFERROR(__xludf.DUMMYFUNCTION("""COMPUTED_VALUE"""),"")</f>
        <v/>
      </c>
      <c r="K47" s="135"/>
      <c r="L47" s="135"/>
      <c r="M47" s="135"/>
      <c r="N47" s="135"/>
      <c r="O47" s="135"/>
      <c r="P47" s="135"/>
      <c r="Q47" s="135"/>
      <c r="R47" s="135"/>
      <c r="S47" s="135"/>
      <c r="T47" s="135"/>
      <c r="U47" s="135"/>
      <c r="V47" s="135"/>
      <c r="W47" s="135"/>
      <c r="X47" s="135"/>
      <c r="Y47" s="135"/>
      <c r="Z47" s="135"/>
    </row>
    <row r="48" spans="1:26">
      <c r="A48" s="135" t="str">
        <f ca="1">IFERROR(__xludf.DUMMYFUNCTION("""COMPUTED_VALUE"""),"Greenfield Healthcare Center")</f>
        <v>Greenfield Healthcare Center</v>
      </c>
      <c r="B48" s="135" t="str">
        <f ca="1">IFERROR(__xludf.DUMMYFUNCTION("""COMPUTED_VALUE"""),"CommuniCare")</f>
        <v>CommuniCare</v>
      </c>
      <c r="C48" s="135" t="str">
        <f ca="1">IFERROR(__xludf.DUMMYFUNCTION("""COMPUTED_VALUE"""),"   Tel: (317)462-3311")</f>
        <v xml:space="preserve">   Tel: (317)462-3311</v>
      </c>
      <c r="D48" s="135" t="str">
        <f ca="1">IFERROR(__xludf.DUMMYFUNCTION("""COMPUTED_VALUE"""),"   200 Green Meadows Dr")</f>
        <v xml:space="preserve">   200 Green Meadows Dr</v>
      </c>
      <c r="E48" s="135" t="str">
        <f ca="1">IFERROR(__xludf.DUMMYFUNCTION("""COMPUTED_VALUE"""),"   Greenfield, In 46140")</f>
        <v xml:space="preserve">   Greenfield, In 46140</v>
      </c>
      <c r="F48" s="135" t="str">
        <f ca="1">IFERROR(__xludf.DUMMYFUNCTION("""COMPUTED_VALUE"""),"")</f>
        <v/>
      </c>
      <c r="G48" s="135">
        <f ca="1">IFERROR(__xludf.DUMMYFUNCTION("""COMPUTED_VALUE"""),70)</f>
        <v>70</v>
      </c>
      <c r="H48" s="135" t="str">
        <f ca="1">IFERROR(__xludf.DUMMYFUNCTION("""COMPUTED_VALUE"""),"Already Testing Staff")</f>
        <v>Already Testing Staff</v>
      </c>
      <c r="I48" s="135" t="str">
        <f ca="1">IFERROR(__xludf.DUMMYFUNCTION("""COMPUTED_VALUE"""),"GREEN")</f>
        <v>GREEN</v>
      </c>
      <c r="J48" s="135" t="str">
        <f ca="1">IFERROR(__xludf.DUMMYFUNCTION("""COMPUTED_VALUE"""),"")</f>
        <v/>
      </c>
      <c r="K48" s="135"/>
      <c r="L48" s="135"/>
      <c r="M48" s="135"/>
      <c r="N48" s="135"/>
      <c r="O48" s="135"/>
      <c r="P48" s="135"/>
      <c r="Q48" s="135"/>
      <c r="R48" s="135"/>
      <c r="S48" s="135"/>
      <c r="T48" s="135"/>
      <c r="U48" s="135"/>
      <c r="V48" s="135"/>
      <c r="W48" s="135"/>
      <c r="X48" s="135"/>
      <c r="Y48" s="135"/>
      <c r="Z48" s="135"/>
    </row>
    <row r="49" spans="1:26">
      <c r="A49" s="135" t="str">
        <f ca="1">IFERROR(__xludf.DUMMYFUNCTION("""COMPUTED_VALUE"""),"Greenleaf Health Campus")</f>
        <v>Greenleaf Health Campus</v>
      </c>
      <c r="B49" s="135" t="str">
        <f ca="1">IFERROR(__xludf.DUMMYFUNCTION("""COMPUTED_VALUE"""),"Trilogy")</f>
        <v>Trilogy</v>
      </c>
      <c r="C49" s="135" t="str">
        <f ca="1">IFERROR(__xludf.DUMMYFUNCTION("""COMPUTED_VALUE"""),"   Tel: (574)206-0086")</f>
        <v xml:space="preserve">   Tel: (574)206-0086</v>
      </c>
      <c r="D49" s="135" t="str">
        <f ca="1">IFERROR(__xludf.DUMMYFUNCTION("""COMPUTED_VALUE"""),"   1201 E Beardsley Ave")</f>
        <v xml:space="preserve">   1201 E Beardsley Ave</v>
      </c>
      <c r="E49" s="135" t="str">
        <f ca="1">IFERROR(__xludf.DUMMYFUNCTION("""COMPUTED_VALUE"""),"   Elkhart, In 46514")</f>
        <v xml:space="preserve">   Elkhart, In 46514</v>
      </c>
      <c r="F49" s="135" t="str">
        <f ca="1">IFERROR(__xludf.DUMMYFUNCTION("""COMPUTED_VALUE"""),"")</f>
        <v/>
      </c>
      <c r="G49" s="135">
        <f ca="1">IFERROR(__xludf.DUMMYFUNCTION("""COMPUTED_VALUE"""),85)</f>
        <v>85</v>
      </c>
      <c r="H49" s="135" t="str">
        <f ca="1">IFERROR(__xludf.DUMMYFUNCTION("""COMPUTED_VALUE"""),"Plan to do testing themselves")</f>
        <v>Plan to do testing themselves</v>
      </c>
      <c r="I49" s="135" t="str">
        <f ca="1">IFERROR(__xludf.DUMMYFUNCTION("""COMPUTED_VALUE"""),"GREEN")</f>
        <v>GREEN</v>
      </c>
      <c r="J49" s="135" t="str">
        <f ca="1">IFERROR(__xludf.DUMMYFUNCTION("""COMPUTED_VALUE"""),"")</f>
        <v/>
      </c>
      <c r="K49" s="135"/>
      <c r="L49" s="135"/>
      <c r="M49" s="135"/>
      <c r="N49" s="135"/>
      <c r="O49" s="135"/>
      <c r="P49" s="135"/>
      <c r="Q49" s="135"/>
      <c r="R49" s="135"/>
      <c r="S49" s="135"/>
      <c r="T49" s="135"/>
      <c r="U49" s="135"/>
      <c r="V49" s="135"/>
      <c r="W49" s="135"/>
      <c r="X49" s="135"/>
      <c r="Y49" s="135"/>
      <c r="Z49" s="135"/>
    </row>
    <row r="50" spans="1:26">
      <c r="A50" s="135" t="str">
        <f ca="1">IFERROR(__xludf.DUMMYFUNCTION("""COMPUTED_VALUE"""),"Hamilton Grove")</f>
        <v>Hamilton Grove</v>
      </c>
      <c r="B50" s="135" t="str">
        <f ca="1">IFERROR(__xludf.DUMMYFUNCTION("""COMPUTED_VALUE"""),"")</f>
        <v/>
      </c>
      <c r="C50" s="135" t="str">
        <f ca="1">IFERROR(__xludf.DUMMYFUNCTION("""COMPUTED_VALUE"""),"   Tel: (574)654-2200")</f>
        <v xml:space="preserve">   Tel: (574)654-2200</v>
      </c>
      <c r="D50" s="135" t="str">
        <f ca="1">IFERROR(__xludf.DUMMYFUNCTION("""COMPUTED_VALUE"""),"   31869 Chicago Trail")</f>
        <v xml:space="preserve">   31869 Chicago Trail</v>
      </c>
      <c r="E50" s="135" t="str">
        <f ca="1">IFERROR(__xludf.DUMMYFUNCTION("""COMPUTED_VALUE"""),"   New Carlisle, In 46552")</f>
        <v xml:space="preserve">   New Carlisle, In 46552</v>
      </c>
      <c r="F50" s="135" t="str">
        <f ca="1">IFERROR(__xludf.DUMMYFUNCTION("""COMPUTED_VALUE"""),"No")</f>
        <v>No</v>
      </c>
      <c r="G50" s="135">
        <f ca="1">IFERROR(__xludf.DUMMYFUNCTION("""COMPUTED_VALUE"""),208)</f>
        <v>208</v>
      </c>
      <c r="H50" s="135" t="str">
        <f ca="1">IFERROR(__xludf.DUMMYFUNCTION("""COMPUTED_VALUE"""),"Plan to do testing themselves")</f>
        <v>Plan to do testing themselves</v>
      </c>
      <c r="I50" s="135" t="str">
        <f ca="1">IFERROR(__xludf.DUMMYFUNCTION("""COMPUTED_VALUE"""),"GREEN")</f>
        <v>GREEN</v>
      </c>
      <c r="J50" s="135" t="str">
        <f ca="1">IFERROR(__xludf.DUMMYFUNCTION("""COMPUTED_VALUE"""),"")</f>
        <v/>
      </c>
      <c r="K50" s="135"/>
      <c r="L50" s="135"/>
      <c r="M50" s="135"/>
      <c r="N50" s="135"/>
      <c r="O50" s="135"/>
      <c r="P50" s="135"/>
      <c r="Q50" s="135"/>
      <c r="R50" s="135"/>
      <c r="S50" s="135"/>
      <c r="T50" s="135"/>
      <c r="U50" s="135"/>
      <c r="V50" s="135"/>
      <c r="W50" s="135"/>
      <c r="X50" s="135"/>
      <c r="Y50" s="135"/>
      <c r="Z50" s="135"/>
    </row>
    <row r="51" spans="1:26">
      <c r="A51" s="135" t="str">
        <f ca="1">IFERROR(__xludf.DUMMYFUNCTION("""COMPUTED_VALUE"""),"Hammond-Whiting Care Center")</f>
        <v>Hammond-Whiting Care Center</v>
      </c>
      <c r="B51" s="135" t="str">
        <f ca="1">IFERROR(__xludf.DUMMYFUNCTION("""COMPUTED_VALUE"""),"Life Care Center")</f>
        <v>Life Care Center</v>
      </c>
      <c r="C51" s="135" t="str">
        <f ca="1">IFERROR(__xludf.DUMMYFUNCTION("""COMPUTED_VALUE"""),"   Tel: (219)659-2770")</f>
        <v xml:space="preserve">   Tel: (219)659-2770</v>
      </c>
      <c r="D51" s="135" t="str">
        <f ca="1">IFERROR(__xludf.DUMMYFUNCTION("""COMPUTED_VALUE"""),"   1000 114Th St")</f>
        <v xml:space="preserve">   1000 114Th St</v>
      </c>
      <c r="E51" s="135" t="str">
        <f ca="1">IFERROR(__xludf.DUMMYFUNCTION("""COMPUTED_VALUE"""),"   Whiting, In 46394")</f>
        <v xml:space="preserve">   Whiting, In 46394</v>
      </c>
      <c r="F51" s="135" t="str">
        <f ca="1">IFERROR(__xludf.DUMMYFUNCTION("""COMPUTED_VALUE"""),"")</f>
        <v/>
      </c>
      <c r="G51" s="135">
        <f ca="1">IFERROR(__xludf.DUMMYFUNCTION("""COMPUTED_VALUE"""),80)</f>
        <v>80</v>
      </c>
      <c r="H51" s="135" t="str">
        <f ca="1">IFERROR(__xludf.DUMMYFUNCTION("""COMPUTED_VALUE"""),"Plan to do testing themselves")</f>
        <v>Plan to do testing themselves</v>
      </c>
      <c r="I51" s="135" t="str">
        <f ca="1">IFERROR(__xludf.DUMMYFUNCTION("""COMPUTED_VALUE"""),"GREEN")</f>
        <v>GREEN</v>
      </c>
      <c r="J51" s="135" t="str">
        <f ca="1">IFERROR(__xludf.DUMMYFUNCTION("""COMPUTED_VALUE"""),"")</f>
        <v/>
      </c>
      <c r="K51" s="135"/>
      <c r="L51" s="135"/>
      <c r="M51" s="135"/>
      <c r="N51" s="135"/>
      <c r="O51" s="135"/>
      <c r="P51" s="135"/>
      <c r="Q51" s="135"/>
      <c r="R51" s="135"/>
      <c r="S51" s="135"/>
      <c r="T51" s="135"/>
      <c r="U51" s="135"/>
      <c r="V51" s="135"/>
      <c r="W51" s="135"/>
      <c r="X51" s="135"/>
      <c r="Y51" s="135"/>
      <c r="Z51" s="135"/>
    </row>
    <row r="52" spans="1:26">
      <c r="A52" s="135" t="str">
        <f ca="1">IFERROR(__xludf.DUMMYFUNCTION("""COMPUTED_VALUE"""),"Hampton Oaks Health Campus")</f>
        <v>Hampton Oaks Health Campus</v>
      </c>
      <c r="B52" s="135" t="str">
        <f ca="1">IFERROR(__xludf.DUMMYFUNCTION("""COMPUTED_VALUE"""),"Trilogy")</f>
        <v>Trilogy</v>
      </c>
      <c r="C52" s="135" t="str">
        <f ca="1">IFERROR(__xludf.DUMMYFUNCTION("""COMPUTED_VALUE"""),"   Tel: (812)752-2694")</f>
        <v xml:space="preserve">   Tel: (812)752-2694</v>
      </c>
      <c r="D52" s="135" t="str">
        <f ca="1">IFERROR(__xludf.DUMMYFUNCTION("""COMPUTED_VALUE"""),"   966 N Wilson Rd")</f>
        <v xml:space="preserve">   966 N Wilson Rd</v>
      </c>
      <c r="E52" s="135" t="str">
        <f ca="1">IFERROR(__xludf.DUMMYFUNCTION("""COMPUTED_VALUE"""),"   Scottsburg, In 47170")</f>
        <v xml:space="preserve">   Scottsburg, In 47170</v>
      </c>
      <c r="F52" s="135" t="str">
        <f ca="1">IFERROR(__xludf.DUMMYFUNCTION("""COMPUTED_VALUE"""),"")</f>
        <v/>
      </c>
      <c r="G52" s="135">
        <f ca="1">IFERROR(__xludf.DUMMYFUNCTION("""COMPUTED_VALUE"""),107)</f>
        <v>107</v>
      </c>
      <c r="H52" s="135" t="str">
        <f ca="1">IFERROR(__xludf.DUMMYFUNCTION("""COMPUTED_VALUE"""),"Plan to do testing themselves")</f>
        <v>Plan to do testing themselves</v>
      </c>
      <c r="I52" s="135" t="str">
        <f ca="1">IFERROR(__xludf.DUMMYFUNCTION("""COMPUTED_VALUE"""),"GREEN")</f>
        <v>GREEN</v>
      </c>
      <c r="J52" s="135" t="str">
        <f ca="1">IFERROR(__xludf.DUMMYFUNCTION("""COMPUTED_VALUE"""),"")</f>
        <v/>
      </c>
      <c r="K52" s="135"/>
      <c r="L52" s="135"/>
      <c r="M52" s="135"/>
      <c r="N52" s="135"/>
      <c r="O52" s="135"/>
      <c r="P52" s="135"/>
      <c r="Q52" s="135"/>
      <c r="R52" s="135"/>
      <c r="S52" s="135"/>
      <c r="T52" s="135"/>
      <c r="U52" s="135"/>
      <c r="V52" s="135"/>
      <c r="W52" s="135"/>
      <c r="X52" s="135"/>
      <c r="Y52" s="135"/>
      <c r="Z52" s="135"/>
    </row>
    <row r="53" spans="1:26">
      <c r="A53" s="135" t="str">
        <f ca="1">IFERROR(__xludf.DUMMYFUNCTION("""COMPUTED_VALUE"""),"Harrison Springs Health Campus")</f>
        <v>Harrison Springs Health Campus</v>
      </c>
      <c r="B53" s="135" t="str">
        <f ca="1">IFERROR(__xludf.DUMMYFUNCTION("""COMPUTED_VALUE"""),"Trilogy")</f>
        <v>Trilogy</v>
      </c>
      <c r="C53" s="135" t="str">
        <f ca="1">IFERROR(__xludf.DUMMYFUNCTION("""COMPUTED_VALUE"""),"   Tel: (812)738-0317")</f>
        <v xml:space="preserve">   Tel: (812)738-0317</v>
      </c>
      <c r="D53" s="135" t="str">
        <f ca="1">IFERROR(__xludf.DUMMYFUNCTION("""COMPUTED_VALUE"""),"   871 Pacer Drive Nw")</f>
        <v xml:space="preserve">   871 Pacer Drive Nw</v>
      </c>
      <c r="E53" s="135" t="str">
        <f ca="1">IFERROR(__xludf.DUMMYFUNCTION("""COMPUTED_VALUE"""),"   Corydon, In 47112")</f>
        <v xml:space="preserve">   Corydon, In 47112</v>
      </c>
      <c r="F53" s="135" t="str">
        <f ca="1">IFERROR(__xludf.DUMMYFUNCTION("""COMPUTED_VALUE"""),"")</f>
        <v/>
      </c>
      <c r="G53" s="135">
        <f ca="1">IFERROR(__xludf.DUMMYFUNCTION("""COMPUTED_VALUE"""),121)</f>
        <v>121</v>
      </c>
      <c r="H53" s="135" t="str">
        <f ca="1">IFERROR(__xludf.DUMMYFUNCTION("""COMPUTED_VALUE"""),"Plan to do testing themselves")</f>
        <v>Plan to do testing themselves</v>
      </c>
      <c r="I53" s="135" t="str">
        <f ca="1">IFERROR(__xludf.DUMMYFUNCTION("""COMPUTED_VALUE"""),"GREEN")</f>
        <v>GREEN</v>
      </c>
      <c r="J53" s="135" t="str">
        <f ca="1">IFERROR(__xludf.DUMMYFUNCTION("""COMPUTED_VALUE"""),"")</f>
        <v/>
      </c>
      <c r="K53" s="135"/>
      <c r="L53" s="135"/>
      <c r="M53" s="135"/>
      <c r="N53" s="135"/>
      <c r="O53" s="135"/>
      <c r="P53" s="135"/>
      <c r="Q53" s="135"/>
      <c r="R53" s="135"/>
      <c r="S53" s="135"/>
      <c r="T53" s="135"/>
      <c r="U53" s="135"/>
      <c r="V53" s="135"/>
      <c r="W53" s="135"/>
      <c r="X53" s="135"/>
      <c r="Y53" s="135"/>
      <c r="Z53" s="135"/>
    </row>
    <row r="54" spans="1:26">
      <c r="A54" s="135" t="str">
        <f ca="1">IFERROR(__xludf.DUMMYFUNCTION("""COMPUTED_VALUE"""),"Harrison'S Crossing Health Campus")</f>
        <v>Harrison'S Crossing Health Campus</v>
      </c>
      <c r="B54" s="135" t="str">
        <f ca="1">IFERROR(__xludf.DUMMYFUNCTION("""COMPUTED_VALUE"""),"Trilogy")</f>
        <v>Trilogy</v>
      </c>
      <c r="C54" s="135" t="str">
        <f ca="1">IFERROR(__xludf.DUMMYFUNCTION("""COMPUTED_VALUE"""),"   Tel: (812)234-7111")</f>
        <v xml:space="preserve">   Tel: (812)234-7111</v>
      </c>
      <c r="D54" s="135" t="str">
        <f ca="1">IFERROR(__xludf.DUMMYFUNCTION("""COMPUTED_VALUE"""),"   395 8Th Avenue")</f>
        <v xml:space="preserve">   395 8Th Avenue</v>
      </c>
      <c r="E54" s="135" t="str">
        <f ca="1">IFERROR(__xludf.DUMMYFUNCTION("""COMPUTED_VALUE"""),"   Terre Haute, In 47804")</f>
        <v xml:space="preserve">   Terre Haute, In 47804</v>
      </c>
      <c r="F54" s="135" t="str">
        <f ca="1">IFERROR(__xludf.DUMMYFUNCTION("""COMPUTED_VALUE"""),"")</f>
        <v/>
      </c>
      <c r="G54" s="135">
        <f ca="1">IFERROR(__xludf.DUMMYFUNCTION("""COMPUTED_VALUE"""),115)</f>
        <v>115</v>
      </c>
      <c r="H54" s="135" t="str">
        <f ca="1">IFERROR(__xludf.DUMMYFUNCTION("""COMPUTED_VALUE"""),"Plan to do testing themselves")</f>
        <v>Plan to do testing themselves</v>
      </c>
      <c r="I54" s="135" t="str">
        <f ca="1">IFERROR(__xludf.DUMMYFUNCTION("""COMPUTED_VALUE"""),"GREEN")</f>
        <v>GREEN</v>
      </c>
      <c r="J54" s="135" t="str">
        <f ca="1">IFERROR(__xludf.DUMMYFUNCTION("""COMPUTED_VALUE"""),"")</f>
        <v/>
      </c>
      <c r="K54" s="135"/>
      <c r="L54" s="135"/>
      <c r="M54" s="135"/>
      <c r="N54" s="135"/>
      <c r="O54" s="135"/>
      <c r="P54" s="135"/>
      <c r="Q54" s="135"/>
      <c r="R54" s="135"/>
      <c r="S54" s="135"/>
      <c r="T54" s="135"/>
      <c r="U54" s="135"/>
      <c r="V54" s="135"/>
      <c r="W54" s="135"/>
      <c r="X54" s="135"/>
      <c r="Y54" s="135"/>
      <c r="Z54" s="135"/>
    </row>
    <row r="55" spans="1:26">
      <c r="A55" s="135" t="str">
        <f ca="1">IFERROR(__xludf.DUMMYFUNCTION("""COMPUTED_VALUE"""),"Healthwin")</f>
        <v>Healthwin</v>
      </c>
      <c r="B55" s="135" t="str">
        <f ca="1">IFERROR(__xludf.DUMMYFUNCTION("""COMPUTED_VALUE"""),"")</f>
        <v/>
      </c>
      <c r="C55" s="135" t="str">
        <f ca="1">IFERROR(__xludf.DUMMYFUNCTION("""COMPUTED_VALUE"""),"   Tel: (574)272-0100")</f>
        <v xml:space="preserve">   Tel: (574)272-0100</v>
      </c>
      <c r="D55" s="135" t="str">
        <f ca="1">IFERROR(__xludf.DUMMYFUNCTION("""COMPUTED_VALUE"""),"   20531 Darden Rd")</f>
        <v xml:space="preserve">   20531 Darden Rd</v>
      </c>
      <c r="E55" s="135" t="str">
        <f ca="1">IFERROR(__xludf.DUMMYFUNCTION("""COMPUTED_VALUE"""),"   South Bend, In 46637")</f>
        <v xml:space="preserve">   South Bend, In 46637</v>
      </c>
      <c r="F55" s="135" t="str">
        <f ca="1">IFERROR(__xludf.DUMMYFUNCTION("""COMPUTED_VALUE"""),"")</f>
        <v/>
      </c>
      <c r="G55" s="135">
        <f ca="1">IFERROR(__xludf.DUMMYFUNCTION("""COMPUTED_VALUE"""),300)</f>
        <v>300</v>
      </c>
      <c r="H55" s="135" t="str">
        <f ca="1">IFERROR(__xludf.DUMMYFUNCTION("""COMPUTED_VALUE"""),"Already Testing Staff")</f>
        <v>Already Testing Staff</v>
      </c>
      <c r="I55" s="135" t="str">
        <f ca="1">IFERROR(__xludf.DUMMYFUNCTION("""COMPUTED_VALUE"""),"GREEN")</f>
        <v>GREEN</v>
      </c>
      <c r="J55" s="135" t="str">
        <f ca="1">IFERROR(__xludf.DUMMYFUNCTION("""COMPUTED_VALUE"""),"")</f>
        <v/>
      </c>
      <c r="K55" s="135"/>
      <c r="L55" s="135"/>
      <c r="M55" s="135"/>
      <c r="N55" s="135"/>
      <c r="O55" s="135"/>
      <c r="P55" s="135"/>
      <c r="Q55" s="135"/>
      <c r="R55" s="135"/>
      <c r="S55" s="135"/>
      <c r="T55" s="135"/>
      <c r="U55" s="135"/>
      <c r="V55" s="135"/>
      <c r="W55" s="135"/>
      <c r="X55" s="135"/>
      <c r="Y55" s="135"/>
      <c r="Z55" s="135"/>
    </row>
    <row r="56" spans="1:26">
      <c r="A56" s="135" t="str">
        <f ca="1">IFERROR(__xludf.DUMMYFUNCTION("""COMPUTED_VALUE"""),"Hearthstone Health Campus")</f>
        <v>Hearthstone Health Campus</v>
      </c>
      <c r="B56" s="135" t="str">
        <f ca="1">IFERROR(__xludf.DUMMYFUNCTION("""COMPUTED_VALUE"""),"Trilogy")</f>
        <v>Trilogy</v>
      </c>
      <c r="C56" s="135" t="str">
        <f ca="1">IFERROR(__xludf.DUMMYFUNCTION("""COMPUTED_VALUE"""),"   Tel: (812)333-7622")</f>
        <v xml:space="preserve">   Tel: (812)333-7622</v>
      </c>
      <c r="D56" s="135" t="str">
        <f ca="1">IFERROR(__xludf.DUMMYFUNCTION("""COMPUTED_VALUE"""),"   3043 North Lintel Drive")</f>
        <v xml:space="preserve">   3043 North Lintel Drive</v>
      </c>
      <c r="E56" s="135" t="str">
        <f ca="1">IFERROR(__xludf.DUMMYFUNCTION("""COMPUTED_VALUE"""),"   Bloomington, In 47404")</f>
        <v xml:space="preserve">   Bloomington, In 47404</v>
      </c>
      <c r="F56" s="135" t="str">
        <f ca="1">IFERROR(__xludf.DUMMYFUNCTION("""COMPUTED_VALUE"""),"")</f>
        <v/>
      </c>
      <c r="G56" s="135">
        <f ca="1">IFERROR(__xludf.DUMMYFUNCTION("""COMPUTED_VALUE"""),129)</f>
        <v>129</v>
      </c>
      <c r="H56" s="135" t="str">
        <f ca="1">IFERROR(__xludf.DUMMYFUNCTION("""COMPUTED_VALUE"""),"Plan to do testing themselves")</f>
        <v>Plan to do testing themselves</v>
      </c>
      <c r="I56" s="135" t="str">
        <f ca="1">IFERROR(__xludf.DUMMYFUNCTION("""COMPUTED_VALUE"""),"GREEN")</f>
        <v>GREEN</v>
      </c>
      <c r="J56" s="135" t="str">
        <f ca="1">IFERROR(__xludf.DUMMYFUNCTION("""COMPUTED_VALUE"""),"")</f>
        <v/>
      </c>
      <c r="K56" s="135"/>
      <c r="L56" s="135"/>
      <c r="M56" s="135"/>
      <c r="N56" s="135"/>
      <c r="O56" s="135"/>
      <c r="P56" s="135"/>
      <c r="Q56" s="135"/>
      <c r="R56" s="135"/>
      <c r="S56" s="135"/>
      <c r="T56" s="135"/>
      <c r="U56" s="135"/>
      <c r="V56" s="135"/>
      <c r="W56" s="135"/>
      <c r="X56" s="135"/>
      <c r="Y56" s="135"/>
      <c r="Z56" s="135"/>
    </row>
    <row r="57" spans="1:26">
      <c r="A57" s="135" t="str">
        <f ca="1">IFERROR(__xludf.DUMMYFUNCTION("""COMPUTED_VALUE"""),"Heritage Healthcare")</f>
        <v>Heritage Healthcare</v>
      </c>
      <c r="B57" s="135" t="str">
        <f ca="1">IFERROR(__xludf.DUMMYFUNCTION("""COMPUTED_VALUE"""),"Life Care Center")</f>
        <v>Life Care Center</v>
      </c>
      <c r="C57" s="135" t="str">
        <f ca="1">IFERROR(__xludf.DUMMYFUNCTION("""COMPUTED_VALUE"""),"   Tel: (765)463-1541")</f>
        <v xml:space="preserve">   Tel: (765)463-1541</v>
      </c>
      <c r="D57" s="135" t="str">
        <f ca="1">IFERROR(__xludf.DUMMYFUNCTION("""COMPUTED_VALUE"""),"   3401 Soldiers Home Rd")</f>
        <v xml:space="preserve">   3401 Soldiers Home Rd</v>
      </c>
      <c r="E57" s="135" t="str">
        <f ca="1">IFERROR(__xludf.DUMMYFUNCTION("""COMPUTED_VALUE"""),"   West Lafayette, In 47906")</f>
        <v xml:space="preserve">   West Lafayette, In 47906</v>
      </c>
      <c r="F57" s="135" t="str">
        <f ca="1">IFERROR(__xludf.DUMMYFUNCTION("""COMPUTED_VALUE"""),"")</f>
        <v/>
      </c>
      <c r="G57" s="135">
        <f ca="1">IFERROR(__xludf.DUMMYFUNCTION("""COMPUTED_VALUE"""),94)</f>
        <v>94</v>
      </c>
      <c r="H57" s="135" t="str">
        <f ca="1">IFERROR(__xludf.DUMMYFUNCTION("""COMPUTED_VALUE"""),"Plan to do testing themselves")</f>
        <v>Plan to do testing themselves</v>
      </c>
      <c r="I57" s="135" t="str">
        <f ca="1">IFERROR(__xludf.DUMMYFUNCTION("""COMPUTED_VALUE"""),"GREEN")</f>
        <v>GREEN</v>
      </c>
      <c r="J57" s="135" t="str">
        <f ca="1">IFERROR(__xludf.DUMMYFUNCTION("""COMPUTED_VALUE"""),"")</f>
        <v/>
      </c>
      <c r="K57" s="135"/>
      <c r="L57" s="135"/>
      <c r="M57" s="135"/>
      <c r="N57" s="135"/>
      <c r="O57" s="135"/>
      <c r="P57" s="135"/>
      <c r="Q57" s="135"/>
      <c r="R57" s="135"/>
      <c r="S57" s="135"/>
      <c r="T57" s="135"/>
      <c r="U57" s="135"/>
      <c r="V57" s="135"/>
      <c r="W57" s="135"/>
      <c r="X57" s="135"/>
      <c r="Y57" s="135"/>
      <c r="Z57" s="135"/>
    </row>
    <row r="58" spans="1:26">
      <c r="A58" s="135" t="str">
        <f ca="1">IFERROR(__xludf.DUMMYFUNCTION("""COMPUTED_VALUE"""),"Hillcrest Village")</f>
        <v>Hillcrest Village</v>
      </c>
      <c r="B58" s="135" t="str">
        <f ca="1">IFERROR(__xludf.DUMMYFUNCTION("""COMPUTED_VALUE"""),"ASC")</f>
        <v>ASC</v>
      </c>
      <c r="C58" s="135" t="str">
        <f ca="1">IFERROR(__xludf.DUMMYFUNCTION("""COMPUTED_VALUE"""),"   Tel: (812)283-7918")</f>
        <v xml:space="preserve">   Tel: (812)283-7918</v>
      </c>
      <c r="D58" s="135" t="str">
        <f ca="1">IFERROR(__xludf.DUMMYFUNCTION("""COMPUTED_VALUE"""),"   203 Sparks Ave")</f>
        <v xml:space="preserve">   203 Sparks Ave</v>
      </c>
      <c r="E58" s="135" t="str">
        <f ca="1">IFERROR(__xludf.DUMMYFUNCTION("""COMPUTED_VALUE"""),"   Jeffersonville, In 47130")</f>
        <v xml:space="preserve">   Jeffersonville, In 47130</v>
      </c>
      <c r="F58" s="135" t="str">
        <f ca="1">IFERROR(__xludf.DUMMYFUNCTION("""COMPUTED_VALUE"""),"")</f>
        <v/>
      </c>
      <c r="G58" s="135">
        <f ca="1">IFERROR(__xludf.DUMMYFUNCTION("""COMPUTED_VALUE"""),95)</f>
        <v>95</v>
      </c>
      <c r="H58" s="135" t="str">
        <f ca="1">IFERROR(__xludf.DUMMYFUNCTION("""COMPUTED_VALUE"""),"Plan to do testing themselves")</f>
        <v>Plan to do testing themselves</v>
      </c>
      <c r="I58" s="135" t="str">
        <f ca="1">IFERROR(__xludf.DUMMYFUNCTION("""COMPUTED_VALUE"""),"GREEN")</f>
        <v>GREEN</v>
      </c>
      <c r="J58" s="135" t="str">
        <f ca="1">IFERROR(__xludf.DUMMYFUNCTION("""COMPUTED_VALUE"""),"")</f>
        <v/>
      </c>
      <c r="K58" s="135"/>
      <c r="L58" s="135"/>
      <c r="M58" s="135"/>
      <c r="N58" s="135"/>
      <c r="O58" s="135"/>
      <c r="P58" s="135"/>
      <c r="Q58" s="135"/>
      <c r="R58" s="135"/>
      <c r="S58" s="135"/>
      <c r="T58" s="135"/>
      <c r="U58" s="135"/>
      <c r="V58" s="135"/>
      <c r="W58" s="135"/>
      <c r="X58" s="135"/>
      <c r="Y58" s="135"/>
      <c r="Z58" s="135"/>
    </row>
    <row r="59" spans="1:26">
      <c r="A59" s="135" t="str">
        <f ca="1">IFERROR(__xludf.DUMMYFUNCTION("""COMPUTED_VALUE"""),"Homewood Health Campus")</f>
        <v>Homewood Health Campus</v>
      </c>
      <c r="B59" s="135" t="str">
        <f ca="1">IFERROR(__xludf.DUMMYFUNCTION("""COMPUTED_VALUE"""),"Trilogy")</f>
        <v>Trilogy</v>
      </c>
      <c r="C59" s="135" t="str">
        <f ca="1">IFERROR(__xludf.DUMMYFUNCTION("""COMPUTED_VALUE"""),"   Tel: (765)482-2076")</f>
        <v xml:space="preserve">   Tel: (765)482-2076</v>
      </c>
      <c r="D59" s="135" t="str">
        <f ca="1">IFERROR(__xludf.DUMMYFUNCTION("""COMPUTED_VALUE"""),"   2494 N Lebanon St")</f>
        <v xml:space="preserve">   2494 N Lebanon St</v>
      </c>
      <c r="E59" s="135" t="str">
        <f ca="1">IFERROR(__xludf.DUMMYFUNCTION("""COMPUTED_VALUE"""),"   Lebanon, In 46052")</f>
        <v xml:space="preserve">   Lebanon, In 46052</v>
      </c>
      <c r="F59" s="135" t="str">
        <f ca="1">IFERROR(__xludf.DUMMYFUNCTION("""COMPUTED_VALUE"""),"")</f>
        <v/>
      </c>
      <c r="G59" s="135">
        <f ca="1">IFERROR(__xludf.DUMMYFUNCTION("""COMPUTED_VALUE"""),70)</f>
        <v>70</v>
      </c>
      <c r="H59" s="135" t="str">
        <f ca="1">IFERROR(__xludf.DUMMYFUNCTION("""COMPUTED_VALUE"""),"Plan to do testing themselves")</f>
        <v>Plan to do testing themselves</v>
      </c>
      <c r="I59" s="135" t="str">
        <f ca="1">IFERROR(__xludf.DUMMYFUNCTION("""COMPUTED_VALUE"""),"GREEN")</f>
        <v>GREEN</v>
      </c>
      <c r="J59" s="135" t="str">
        <f ca="1">IFERROR(__xludf.DUMMYFUNCTION("""COMPUTED_VALUE"""),"")</f>
        <v/>
      </c>
      <c r="K59" s="135"/>
      <c r="L59" s="135"/>
      <c r="M59" s="135"/>
      <c r="N59" s="135"/>
      <c r="O59" s="135"/>
      <c r="P59" s="135"/>
      <c r="Q59" s="135"/>
      <c r="R59" s="135"/>
      <c r="S59" s="135"/>
      <c r="T59" s="135"/>
      <c r="U59" s="135"/>
      <c r="V59" s="135"/>
      <c r="W59" s="135"/>
      <c r="X59" s="135"/>
      <c r="Y59" s="135"/>
      <c r="Z59" s="135"/>
    </row>
    <row r="60" spans="1:26">
      <c r="A60" s="135" t="str">
        <f ca="1">IFERROR(__xludf.DUMMYFUNCTION("""COMPUTED_VALUE"""),"Hooverwood")</f>
        <v>Hooverwood</v>
      </c>
      <c r="B60" s="135" t="str">
        <f ca="1">IFERROR(__xludf.DUMMYFUNCTION("""COMPUTED_VALUE"""),"")</f>
        <v/>
      </c>
      <c r="C60" s="135" t="str">
        <f ca="1">IFERROR(__xludf.DUMMYFUNCTION("""COMPUTED_VALUE"""),"   Tel: (317)251-2261")</f>
        <v xml:space="preserve">   Tel: (317)251-2261</v>
      </c>
      <c r="D60" s="135" t="str">
        <f ca="1">IFERROR(__xludf.DUMMYFUNCTION("""COMPUTED_VALUE"""),"   7001 Hoover Rd")</f>
        <v xml:space="preserve">   7001 Hoover Rd</v>
      </c>
      <c r="E60" s="135" t="str">
        <f ca="1">IFERROR(__xludf.DUMMYFUNCTION("""COMPUTED_VALUE"""),"   Indianapolis, In 46260")</f>
        <v xml:space="preserve">   Indianapolis, In 46260</v>
      </c>
      <c r="F60" s="135" t="str">
        <f ca="1">IFERROR(__xludf.DUMMYFUNCTION("""COMPUTED_VALUE"""),"")</f>
        <v/>
      </c>
      <c r="G60" s="135">
        <f ca="1">IFERROR(__xludf.DUMMYFUNCTION("""COMPUTED_VALUE"""),200)</f>
        <v>200</v>
      </c>
      <c r="H60" s="135" t="str">
        <f ca="1">IFERROR(__xludf.DUMMYFUNCTION("""COMPUTED_VALUE"""),"Already Testing Staff")</f>
        <v>Already Testing Staff</v>
      </c>
      <c r="I60" s="135" t="str">
        <f ca="1">IFERROR(__xludf.DUMMYFUNCTION("""COMPUTED_VALUE"""),"GREEN")</f>
        <v>GREEN</v>
      </c>
      <c r="J60" s="135" t="str">
        <f ca="1">IFERROR(__xludf.DUMMYFUNCTION("""COMPUTED_VALUE"""),"")</f>
        <v/>
      </c>
      <c r="K60" s="135"/>
      <c r="L60" s="135"/>
      <c r="M60" s="135"/>
      <c r="N60" s="135"/>
      <c r="O60" s="135"/>
      <c r="P60" s="135"/>
      <c r="Q60" s="135"/>
      <c r="R60" s="135"/>
      <c r="S60" s="135"/>
      <c r="T60" s="135"/>
      <c r="U60" s="135"/>
      <c r="V60" s="135"/>
      <c r="W60" s="135"/>
      <c r="X60" s="135"/>
      <c r="Y60" s="135"/>
      <c r="Z60" s="135"/>
    </row>
    <row r="61" spans="1:26">
      <c r="A61" s="135" t="str">
        <f ca="1">IFERROR(__xludf.DUMMYFUNCTION("""COMPUTED_VALUE"""),"Indian Creek Healthcare Center")</f>
        <v>Indian Creek Healthcare Center</v>
      </c>
      <c r="B61" s="135" t="str">
        <f ca="1">IFERROR(__xludf.DUMMYFUNCTION("""COMPUTED_VALUE"""),"CommuniCare")</f>
        <v>CommuniCare</v>
      </c>
      <c r="C61" s="135" t="str">
        <f ca="1">IFERROR(__xludf.DUMMYFUNCTION("""COMPUTED_VALUE"""),"   Tel: (812)738-8127")</f>
        <v xml:space="preserve">   Tel: (812)738-8127</v>
      </c>
      <c r="D61" s="135" t="str">
        <f ca="1">IFERROR(__xludf.DUMMYFUNCTION("""COMPUTED_VALUE"""),"   240 Beechmont Dr")</f>
        <v xml:space="preserve">   240 Beechmont Dr</v>
      </c>
      <c r="E61" s="135" t="str">
        <f ca="1">IFERROR(__xludf.DUMMYFUNCTION("""COMPUTED_VALUE"""),"   Corydon, In 47112")</f>
        <v xml:space="preserve">   Corydon, In 47112</v>
      </c>
      <c r="F61" s="135" t="str">
        <f ca="1">IFERROR(__xludf.DUMMYFUNCTION("""COMPUTED_VALUE"""),"")</f>
        <v/>
      </c>
      <c r="G61" s="135">
        <f ca="1">IFERROR(__xludf.DUMMYFUNCTION("""COMPUTED_VALUE"""),200)</f>
        <v>200</v>
      </c>
      <c r="H61" s="135" t="str">
        <f ca="1">IFERROR(__xludf.DUMMYFUNCTION("""COMPUTED_VALUE"""),"Plan to do testing themselves")</f>
        <v>Plan to do testing themselves</v>
      </c>
      <c r="I61" s="135" t="str">
        <f ca="1">IFERROR(__xludf.DUMMYFUNCTION("""COMPUTED_VALUE"""),"GREEN")</f>
        <v>GREEN</v>
      </c>
      <c r="J61" s="135" t="str">
        <f ca="1">IFERROR(__xludf.DUMMYFUNCTION("""COMPUTED_VALUE"""),"")</f>
        <v/>
      </c>
      <c r="K61" s="135"/>
      <c r="L61" s="135"/>
      <c r="M61" s="135"/>
      <c r="N61" s="135"/>
      <c r="O61" s="135"/>
      <c r="P61" s="135"/>
      <c r="Q61" s="135"/>
      <c r="R61" s="135"/>
      <c r="S61" s="135"/>
      <c r="T61" s="135"/>
      <c r="U61" s="135"/>
      <c r="V61" s="135"/>
      <c r="W61" s="135"/>
      <c r="X61" s="135"/>
      <c r="Y61" s="135"/>
      <c r="Z61" s="135"/>
    </row>
    <row r="62" spans="1:26">
      <c r="A62" s="135" t="str">
        <f ca="1">IFERROR(__xludf.DUMMYFUNCTION("""COMPUTED_VALUE"""),"Indiana Masonic Home Health Center")</f>
        <v>Indiana Masonic Home Health Center</v>
      </c>
      <c r="B62" s="135" t="str">
        <f ca="1">IFERROR(__xludf.DUMMYFUNCTION("""COMPUTED_VALUE"""),"")</f>
        <v/>
      </c>
      <c r="C62" s="135" t="str">
        <f ca="1">IFERROR(__xludf.DUMMYFUNCTION("""COMPUTED_VALUE"""),"   Tel: (317)736-6141")</f>
        <v xml:space="preserve">   Tel: (317)736-6141</v>
      </c>
      <c r="D62" s="135" t="str">
        <f ca="1">IFERROR(__xludf.DUMMYFUNCTION("""COMPUTED_VALUE"""),"   800 Freemason Parkway")</f>
        <v xml:space="preserve">   800 Freemason Parkway</v>
      </c>
      <c r="E62" s="135" t="str">
        <f ca="1">IFERROR(__xludf.DUMMYFUNCTION("""COMPUTED_VALUE"""),"   Franklin, In 46131")</f>
        <v xml:space="preserve">   Franklin, In 46131</v>
      </c>
      <c r="F62" s="135" t="str">
        <f ca="1">IFERROR(__xludf.DUMMYFUNCTION("""COMPUTED_VALUE"""),"")</f>
        <v/>
      </c>
      <c r="G62" s="135">
        <f ca="1">IFERROR(__xludf.DUMMYFUNCTION("""COMPUTED_VALUE"""),350)</f>
        <v>350</v>
      </c>
      <c r="H62" s="135" t="str">
        <f ca="1">IFERROR(__xludf.DUMMYFUNCTION("""COMPUTED_VALUE"""),"Plan to do testing themselves")</f>
        <v>Plan to do testing themselves</v>
      </c>
      <c r="I62" s="135" t="str">
        <f ca="1">IFERROR(__xludf.DUMMYFUNCTION("""COMPUTED_VALUE"""),"GREEN")</f>
        <v>GREEN</v>
      </c>
      <c r="J62" s="135" t="str">
        <f ca="1">IFERROR(__xludf.DUMMYFUNCTION("""COMPUTED_VALUE"""),"")</f>
        <v/>
      </c>
      <c r="K62" s="135"/>
      <c r="L62" s="135"/>
      <c r="M62" s="135"/>
      <c r="N62" s="135"/>
      <c r="O62" s="135"/>
      <c r="P62" s="135"/>
      <c r="Q62" s="135"/>
      <c r="R62" s="135"/>
      <c r="S62" s="135"/>
      <c r="T62" s="135"/>
      <c r="U62" s="135"/>
      <c r="V62" s="135"/>
      <c r="W62" s="135"/>
      <c r="X62" s="135"/>
      <c r="Y62" s="135"/>
      <c r="Z62" s="135"/>
    </row>
    <row r="63" spans="1:26">
      <c r="A63" s="135" t="str">
        <f ca="1">IFERROR(__xludf.DUMMYFUNCTION("""COMPUTED_VALUE"""),"Kokomo Healthcare Center")</f>
        <v>Kokomo Healthcare Center</v>
      </c>
      <c r="B63" s="135" t="str">
        <f ca="1">IFERROR(__xludf.DUMMYFUNCTION("""COMPUTED_VALUE"""),"CommuniCare")</f>
        <v>CommuniCare</v>
      </c>
      <c r="C63" s="135" t="str">
        <f ca="1">IFERROR(__xludf.DUMMYFUNCTION("""COMPUTED_VALUE"""),"   Tel: (765)453-5600")</f>
        <v xml:space="preserve">   Tel: (765)453-5600</v>
      </c>
      <c r="D63" s="135" t="str">
        <f ca="1">IFERROR(__xludf.DUMMYFUNCTION("""COMPUTED_VALUE"""),"   429 W Lincoln Rd")</f>
        <v xml:space="preserve">   429 W Lincoln Rd</v>
      </c>
      <c r="E63" s="135" t="str">
        <f ca="1">IFERROR(__xludf.DUMMYFUNCTION("""COMPUTED_VALUE"""),"   Kokomo, In 46902")</f>
        <v xml:space="preserve">   Kokomo, In 46902</v>
      </c>
      <c r="F63" s="135" t="str">
        <f ca="1">IFERROR(__xludf.DUMMYFUNCTION("""COMPUTED_VALUE"""),"")</f>
        <v/>
      </c>
      <c r="G63" s="135">
        <f ca="1">IFERROR(__xludf.DUMMYFUNCTION("""COMPUTED_VALUE"""),100)</f>
        <v>100</v>
      </c>
      <c r="H63" s="135" t="str">
        <f ca="1">IFERROR(__xludf.DUMMYFUNCTION("""COMPUTED_VALUE"""),"Plan to do testing themselves")</f>
        <v>Plan to do testing themselves</v>
      </c>
      <c r="I63" s="135" t="str">
        <f ca="1">IFERROR(__xludf.DUMMYFUNCTION("""COMPUTED_VALUE"""),"GREEN")</f>
        <v>GREEN</v>
      </c>
      <c r="J63" s="135" t="str">
        <f ca="1">IFERROR(__xludf.DUMMYFUNCTION("""COMPUTED_VALUE"""),"")</f>
        <v/>
      </c>
      <c r="K63" s="135"/>
      <c r="L63" s="135"/>
      <c r="M63" s="135"/>
      <c r="N63" s="135"/>
      <c r="O63" s="135"/>
      <c r="P63" s="135"/>
      <c r="Q63" s="135"/>
      <c r="R63" s="135"/>
      <c r="S63" s="135"/>
      <c r="T63" s="135"/>
      <c r="U63" s="135"/>
      <c r="V63" s="135"/>
      <c r="W63" s="135"/>
      <c r="X63" s="135"/>
      <c r="Y63" s="135"/>
      <c r="Z63" s="135"/>
    </row>
    <row r="64" spans="1:26">
      <c r="A64" s="135" t="str">
        <f ca="1">IFERROR(__xludf.DUMMYFUNCTION("""COMPUTED_VALUE"""),"Life Care Center Of Fort Wayne")</f>
        <v>Life Care Center Of Fort Wayne</v>
      </c>
      <c r="B64" s="135" t="str">
        <f ca="1">IFERROR(__xludf.DUMMYFUNCTION("""COMPUTED_VALUE"""),"Life Care ")</f>
        <v xml:space="preserve">Life Care </v>
      </c>
      <c r="C64" s="135" t="str">
        <f ca="1">IFERROR(__xludf.DUMMYFUNCTION("""COMPUTED_VALUE"""),"   Tel: (260)422-8520")</f>
        <v xml:space="preserve">   Tel: (260)422-8520</v>
      </c>
      <c r="D64" s="135" t="str">
        <f ca="1">IFERROR(__xludf.DUMMYFUNCTION("""COMPUTED_VALUE"""),"   1649 Spy Run Avenue")</f>
        <v xml:space="preserve">   1649 Spy Run Avenue</v>
      </c>
      <c r="E64" s="135" t="str">
        <f ca="1">IFERROR(__xludf.DUMMYFUNCTION("""COMPUTED_VALUE"""),"   Fort Wayne, In 46805")</f>
        <v xml:space="preserve">   Fort Wayne, In 46805</v>
      </c>
      <c r="F64" s="135" t="str">
        <f ca="1">IFERROR(__xludf.DUMMYFUNCTION("""COMPUTED_VALUE"""),"")</f>
        <v/>
      </c>
      <c r="G64" s="135">
        <f ca="1">IFERROR(__xludf.DUMMYFUNCTION("""COMPUTED_VALUE"""),75)</f>
        <v>75</v>
      </c>
      <c r="H64" s="135" t="str">
        <f ca="1">IFERROR(__xludf.DUMMYFUNCTION("""COMPUTED_VALUE"""),"Plan to do testing themselves")</f>
        <v>Plan to do testing themselves</v>
      </c>
      <c r="I64" s="135" t="str">
        <f ca="1">IFERROR(__xludf.DUMMYFUNCTION("""COMPUTED_VALUE"""),"GREEN")</f>
        <v>GREEN</v>
      </c>
      <c r="J64" s="135" t="str">
        <f ca="1">IFERROR(__xludf.DUMMYFUNCTION("""COMPUTED_VALUE"""),"")</f>
        <v/>
      </c>
      <c r="K64" s="135"/>
      <c r="L64" s="135"/>
      <c r="M64" s="135"/>
      <c r="N64" s="135"/>
      <c r="O64" s="135"/>
      <c r="P64" s="135"/>
      <c r="Q64" s="135"/>
      <c r="R64" s="135"/>
      <c r="S64" s="135"/>
      <c r="T64" s="135"/>
      <c r="U64" s="135"/>
      <c r="V64" s="135"/>
      <c r="W64" s="135"/>
      <c r="X64" s="135"/>
      <c r="Y64" s="135"/>
      <c r="Z64" s="135"/>
    </row>
    <row r="65" spans="1:26">
      <c r="A65" s="135" t="str">
        <f ca="1">IFERROR(__xludf.DUMMYFUNCTION("""COMPUTED_VALUE"""),"Lincolnshire Health &amp; Rehabilitation Center")</f>
        <v>Lincolnshire Health &amp; Rehabilitation Center</v>
      </c>
      <c r="B65" s="135" t="str">
        <f ca="1">IFERROR(__xludf.DUMMYFUNCTION("""COMPUTED_VALUE"""),"")</f>
        <v/>
      </c>
      <c r="C65" s="135" t="str">
        <f ca="1">IFERROR(__xludf.DUMMYFUNCTION("""COMPUTED_VALUE"""),"   Tel: (219)769-9009")</f>
        <v xml:space="preserve">   Tel: (219)769-9009</v>
      </c>
      <c r="D65" s="135" t="str">
        <f ca="1">IFERROR(__xludf.DUMMYFUNCTION("""COMPUTED_VALUE"""),"   8380 Virginia St")</f>
        <v xml:space="preserve">   8380 Virginia St</v>
      </c>
      <c r="E65" s="135" t="str">
        <f ca="1">IFERROR(__xludf.DUMMYFUNCTION("""COMPUTED_VALUE"""),"   Merrillville, In 46410")</f>
        <v xml:space="preserve">   Merrillville, In 46410</v>
      </c>
      <c r="F65" s="135" t="str">
        <f ca="1">IFERROR(__xludf.DUMMYFUNCTION("""COMPUTED_VALUE"""),"")</f>
        <v/>
      </c>
      <c r="G65" s="135">
        <f ca="1">IFERROR(__xludf.DUMMYFUNCTION("""COMPUTED_VALUE"""),100)</f>
        <v>100</v>
      </c>
      <c r="H65" s="135" t="str">
        <f ca="1">IFERROR(__xludf.DUMMYFUNCTION("""COMPUTED_VALUE"""),"Plan to do testing themselves")</f>
        <v>Plan to do testing themselves</v>
      </c>
      <c r="I65" s="135" t="str">
        <f ca="1">IFERROR(__xludf.DUMMYFUNCTION("""COMPUTED_VALUE"""),"GREEN")</f>
        <v>GREEN</v>
      </c>
      <c r="J65" s="135" t="str">
        <f ca="1">IFERROR(__xludf.DUMMYFUNCTION("""COMPUTED_VALUE"""),"")</f>
        <v/>
      </c>
      <c r="K65" s="135"/>
      <c r="L65" s="135"/>
      <c r="M65" s="135"/>
      <c r="N65" s="135"/>
      <c r="O65" s="135"/>
      <c r="P65" s="135"/>
      <c r="Q65" s="135"/>
      <c r="R65" s="135"/>
      <c r="S65" s="135"/>
      <c r="T65" s="135"/>
      <c r="U65" s="135"/>
      <c r="V65" s="135"/>
      <c r="W65" s="135"/>
      <c r="X65" s="135"/>
      <c r="Y65" s="135"/>
      <c r="Z65" s="135"/>
    </row>
    <row r="66" spans="1:26">
      <c r="A66" s="135" t="str">
        <f ca="1">IFERROR(__xludf.DUMMYFUNCTION("""COMPUTED_VALUE"""),"Majestic Care Of Avon")</f>
        <v>Majestic Care Of Avon</v>
      </c>
      <c r="B66" s="135" t="str">
        <f ca="1">IFERROR(__xludf.DUMMYFUNCTION("""COMPUTED_VALUE"""),"Majestic")</f>
        <v>Majestic</v>
      </c>
      <c r="C66" s="135" t="str">
        <f ca="1">IFERROR(__xludf.DUMMYFUNCTION("""COMPUTED_VALUE"""),"   Tel: (317)745-2522")</f>
        <v xml:space="preserve">   Tel: (317)745-2522</v>
      </c>
      <c r="D66" s="135" t="str">
        <f ca="1">IFERROR(__xludf.DUMMYFUNCTION("""COMPUTED_VALUE"""),"   445 S County Road 525 E")</f>
        <v xml:space="preserve">   445 S County Road 525 E</v>
      </c>
      <c r="E66" s="135" t="str">
        <f ca="1">IFERROR(__xludf.DUMMYFUNCTION("""COMPUTED_VALUE"""),"   Avon, In 46123")</f>
        <v xml:space="preserve">   Avon, In 46123</v>
      </c>
      <c r="F66" s="135" t="str">
        <f ca="1">IFERROR(__xludf.DUMMYFUNCTION("""COMPUTED_VALUE"""),"")</f>
        <v/>
      </c>
      <c r="G66" s="135">
        <f ca="1">IFERROR(__xludf.DUMMYFUNCTION("""COMPUTED_VALUE"""),90)</f>
        <v>90</v>
      </c>
      <c r="H66" s="135" t="str">
        <f ca="1">IFERROR(__xludf.DUMMYFUNCTION("""COMPUTED_VALUE"""),"Plan to do testing themselves")</f>
        <v>Plan to do testing themselves</v>
      </c>
      <c r="I66" s="135" t="str">
        <f ca="1">IFERROR(__xludf.DUMMYFUNCTION("""COMPUTED_VALUE"""),"GREEN")</f>
        <v>GREEN</v>
      </c>
      <c r="J66" s="135" t="str">
        <f ca="1">IFERROR(__xludf.DUMMYFUNCTION("""COMPUTED_VALUE"""),"")</f>
        <v/>
      </c>
      <c r="K66" s="135"/>
      <c r="L66" s="135"/>
      <c r="M66" s="135"/>
      <c r="N66" s="135"/>
      <c r="O66" s="135"/>
      <c r="P66" s="135"/>
      <c r="Q66" s="135"/>
      <c r="R66" s="135"/>
      <c r="S66" s="135"/>
      <c r="T66" s="135"/>
      <c r="U66" s="135"/>
      <c r="V66" s="135"/>
      <c r="W66" s="135"/>
      <c r="X66" s="135"/>
      <c r="Y66" s="135"/>
      <c r="Z66" s="135"/>
    </row>
    <row r="67" spans="1:26">
      <c r="A67" s="135" t="str">
        <f ca="1">IFERROR(__xludf.DUMMYFUNCTION("""COMPUTED_VALUE"""),"Manor Care Health Services Summer Trace")</f>
        <v>Manor Care Health Services Summer Trace</v>
      </c>
      <c r="B67" s="135" t="str">
        <f ca="1">IFERROR(__xludf.DUMMYFUNCTION("""COMPUTED_VALUE"""),"")</f>
        <v/>
      </c>
      <c r="C67" s="135" t="str">
        <f ca="1">IFERROR(__xludf.DUMMYFUNCTION("""COMPUTED_VALUE"""),"   Tel: (317)848-2448")</f>
        <v xml:space="preserve">   Tel: (317)848-2448</v>
      </c>
      <c r="D67" s="135" t="str">
        <f ca="1">IFERROR(__xludf.DUMMYFUNCTION("""COMPUTED_VALUE"""),"   12999 N Pennsylvania St")</f>
        <v xml:space="preserve">   12999 N Pennsylvania St</v>
      </c>
      <c r="E67" s="135" t="str">
        <f ca="1">IFERROR(__xludf.DUMMYFUNCTION("""COMPUTED_VALUE"""),"   Carmel, In 46032")</f>
        <v xml:space="preserve">   Carmel, In 46032</v>
      </c>
      <c r="F67" s="135" t="str">
        <f ca="1">IFERROR(__xludf.DUMMYFUNCTION("""COMPUTED_VALUE"""),"")</f>
        <v/>
      </c>
      <c r="G67" s="135">
        <f ca="1">IFERROR(__xludf.DUMMYFUNCTION("""COMPUTED_VALUE"""),150)</f>
        <v>150</v>
      </c>
      <c r="H67" s="135" t="str">
        <f ca="1">IFERROR(__xludf.DUMMYFUNCTION("""COMPUTED_VALUE"""),"Plan to do testing themselves")</f>
        <v>Plan to do testing themselves</v>
      </c>
      <c r="I67" s="135" t="str">
        <f ca="1">IFERROR(__xludf.DUMMYFUNCTION("""COMPUTED_VALUE"""),"GREEN")</f>
        <v>GREEN</v>
      </c>
      <c r="J67" s="135" t="str">
        <f ca="1">IFERROR(__xludf.DUMMYFUNCTION("""COMPUTED_VALUE"""),"")</f>
        <v/>
      </c>
      <c r="K67" s="135"/>
      <c r="L67" s="135"/>
      <c r="M67" s="135"/>
      <c r="N67" s="135"/>
      <c r="O67" s="135"/>
      <c r="P67" s="135"/>
      <c r="Q67" s="135"/>
      <c r="R67" s="135"/>
      <c r="S67" s="135"/>
      <c r="T67" s="135"/>
      <c r="U67" s="135"/>
      <c r="V67" s="135"/>
      <c r="W67" s="135"/>
      <c r="X67" s="135"/>
      <c r="Y67" s="135"/>
      <c r="Z67" s="135"/>
    </row>
    <row r="68" spans="1:26">
      <c r="A68" s="135" t="str">
        <f ca="1">IFERROR(__xludf.DUMMYFUNCTION("""COMPUTED_VALUE"""),"Meadowood Health Pavilion")</f>
        <v>Meadowood Health Pavilion</v>
      </c>
      <c r="B68" s="135" t="str">
        <f ca="1">IFERROR(__xludf.DUMMYFUNCTION("""COMPUTED_VALUE"""),"")</f>
        <v/>
      </c>
      <c r="C68" s="135" t="str">
        <f ca="1">IFERROR(__xludf.DUMMYFUNCTION("""COMPUTED_VALUE"""),"   Tel: (812)336-7060")</f>
        <v xml:space="preserve">   Tel: (812)336-7060</v>
      </c>
      <c r="D68" s="135" t="str">
        <f ca="1">IFERROR(__xludf.DUMMYFUNCTION("""COMPUTED_VALUE"""),"   2455 Tamarack Trail")</f>
        <v xml:space="preserve">   2455 Tamarack Trail</v>
      </c>
      <c r="E68" s="135" t="str">
        <f ca="1">IFERROR(__xludf.DUMMYFUNCTION("""COMPUTED_VALUE"""),"   Bloomington, In 47408")</f>
        <v xml:space="preserve">   Bloomington, In 47408</v>
      </c>
      <c r="F68" s="135" t="str">
        <f ca="1">IFERROR(__xludf.DUMMYFUNCTION("""COMPUTED_VALUE"""),"")</f>
        <v/>
      </c>
      <c r="G68" s="135">
        <f ca="1">IFERROR(__xludf.DUMMYFUNCTION("""COMPUTED_VALUE"""),75)</f>
        <v>75</v>
      </c>
      <c r="H68" s="135" t="str">
        <f ca="1">IFERROR(__xludf.DUMMYFUNCTION("""COMPUTED_VALUE"""),"Plan to do testing themselves")</f>
        <v>Plan to do testing themselves</v>
      </c>
      <c r="I68" s="135" t="str">
        <f ca="1">IFERROR(__xludf.DUMMYFUNCTION("""COMPUTED_VALUE"""),"GREEN")</f>
        <v>GREEN</v>
      </c>
      <c r="J68" s="135" t="str">
        <f ca="1">IFERROR(__xludf.DUMMYFUNCTION("""COMPUTED_VALUE"""),"")</f>
        <v/>
      </c>
      <c r="K68" s="135"/>
      <c r="L68" s="135"/>
      <c r="M68" s="135"/>
      <c r="N68" s="135"/>
      <c r="O68" s="135"/>
      <c r="P68" s="135"/>
      <c r="Q68" s="135"/>
      <c r="R68" s="135"/>
      <c r="S68" s="135"/>
      <c r="T68" s="135"/>
      <c r="U68" s="135"/>
      <c r="V68" s="135"/>
      <c r="W68" s="135"/>
      <c r="X68" s="135"/>
      <c r="Y68" s="135"/>
      <c r="Z68" s="135"/>
    </row>
    <row r="69" spans="1:26">
      <c r="A69" s="135" t="str">
        <f ca="1">IFERROR(__xludf.DUMMYFUNCTION("""COMPUTED_VALUE"""),"Mill Pond Health Campus")</f>
        <v>Mill Pond Health Campus</v>
      </c>
      <c r="B69" s="135" t="str">
        <f ca="1">IFERROR(__xludf.DUMMYFUNCTION("""COMPUTED_VALUE"""),"Trilogy")</f>
        <v>Trilogy</v>
      </c>
      <c r="C69" s="135" t="str">
        <f ca="1">IFERROR(__xludf.DUMMYFUNCTION("""COMPUTED_VALUE"""),"   Tel: (765)653-4397")</f>
        <v xml:space="preserve">   Tel: (765)653-4397</v>
      </c>
      <c r="D69" s="135" t="str">
        <f ca="1">IFERROR(__xludf.DUMMYFUNCTION("""COMPUTED_VALUE"""),"   1014 Mill Pond Lane")</f>
        <v xml:space="preserve">   1014 Mill Pond Lane</v>
      </c>
      <c r="E69" s="135" t="str">
        <f ca="1">IFERROR(__xludf.DUMMYFUNCTION("""COMPUTED_VALUE"""),"   Greencastle, In 46135")</f>
        <v xml:space="preserve">   Greencastle, In 46135</v>
      </c>
      <c r="F69" s="135" t="str">
        <f ca="1">IFERROR(__xludf.DUMMYFUNCTION("""COMPUTED_VALUE"""),"")</f>
        <v/>
      </c>
      <c r="G69" s="135">
        <f ca="1">IFERROR(__xludf.DUMMYFUNCTION("""COMPUTED_VALUE"""),108)</f>
        <v>108</v>
      </c>
      <c r="H69" s="135" t="str">
        <f ca="1">IFERROR(__xludf.DUMMYFUNCTION("""COMPUTED_VALUE"""),"Plan to do testing themselves")</f>
        <v>Plan to do testing themselves</v>
      </c>
      <c r="I69" s="135" t="str">
        <f ca="1">IFERROR(__xludf.DUMMYFUNCTION("""COMPUTED_VALUE"""),"GREEN")</f>
        <v>GREEN</v>
      </c>
      <c r="J69" s="135" t="str">
        <f ca="1">IFERROR(__xludf.DUMMYFUNCTION("""COMPUTED_VALUE"""),"")</f>
        <v/>
      </c>
      <c r="K69" s="135"/>
      <c r="L69" s="135"/>
      <c r="M69" s="135"/>
      <c r="N69" s="135"/>
      <c r="O69" s="135"/>
      <c r="P69" s="135"/>
      <c r="Q69" s="135"/>
      <c r="R69" s="135"/>
      <c r="S69" s="135"/>
      <c r="T69" s="135"/>
      <c r="U69" s="135"/>
      <c r="V69" s="135"/>
      <c r="W69" s="135"/>
      <c r="X69" s="135"/>
      <c r="Y69" s="135"/>
      <c r="Z69" s="135"/>
    </row>
    <row r="70" spans="1:26">
      <c r="A70" s="135" t="str">
        <f ca="1">IFERROR(__xludf.DUMMYFUNCTION("""COMPUTED_VALUE"""),"Milton Home, The")</f>
        <v>Milton Home, The</v>
      </c>
      <c r="B70" s="135" t="str">
        <f ca="1">IFERROR(__xludf.DUMMYFUNCTION("""COMPUTED_VALUE"""),"")</f>
        <v/>
      </c>
      <c r="C70" s="135" t="str">
        <f ca="1">IFERROR(__xludf.DUMMYFUNCTION("""COMPUTED_VALUE"""),"   Tel: (574)233-0165")</f>
        <v xml:space="preserve">   Tel: (574)233-0165</v>
      </c>
      <c r="D70" s="135" t="str">
        <f ca="1">IFERROR(__xludf.DUMMYFUNCTION("""COMPUTED_VALUE"""),"   206 E Marion St")</f>
        <v xml:space="preserve">   206 E Marion St</v>
      </c>
      <c r="E70" s="135" t="str">
        <f ca="1">IFERROR(__xludf.DUMMYFUNCTION("""COMPUTED_VALUE"""),"   South Bend, In 46601")</f>
        <v xml:space="preserve">   South Bend, In 46601</v>
      </c>
      <c r="F70" s="135" t="str">
        <f ca="1">IFERROR(__xludf.DUMMYFUNCTION("""COMPUTED_VALUE"""),"")</f>
        <v/>
      </c>
      <c r="G70" s="135">
        <f ca="1">IFERROR(__xludf.DUMMYFUNCTION("""COMPUTED_VALUE"""),60)</f>
        <v>60</v>
      </c>
      <c r="H70" s="135" t="str">
        <f ca="1">IFERROR(__xludf.DUMMYFUNCTION("""COMPUTED_VALUE"""),"Already Testing Staff")</f>
        <v>Already Testing Staff</v>
      </c>
      <c r="I70" s="135" t="str">
        <f ca="1">IFERROR(__xludf.DUMMYFUNCTION("""COMPUTED_VALUE"""),"GREEN")</f>
        <v>GREEN</v>
      </c>
      <c r="J70" s="135" t="str">
        <f ca="1">IFERROR(__xludf.DUMMYFUNCTION("""COMPUTED_VALUE"""),"")</f>
        <v/>
      </c>
      <c r="K70" s="135"/>
      <c r="L70" s="135"/>
      <c r="M70" s="135"/>
      <c r="N70" s="135"/>
      <c r="O70" s="135"/>
      <c r="P70" s="135"/>
      <c r="Q70" s="135"/>
      <c r="R70" s="135"/>
      <c r="S70" s="135"/>
      <c r="T70" s="135"/>
      <c r="U70" s="135"/>
      <c r="V70" s="135"/>
      <c r="W70" s="135"/>
      <c r="X70" s="135"/>
      <c r="Y70" s="135"/>
      <c r="Z70" s="135"/>
    </row>
    <row r="71" spans="1:26">
      <c r="A71" s="135" t="str">
        <f ca="1">IFERROR(__xludf.DUMMYFUNCTION("""COMPUTED_VALUE"""),"Mitchell Manor")</f>
        <v>Mitchell Manor</v>
      </c>
      <c r="B71" s="135" t="str">
        <f ca="1">IFERROR(__xludf.DUMMYFUNCTION("""COMPUTED_VALUE"""),"Life Care Center")</f>
        <v>Life Care Center</v>
      </c>
      <c r="C71" s="135" t="str">
        <f ca="1">IFERROR(__xludf.DUMMYFUNCTION("""COMPUTED_VALUE"""),"   Tel: (812)849-2221")</f>
        <v xml:space="preserve">   Tel: (812)849-2221</v>
      </c>
      <c r="D71" s="135" t="str">
        <f ca="1">IFERROR(__xludf.DUMMYFUNCTION("""COMPUTED_VALUE"""),"   24 Teke Burton Dr")</f>
        <v xml:space="preserve">   24 Teke Burton Dr</v>
      </c>
      <c r="E71" s="135" t="str">
        <f ca="1">IFERROR(__xludf.DUMMYFUNCTION("""COMPUTED_VALUE"""),"   Mitchell, In 47446")</f>
        <v xml:space="preserve">   Mitchell, In 47446</v>
      </c>
      <c r="F71" s="135" t="str">
        <f ca="1">IFERROR(__xludf.DUMMYFUNCTION("""COMPUTED_VALUE"""),"")</f>
        <v/>
      </c>
      <c r="G71" s="135">
        <f ca="1">IFERROR(__xludf.DUMMYFUNCTION("""COMPUTED_VALUE"""),67)</f>
        <v>67</v>
      </c>
      <c r="H71" s="135" t="str">
        <f ca="1">IFERROR(__xludf.DUMMYFUNCTION("""COMPUTED_VALUE"""),"Already Testing Staff")</f>
        <v>Already Testing Staff</v>
      </c>
      <c r="I71" s="135" t="str">
        <f ca="1">IFERROR(__xludf.DUMMYFUNCTION("""COMPUTED_VALUE"""),"GREEN")</f>
        <v>GREEN</v>
      </c>
      <c r="J71" s="135" t="str">
        <f ca="1">IFERROR(__xludf.DUMMYFUNCTION("""COMPUTED_VALUE"""),"")</f>
        <v/>
      </c>
      <c r="K71" s="135"/>
      <c r="L71" s="135"/>
      <c r="M71" s="135"/>
      <c r="N71" s="135"/>
      <c r="O71" s="135"/>
      <c r="P71" s="135"/>
      <c r="Q71" s="135"/>
      <c r="R71" s="135"/>
      <c r="S71" s="135"/>
      <c r="T71" s="135"/>
      <c r="U71" s="135"/>
      <c r="V71" s="135"/>
      <c r="W71" s="135"/>
      <c r="X71" s="135"/>
      <c r="Y71" s="135"/>
      <c r="Z71" s="135"/>
    </row>
    <row r="72" spans="1:26">
      <c r="A72" s="135" t="str">
        <f ca="1">IFERROR(__xludf.DUMMYFUNCTION("""COMPUTED_VALUE"""),"Morrison Woods Health Campus")</f>
        <v>Morrison Woods Health Campus</v>
      </c>
      <c r="B72" s="135" t="str">
        <f ca="1">IFERROR(__xludf.DUMMYFUNCTION("""COMPUTED_VALUE"""),"Trilogy")</f>
        <v>Trilogy</v>
      </c>
      <c r="C72" s="135" t="str">
        <f ca="1">IFERROR(__xludf.DUMMYFUNCTION("""COMPUTED_VALUE"""),"   Tel: (765)286-9066")</f>
        <v xml:space="preserve">   Tel: (765)286-9066</v>
      </c>
      <c r="D72" s="135" t="str">
        <f ca="1">IFERROR(__xludf.DUMMYFUNCTION("""COMPUTED_VALUE"""),"   4100 N Morrison Rd")</f>
        <v xml:space="preserve">   4100 N Morrison Rd</v>
      </c>
      <c r="E72" s="135" t="str">
        <f ca="1">IFERROR(__xludf.DUMMYFUNCTION("""COMPUTED_VALUE"""),"   Muncie, In 47304")</f>
        <v xml:space="preserve">   Muncie, In 47304</v>
      </c>
      <c r="F72" s="135" t="str">
        <f ca="1">IFERROR(__xludf.DUMMYFUNCTION("""COMPUTED_VALUE"""),"")</f>
        <v/>
      </c>
      <c r="G72" s="135">
        <f ca="1">IFERROR(__xludf.DUMMYFUNCTION("""COMPUTED_VALUE"""),156)</f>
        <v>156</v>
      </c>
      <c r="H72" s="135" t="str">
        <f ca="1">IFERROR(__xludf.DUMMYFUNCTION("""COMPUTED_VALUE"""),"Plan to do testing themselves")</f>
        <v>Plan to do testing themselves</v>
      </c>
      <c r="I72" s="135" t="str">
        <f ca="1">IFERROR(__xludf.DUMMYFUNCTION("""COMPUTED_VALUE"""),"GREEN")</f>
        <v>GREEN</v>
      </c>
      <c r="J72" s="135" t="str">
        <f ca="1">IFERROR(__xludf.DUMMYFUNCTION("""COMPUTED_VALUE"""),"")</f>
        <v/>
      </c>
      <c r="K72" s="135"/>
      <c r="L72" s="135"/>
      <c r="M72" s="135"/>
      <c r="N72" s="135"/>
      <c r="O72" s="135"/>
      <c r="P72" s="135"/>
      <c r="Q72" s="135"/>
      <c r="R72" s="135"/>
      <c r="S72" s="135"/>
      <c r="T72" s="135"/>
      <c r="U72" s="135"/>
      <c r="V72" s="135"/>
      <c r="W72" s="135"/>
      <c r="X72" s="135"/>
      <c r="Y72" s="135"/>
      <c r="Z72" s="135"/>
    </row>
    <row r="73" spans="1:26">
      <c r="A73" s="135" t="str">
        <f ca="1">IFERROR(__xludf.DUMMYFUNCTION("""COMPUTED_VALUE"""),"Munster Med-Inn")</f>
        <v>Munster Med-Inn</v>
      </c>
      <c r="B73" s="135" t="str">
        <f ca="1">IFERROR(__xludf.DUMMYFUNCTION("""COMPUTED_VALUE"""),"")</f>
        <v/>
      </c>
      <c r="C73" s="135" t="str">
        <f ca="1">IFERROR(__xludf.DUMMYFUNCTION("""COMPUTED_VALUE"""),"   Tel: (219)836-8300")</f>
        <v xml:space="preserve">   Tel: (219)836-8300</v>
      </c>
      <c r="D73" s="135" t="str">
        <f ca="1">IFERROR(__xludf.DUMMYFUNCTION("""COMPUTED_VALUE"""),"   7935 Calumet Ave")</f>
        <v xml:space="preserve">   7935 Calumet Ave</v>
      </c>
      <c r="E73" s="135" t="str">
        <f ca="1">IFERROR(__xludf.DUMMYFUNCTION("""COMPUTED_VALUE"""),"   Munster, In 46321")</f>
        <v xml:space="preserve">   Munster, In 46321</v>
      </c>
      <c r="F73" s="135" t="str">
        <f ca="1">IFERROR(__xludf.DUMMYFUNCTION("""COMPUTED_VALUE"""),"")</f>
        <v/>
      </c>
      <c r="G73" s="135">
        <f ca="1">IFERROR(__xludf.DUMMYFUNCTION("""COMPUTED_VALUE"""),236)</f>
        <v>236</v>
      </c>
      <c r="H73" s="135" t="str">
        <f ca="1">IFERROR(__xludf.DUMMYFUNCTION("""COMPUTED_VALUE"""),"Plan to do testing themselves")</f>
        <v>Plan to do testing themselves</v>
      </c>
      <c r="I73" s="135" t="str">
        <f ca="1">IFERROR(__xludf.DUMMYFUNCTION("""COMPUTED_VALUE"""),"GREEN")</f>
        <v>GREEN</v>
      </c>
      <c r="J73" s="135" t="str">
        <f ca="1">IFERROR(__xludf.DUMMYFUNCTION("""COMPUTED_VALUE"""),"")</f>
        <v/>
      </c>
      <c r="K73" s="135"/>
      <c r="L73" s="135"/>
      <c r="M73" s="135"/>
      <c r="N73" s="135"/>
      <c r="O73" s="135"/>
      <c r="P73" s="135"/>
      <c r="Q73" s="135"/>
      <c r="R73" s="135"/>
      <c r="S73" s="135"/>
      <c r="T73" s="135"/>
      <c r="U73" s="135"/>
      <c r="V73" s="135"/>
      <c r="W73" s="135"/>
      <c r="X73" s="135"/>
      <c r="Y73" s="135"/>
      <c r="Z73" s="135"/>
    </row>
    <row r="74" spans="1:26">
      <c r="A74" s="135" t="str">
        <f ca="1">IFERROR(__xludf.DUMMYFUNCTION("""COMPUTED_VALUE"""),"North River Health Campus")</f>
        <v>North River Health Campus</v>
      </c>
      <c r="B74" s="135" t="str">
        <f ca="1">IFERROR(__xludf.DUMMYFUNCTION("""COMPUTED_VALUE"""),"Trilogy")</f>
        <v>Trilogy</v>
      </c>
      <c r="C74" s="135" t="str">
        <f ca="1">IFERROR(__xludf.DUMMYFUNCTION("""COMPUTED_VALUE"""),"   Tel: (812)867-7256")</f>
        <v xml:space="preserve">   Tel: (812)867-7256</v>
      </c>
      <c r="D74" s="135" t="str">
        <f ca="1">IFERROR(__xludf.DUMMYFUNCTION("""COMPUTED_VALUE"""),"   811 E Baseline Road")</f>
        <v xml:space="preserve">   811 E Baseline Road</v>
      </c>
      <c r="E74" s="135" t="str">
        <f ca="1">IFERROR(__xludf.DUMMYFUNCTION("""COMPUTED_VALUE"""),"   Evansville, In 47725")</f>
        <v xml:space="preserve">   Evansville, In 47725</v>
      </c>
      <c r="F74" s="135" t="str">
        <f ca="1">IFERROR(__xludf.DUMMYFUNCTION("""COMPUTED_VALUE"""),"")</f>
        <v/>
      </c>
      <c r="G74" s="135">
        <f ca="1">IFERROR(__xludf.DUMMYFUNCTION("""COMPUTED_VALUE"""),124)</f>
        <v>124</v>
      </c>
      <c r="H74" s="135" t="str">
        <f ca="1">IFERROR(__xludf.DUMMYFUNCTION("""COMPUTED_VALUE"""),"Plan to do testing themselves")</f>
        <v>Plan to do testing themselves</v>
      </c>
      <c r="I74" s="135" t="str">
        <f ca="1">IFERROR(__xludf.DUMMYFUNCTION("""COMPUTED_VALUE"""),"GREEN")</f>
        <v>GREEN</v>
      </c>
      <c r="J74" s="135" t="str">
        <f ca="1">IFERROR(__xludf.DUMMYFUNCTION("""COMPUTED_VALUE"""),"")</f>
        <v/>
      </c>
      <c r="K74" s="135"/>
      <c r="L74" s="135"/>
      <c r="M74" s="135"/>
      <c r="N74" s="135"/>
      <c r="O74" s="135"/>
      <c r="P74" s="135"/>
      <c r="Q74" s="135"/>
      <c r="R74" s="135"/>
      <c r="S74" s="135"/>
      <c r="T74" s="135"/>
      <c r="U74" s="135"/>
      <c r="V74" s="135"/>
      <c r="W74" s="135"/>
      <c r="X74" s="135"/>
      <c r="Y74" s="135"/>
      <c r="Z74" s="135"/>
    </row>
    <row r="75" spans="1:26">
      <c r="A75" s="135" t="str">
        <f ca="1">IFERROR(__xludf.DUMMYFUNCTION("""COMPUTED_VALUE"""),"North Woods Village")</f>
        <v>North Woods Village</v>
      </c>
      <c r="B75" s="135" t="str">
        <f ca="1">IFERROR(__xludf.DUMMYFUNCTION("""COMPUTED_VALUE"""),"ASC")</f>
        <v>ASC</v>
      </c>
      <c r="C75" s="135" t="str">
        <f ca="1">IFERROR(__xludf.DUMMYFUNCTION("""COMPUTED_VALUE"""),"   Tel: (765)457-9175")</f>
        <v xml:space="preserve">   Tel: (765)457-9175</v>
      </c>
      <c r="D75" s="135" t="str">
        <f ca="1">IFERROR(__xludf.DUMMYFUNCTION("""COMPUTED_VALUE"""),"   2233 W Jefferson St")</f>
        <v xml:space="preserve">   2233 W Jefferson St</v>
      </c>
      <c r="E75" s="135" t="str">
        <f ca="1">IFERROR(__xludf.DUMMYFUNCTION("""COMPUTED_VALUE"""),"   Kokomo, In 46901")</f>
        <v xml:space="preserve">   Kokomo, In 46901</v>
      </c>
      <c r="F75" s="135" t="str">
        <f ca="1">IFERROR(__xludf.DUMMYFUNCTION("""COMPUTED_VALUE"""),"")</f>
        <v/>
      </c>
      <c r="G75" s="135">
        <f ca="1">IFERROR(__xludf.DUMMYFUNCTION("""COMPUTED_VALUE"""),55)</f>
        <v>55</v>
      </c>
      <c r="H75" s="135" t="str">
        <f ca="1">IFERROR(__xludf.DUMMYFUNCTION("""COMPUTED_VALUE"""),"Plan to do testing themselves")</f>
        <v>Plan to do testing themselves</v>
      </c>
      <c r="I75" s="135" t="str">
        <f ca="1">IFERROR(__xludf.DUMMYFUNCTION("""COMPUTED_VALUE"""),"GREEN")</f>
        <v>GREEN</v>
      </c>
      <c r="J75" s="135" t="str">
        <f ca="1">IFERROR(__xludf.DUMMYFUNCTION("""COMPUTED_VALUE"""),"")</f>
        <v/>
      </c>
      <c r="K75" s="135"/>
      <c r="L75" s="135"/>
      <c r="M75" s="135"/>
      <c r="N75" s="135"/>
      <c r="O75" s="135"/>
      <c r="P75" s="135"/>
      <c r="Q75" s="135"/>
      <c r="R75" s="135"/>
      <c r="S75" s="135"/>
      <c r="T75" s="135"/>
      <c r="U75" s="135"/>
      <c r="V75" s="135"/>
      <c r="W75" s="135"/>
      <c r="X75" s="135"/>
      <c r="Y75" s="135"/>
      <c r="Z75" s="135"/>
    </row>
    <row r="76" spans="1:26">
      <c r="A76" s="135" t="str">
        <f ca="1">IFERROR(__xludf.DUMMYFUNCTION("""COMPUTED_VALUE"""),"Oakwood Health Campus")</f>
        <v>Oakwood Health Campus</v>
      </c>
      <c r="B76" s="135" t="str">
        <f ca="1">IFERROR(__xludf.DUMMYFUNCTION("""COMPUTED_VALUE"""),"")</f>
        <v/>
      </c>
      <c r="C76" s="135" t="str">
        <f ca="1">IFERROR(__xludf.DUMMYFUNCTION("""COMPUTED_VALUE"""),"   Tel: (812)547-2333")</f>
        <v xml:space="preserve">   Tel: (812)547-2333</v>
      </c>
      <c r="D76" s="135" t="str">
        <f ca="1">IFERROR(__xludf.DUMMYFUNCTION("""COMPUTED_VALUE"""),"   1143 23Rd St")</f>
        <v xml:space="preserve">   1143 23Rd St</v>
      </c>
      <c r="E76" s="135" t="str">
        <f ca="1">IFERROR(__xludf.DUMMYFUNCTION("""COMPUTED_VALUE"""),"   Tell City, In 47586")</f>
        <v xml:space="preserve">   Tell City, In 47586</v>
      </c>
      <c r="F76" s="135" t="str">
        <f ca="1">IFERROR(__xludf.DUMMYFUNCTION("""COMPUTED_VALUE"""),"")</f>
        <v/>
      </c>
      <c r="G76" s="135">
        <f ca="1">IFERROR(__xludf.DUMMYFUNCTION("""COMPUTED_VALUE"""),149)</f>
        <v>149</v>
      </c>
      <c r="H76" s="135" t="str">
        <f ca="1">IFERROR(__xludf.DUMMYFUNCTION("""COMPUTED_VALUE"""),"Plan to do testing themselves")</f>
        <v>Plan to do testing themselves</v>
      </c>
      <c r="I76" s="135" t="str">
        <f ca="1">IFERROR(__xludf.DUMMYFUNCTION("""COMPUTED_VALUE"""),"GREEN")</f>
        <v>GREEN</v>
      </c>
      <c r="J76" s="135" t="str">
        <f ca="1">IFERROR(__xludf.DUMMYFUNCTION("""COMPUTED_VALUE"""),"")</f>
        <v/>
      </c>
      <c r="K76" s="135"/>
      <c r="L76" s="135"/>
      <c r="M76" s="135"/>
      <c r="N76" s="135"/>
      <c r="O76" s="135"/>
      <c r="P76" s="135"/>
      <c r="Q76" s="135"/>
      <c r="R76" s="135"/>
      <c r="S76" s="135"/>
      <c r="T76" s="135"/>
      <c r="U76" s="135"/>
      <c r="V76" s="135"/>
      <c r="W76" s="135"/>
      <c r="X76" s="135"/>
      <c r="Y76" s="135"/>
      <c r="Z76" s="135"/>
    </row>
    <row r="77" spans="1:26">
      <c r="A77" s="135" t="str">
        <f ca="1">IFERROR(__xludf.DUMMYFUNCTION("""COMPUTED_VALUE"""),"Orchard Pointe Health Campus")</f>
        <v>Orchard Pointe Health Campus</v>
      </c>
      <c r="B77" s="135" t="str">
        <f ca="1">IFERROR(__xludf.DUMMYFUNCTION("""COMPUTED_VALUE"""),"Trilogy")</f>
        <v>Trilogy</v>
      </c>
      <c r="C77" s="135" t="str">
        <f ca="1">IFERROR(__xludf.DUMMYFUNCTION("""COMPUTED_VALUE"""),"   Tel: (260)347-3333")</f>
        <v xml:space="preserve">   Tel: (260)347-3333</v>
      </c>
      <c r="D77" s="135" t="str">
        <f ca="1">IFERROR(__xludf.DUMMYFUNCTION("""COMPUTED_VALUE"""),"   702 Sawyer Road")</f>
        <v xml:space="preserve">   702 Sawyer Road</v>
      </c>
      <c r="E77" s="135" t="str">
        <f ca="1">IFERROR(__xludf.DUMMYFUNCTION("""COMPUTED_VALUE"""),"   Kendallville, In 46755")</f>
        <v xml:space="preserve">   Kendallville, In 46755</v>
      </c>
      <c r="F77" s="135" t="str">
        <f ca="1">IFERROR(__xludf.DUMMYFUNCTION("""COMPUTED_VALUE"""),"")</f>
        <v/>
      </c>
      <c r="G77" s="135">
        <f ca="1">IFERROR(__xludf.DUMMYFUNCTION("""COMPUTED_VALUE"""),116)</f>
        <v>116</v>
      </c>
      <c r="H77" s="135" t="str">
        <f ca="1">IFERROR(__xludf.DUMMYFUNCTION("""COMPUTED_VALUE"""),"Plan to do testing themselves")</f>
        <v>Plan to do testing themselves</v>
      </c>
      <c r="I77" s="135" t="str">
        <f ca="1">IFERROR(__xludf.DUMMYFUNCTION("""COMPUTED_VALUE"""),"GREEN")</f>
        <v>GREEN</v>
      </c>
      <c r="J77" s="135" t="str">
        <f ca="1">IFERROR(__xludf.DUMMYFUNCTION("""COMPUTED_VALUE"""),"")</f>
        <v/>
      </c>
      <c r="K77" s="135"/>
      <c r="L77" s="135"/>
      <c r="M77" s="135"/>
      <c r="N77" s="135"/>
      <c r="O77" s="135"/>
      <c r="P77" s="135"/>
      <c r="Q77" s="135"/>
      <c r="R77" s="135"/>
      <c r="S77" s="135"/>
      <c r="T77" s="135"/>
      <c r="U77" s="135"/>
      <c r="V77" s="135"/>
      <c r="W77" s="135"/>
      <c r="X77" s="135"/>
      <c r="Y77" s="135"/>
      <c r="Z77" s="135"/>
    </row>
    <row r="78" spans="1:26">
      <c r="A78" s="135" t="str">
        <f ca="1">IFERROR(__xludf.DUMMYFUNCTION("""COMPUTED_VALUE"""),"Otterbein Franklin Seniorlife Comm Res &amp; Com Care")</f>
        <v>Otterbein Franklin Seniorlife Comm Res &amp; Com Care</v>
      </c>
      <c r="B78" s="135" t="str">
        <f ca="1">IFERROR(__xludf.DUMMYFUNCTION("""COMPUTED_VALUE"""),"")</f>
        <v/>
      </c>
      <c r="C78" s="135" t="str">
        <f ca="1">IFERROR(__xludf.DUMMYFUNCTION("""COMPUTED_VALUE"""),"   Tel: (317)736-7185")</f>
        <v xml:space="preserve">   Tel: (317)736-7185</v>
      </c>
      <c r="D78" s="135" t="str">
        <f ca="1">IFERROR(__xludf.DUMMYFUNCTION("""COMPUTED_VALUE"""),"   1070 W Jefferson St")</f>
        <v xml:space="preserve">   1070 W Jefferson St</v>
      </c>
      <c r="E78" s="135" t="str">
        <f ca="1">IFERROR(__xludf.DUMMYFUNCTION("""COMPUTED_VALUE"""),"   Franklin, In 46131")</f>
        <v xml:space="preserve">   Franklin, In 46131</v>
      </c>
      <c r="F78" s="135" t="str">
        <f ca="1">IFERROR(__xludf.DUMMYFUNCTION("""COMPUTED_VALUE"""),"")</f>
        <v/>
      </c>
      <c r="G78" s="135">
        <f ca="1">IFERROR(__xludf.DUMMYFUNCTION("""COMPUTED_VALUE"""),360)</f>
        <v>360</v>
      </c>
      <c r="H78" s="135" t="str">
        <f ca="1">IFERROR(__xludf.DUMMYFUNCTION("""COMPUTED_VALUE"""),"Already Testing Staff")</f>
        <v>Already Testing Staff</v>
      </c>
      <c r="I78" s="135" t="str">
        <f ca="1">IFERROR(__xludf.DUMMYFUNCTION("""COMPUTED_VALUE"""),"GREEN")</f>
        <v>GREEN</v>
      </c>
      <c r="J78" s="135" t="str">
        <f ca="1">IFERROR(__xludf.DUMMYFUNCTION("""COMPUTED_VALUE"""),"")</f>
        <v/>
      </c>
      <c r="K78" s="135"/>
      <c r="L78" s="135"/>
      <c r="M78" s="135"/>
      <c r="N78" s="135"/>
      <c r="O78" s="135"/>
      <c r="P78" s="135"/>
      <c r="Q78" s="135"/>
      <c r="R78" s="135"/>
      <c r="S78" s="135"/>
      <c r="T78" s="135"/>
      <c r="U78" s="135"/>
      <c r="V78" s="135"/>
      <c r="W78" s="135"/>
      <c r="X78" s="135"/>
      <c r="Y78" s="135"/>
      <c r="Z78" s="135"/>
    </row>
    <row r="79" spans="1:26">
      <c r="A79" s="135" t="str">
        <f ca="1">IFERROR(__xludf.DUMMYFUNCTION("""COMPUTED_VALUE"""),"Owen Valley Health Campus")</f>
        <v>Owen Valley Health Campus</v>
      </c>
      <c r="B79" s="135" t="str">
        <f ca="1">IFERROR(__xludf.DUMMYFUNCTION("""COMPUTED_VALUE"""),"Trilogy")</f>
        <v>Trilogy</v>
      </c>
      <c r="C79" s="135" t="str">
        <f ca="1">IFERROR(__xludf.DUMMYFUNCTION("""COMPUTED_VALUE"""),"   Tel: (812)829-2331")</f>
        <v xml:space="preserve">   Tel: (812)829-2331</v>
      </c>
      <c r="D79" s="135" t="str">
        <f ca="1">IFERROR(__xludf.DUMMYFUNCTION("""COMPUTED_VALUE"""),"   920 W Hwy 46")</f>
        <v xml:space="preserve">   920 W Hwy 46</v>
      </c>
      <c r="E79" s="135" t="str">
        <f ca="1">IFERROR(__xludf.DUMMYFUNCTION("""COMPUTED_VALUE"""),"   Spencer, In 47460")</f>
        <v xml:space="preserve">   Spencer, In 47460</v>
      </c>
      <c r="F79" s="135" t="str">
        <f ca="1">IFERROR(__xludf.DUMMYFUNCTION("""COMPUTED_VALUE"""),"No")</f>
        <v>No</v>
      </c>
      <c r="G79" s="135">
        <f ca="1">IFERROR(__xludf.DUMMYFUNCTION("""COMPUTED_VALUE"""),102)</f>
        <v>102</v>
      </c>
      <c r="H79" s="135" t="str">
        <f ca="1">IFERROR(__xludf.DUMMYFUNCTION("""COMPUTED_VALUE"""),"Plan to do testing themselves")</f>
        <v>Plan to do testing themselves</v>
      </c>
      <c r="I79" s="135" t="str">
        <f ca="1">IFERROR(__xludf.DUMMYFUNCTION("""COMPUTED_VALUE"""),"GREEN")</f>
        <v>GREEN</v>
      </c>
      <c r="J79" s="135" t="str">
        <f ca="1">IFERROR(__xludf.DUMMYFUNCTION("""COMPUTED_VALUE"""),"")</f>
        <v/>
      </c>
      <c r="K79" s="135"/>
      <c r="L79" s="135"/>
      <c r="M79" s="135"/>
      <c r="N79" s="135"/>
      <c r="O79" s="135"/>
      <c r="P79" s="135"/>
      <c r="Q79" s="135"/>
      <c r="R79" s="135"/>
      <c r="S79" s="135"/>
      <c r="T79" s="135"/>
      <c r="U79" s="135"/>
      <c r="V79" s="135"/>
      <c r="W79" s="135"/>
      <c r="X79" s="135"/>
      <c r="Y79" s="135"/>
      <c r="Z79" s="135"/>
    </row>
    <row r="80" spans="1:26">
      <c r="A80" s="135" t="str">
        <f ca="1">IFERROR(__xludf.DUMMYFUNCTION("""COMPUTED_VALUE"""),"Paddock Springs")</f>
        <v>Paddock Springs</v>
      </c>
      <c r="B80" s="135" t="str">
        <f ca="1">IFERROR(__xludf.DUMMYFUNCTION("""COMPUTED_VALUE"""),"Trilogy")</f>
        <v>Trilogy</v>
      </c>
      <c r="C80" s="135" t="str">
        <f ca="1">IFERROR(__xludf.DUMMYFUNCTION("""COMPUTED_VALUE"""),"   Tel: (574)658-9455")</f>
        <v xml:space="preserve">   Tel: (574)658-9455</v>
      </c>
      <c r="D80" s="135" t="str">
        <f ca="1">IFERROR(__xludf.DUMMYFUNCTION("""COMPUTED_VALUE"""),"   2695 Sheldon Street")</f>
        <v xml:space="preserve">   2695 Sheldon Street</v>
      </c>
      <c r="E80" s="135" t="str">
        <f ca="1">IFERROR(__xludf.DUMMYFUNCTION("""COMPUTED_VALUE"""),"   Warsaw, In 46582")</f>
        <v xml:space="preserve">   Warsaw, In 46582</v>
      </c>
      <c r="F80" s="135" t="str">
        <f ca="1">IFERROR(__xludf.DUMMYFUNCTION("""COMPUTED_VALUE"""),"")</f>
        <v/>
      </c>
      <c r="G80" s="135">
        <f ca="1">IFERROR(__xludf.DUMMYFUNCTION("""COMPUTED_VALUE"""),124)</f>
        <v>124</v>
      </c>
      <c r="H80" s="135" t="str">
        <f ca="1">IFERROR(__xludf.DUMMYFUNCTION("""COMPUTED_VALUE"""),"Plan to do testing themselves")</f>
        <v>Plan to do testing themselves</v>
      </c>
      <c r="I80" s="135" t="str">
        <f ca="1">IFERROR(__xludf.DUMMYFUNCTION("""COMPUTED_VALUE"""),"GREEN")</f>
        <v>GREEN</v>
      </c>
      <c r="J80" s="135" t="str">
        <f ca="1">IFERROR(__xludf.DUMMYFUNCTION("""COMPUTED_VALUE"""),"")</f>
        <v/>
      </c>
      <c r="K80" s="135"/>
      <c r="L80" s="135"/>
      <c r="M80" s="135"/>
      <c r="N80" s="135"/>
      <c r="O80" s="135"/>
      <c r="P80" s="135"/>
      <c r="Q80" s="135"/>
      <c r="R80" s="135"/>
      <c r="S80" s="135"/>
      <c r="T80" s="135"/>
      <c r="U80" s="135"/>
      <c r="V80" s="135"/>
      <c r="W80" s="135"/>
      <c r="X80" s="135"/>
      <c r="Y80" s="135"/>
      <c r="Z80" s="135"/>
    </row>
    <row r="81" spans="1:26">
      <c r="A81" s="135" t="str">
        <f ca="1">IFERROR(__xludf.DUMMYFUNCTION("""COMPUTED_VALUE"""),"Paoli Health And Living Community")</f>
        <v>Paoli Health And Living Community</v>
      </c>
      <c r="B81" s="135" t="str">
        <f ca="1">IFERROR(__xludf.DUMMYFUNCTION("""COMPUTED_VALUE"""),"CarDon")</f>
        <v>CarDon</v>
      </c>
      <c r="C81" s="135" t="str">
        <f ca="1">IFERROR(__xludf.DUMMYFUNCTION("""COMPUTED_VALUE"""),"   Tel: (812)723-2595")</f>
        <v xml:space="preserve">   Tel: (812)723-2595</v>
      </c>
      <c r="D81" s="135" t="str">
        <f ca="1">IFERROR(__xludf.DUMMYFUNCTION("""COMPUTED_VALUE"""),"   559 W Longest St")</f>
        <v xml:space="preserve">   559 W Longest St</v>
      </c>
      <c r="E81" s="135" t="str">
        <f ca="1">IFERROR(__xludf.DUMMYFUNCTION("""COMPUTED_VALUE"""),"   Paoli, In 47454")</f>
        <v xml:space="preserve">   Paoli, In 47454</v>
      </c>
      <c r="F81" s="135" t="str">
        <f ca="1">IFERROR(__xludf.DUMMYFUNCTION("""COMPUTED_VALUE"""),"No")</f>
        <v>No</v>
      </c>
      <c r="G81" s="135">
        <f ca="1">IFERROR(__xludf.DUMMYFUNCTION("""COMPUTED_VALUE"""),73)</f>
        <v>73</v>
      </c>
      <c r="H81" s="135" t="str">
        <f ca="1">IFERROR(__xludf.DUMMYFUNCTION("""COMPUTED_VALUE"""),"Already Testing Staff")</f>
        <v>Already Testing Staff</v>
      </c>
      <c r="I81" s="135" t="str">
        <f ca="1">IFERROR(__xludf.DUMMYFUNCTION("""COMPUTED_VALUE"""),"GREEN")</f>
        <v>GREEN</v>
      </c>
      <c r="J81" s="135" t="str">
        <f ca="1">IFERROR(__xludf.DUMMYFUNCTION("""COMPUTED_VALUE"""),"")</f>
        <v/>
      </c>
      <c r="K81" s="135"/>
      <c r="L81" s="135"/>
      <c r="M81" s="135"/>
      <c r="N81" s="135"/>
      <c r="O81" s="135"/>
      <c r="P81" s="135"/>
      <c r="Q81" s="135"/>
      <c r="R81" s="135"/>
      <c r="S81" s="135"/>
      <c r="T81" s="135"/>
      <c r="U81" s="135"/>
      <c r="V81" s="135"/>
      <c r="W81" s="135"/>
      <c r="X81" s="135"/>
      <c r="Y81" s="135"/>
      <c r="Z81" s="135"/>
    </row>
    <row r="82" spans="1:26">
      <c r="A82" s="135" t="str">
        <f ca="1">IFERROR(__xludf.DUMMYFUNCTION("""COMPUTED_VALUE"""),"Peabody Retirement Community")</f>
        <v>Peabody Retirement Community</v>
      </c>
      <c r="B82" s="135" t="str">
        <f ca="1">IFERROR(__xludf.DUMMYFUNCTION("""COMPUTED_VALUE"""),"")</f>
        <v/>
      </c>
      <c r="C82" s="135" t="str">
        <f ca="1">IFERROR(__xludf.DUMMYFUNCTION("""COMPUTED_VALUE"""),"   Tel: (260)982-8616")</f>
        <v xml:space="preserve">   Tel: (260)982-8616</v>
      </c>
      <c r="D82" s="135" t="str">
        <f ca="1">IFERROR(__xludf.DUMMYFUNCTION("""COMPUTED_VALUE"""),"   400 W Seventh St")</f>
        <v xml:space="preserve">   400 W Seventh St</v>
      </c>
      <c r="E82" s="135" t="str">
        <f ca="1">IFERROR(__xludf.DUMMYFUNCTION("""COMPUTED_VALUE"""),"   North Manchester, In 46962")</f>
        <v xml:space="preserve">   North Manchester, In 46962</v>
      </c>
      <c r="F82" s="135" t="str">
        <f ca="1">IFERROR(__xludf.DUMMYFUNCTION("""COMPUTED_VALUE"""),"No")</f>
        <v>No</v>
      </c>
      <c r="G82" s="135">
        <f ca="1">IFERROR(__xludf.DUMMYFUNCTION("""COMPUTED_VALUE"""),350)</f>
        <v>350</v>
      </c>
      <c r="H82" s="135" t="str">
        <f ca="1">IFERROR(__xludf.DUMMYFUNCTION("""COMPUTED_VALUE"""),"Already Testing Staff")</f>
        <v>Already Testing Staff</v>
      </c>
      <c r="I82" s="135" t="str">
        <f ca="1">IFERROR(__xludf.DUMMYFUNCTION("""COMPUTED_VALUE"""),"GREEN")</f>
        <v>GREEN</v>
      </c>
      <c r="J82" s="135" t="str">
        <f ca="1">IFERROR(__xludf.DUMMYFUNCTION("""COMPUTED_VALUE"""),"")</f>
        <v/>
      </c>
      <c r="K82" s="135"/>
      <c r="L82" s="135"/>
      <c r="M82" s="135"/>
      <c r="N82" s="135"/>
      <c r="O82" s="135"/>
      <c r="P82" s="135"/>
      <c r="Q82" s="135"/>
      <c r="R82" s="135"/>
      <c r="S82" s="135"/>
      <c r="T82" s="135"/>
      <c r="U82" s="135"/>
      <c r="V82" s="135"/>
      <c r="W82" s="135"/>
      <c r="X82" s="135"/>
      <c r="Y82" s="135"/>
      <c r="Z82" s="135"/>
    </row>
    <row r="83" spans="1:26">
      <c r="A83" s="135" t="str">
        <f ca="1">IFERROR(__xludf.DUMMYFUNCTION("""COMPUTED_VALUE"""),"Prairie Lakes Health Campus")</f>
        <v>Prairie Lakes Health Campus</v>
      </c>
      <c r="B83" s="135" t="str">
        <f ca="1">IFERROR(__xludf.DUMMYFUNCTION("""COMPUTED_VALUE"""),"Trilogy")</f>
        <v>Trilogy</v>
      </c>
      <c r="C83" s="135" t="str">
        <f ca="1">IFERROR(__xludf.DUMMYFUNCTION("""COMPUTED_VALUE"""),"   Tel: (317)770-3644")</f>
        <v xml:space="preserve">   Tel: (317)770-3644</v>
      </c>
      <c r="D83" s="135" t="str">
        <f ca="1">IFERROR(__xludf.DUMMYFUNCTION("""COMPUTED_VALUE"""),"   9730 Prairie Lakes Blvd East")</f>
        <v xml:space="preserve">   9730 Prairie Lakes Blvd East</v>
      </c>
      <c r="E83" s="135" t="str">
        <f ca="1">IFERROR(__xludf.DUMMYFUNCTION("""COMPUTED_VALUE"""),"   Noblesville, In 46060")</f>
        <v xml:space="preserve">   Noblesville, In 46060</v>
      </c>
      <c r="F83" s="135" t="str">
        <f ca="1">IFERROR(__xludf.DUMMYFUNCTION("""COMPUTED_VALUE"""),"")</f>
        <v/>
      </c>
      <c r="G83" s="135">
        <f ca="1">IFERROR(__xludf.DUMMYFUNCTION("""COMPUTED_VALUE"""),134)</f>
        <v>134</v>
      </c>
      <c r="H83" s="135" t="str">
        <f ca="1">IFERROR(__xludf.DUMMYFUNCTION("""COMPUTED_VALUE"""),"Plan to do testing themselves")</f>
        <v>Plan to do testing themselves</v>
      </c>
      <c r="I83" s="135" t="str">
        <f ca="1">IFERROR(__xludf.DUMMYFUNCTION("""COMPUTED_VALUE"""),"GREEN")</f>
        <v>GREEN</v>
      </c>
      <c r="J83" s="135" t="str">
        <f ca="1">IFERROR(__xludf.DUMMYFUNCTION("""COMPUTED_VALUE"""),"")</f>
        <v/>
      </c>
      <c r="K83" s="135"/>
      <c r="L83" s="135"/>
      <c r="M83" s="135"/>
      <c r="N83" s="135"/>
      <c r="O83" s="135"/>
      <c r="P83" s="135"/>
      <c r="Q83" s="135"/>
      <c r="R83" s="135"/>
      <c r="S83" s="135"/>
      <c r="T83" s="135"/>
      <c r="U83" s="135"/>
      <c r="V83" s="135"/>
      <c r="W83" s="135"/>
      <c r="X83" s="135"/>
      <c r="Y83" s="135"/>
      <c r="Z83" s="135"/>
    </row>
    <row r="84" spans="1:26">
      <c r="A84" s="135" t="str">
        <f ca="1">IFERROR(__xludf.DUMMYFUNCTION("""COMPUTED_VALUE"""),"Ridgewood Health Campus")</f>
        <v>Ridgewood Health Campus</v>
      </c>
      <c r="B84" s="135" t="str">
        <f ca="1">IFERROR(__xludf.DUMMYFUNCTION("""COMPUTED_VALUE"""),"Trilogy")</f>
        <v>Trilogy</v>
      </c>
      <c r="C84" s="135" t="str">
        <f ca="1">IFERROR(__xludf.DUMMYFUNCTION("""COMPUTED_VALUE"""),"   Tel: (812)537-5700")</f>
        <v xml:space="preserve">   Tel: (812)537-5700</v>
      </c>
      <c r="D84" s="135" t="str">
        <f ca="1">IFERROR(__xludf.DUMMYFUNCTION("""COMPUTED_VALUE"""),"   181 Campus Dr")</f>
        <v xml:space="preserve">   181 Campus Dr</v>
      </c>
      <c r="E84" s="135" t="str">
        <f ca="1">IFERROR(__xludf.DUMMYFUNCTION("""COMPUTED_VALUE"""),"   Lawrenceburg, In 47025")</f>
        <v xml:space="preserve">   Lawrenceburg, In 47025</v>
      </c>
      <c r="F84" s="135" t="str">
        <f ca="1">IFERROR(__xludf.DUMMYFUNCTION("""COMPUTED_VALUE"""),"")</f>
        <v/>
      </c>
      <c r="G84" s="135">
        <f ca="1">IFERROR(__xludf.DUMMYFUNCTION("""COMPUTED_VALUE"""),159)</f>
        <v>159</v>
      </c>
      <c r="H84" s="135" t="str">
        <f ca="1">IFERROR(__xludf.DUMMYFUNCTION("""COMPUTED_VALUE"""),"Plan to do testing themselves")</f>
        <v>Plan to do testing themselves</v>
      </c>
      <c r="I84" s="135" t="str">
        <f ca="1">IFERROR(__xludf.DUMMYFUNCTION("""COMPUTED_VALUE"""),"GREEN")</f>
        <v>GREEN</v>
      </c>
      <c r="J84" s="135" t="str">
        <f ca="1">IFERROR(__xludf.DUMMYFUNCTION("""COMPUTED_VALUE"""),"")</f>
        <v/>
      </c>
      <c r="K84" s="135"/>
      <c r="L84" s="135"/>
      <c r="M84" s="135"/>
      <c r="N84" s="135"/>
      <c r="O84" s="135"/>
      <c r="P84" s="135"/>
      <c r="Q84" s="135"/>
      <c r="R84" s="135"/>
      <c r="S84" s="135"/>
      <c r="T84" s="135"/>
      <c r="U84" s="135"/>
      <c r="V84" s="135"/>
      <c r="W84" s="135"/>
      <c r="X84" s="135"/>
      <c r="Y84" s="135"/>
      <c r="Z84" s="135"/>
    </row>
    <row r="85" spans="1:26">
      <c r="A85" s="135" t="str">
        <f ca="1">IFERROR(__xludf.DUMMYFUNCTION("""COMPUTED_VALUE"""),"River Pointe Health Campus")</f>
        <v>River Pointe Health Campus</v>
      </c>
      <c r="B85" s="135" t="str">
        <f ca="1">IFERROR(__xludf.DUMMYFUNCTION("""COMPUTED_VALUE"""),"Trilogy")</f>
        <v>Trilogy</v>
      </c>
      <c r="C85" s="135" t="str">
        <f ca="1">IFERROR(__xludf.DUMMYFUNCTION("""COMPUTED_VALUE"""),"   Tel: (812)475-2822")</f>
        <v xml:space="preserve">   Tel: (812)475-2822</v>
      </c>
      <c r="D85" s="135" t="str">
        <f ca="1">IFERROR(__xludf.DUMMYFUNCTION("""COMPUTED_VALUE"""),"   3001 Galaxy Dr")</f>
        <v xml:space="preserve">   3001 Galaxy Dr</v>
      </c>
      <c r="E85" s="135" t="str">
        <f ca="1">IFERROR(__xludf.DUMMYFUNCTION("""COMPUTED_VALUE"""),"   Evansville, In 47715")</f>
        <v xml:space="preserve">   Evansville, In 47715</v>
      </c>
      <c r="F85" s="135" t="str">
        <f ca="1">IFERROR(__xludf.DUMMYFUNCTION("""COMPUTED_VALUE"""),"")</f>
        <v/>
      </c>
      <c r="G85" s="135">
        <f ca="1">IFERROR(__xludf.DUMMYFUNCTION("""COMPUTED_VALUE"""),115)</f>
        <v>115</v>
      </c>
      <c r="H85" s="135" t="str">
        <f ca="1">IFERROR(__xludf.DUMMYFUNCTION("""COMPUTED_VALUE"""),"Plan to do testing themselves")</f>
        <v>Plan to do testing themselves</v>
      </c>
      <c r="I85" s="135" t="str">
        <f ca="1">IFERROR(__xludf.DUMMYFUNCTION("""COMPUTED_VALUE"""),"GREEN")</f>
        <v>GREEN</v>
      </c>
      <c r="J85" s="135" t="str">
        <f ca="1">IFERROR(__xludf.DUMMYFUNCTION("""COMPUTED_VALUE"""),"")</f>
        <v/>
      </c>
      <c r="K85" s="135"/>
      <c r="L85" s="135"/>
      <c r="M85" s="135"/>
      <c r="N85" s="135"/>
      <c r="O85" s="135"/>
      <c r="P85" s="135"/>
      <c r="Q85" s="135"/>
      <c r="R85" s="135"/>
      <c r="S85" s="135"/>
      <c r="T85" s="135"/>
      <c r="U85" s="135"/>
      <c r="V85" s="135"/>
      <c r="W85" s="135"/>
      <c r="X85" s="135"/>
      <c r="Y85" s="135"/>
      <c r="Z85" s="135"/>
    </row>
    <row r="86" spans="1:26">
      <c r="A86" s="135" t="str">
        <f ca="1">IFERROR(__xludf.DUMMYFUNCTION("""COMPUTED_VALUE"""),"River Terrace Health Campus")</f>
        <v>River Terrace Health Campus</v>
      </c>
      <c r="B86" s="135" t="str">
        <f ca="1">IFERROR(__xludf.DUMMYFUNCTION("""COMPUTED_VALUE"""),"Trilogy")</f>
        <v>Trilogy</v>
      </c>
      <c r="C86" s="135" t="str">
        <f ca="1">IFERROR(__xludf.DUMMYFUNCTION("""COMPUTED_VALUE"""),"   Tel: (812)265-0080")</f>
        <v xml:space="preserve">   Tel: (812)265-0080</v>
      </c>
      <c r="D86" s="135" t="str">
        <f ca="1">IFERROR(__xludf.DUMMYFUNCTION("""COMPUTED_VALUE"""),"   120 Presbyterian Ave")</f>
        <v xml:space="preserve">   120 Presbyterian Ave</v>
      </c>
      <c r="E86" s="135" t="str">
        <f ca="1">IFERROR(__xludf.DUMMYFUNCTION("""COMPUTED_VALUE"""),"   Madison, In 47250")</f>
        <v xml:space="preserve">   Madison, In 47250</v>
      </c>
      <c r="F86" s="135" t="str">
        <f ca="1">IFERROR(__xludf.DUMMYFUNCTION("""COMPUTED_VALUE"""),"")</f>
        <v/>
      </c>
      <c r="G86" s="135">
        <f ca="1">IFERROR(__xludf.DUMMYFUNCTION("""COMPUTED_VALUE"""),109)</f>
        <v>109</v>
      </c>
      <c r="H86" s="135" t="str">
        <f ca="1">IFERROR(__xludf.DUMMYFUNCTION("""COMPUTED_VALUE"""),"Plan to do testing themselves")</f>
        <v>Plan to do testing themselves</v>
      </c>
      <c r="I86" s="135" t="str">
        <f ca="1">IFERROR(__xludf.DUMMYFUNCTION("""COMPUTED_VALUE"""),"GREEN")</f>
        <v>GREEN</v>
      </c>
      <c r="J86" s="135" t="str">
        <f ca="1">IFERROR(__xludf.DUMMYFUNCTION("""COMPUTED_VALUE"""),"")</f>
        <v/>
      </c>
      <c r="K86" s="135"/>
      <c r="L86" s="135"/>
      <c r="M86" s="135"/>
      <c r="N86" s="135"/>
      <c r="O86" s="135"/>
      <c r="P86" s="135"/>
      <c r="Q86" s="135"/>
      <c r="R86" s="135"/>
      <c r="S86" s="135"/>
      <c r="T86" s="135"/>
      <c r="U86" s="135"/>
      <c r="V86" s="135"/>
      <c r="W86" s="135"/>
      <c r="X86" s="135"/>
      <c r="Y86" s="135"/>
      <c r="Z86" s="135"/>
    </row>
    <row r="87" spans="1:26">
      <c r="A87" s="135" t="str">
        <f ca="1">IFERROR(__xludf.DUMMYFUNCTION("""COMPUTED_VALUE"""),"Riveroaks Health Campus")</f>
        <v>Riveroaks Health Campus</v>
      </c>
      <c r="B87" s="135" t="str">
        <f ca="1">IFERROR(__xludf.DUMMYFUNCTION("""COMPUTED_VALUE"""),"Trilogy")</f>
        <v>Trilogy</v>
      </c>
      <c r="C87" s="135" t="str">
        <f ca="1">IFERROR(__xludf.DUMMYFUNCTION("""COMPUTED_VALUE"""),"   Tel: (812)385-0794")</f>
        <v xml:space="preserve">   Tel: (812)385-0794</v>
      </c>
      <c r="D87" s="135" t="str">
        <f ca="1">IFERROR(__xludf.DUMMYFUNCTION("""COMPUTED_VALUE"""),"   1244 Vail St")</f>
        <v xml:space="preserve">   1244 Vail St</v>
      </c>
      <c r="E87" s="135" t="str">
        <f ca="1">IFERROR(__xludf.DUMMYFUNCTION("""COMPUTED_VALUE"""),"   Princeton, In 47670")</f>
        <v xml:space="preserve">   Princeton, In 47670</v>
      </c>
      <c r="F87" s="135" t="str">
        <f ca="1">IFERROR(__xludf.DUMMYFUNCTION("""COMPUTED_VALUE"""),"")</f>
        <v/>
      </c>
      <c r="G87" s="135">
        <f ca="1">IFERROR(__xludf.DUMMYFUNCTION("""COMPUTED_VALUE"""),99)</f>
        <v>99</v>
      </c>
      <c r="H87" s="135" t="str">
        <f ca="1">IFERROR(__xludf.DUMMYFUNCTION("""COMPUTED_VALUE"""),"Plan to do testing themselves")</f>
        <v>Plan to do testing themselves</v>
      </c>
      <c r="I87" s="135" t="str">
        <f ca="1">IFERROR(__xludf.DUMMYFUNCTION("""COMPUTED_VALUE"""),"GREEN")</f>
        <v>GREEN</v>
      </c>
      <c r="J87" s="135" t="str">
        <f ca="1">IFERROR(__xludf.DUMMYFUNCTION("""COMPUTED_VALUE"""),"")</f>
        <v/>
      </c>
      <c r="K87" s="135"/>
      <c r="L87" s="135"/>
      <c r="M87" s="135"/>
      <c r="N87" s="135"/>
      <c r="O87" s="135"/>
      <c r="P87" s="135"/>
      <c r="Q87" s="135"/>
      <c r="R87" s="135"/>
      <c r="S87" s="135"/>
      <c r="T87" s="135"/>
      <c r="U87" s="135"/>
      <c r="V87" s="135"/>
      <c r="W87" s="135"/>
      <c r="X87" s="135"/>
      <c r="Y87" s="135"/>
      <c r="Z87" s="135"/>
    </row>
    <row r="88" spans="1:26">
      <c r="A88" s="135" t="str">
        <f ca="1">IFERROR(__xludf.DUMMYFUNCTION("""COMPUTED_VALUE"""),"Salem Crossing")</f>
        <v>Salem Crossing</v>
      </c>
      <c r="B88" s="135" t="str">
        <f ca="1">IFERROR(__xludf.DUMMYFUNCTION("""COMPUTED_VALUE"""),"ASC")</f>
        <v>ASC</v>
      </c>
      <c r="C88" s="135" t="str">
        <f ca="1">IFERROR(__xludf.DUMMYFUNCTION("""COMPUTED_VALUE"""),"   Tel: (812)883-1877")</f>
        <v xml:space="preserve">   Tel: (812)883-1877</v>
      </c>
      <c r="D88" s="135" t="str">
        <f ca="1">IFERROR(__xludf.DUMMYFUNCTION("""COMPUTED_VALUE"""),"   200 Connie Ave")</f>
        <v xml:space="preserve">   200 Connie Ave</v>
      </c>
      <c r="E88" s="135" t="str">
        <f ca="1">IFERROR(__xludf.DUMMYFUNCTION("""COMPUTED_VALUE"""),"   Salem, In 47167")</f>
        <v xml:space="preserve">   Salem, In 47167</v>
      </c>
      <c r="F88" s="135" t="str">
        <f ca="1">IFERROR(__xludf.DUMMYFUNCTION("""COMPUTED_VALUE"""),"")</f>
        <v/>
      </c>
      <c r="G88" s="135">
        <f ca="1">IFERROR(__xludf.DUMMYFUNCTION("""COMPUTED_VALUE"""),134)</f>
        <v>134</v>
      </c>
      <c r="H88" s="135" t="str">
        <f ca="1">IFERROR(__xludf.DUMMYFUNCTION("""COMPUTED_VALUE"""),"Plan to do testing themselves")</f>
        <v>Plan to do testing themselves</v>
      </c>
      <c r="I88" s="135" t="str">
        <f ca="1">IFERROR(__xludf.DUMMYFUNCTION("""COMPUTED_VALUE"""),"GREEN")</f>
        <v>GREEN</v>
      </c>
      <c r="J88" s="135" t="str">
        <f ca="1">IFERROR(__xludf.DUMMYFUNCTION("""COMPUTED_VALUE"""),"")</f>
        <v/>
      </c>
      <c r="K88" s="135"/>
      <c r="L88" s="135"/>
      <c r="M88" s="135"/>
      <c r="N88" s="135"/>
      <c r="O88" s="135"/>
      <c r="P88" s="135"/>
      <c r="Q88" s="135"/>
      <c r="R88" s="135"/>
      <c r="S88" s="135"/>
      <c r="T88" s="135"/>
      <c r="U88" s="135"/>
      <c r="V88" s="135"/>
      <c r="W88" s="135"/>
      <c r="X88" s="135"/>
      <c r="Y88" s="135"/>
      <c r="Z88" s="135"/>
    </row>
    <row r="89" spans="1:26">
      <c r="A89" s="135" t="str">
        <f ca="1">IFERROR(__xludf.DUMMYFUNCTION("""COMPUTED_VALUE"""),"Sanctuary At Holy Cross")</f>
        <v>Sanctuary At Holy Cross</v>
      </c>
      <c r="B89" s="135" t="str">
        <f ca="1">IFERROR(__xludf.DUMMYFUNCTION("""COMPUTED_VALUE"""),"Trinity")</f>
        <v>Trinity</v>
      </c>
      <c r="C89" s="135" t="str">
        <f ca="1">IFERROR(__xludf.DUMMYFUNCTION("""COMPUTED_VALUE"""),"   Tel: (574)247-7500")</f>
        <v xml:space="preserve">   Tel: (574)247-7500</v>
      </c>
      <c r="D89" s="135" t="str">
        <f ca="1">IFERROR(__xludf.DUMMYFUNCTION("""COMPUTED_VALUE"""),"   17475 Dugdale Dr")</f>
        <v xml:space="preserve">   17475 Dugdale Dr</v>
      </c>
      <c r="E89" s="135" t="str">
        <f ca="1">IFERROR(__xludf.DUMMYFUNCTION("""COMPUTED_VALUE"""),"   South Bend, In 46635")</f>
        <v xml:space="preserve">   South Bend, In 46635</v>
      </c>
      <c r="F89" s="135" t="str">
        <f ca="1">IFERROR(__xludf.DUMMYFUNCTION("""COMPUTED_VALUE"""),"")</f>
        <v/>
      </c>
      <c r="G89" s="135">
        <f ca="1">IFERROR(__xludf.DUMMYFUNCTION("""COMPUTED_VALUE"""),230)</f>
        <v>230</v>
      </c>
      <c r="H89" s="135" t="str">
        <f ca="1">IFERROR(__xludf.DUMMYFUNCTION("""COMPUTED_VALUE"""),"Plan to do testing themselves")</f>
        <v>Plan to do testing themselves</v>
      </c>
      <c r="I89" s="135" t="str">
        <f ca="1">IFERROR(__xludf.DUMMYFUNCTION("""COMPUTED_VALUE"""),"GREEN")</f>
        <v>GREEN</v>
      </c>
      <c r="J89" s="135" t="str">
        <f ca="1">IFERROR(__xludf.DUMMYFUNCTION("""COMPUTED_VALUE"""),"")</f>
        <v/>
      </c>
      <c r="K89" s="135"/>
      <c r="L89" s="135"/>
      <c r="M89" s="135"/>
      <c r="N89" s="135"/>
      <c r="O89" s="135"/>
      <c r="P89" s="135"/>
      <c r="Q89" s="135"/>
      <c r="R89" s="135"/>
      <c r="S89" s="135"/>
      <c r="T89" s="135"/>
      <c r="U89" s="135"/>
      <c r="V89" s="135"/>
      <c r="W89" s="135"/>
      <c r="X89" s="135"/>
      <c r="Y89" s="135"/>
      <c r="Z89" s="135"/>
    </row>
    <row r="90" spans="1:26">
      <c r="A90" s="135" t="str">
        <f ca="1">IFERROR(__xludf.DUMMYFUNCTION("""COMPUTED_VALUE"""),"Scenic Hills At The Monastery")</f>
        <v>Scenic Hills At The Monastery</v>
      </c>
      <c r="B90" s="135" t="str">
        <f ca="1">IFERROR(__xludf.DUMMYFUNCTION("""COMPUTED_VALUE"""),"Trilogy")</f>
        <v>Trilogy</v>
      </c>
      <c r="C90" s="135" t="str">
        <f ca="1">IFERROR(__xludf.DUMMYFUNCTION("""COMPUTED_VALUE"""),"   Tel: (812)504-2048")</f>
        <v xml:space="preserve">   Tel: (812)504-2048</v>
      </c>
      <c r="D90" s="135" t="str">
        <f ca="1">IFERROR(__xludf.DUMMYFUNCTION("""COMPUTED_VALUE"""),"   710 Sunrise Drive")</f>
        <v xml:space="preserve">   710 Sunrise Drive</v>
      </c>
      <c r="E90" s="135" t="str">
        <f ca="1">IFERROR(__xludf.DUMMYFUNCTION("""COMPUTED_VALUE"""),"   Ferdinand, In 47532")</f>
        <v xml:space="preserve">   Ferdinand, In 47532</v>
      </c>
      <c r="F90" s="135" t="str">
        <f ca="1">IFERROR(__xludf.DUMMYFUNCTION("""COMPUTED_VALUE"""),"No")</f>
        <v>No</v>
      </c>
      <c r="G90" s="135">
        <f ca="1">IFERROR(__xludf.DUMMYFUNCTION("""COMPUTED_VALUE"""),136)</f>
        <v>136</v>
      </c>
      <c r="H90" s="135" t="str">
        <f ca="1">IFERROR(__xludf.DUMMYFUNCTION("""COMPUTED_VALUE"""),"Plan to do testing themselves")</f>
        <v>Plan to do testing themselves</v>
      </c>
      <c r="I90" s="135" t="str">
        <f ca="1">IFERROR(__xludf.DUMMYFUNCTION("""COMPUTED_VALUE"""),"GREEN")</f>
        <v>GREEN</v>
      </c>
      <c r="J90" s="135" t="str">
        <f ca="1">IFERROR(__xludf.DUMMYFUNCTION("""COMPUTED_VALUE"""),"")</f>
        <v/>
      </c>
      <c r="K90" s="135"/>
      <c r="L90" s="135"/>
      <c r="M90" s="135"/>
      <c r="N90" s="135"/>
      <c r="O90" s="135"/>
      <c r="P90" s="135"/>
      <c r="Q90" s="135"/>
      <c r="R90" s="135"/>
      <c r="S90" s="135"/>
      <c r="T90" s="135"/>
      <c r="U90" s="135"/>
      <c r="V90" s="135"/>
      <c r="W90" s="135"/>
      <c r="X90" s="135"/>
      <c r="Y90" s="135"/>
      <c r="Z90" s="135"/>
    </row>
    <row r="91" spans="1:26">
      <c r="A91" s="135" t="str">
        <f ca="1">IFERROR(__xludf.DUMMYFUNCTION("""COMPUTED_VALUE"""),"Sebo'S Nursing And Rehabilitation Center")</f>
        <v>Sebo'S Nursing And Rehabilitation Center</v>
      </c>
      <c r="B91" s="135" t="str">
        <f ca="1">IFERROR(__xludf.DUMMYFUNCTION("""COMPUTED_VALUE"""),"")</f>
        <v/>
      </c>
      <c r="C91" s="135" t="str">
        <f ca="1">IFERROR(__xludf.DUMMYFUNCTION("""COMPUTED_VALUE"""),"   Tel: (219)947-1507")</f>
        <v xml:space="preserve">   Tel: (219)947-1507</v>
      </c>
      <c r="D91" s="135" t="str">
        <f ca="1">IFERROR(__xludf.DUMMYFUNCTION("""COMPUTED_VALUE"""),"   4410 W 49Th Ave")</f>
        <v xml:space="preserve">   4410 W 49Th Ave</v>
      </c>
      <c r="E91" s="135" t="str">
        <f ca="1">IFERROR(__xludf.DUMMYFUNCTION("""COMPUTED_VALUE"""),"   Hobart, In 46342")</f>
        <v xml:space="preserve">   Hobart, In 46342</v>
      </c>
      <c r="F91" s="135" t="str">
        <f ca="1">IFERROR(__xludf.DUMMYFUNCTION("""COMPUTED_VALUE"""),"")</f>
        <v/>
      </c>
      <c r="G91" s="135">
        <f ca="1">IFERROR(__xludf.DUMMYFUNCTION("""COMPUTED_VALUE"""),116)</f>
        <v>116</v>
      </c>
      <c r="H91" s="135" t="str">
        <f ca="1">IFERROR(__xludf.DUMMYFUNCTION("""COMPUTED_VALUE"""),"Plan to do testing themselves")</f>
        <v>Plan to do testing themselves</v>
      </c>
      <c r="I91" s="135" t="str">
        <f ca="1">IFERROR(__xludf.DUMMYFUNCTION("""COMPUTED_VALUE"""),"GREEN")</f>
        <v>GREEN</v>
      </c>
      <c r="J91" s="135" t="str">
        <f ca="1">IFERROR(__xludf.DUMMYFUNCTION("""COMPUTED_VALUE"""),"")</f>
        <v/>
      </c>
      <c r="K91" s="135"/>
      <c r="L91" s="135"/>
      <c r="M91" s="135"/>
      <c r="N91" s="135"/>
      <c r="O91" s="135"/>
      <c r="P91" s="135"/>
      <c r="Q91" s="135"/>
      <c r="R91" s="135"/>
      <c r="S91" s="135"/>
      <c r="T91" s="135"/>
      <c r="U91" s="135"/>
      <c r="V91" s="135"/>
      <c r="W91" s="135"/>
      <c r="X91" s="135"/>
      <c r="Y91" s="135"/>
      <c r="Z91" s="135"/>
    </row>
    <row r="92" spans="1:26">
      <c r="A92" s="135" t="str">
        <f ca="1">IFERROR(__xludf.DUMMYFUNCTION("""COMPUTED_VALUE"""),"Senior Living At Forest Ridge")</f>
        <v>Senior Living At Forest Ridge</v>
      </c>
      <c r="B92" s="135" t="str">
        <f ca="1">IFERROR(__xludf.DUMMYFUNCTION("""COMPUTED_VALUE"""),"Trilogy")</f>
        <v>Trilogy</v>
      </c>
      <c r="C92" s="135" t="str">
        <f ca="1">IFERROR(__xludf.DUMMYFUNCTION("""COMPUTED_VALUE"""),"(765) 388-4771")</f>
        <v>(765) 388-4771</v>
      </c>
      <c r="D92" s="135" t="str">
        <f ca="1">IFERROR(__xludf.DUMMYFUNCTION("""COMPUTED_VALUE"""),"2800 Forest Ridge Pkwy")</f>
        <v>2800 Forest Ridge Pkwy</v>
      </c>
      <c r="E92" s="135" t="str">
        <f ca="1">IFERROR(__xludf.DUMMYFUNCTION("""COMPUTED_VALUE"""),"New Castle, In  47362")</f>
        <v>New Castle, In  47362</v>
      </c>
      <c r="F92" s="135" t="str">
        <f ca="1">IFERROR(__xludf.DUMMYFUNCTION("""COMPUTED_VALUE"""),"")</f>
        <v/>
      </c>
      <c r="G92" s="135">
        <f ca="1">IFERROR(__xludf.DUMMYFUNCTION("""COMPUTED_VALUE"""),28)</f>
        <v>28</v>
      </c>
      <c r="H92" s="135" t="str">
        <f ca="1">IFERROR(__xludf.DUMMYFUNCTION("""COMPUTED_VALUE"""),"Plan to do testing themselves")</f>
        <v>Plan to do testing themselves</v>
      </c>
      <c r="I92" s="135" t="str">
        <f ca="1">IFERROR(__xludf.DUMMYFUNCTION("""COMPUTED_VALUE"""),"GREEN")</f>
        <v>GREEN</v>
      </c>
      <c r="J92" s="135" t="str">
        <f ca="1">IFERROR(__xludf.DUMMYFUNCTION("""COMPUTED_VALUE"""),"")</f>
        <v/>
      </c>
      <c r="K92" s="135"/>
      <c r="L92" s="135"/>
      <c r="M92" s="135"/>
      <c r="N92" s="135"/>
      <c r="O92" s="135"/>
      <c r="P92" s="135"/>
      <c r="Q92" s="135"/>
      <c r="R92" s="135"/>
      <c r="S92" s="135"/>
      <c r="T92" s="135"/>
      <c r="U92" s="135"/>
      <c r="V92" s="135"/>
      <c r="W92" s="135"/>
      <c r="X92" s="135"/>
      <c r="Y92" s="135"/>
      <c r="Z92" s="135"/>
    </row>
    <row r="93" spans="1:26">
      <c r="A93" s="135" t="str">
        <f ca="1">IFERROR(__xludf.DUMMYFUNCTION("""COMPUTED_VALUE"""),"Signature Healthcare At Parkwood")</f>
        <v>Signature Healthcare At Parkwood</v>
      </c>
      <c r="B93" s="135" t="str">
        <f ca="1">IFERROR(__xludf.DUMMYFUNCTION("""COMPUTED_VALUE"""),"Signature")</f>
        <v>Signature</v>
      </c>
      <c r="C93" s="135" t="str">
        <f ca="1">IFERROR(__xludf.DUMMYFUNCTION("""COMPUTED_VALUE"""),"   Tel: (765)482-6400")</f>
        <v xml:space="preserve">   Tel: (765)482-6400</v>
      </c>
      <c r="D93" s="135" t="str">
        <f ca="1">IFERROR(__xludf.DUMMYFUNCTION("""COMPUTED_VALUE"""),"   1001 N Grant St")</f>
        <v xml:space="preserve">   1001 N Grant St</v>
      </c>
      <c r="E93" s="135" t="str">
        <f ca="1">IFERROR(__xludf.DUMMYFUNCTION("""COMPUTED_VALUE"""),"   Lebanon, In 46052")</f>
        <v xml:space="preserve">   Lebanon, In 46052</v>
      </c>
      <c r="F93" s="135" t="str">
        <f ca="1">IFERROR(__xludf.DUMMYFUNCTION("""COMPUTED_VALUE"""),"")</f>
        <v/>
      </c>
      <c r="G93" s="135">
        <f ca="1">IFERROR(__xludf.DUMMYFUNCTION("""COMPUTED_VALUE"""),85)</f>
        <v>85</v>
      </c>
      <c r="H93" s="135" t="str">
        <f ca="1">IFERROR(__xludf.DUMMYFUNCTION("""COMPUTED_VALUE"""),"Already Testing Staff")</f>
        <v>Already Testing Staff</v>
      </c>
      <c r="I93" s="135" t="str">
        <f ca="1">IFERROR(__xludf.DUMMYFUNCTION("""COMPUTED_VALUE"""),"GREEN")</f>
        <v>GREEN</v>
      </c>
      <c r="J93" s="135" t="str">
        <f ca="1">IFERROR(__xludf.DUMMYFUNCTION("""COMPUTED_VALUE"""),"")</f>
        <v/>
      </c>
      <c r="K93" s="135"/>
      <c r="L93" s="135"/>
      <c r="M93" s="135"/>
      <c r="N93" s="135"/>
      <c r="O93" s="135"/>
      <c r="P93" s="135"/>
      <c r="Q93" s="135"/>
      <c r="R93" s="135"/>
      <c r="S93" s="135"/>
      <c r="T93" s="135"/>
      <c r="U93" s="135"/>
      <c r="V93" s="135"/>
      <c r="W93" s="135"/>
      <c r="X93" s="135"/>
      <c r="Y93" s="135"/>
      <c r="Z93" s="135"/>
    </row>
    <row r="94" spans="1:26">
      <c r="A94" s="135" t="str">
        <f ca="1">IFERROR(__xludf.DUMMYFUNCTION("""COMPUTED_VALUE"""),"Signature Healthcare Of Bluffton")</f>
        <v>Signature Healthcare Of Bluffton</v>
      </c>
      <c r="B94" s="135" t="str">
        <f ca="1">IFERROR(__xludf.DUMMYFUNCTION("""COMPUTED_VALUE"""),"Signature")</f>
        <v>Signature</v>
      </c>
      <c r="C94" s="135" t="str">
        <f ca="1">IFERROR(__xludf.DUMMYFUNCTION("""COMPUTED_VALUE"""),"   Tel: (260)824-4320")</f>
        <v xml:space="preserve">   Tel: (260)824-4320</v>
      </c>
      <c r="D94" s="135" t="str">
        <f ca="1">IFERROR(__xludf.DUMMYFUNCTION("""COMPUTED_VALUE"""),"   1529 W Lancaster St")</f>
        <v xml:space="preserve">   1529 W Lancaster St</v>
      </c>
      <c r="E94" s="135" t="str">
        <f ca="1">IFERROR(__xludf.DUMMYFUNCTION("""COMPUTED_VALUE"""),"   Bluffton, In 46714")</f>
        <v xml:space="preserve">   Bluffton, In 46714</v>
      </c>
      <c r="F94" s="135" t="str">
        <f ca="1">IFERROR(__xludf.DUMMYFUNCTION("""COMPUTED_VALUE"""),"")</f>
        <v/>
      </c>
      <c r="G94" s="135">
        <f ca="1">IFERROR(__xludf.DUMMYFUNCTION("""COMPUTED_VALUE"""),60)</f>
        <v>60</v>
      </c>
      <c r="H94" s="135" t="str">
        <f ca="1">IFERROR(__xludf.DUMMYFUNCTION("""COMPUTED_VALUE"""),"Plan to do testing themselves")</f>
        <v>Plan to do testing themselves</v>
      </c>
      <c r="I94" s="135" t="str">
        <f ca="1">IFERROR(__xludf.DUMMYFUNCTION("""COMPUTED_VALUE"""),"GREEN")</f>
        <v>GREEN</v>
      </c>
      <c r="J94" s="135" t="str">
        <f ca="1">IFERROR(__xludf.DUMMYFUNCTION("""COMPUTED_VALUE"""),"")</f>
        <v/>
      </c>
      <c r="K94" s="135"/>
      <c r="L94" s="135"/>
      <c r="M94" s="135"/>
      <c r="N94" s="135"/>
      <c r="O94" s="135"/>
      <c r="P94" s="135"/>
      <c r="Q94" s="135"/>
      <c r="R94" s="135"/>
      <c r="S94" s="135"/>
      <c r="T94" s="135"/>
      <c r="U94" s="135"/>
      <c r="V94" s="135"/>
      <c r="W94" s="135"/>
      <c r="X94" s="135"/>
      <c r="Y94" s="135"/>
      <c r="Z94" s="135"/>
    </row>
    <row r="95" spans="1:26">
      <c r="A95" s="135" t="str">
        <f ca="1">IFERROR(__xludf.DUMMYFUNCTION("""COMPUTED_VALUE"""),"Signature Healthcare Of Bremen")</f>
        <v>Signature Healthcare Of Bremen</v>
      </c>
      <c r="B95" s="135" t="str">
        <f ca="1">IFERROR(__xludf.DUMMYFUNCTION("""COMPUTED_VALUE"""),"Signature")</f>
        <v>Signature</v>
      </c>
      <c r="C95" s="135" t="str">
        <f ca="1">IFERROR(__xludf.DUMMYFUNCTION("""COMPUTED_VALUE"""),"   Tel: (574)546-3494")</f>
        <v xml:space="preserve">   Tel: (574)546-3494</v>
      </c>
      <c r="D95" s="135" t="str">
        <f ca="1">IFERROR(__xludf.DUMMYFUNCTION("""COMPUTED_VALUE"""),"   316 Woodies Ln")</f>
        <v xml:space="preserve">   316 Woodies Ln</v>
      </c>
      <c r="E95" s="135" t="str">
        <f ca="1">IFERROR(__xludf.DUMMYFUNCTION("""COMPUTED_VALUE"""),"   Bremen, In 46506")</f>
        <v xml:space="preserve">   Bremen, In 46506</v>
      </c>
      <c r="F95" s="135" t="str">
        <f ca="1">IFERROR(__xludf.DUMMYFUNCTION("""COMPUTED_VALUE"""),"")</f>
        <v/>
      </c>
      <c r="G95" s="135">
        <f ca="1">IFERROR(__xludf.DUMMYFUNCTION("""COMPUTED_VALUE"""),80)</f>
        <v>80</v>
      </c>
      <c r="H95" s="135" t="str">
        <f ca="1">IFERROR(__xludf.DUMMYFUNCTION("""COMPUTED_VALUE"""),"Plan to do testing themselves")</f>
        <v>Plan to do testing themselves</v>
      </c>
      <c r="I95" s="135" t="str">
        <f ca="1">IFERROR(__xludf.DUMMYFUNCTION("""COMPUTED_VALUE"""),"GREEN")</f>
        <v>GREEN</v>
      </c>
      <c r="J95" s="135" t="str">
        <f ca="1">IFERROR(__xludf.DUMMYFUNCTION("""COMPUTED_VALUE"""),"")</f>
        <v/>
      </c>
      <c r="K95" s="135"/>
      <c r="L95" s="135"/>
      <c r="M95" s="135"/>
      <c r="N95" s="135"/>
      <c r="O95" s="135"/>
      <c r="P95" s="135"/>
      <c r="Q95" s="135"/>
      <c r="R95" s="135"/>
      <c r="S95" s="135"/>
      <c r="T95" s="135"/>
      <c r="U95" s="135"/>
      <c r="V95" s="135"/>
      <c r="W95" s="135"/>
      <c r="X95" s="135"/>
      <c r="Y95" s="135"/>
      <c r="Z95" s="135"/>
    </row>
    <row r="96" spans="1:26">
      <c r="A96" s="135" t="str">
        <f ca="1">IFERROR(__xludf.DUMMYFUNCTION("""COMPUTED_VALUE"""),"Signature Healthcare Of Fort Wayne")</f>
        <v>Signature Healthcare Of Fort Wayne</v>
      </c>
      <c r="B96" s="135" t="str">
        <f ca="1">IFERROR(__xludf.DUMMYFUNCTION("""COMPUTED_VALUE"""),"Signature")</f>
        <v>Signature</v>
      </c>
      <c r="C96" s="135" t="str">
        <f ca="1">IFERROR(__xludf.DUMMYFUNCTION("""COMPUTED_VALUE"""),"   Tel: (260)486-3001")</f>
        <v xml:space="preserve">   Tel: (260)486-3001</v>
      </c>
      <c r="D96" s="135" t="str">
        <f ca="1">IFERROR(__xludf.DUMMYFUNCTION("""COMPUTED_VALUE"""),"   6006 Brandy Chase Cove")</f>
        <v xml:space="preserve">   6006 Brandy Chase Cove</v>
      </c>
      <c r="E96" s="135" t="str">
        <f ca="1">IFERROR(__xludf.DUMMYFUNCTION("""COMPUTED_VALUE"""),"   Fort Wayne, In 46815")</f>
        <v xml:space="preserve">   Fort Wayne, In 46815</v>
      </c>
      <c r="F96" s="135" t="str">
        <f ca="1">IFERROR(__xludf.DUMMYFUNCTION("""COMPUTED_VALUE"""),"")</f>
        <v/>
      </c>
      <c r="G96" s="135">
        <f ca="1">IFERROR(__xludf.DUMMYFUNCTION("""COMPUTED_VALUE"""),104)</f>
        <v>104</v>
      </c>
      <c r="H96" s="135" t="str">
        <f ca="1">IFERROR(__xludf.DUMMYFUNCTION("""COMPUTED_VALUE"""),"Already Testing Staff")</f>
        <v>Already Testing Staff</v>
      </c>
      <c r="I96" s="135" t="str">
        <f ca="1">IFERROR(__xludf.DUMMYFUNCTION("""COMPUTED_VALUE"""),"GREEN")</f>
        <v>GREEN</v>
      </c>
      <c r="J96" s="135" t="str">
        <f ca="1">IFERROR(__xludf.DUMMYFUNCTION("""COMPUTED_VALUE"""),"")</f>
        <v/>
      </c>
      <c r="K96" s="135"/>
      <c r="L96" s="135"/>
      <c r="M96" s="135"/>
      <c r="N96" s="135"/>
      <c r="O96" s="135"/>
      <c r="P96" s="135"/>
      <c r="Q96" s="135"/>
      <c r="R96" s="135"/>
      <c r="S96" s="135"/>
      <c r="T96" s="135"/>
      <c r="U96" s="135"/>
      <c r="V96" s="135"/>
      <c r="W96" s="135"/>
      <c r="X96" s="135"/>
      <c r="Y96" s="135"/>
      <c r="Z96" s="135"/>
    </row>
    <row r="97" spans="1:26">
      <c r="A97" s="135" t="str">
        <f ca="1">IFERROR(__xludf.DUMMYFUNCTION("""COMPUTED_VALUE"""),"Signature Healthcare Of Newburgh")</f>
        <v>Signature Healthcare Of Newburgh</v>
      </c>
      <c r="B97" s="135" t="str">
        <f ca="1">IFERROR(__xludf.DUMMYFUNCTION("""COMPUTED_VALUE"""),"Signature")</f>
        <v>Signature</v>
      </c>
      <c r="C97" s="135" t="str">
        <f ca="1">IFERROR(__xludf.DUMMYFUNCTION("""COMPUTED_VALUE"""),"   Tel: (812)473-4761")</f>
        <v xml:space="preserve">   Tel: (812)473-4761</v>
      </c>
      <c r="D97" s="135" t="str">
        <f ca="1">IFERROR(__xludf.DUMMYFUNCTION("""COMPUTED_VALUE"""),"   5233 Rosebud Lane")</f>
        <v xml:space="preserve">   5233 Rosebud Lane</v>
      </c>
      <c r="E97" s="135" t="str">
        <f ca="1">IFERROR(__xludf.DUMMYFUNCTION("""COMPUTED_VALUE"""),"   Newburgh, In 47630")</f>
        <v xml:space="preserve">   Newburgh, In 47630</v>
      </c>
      <c r="F97" s="135" t="str">
        <f ca="1">IFERROR(__xludf.DUMMYFUNCTION("""COMPUTED_VALUE"""),"")</f>
        <v/>
      </c>
      <c r="G97" s="135">
        <f ca="1">IFERROR(__xludf.DUMMYFUNCTION("""COMPUTED_VALUE"""),75)</f>
        <v>75</v>
      </c>
      <c r="H97" s="135" t="str">
        <f ca="1">IFERROR(__xludf.DUMMYFUNCTION("""COMPUTED_VALUE"""),"Already Testing Staff")</f>
        <v>Already Testing Staff</v>
      </c>
      <c r="I97" s="135" t="str">
        <f ca="1">IFERROR(__xludf.DUMMYFUNCTION("""COMPUTED_VALUE"""),"GREEN")</f>
        <v>GREEN</v>
      </c>
      <c r="J97" s="135" t="str">
        <f ca="1">IFERROR(__xludf.DUMMYFUNCTION("""COMPUTED_VALUE"""),"")</f>
        <v/>
      </c>
      <c r="K97" s="135"/>
      <c r="L97" s="135"/>
      <c r="M97" s="135"/>
      <c r="N97" s="135"/>
      <c r="O97" s="135"/>
      <c r="P97" s="135"/>
      <c r="Q97" s="135"/>
      <c r="R97" s="135"/>
      <c r="S97" s="135"/>
      <c r="T97" s="135"/>
      <c r="U97" s="135"/>
      <c r="V97" s="135"/>
      <c r="W97" s="135"/>
      <c r="X97" s="135"/>
      <c r="Y97" s="135"/>
      <c r="Z97" s="135"/>
    </row>
    <row r="98" spans="1:26">
      <c r="A98" s="135" t="str">
        <f ca="1">IFERROR(__xludf.DUMMYFUNCTION("""COMPUTED_VALUE"""),"Signature Healthcare Of South Bend")</f>
        <v>Signature Healthcare Of South Bend</v>
      </c>
      <c r="B98" s="135" t="str">
        <f ca="1">IFERROR(__xludf.DUMMYFUNCTION("""COMPUTED_VALUE"""),"Signature")</f>
        <v>Signature</v>
      </c>
      <c r="C98" s="135" t="str">
        <f ca="1">IFERROR(__xludf.DUMMYFUNCTION("""COMPUTED_VALUE"""),"   Tel: (574)277-8710")</f>
        <v xml:space="preserve">   Tel: (574)277-8710</v>
      </c>
      <c r="D98" s="135" t="str">
        <f ca="1">IFERROR(__xludf.DUMMYFUNCTION("""COMPUTED_VALUE"""),"   52654 N Ironwood Rd")</f>
        <v xml:space="preserve">   52654 N Ironwood Rd</v>
      </c>
      <c r="E98" s="135" t="str">
        <f ca="1">IFERROR(__xludf.DUMMYFUNCTION("""COMPUTED_VALUE"""),"   South Bend, In 46635")</f>
        <v xml:space="preserve">   South Bend, In 46635</v>
      </c>
      <c r="F98" s="135" t="str">
        <f ca="1">IFERROR(__xludf.DUMMYFUNCTION("""COMPUTED_VALUE"""),"")</f>
        <v/>
      </c>
      <c r="G98" s="135">
        <f ca="1">IFERROR(__xludf.DUMMYFUNCTION("""COMPUTED_VALUE"""),63)</f>
        <v>63</v>
      </c>
      <c r="H98" s="135" t="str">
        <f ca="1">IFERROR(__xludf.DUMMYFUNCTION("""COMPUTED_VALUE"""),"Plan to do testing themselves")</f>
        <v>Plan to do testing themselves</v>
      </c>
      <c r="I98" s="135" t="str">
        <f ca="1">IFERROR(__xludf.DUMMYFUNCTION("""COMPUTED_VALUE"""),"GREEN")</f>
        <v>GREEN</v>
      </c>
      <c r="J98" s="135" t="str">
        <f ca="1">IFERROR(__xludf.DUMMYFUNCTION("""COMPUTED_VALUE"""),"")</f>
        <v/>
      </c>
      <c r="K98" s="135"/>
      <c r="L98" s="135"/>
      <c r="M98" s="135"/>
      <c r="N98" s="135"/>
      <c r="O98" s="135"/>
      <c r="P98" s="135"/>
      <c r="Q98" s="135"/>
      <c r="R98" s="135"/>
      <c r="S98" s="135"/>
      <c r="T98" s="135"/>
      <c r="U98" s="135"/>
      <c r="V98" s="135"/>
      <c r="W98" s="135"/>
      <c r="X98" s="135"/>
      <c r="Y98" s="135"/>
      <c r="Z98" s="135"/>
    </row>
    <row r="99" spans="1:26">
      <c r="A99" s="135" t="str">
        <f ca="1">IFERROR(__xludf.DUMMYFUNCTION("""COMPUTED_VALUE"""),"Silver Oaks Health Campus")</f>
        <v>Silver Oaks Health Campus</v>
      </c>
      <c r="B99" s="135" t="str">
        <f ca="1">IFERROR(__xludf.DUMMYFUNCTION("""COMPUTED_VALUE"""),"Trilogy")</f>
        <v>Trilogy</v>
      </c>
      <c r="C99" s="135" t="str">
        <f ca="1">IFERROR(__xludf.DUMMYFUNCTION("""COMPUTED_VALUE"""),"   Tel: (812)373-0787")</f>
        <v xml:space="preserve">   Tel: (812)373-0787</v>
      </c>
      <c r="D99" s="135" t="str">
        <f ca="1">IFERROR(__xludf.DUMMYFUNCTION("""COMPUTED_VALUE"""),"   2011 Chapa Street")</f>
        <v xml:space="preserve">   2011 Chapa Street</v>
      </c>
      <c r="E99" s="135" t="str">
        <f ca="1">IFERROR(__xludf.DUMMYFUNCTION("""COMPUTED_VALUE"""),"   Columbus, In 47203")</f>
        <v xml:space="preserve">   Columbus, In 47203</v>
      </c>
      <c r="F99" s="135" t="str">
        <f ca="1">IFERROR(__xludf.DUMMYFUNCTION("""COMPUTED_VALUE"""),"")</f>
        <v/>
      </c>
      <c r="G99" s="135">
        <f ca="1">IFERROR(__xludf.DUMMYFUNCTION("""COMPUTED_VALUE"""),141)</f>
        <v>141</v>
      </c>
      <c r="H99" s="135" t="str">
        <f ca="1">IFERROR(__xludf.DUMMYFUNCTION("""COMPUTED_VALUE"""),"Plan to do testing themselves")</f>
        <v>Plan to do testing themselves</v>
      </c>
      <c r="I99" s="135" t="str">
        <f ca="1">IFERROR(__xludf.DUMMYFUNCTION("""COMPUTED_VALUE"""),"GREEN")</f>
        <v>GREEN</v>
      </c>
      <c r="J99" s="135" t="str">
        <f ca="1">IFERROR(__xludf.DUMMYFUNCTION("""COMPUTED_VALUE"""),"")</f>
        <v/>
      </c>
      <c r="K99" s="135"/>
      <c r="L99" s="135"/>
      <c r="M99" s="135"/>
      <c r="N99" s="135"/>
      <c r="O99" s="135"/>
      <c r="P99" s="135"/>
      <c r="Q99" s="135"/>
      <c r="R99" s="135"/>
      <c r="S99" s="135"/>
      <c r="T99" s="135"/>
      <c r="U99" s="135"/>
      <c r="V99" s="135"/>
      <c r="W99" s="135"/>
      <c r="X99" s="135"/>
      <c r="Y99" s="135"/>
      <c r="Z99" s="135"/>
    </row>
    <row r="100" spans="1:26">
      <c r="A100" s="135" t="str">
        <f ca="1">IFERROR(__xludf.DUMMYFUNCTION("""COMPUTED_VALUE"""),"South Shore Health &amp; Rehabilitation Center")</f>
        <v>South Shore Health &amp; Rehabilitation Center</v>
      </c>
      <c r="B100" s="135" t="str">
        <f ca="1">IFERROR(__xludf.DUMMYFUNCTION("""COMPUTED_VALUE"""),"")</f>
        <v/>
      </c>
      <c r="C100" s="135" t="str">
        <f ca="1">IFERROR(__xludf.DUMMYFUNCTION("""COMPUTED_VALUE"""),"   Tel: (219)886-7070")</f>
        <v xml:space="preserve">   Tel: (219)886-7070</v>
      </c>
      <c r="D100" s="135" t="str">
        <f ca="1">IFERROR(__xludf.DUMMYFUNCTION("""COMPUTED_VALUE"""),"   353 Tyler St")</f>
        <v xml:space="preserve">   353 Tyler St</v>
      </c>
      <c r="E100" s="135" t="str">
        <f ca="1">IFERROR(__xludf.DUMMYFUNCTION("""COMPUTED_VALUE"""),"   Gary, In 46402")</f>
        <v xml:space="preserve">   Gary, In 46402</v>
      </c>
      <c r="F100" s="135" t="str">
        <f ca="1">IFERROR(__xludf.DUMMYFUNCTION("""COMPUTED_VALUE"""),"")</f>
        <v/>
      </c>
      <c r="G100" s="135">
        <f ca="1">IFERROR(__xludf.DUMMYFUNCTION("""COMPUTED_VALUE"""),110)</f>
        <v>110</v>
      </c>
      <c r="H100" s="135" t="str">
        <f ca="1">IFERROR(__xludf.DUMMYFUNCTION("""COMPUTED_VALUE"""),"Plan to do testing themselves")</f>
        <v>Plan to do testing themselves</v>
      </c>
      <c r="I100" s="135" t="str">
        <f ca="1">IFERROR(__xludf.DUMMYFUNCTION("""COMPUTED_VALUE"""),"GREEN")</f>
        <v>GREEN</v>
      </c>
      <c r="J100" s="135" t="str">
        <f ca="1">IFERROR(__xludf.DUMMYFUNCTION("""COMPUTED_VALUE"""),"")</f>
        <v/>
      </c>
      <c r="K100" s="135"/>
      <c r="L100" s="135"/>
      <c r="M100" s="135"/>
      <c r="N100" s="135"/>
      <c r="O100" s="135"/>
      <c r="P100" s="135"/>
      <c r="Q100" s="135"/>
      <c r="R100" s="135"/>
      <c r="S100" s="135"/>
      <c r="T100" s="135"/>
      <c r="U100" s="135"/>
      <c r="V100" s="135"/>
      <c r="W100" s="135"/>
      <c r="X100" s="135"/>
      <c r="Y100" s="135"/>
      <c r="Z100" s="135"/>
    </row>
    <row r="101" spans="1:26">
      <c r="A101" s="135" t="str">
        <f ca="1">IFERROR(__xludf.DUMMYFUNCTION("""COMPUTED_VALUE"""),"Spring Mill Health Campus")</f>
        <v>Spring Mill Health Campus</v>
      </c>
      <c r="B101" s="135" t="str">
        <f ca="1">IFERROR(__xludf.DUMMYFUNCTION("""COMPUTED_VALUE"""),"")</f>
        <v/>
      </c>
      <c r="C101" s="135" t="str">
        <f ca="1">IFERROR(__xludf.DUMMYFUNCTION("""COMPUTED_VALUE"""),"   Tel: (219)756-0744")</f>
        <v xml:space="preserve">   Tel: (219)756-0744</v>
      </c>
      <c r="D101" s="135" t="str">
        <f ca="1">IFERROR(__xludf.DUMMYFUNCTION("""COMPUTED_VALUE"""),"   101 W 87Th Ave")</f>
        <v xml:space="preserve">   101 W 87Th Ave</v>
      </c>
      <c r="E101" s="135" t="str">
        <f ca="1">IFERROR(__xludf.DUMMYFUNCTION("""COMPUTED_VALUE"""),"   Merrillville, In 46410")</f>
        <v xml:space="preserve">   Merrillville, In 46410</v>
      </c>
      <c r="F101" s="135" t="str">
        <f ca="1">IFERROR(__xludf.DUMMYFUNCTION("""COMPUTED_VALUE"""),"")</f>
        <v/>
      </c>
      <c r="G101" s="135">
        <f ca="1">IFERROR(__xludf.DUMMYFUNCTION("""COMPUTED_VALUE"""),150)</f>
        <v>150</v>
      </c>
      <c r="H101" s="135" t="str">
        <f ca="1">IFERROR(__xludf.DUMMYFUNCTION("""COMPUTED_VALUE"""),"Plan to do testing themselves")</f>
        <v>Plan to do testing themselves</v>
      </c>
      <c r="I101" s="135" t="str">
        <f ca="1">IFERROR(__xludf.DUMMYFUNCTION("""COMPUTED_VALUE"""),"GREEN")</f>
        <v>GREEN</v>
      </c>
      <c r="J101" s="135" t="str">
        <f ca="1">IFERROR(__xludf.DUMMYFUNCTION("""COMPUTED_VALUE"""),"")</f>
        <v/>
      </c>
      <c r="K101" s="135"/>
      <c r="L101" s="135"/>
      <c r="M101" s="135"/>
      <c r="N101" s="135"/>
      <c r="O101" s="135"/>
      <c r="P101" s="135"/>
      <c r="Q101" s="135"/>
      <c r="R101" s="135"/>
      <c r="S101" s="135"/>
      <c r="T101" s="135"/>
      <c r="U101" s="135"/>
      <c r="V101" s="135"/>
      <c r="W101" s="135"/>
      <c r="X101" s="135"/>
      <c r="Y101" s="135"/>
      <c r="Z101" s="135"/>
    </row>
    <row r="102" spans="1:26">
      <c r="A102" s="135" t="str">
        <f ca="1">IFERROR(__xludf.DUMMYFUNCTION("""COMPUTED_VALUE"""),"Springhurst Health Campus")</f>
        <v>Springhurst Health Campus</v>
      </c>
      <c r="B102" s="135" t="str">
        <f ca="1">IFERROR(__xludf.DUMMYFUNCTION("""COMPUTED_VALUE"""),"Trilogy")</f>
        <v>Trilogy</v>
      </c>
      <c r="C102" s="135" t="str">
        <f ca="1">IFERROR(__xludf.DUMMYFUNCTION("""COMPUTED_VALUE"""),"   Tel: (317)462-7067")</f>
        <v xml:space="preserve">   Tel: (317)462-7067</v>
      </c>
      <c r="D102" s="135" t="str">
        <f ca="1">IFERROR(__xludf.DUMMYFUNCTION("""COMPUTED_VALUE"""),"   628 N Meridian Rd")</f>
        <v xml:space="preserve">   628 N Meridian Rd</v>
      </c>
      <c r="E102" s="135" t="str">
        <f ca="1">IFERROR(__xludf.DUMMYFUNCTION("""COMPUTED_VALUE"""),"   Greenfield, In 46140")</f>
        <v xml:space="preserve">   Greenfield, In 46140</v>
      </c>
      <c r="F102" s="135" t="str">
        <f ca="1">IFERROR(__xludf.DUMMYFUNCTION("""COMPUTED_VALUE"""),"")</f>
        <v/>
      </c>
      <c r="G102" s="135">
        <f ca="1">IFERROR(__xludf.DUMMYFUNCTION("""COMPUTED_VALUE"""),40)</f>
        <v>40</v>
      </c>
      <c r="H102" s="135" t="str">
        <f ca="1">IFERROR(__xludf.DUMMYFUNCTION("""COMPUTED_VALUE"""),"Plan to do testing themselves")</f>
        <v>Plan to do testing themselves</v>
      </c>
      <c r="I102" s="135" t="str">
        <f ca="1">IFERROR(__xludf.DUMMYFUNCTION("""COMPUTED_VALUE"""),"GREEN")</f>
        <v>GREEN</v>
      </c>
      <c r="J102" s="135" t="str">
        <f ca="1">IFERROR(__xludf.DUMMYFUNCTION("""COMPUTED_VALUE"""),"")</f>
        <v/>
      </c>
      <c r="K102" s="135"/>
      <c r="L102" s="135"/>
      <c r="M102" s="135"/>
      <c r="N102" s="135"/>
      <c r="O102" s="135"/>
      <c r="P102" s="135"/>
      <c r="Q102" s="135"/>
      <c r="R102" s="135"/>
      <c r="S102" s="135"/>
      <c r="T102" s="135"/>
      <c r="U102" s="135"/>
      <c r="V102" s="135"/>
      <c r="W102" s="135"/>
      <c r="X102" s="135"/>
      <c r="Y102" s="135"/>
      <c r="Z102" s="135"/>
    </row>
    <row r="103" spans="1:26">
      <c r="A103" s="135" t="str">
        <f ca="1">IFERROR(__xludf.DUMMYFUNCTION("""COMPUTED_VALUE"""),"Springs At Lafayette, The")</f>
        <v>Springs At Lafayette, The</v>
      </c>
      <c r="B103" s="135" t="str">
        <f ca="1">IFERROR(__xludf.DUMMYFUNCTION("""COMPUTED_VALUE"""),"Trilogy")</f>
        <v>Trilogy</v>
      </c>
      <c r="C103" s="135" t="str">
        <f ca="1">IFERROR(__xludf.DUMMYFUNCTION("""COMPUTED_VALUE"""),"   Tel: (765)446-9229")</f>
        <v xml:space="preserve">   Tel: (765)446-9229</v>
      </c>
      <c r="D103" s="135" t="str">
        <f ca="1">IFERROR(__xludf.DUMMYFUNCTION("""COMPUTED_VALUE"""),"   2402 South Street")</f>
        <v xml:space="preserve">   2402 South Street</v>
      </c>
      <c r="E103" s="135" t="str">
        <f ca="1">IFERROR(__xludf.DUMMYFUNCTION("""COMPUTED_VALUE"""),"   Lafayette, In 47904")</f>
        <v xml:space="preserve">   Lafayette, In 47904</v>
      </c>
      <c r="F103" s="135" t="str">
        <f ca="1">IFERROR(__xludf.DUMMYFUNCTION("""COMPUTED_VALUE"""),"")</f>
        <v/>
      </c>
      <c r="G103" s="135">
        <f ca="1">IFERROR(__xludf.DUMMYFUNCTION("""COMPUTED_VALUE"""),96)</f>
        <v>96</v>
      </c>
      <c r="H103" s="135" t="str">
        <f ca="1">IFERROR(__xludf.DUMMYFUNCTION("""COMPUTED_VALUE"""),"Plan to do testing themselves")</f>
        <v>Plan to do testing themselves</v>
      </c>
      <c r="I103" s="135" t="str">
        <f ca="1">IFERROR(__xludf.DUMMYFUNCTION("""COMPUTED_VALUE"""),"GREEN")</f>
        <v>GREEN</v>
      </c>
      <c r="J103" s="135" t="str">
        <f ca="1">IFERROR(__xludf.DUMMYFUNCTION("""COMPUTED_VALUE"""),"")</f>
        <v/>
      </c>
      <c r="K103" s="135"/>
      <c r="L103" s="135"/>
      <c r="M103" s="135"/>
      <c r="N103" s="135"/>
      <c r="O103" s="135"/>
      <c r="P103" s="135"/>
      <c r="Q103" s="135"/>
      <c r="R103" s="135"/>
      <c r="S103" s="135"/>
      <c r="T103" s="135"/>
      <c r="U103" s="135"/>
      <c r="V103" s="135"/>
      <c r="W103" s="135"/>
      <c r="X103" s="135"/>
      <c r="Y103" s="135"/>
      <c r="Z103" s="135"/>
    </row>
    <row r="104" spans="1:26">
      <c r="A104" s="135" t="str">
        <f ca="1">IFERROR(__xludf.DUMMYFUNCTION("""COMPUTED_VALUE"""),"Springs Of Mooresville, The")</f>
        <v>Springs Of Mooresville, The</v>
      </c>
      <c r="B104" s="135" t="str">
        <f ca="1">IFERROR(__xludf.DUMMYFUNCTION("""COMPUTED_VALUE"""),"Trilogy")</f>
        <v>Trilogy</v>
      </c>
      <c r="C104" s="135" t="str">
        <f ca="1">IFERROR(__xludf.DUMMYFUNCTION("""COMPUTED_VALUE"""),"   Tel: (317)831-9033")</f>
        <v xml:space="preserve">   Tel: (317)831-9033</v>
      </c>
      <c r="D104" s="135" t="str">
        <f ca="1">IFERROR(__xludf.DUMMYFUNCTION("""COMPUTED_VALUE"""),"   302 North Johnson Road")</f>
        <v xml:space="preserve">   302 North Johnson Road</v>
      </c>
      <c r="E104" s="135" t="str">
        <f ca="1">IFERROR(__xludf.DUMMYFUNCTION("""COMPUTED_VALUE"""),"   Mooresville, In 46158")</f>
        <v xml:space="preserve">   Mooresville, In 46158</v>
      </c>
      <c r="F104" s="135" t="str">
        <f ca="1">IFERROR(__xludf.DUMMYFUNCTION("""COMPUTED_VALUE"""),"")</f>
        <v/>
      </c>
      <c r="G104" s="135">
        <f ca="1">IFERROR(__xludf.DUMMYFUNCTION("""COMPUTED_VALUE"""),90)</f>
        <v>90</v>
      </c>
      <c r="H104" s="135" t="str">
        <f ca="1">IFERROR(__xludf.DUMMYFUNCTION("""COMPUTED_VALUE"""),"Plan to do testing themselves")</f>
        <v>Plan to do testing themselves</v>
      </c>
      <c r="I104" s="135" t="str">
        <f ca="1">IFERROR(__xludf.DUMMYFUNCTION("""COMPUTED_VALUE"""),"GREEN")</f>
        <v>GREEN</v>
      </c>
      <c r="J104" s="135" t="str">
        <f ca="1">IFERROR(__xludf.DUMMYFUNCTION("""COMPUTED_VALUE"""),"")</f>
        <v/>
      </c>
      <c r="K104" s="135"/>
      <c r="L104" s="135"/>
      <c r="M104" s="135"/>
      <c r="N104" s="135"/>
      <c r="O104" s="135"/>
      <c r="P104" s="135"/>
      <c r="Q104" s="135"/>
      <c r="R104" s="135"/>
      <c r="S104" s="135"/>
      <c r="T104" s="135"/>
      <c r="U104" s="135"/>
      <c r="V104" s="135"/>
      <c r="W104" s="135"/>
      <c r="X104" s="135"/>
      <c r="Y104" s="135"/>
      <c r="Z104" s="135"/>
    </row>
    <row r="105" spans="1:26">
      <c r="A105" s="135" t="str">
        <f ca="1">IFERROR(__xludf.DUMMYFUNCTION("""COMPUTED_VALUE"""),"Springs Of Richmond, The")</f>
        <v>Springs Of Richmond, The</v>
      </c>
      <c r="B105" s="135" t="str">
        <f ca="1">IFERROR(__xludf.DUMMYFUNCTION("""COMPUTED_VALUE"""),"Trilogy")</f>
        <v>Trilogy</v>
      </c>
      <c r="C105" s="135" t="str">
        <f ca="1">IFERROR(__xludf.DUMMYFUNCTION("""COMPUTED_VALUE"""),"   Tel: (765)935-0135")</f>
        <v xml:space="preserve">   Tel: (765)935-0135</v>
      </c>
      <c r="D105" s="135" t="str">
        <f ca="1">IFERROR(__xludf.DUMMYFUNCTION("""COMPUTED_VALUE"""),"   400 Industries Road")</f>
        <v xml:space="preserve">   400 Industries Road</v>
      </c>
      <c r="E105" s="135" t="str">
        <f ca="1">IFERROR(__xludf.DUMMYFUNCTION("""COMPUTED_VALUE"""),"   Richmond, In 47374")</f>
        <v xml:space="preserve">   Richmond, In 47374</v>
      </c>
      <c r="F105" s="135" t="str">
        <f ca="1">IFERROR(__xludf.DUMMYFUNCTION("""COMPUTED_VALUE"""),"")</f>
        <v/>
      </c>
      <c r="G105" s="135">
        <f ca="1">IFERROR(__xludf.DUMMYFUNCTION("""COMPUTED_VALUE"""),14)</f>
        <v>14</v>
      </c>
      <c r="H105" s="135" t="str">
        <f ca="1">IFERROR(__xludf.DUMMYFUNCTION("""COMPUTED_VALUE"""),"Plan to do testing themselves")</f>
        <v>Plan to do testing themselves</v>
      </c>
      <c r="I105" s="135" t="str">
        <f ca="1">IFERROR(__xludf.DUMMYFUNCTION("""COMPUTED_VALUE"""),"GREEN")</f>
        <v>GREEN</v>
      </c>
      <c r="J105" s="135" t="str">
        <f ca="1">IFERROR(__xludf.DUMMYFUNCTION("""COMPUTED_VALUE"""),"")</f>
        <v/>
      </c>
      <c r="K105" s="135"/>
      <c r="L105" s="135"/>
      <c r="M105" s="135"/>
      <c r="N105" s="135"/>
      <c r="O105" s="135"/>
      <c r="P105" s="135"/>
      <c r="Q105" s="135"/>
      <c r="R105" s="135"/>
      <c r="S105" s="135"/>
      <c r="T105" s="135"/>
      <c r="U105" s="135"/>
      <c r="V105" s="135"/>
      <c r="W105" s="135"/>
      <c r="X105" s="135"/>
      <c r="Y105" s="135"/>
      <c r="Z105" s="135"/>
    </row>
    <row r="106" spans="1:26">
      <c r="A106" s="135" t="str">
        <f ca="1">IFERROR(__xludf.DUMMYFUNCTION("""COMPUTED_VALUE"""),"St Andrews Health Campus")</f>
        <v>St Andrews Health Campus</v>
      </c>
      <c r="B106" s="135" t="str">
        <f ca="1">IFERROR(__xludf.DUMMYFUNCTION("""COMPUTED_VALUE"""),"Trilogy")</f>
        <v>Trilogy</v>
      </c>
      <c r="C106" s="135" t="str">
        <f ca="1">IFERROR(__xludf.DUMMYFUNCTION("""COMPUTED_VALUE"""),"   Tel: (812)934-5090")</f>
        <v xml:space="preserve">   Tel: (812)934-5090</v>
      </c>
      <c r="D106" s="135" t="str">
        <f ca="1">IFERROR(__xludf.DUMMYFUNCTION("""COMPUTED_VALUE"""),"   1400 Lammers Pike")</f>
        <v xml:space="preserve">   1400 Lammers Pike</v>
      </c>
      <c r="E106" s="135" t="str">
        <f ca="1">IFERROR(__xludf.DUMMYFUNCTION("""COMPUTED_VALUE"""),"   Batesville, In 47006")</f>
        <v xml:space="preserve">   Batesville, In 47006</v>
      </c>
      <c r="F106" s="135" t="str">
        <f ca="1">IFERROR(__xludf.DUMMYFUNCTION("""COMPUTED_VALUE"""),"")</f>
        <v/>
      </c>
      <c r="G106" s="135">
        <f ca="1">IFERROR(__xludf.DUMMYFUNCTION("""COMPUTED_VALUE"""),117)</f>
        <v>117</v>
      </c>
      <c r="H106" s="135" t="str">
        <f ca="1">IFERROR(__xludf.DUMMYFUNCTION("""COMPUTED_VALUE"""),"Plan to do testing themselves")</f>
        <v>Plan to do testing themselves</v>
      </c>
      <c r="I106" s="135" t="str">
        <f ca="1">IFERROR(__xludf.DUMMYFUNCTION("""COMPUTED_VALUE"""),"GREEN")</f>
        <v>GREEN</v>
      </c>
      <c r="J106" s="135" t="str">
        <f ca="1">IFERROR(__xludf.DUMMYFUNCTION("""COMPUTED_VALUE"""),"")</f>
        <v/>
      </c>
      <c r="K106" s="135"/>
      <c r="L106" s="135"/>
      <c r="M106" s="135"/>
      <c r="N106" s="135"/>
      <c r="O106" s="135"/>
      <c r="P106" s="135"/>
      <c r="Q106" s="135"/>
      <c r="R106" s="135"/>
      <c r="S106" s="135"/>
      <c r="T106" s="135"/>
      <c r="U106" s="135"/>
      <c r="V106" s="135"/>
      <c r="W106" s="135"/>
      <c r="X106" s="135"/>
      <c r="Y106" s="135"/>
      <c r="Z106" s="135"/>
    </row>
    <row r="107" spans="1:26">
      <c r="A107" s="135" t="str">
        <f ca="1">IFERROR(__xludf.DUMMYFUNCTION("""COMPUTED_VALUE"""),"St Charles Health Campus")</f>
        <v>St Charles Health Campus</v>
      </c>
      <c r="B107" s="135" t="str">
        <f ca="1">IFERROR(__xludf.DUMMYFUNCTION("""COMPUTED_VALUE"""),"Trilogy")</f>
        <v>Trilogy</v>
      </c>
      <c r="C107" s="135" t="str">
        <f ca="1">IFERROR(__xludf.DUMMYFUNCTION("""COMPUTED_VALUE"""),"   Tel: (812)634-6570")</f>
        <v xml:space="preserve">   Tel: (812)634-6570</v>
      </c>
      <c r="D107" s="135" t="str">
        <f ca="1">IFERROR(__xludf.DUMMYFUNCTION("""COMPUTED_VALUE"""),"   3150 St Charles St")</f>
        <v xml:space="preserve">   3150 St Charles St</v>
      </c>
      <c r="E107" s="135" t="str">
        <f ca="1">IFERROR(__xludf.DUMMYFUNCTION("""COMPUTED_VALUE"""),"   Jasper, In 47546")</f>
        <v xml:space="preserve">   Jasper, In 47546</v>
      </c>
      <c r="F107" s="135" t="str">
        <f ca="1">IFERROR(__xludf.DUMMYFUNCTION("""COMPUTED_VALUE"""),"")</f>
        <v/>
      </c>
      <c r="G107" s="135">
        <f ca="1">IFERROR(__xludf.DUMMYFUNCTION("""COMPUTED_VALUE"""),106)</f>
        <v>106</v>
      </c>
      <c r="H107" s="135" t="str">
        <f ca="1">IFERROR(__xludf.DUMMYFUNCTION("""COMPUTED_VALUE"""),"Plan to do testing themselves")</f>
        <v>Plan to do testing themselves</v>
      </c>
      <c r="I107" s="135" t="str">
        <f ca="1">IFERROR(__xludf.DUMMYFUNCTION("""COMPUTED_VALUE"""),"GREEN")</f>
        <v>GREEN</v>
      </c>
      <c r="J107" s="135" t="str">
        <f ca="1">IFERROR(__xludf.DUMMYFUNCTION("""COMPUTED_VALUE"""),"")</f>
        <v/>
      </c>
      <c r="K107" s="135"/>
      <c r="L107" s="135"/>
      <c r="M107" s="135"/>
      <c r="N107" s="135"/>
      <c r="O107" s="135"/>
      <c r="P107" s="135"/>
      <c r="Q107" s="135"/>
      <c r="R107" s="135"/>
      <c r="S107" s="135"/>
      <c r="T107" s="135"/>
      <c r="U107" s="135"/>
      <c r="V107" s="135"/>
      <c r="W107" s="135"/>
      <c r="X107" s="135"/>
      <c r="Y107" s="135"/>
      <c r="Z107" s="135"/>
    </row>
    <row r="108" spans="1:26">
      <c r="A108" s="135" t="str">
        <f ca="1">IFERROR(__xludf.DUMMYFUNCTION("""COMPUTED_VALUE"""),"St Elizabeth Healthcare Center")</f>
        <v>St Elizabeth Healthcare Center</v>
      </c>
      <c r="B108" s="135" t="str">
        <f ca="1">IFERROR(__xludf.DUMMYFUNCTION("""COMPUTED_VALUE"""),"Trilogy")</f>
        <v>Trilogy</v>
      </c>
      <c r="C108" s="135" t="str">
        <f ca="1">IFERROR(__xludf.DUMMYFUNCTION("""COMPUTED_VALUE"""),"   Tel: (765)564-6380")</f>
        <v xml:space="preserve">   Tel: (765)564-6380</v>
      </c>
      <c r="D108" s="135" t="str">
        <f ca="1">IFERROR(__xludf.DUMMYFUNCTION("""COMPUTED_VALUE"""),"   701 Armory Rd")</f>
        <v xml:space="preserve">   701 Armory Rd</v>
      </c>
      <c r="E108" s="135" t="str">
        <f ca="1">IFERROR(__xludf.DUMMYFUNCTION("""COMPUTED_VALUE"""),"   Delphi, In 46923")</f>
        <v xml:space="preserve">   Delphi, In 46923</v>
      </c>
      <c r="F108" s="135" t="str">
        <f ca="1">IFERROR(__xludf.DUMMYFUNCTION("""COMPUTED_VALUE"""),"No")</f>
        <v>No</v>
      </c>
      <c r="G108" s="135">
        <f ca="1">IFERROR(__xludf.DUMMYFUNCTION("""COMPUTED_VALUE"""),108)</f>
        <v>108</v>
      </c>
      <c r="H108" s="135" t="str">
        <f ca="1">IFERROR(__xludf.DUMMYFUNCTION("""COMPUTED_VALUE"""),"Plan to do testing themselves")</f>
        <v>Plan to do testing themselves</v>
      </c>
      <c r="I108" s="135" t="str">
        <f ca="1">IFERROR(__xludf.DUMMYFUNCTION("""COMPUTED_VALUE"""),"GREEN")</f>
        <v>GREEN</v>
      </c>
      <c r="J108" s="135" t="str">
        <f ca="1">IFERROR(__xludf.DUMMYFUNCTION("""COMPUTED_VALUE"""),"")</f>
        <v/>
      </c>
      <c r="K108" s="135"/>
      <c r="L108" s="135"/>
      <c r="M108" s="135"/>
      <c r="N108" s="135"/>
      <c r="O108" s="135"/>
      <c r="P108" s="135"/>
      <c r="Q108" s="135"/>
      <c r="R108" s="135"/>
      <c r="S108" s="135"/>
      <c r="T108" s="135"/>
      <c r="U108" s="135"/>
      <c r="V108" s="135"/>
      <c r="W108" s="135"/>
      <c r="X108" s="135"/>
      <c r="Y108" s="135"/>
      <c r="Z108" s="135"/>
    </row>
    <row r="109" spans="1:26">
      <c r="A109" s="135" t="str">
        <f ca="1">IFERROR(__xludf.DUMMYFUNCTION("""COMPUTED_VALUE"""),"St Mary Healthcare Center")</f>
        <v>St Mary Healthcare Center</v>
      </c>
      <c r="B109" s="135" t="str">
        <f ca="1">IFERROR(__xludf.DUMMYFUNCTION("""COMPUTED_VALUE"""),"Trilogy")</f>
        <v>Trilogy</v>
      </c>
      <c r="C109" s="135" t="str">
        <f ca="1">IFERROR(__xludf.DUMMYFUNCTION("""COMPUTED_VALUE"""),"   Tel: (765)447-4102")</f>
        <v xml:space="preserve">   Tel: (765)447-4102</v>
      </c>
      <c r="D109" s="135" t="str">
        <f ca="1">IFERROR(__xludf.DUMMYFUNCTION("""COMPUTED_VALUE"""),"   2201 Cason St")</f>
        <v xml:space="preserve">   2201 Cason St</v>
      </c>
      <c r="E109" s="135" t="str">
        <f ca="1">IFERROR(__xludf.DUMMYFUNCTION("""COMPUTED_VALUE"""),"   Lafayette, In 47904")</f>
        <v xml:space="preserve">   Lafayette, In 47904</v>
      </c>
      <c r="F109" s="135" t="str">
        <f ca="1">IFERROR(__xludf.DUMMYFUNCTION("""COMPUTED_VALUE"""),"")</f>
        <v/>
      </c>
      <c r="G109" s="135">
        <f ca="1">IFERROR(__xludf.DUMMYFUNCTION("""COMPUTED_VALUE"""),102)</f>
        <v>102</v>
      </c>
      <c r="H109" s="135" t="str">
        <f ca="1">IFERROR(__xludf.DUMMYFUNCTION("""COMPUTED_VALUE"""),"Plan to do testing themselves")</f>
        <v>Plan to do testing themselves</v>
      </c>
      <c r="I109" s="135" t="str">
        <f ca="1">IFERROR(__xludf.DUMMYFUNCTION("""COMPUTED_VALUE"""),"GREEN")</f>
        <v>GREEN</v>
      </c>
      <c r="J109" s="135" t="str">
        <f ca="1">IFERROR(__xludf.DUMMYFUNCTION("""COMPUTED_VALUE"""),"")</f>
        <v/>
      </c>
      <c r="K109" s="135"/>
      <c r="L109" s="135"/>
      <c r="M109" s="135"/>
      <c r="N109" s="135"/>
      <c r="O109" s="135"/>
      <c r="P109" s="135"/>
      <c r="Q109" s="135"/>
      <c r="R109" s="135"/>
      <c r="S109" s="135"/>
      <c r="T109" s="135"/>
      <c r="U109" s="135"/>
      <c r="V109" s="135"/>
      <c r="W109" s="135"/>
      <c r="X109" s="135"/>
      <c r="Y109" s="135"/>
      <c r="Z109" s="135"/>
    </row>
    <row r="110" spans="1:26">
      <c r="A110" s="135" t="str">
        <f ca="1">IFERROR(__xludf.DUMMYFUNCTION("""COMPUTED_VALUE"""),"Stonebridge Health Campus")</f>
        <v>Stonebridge Health Campus</v>
      </c>
      <c r="B110" s="135" t="str">
        <f ca="1">IFERROR(__xludf.DUMMYFUNCTION("""COMPUTED_VALUE"""),"Trilogy")</f>
        <v>Trilogy</v>
      </c>
      <c r="C110" s="135" t="str">
        <f ca="1">IFERROR(__xludf.DUMMYFUNCTION("""COMPUTED_VALUE"""),"   Tel: (812)278-8195")</f>
        <v xml:space="preserve">   Tel: (812)278-8195</v>
      </c>
      <c r="D110" s="135" t="str">
        <f ca="1">IFERROR(__xludf.DUMMYFUNCTION("""COMPUTED_VALUE"""),"   3100 Shawnee Dr S")</f>
        <v xml:space="preserve">   3100 Shawnee Dr S</v>
      </c>
      <c r="E110" s="135" t="str">
        <f ca="1">IFERROR(__xludf.DUMMYFUNCTION("""COMPUTED_VALUE"""),"   Bedford, In 47421")</f>
        <v xml:space="preserve">   Bedford, In 47421</v>
      </c>
      <c r="F110" s="135" t="str">
        <f ca="1">IFERROR(__xludf.DUMMYFUNCTION("""COMPUTED_VALUE"""),"")</f>
        <v/>
      </c>
      <c r="G110" s="135">
        <f ca="1">IFERROR(__xludf.DUMMYFUNCTION("""COMPUTED_VALUE"""),101)</f>
        <v>101</v>
      </c>
      <c r="H110" s="135" t="str">
        <f ca="1">IFERROR(__xludf.DUMMYFUNCTION("""COMPUTED_VALUE"""),"Plan to do testing themselves")</f>
        <v>Plan to do testing themselves</v>
      </c>
      <c r="I110" s="135" t="str">
        <f ca="1">IFERROR(__xludf.DUMMYFUNCTION("""COMPUTED_VALUE"""),"GREEN")</f>
        <v>GREEN</v>
      </c>
      <c r="J110" s="135" t="str">
        <f ca="1">IFERROR(__xludf.DUMMYFUNCTION("""COMPUTED_VALUE"""),"")</f>
        <v/>
      </c>
      <c r="K110" s="135"/>
      <c r="L110" s="135"/>
      <c r="M110" s="135"/>
      <c r="N110" s="135"/>
      <c r="O110" s="135"/>
      <c r="P110" s="135"/>
      <c r="Q110" s="135"/>
      <c r="R110" s="135"/>
      <c r="S110" s="135"/>
      <c r="T110" s="135"/>
      <c r="U110" s="135"/>
      <c r="V110" s="135"/>
      <c r="W110" s="135"/>
      <c r="X110" s="135"/>
      <c r="Y110" s="135"/>
      <c r="Z110" s="135"/>
    </row>
    <row r="111" spans="1:26">
      <c r="A111" s="135" t="str">
        <f ca="1">IFERROR(__xludf.DUMMYFUNCTION("""COMPUTED_VALUE"""),"Stonecroft Health Campus")</f>
        <v>Stonecroft Health Campus</v>
      </c>
      <c r="B111" s="135" t="str">
        <f ca="1">IFERROR(__xludf.DUMMYFUNCTION("""COMPUTED_VALUE"""),"Trilogy")</f>
        <v>Trilogy</v>
      </c>
      <c r="C111" s="135" t="str">
        <f ca="1">IFERROR(__xludf.DUMMYFUNCTION("""COMPUTED_VALUE"""),"   Tel: (812)825-0551")</f>
        <v xml:space="preserve">   Tel: (812)825-0551</v>
      </c>
      <c r="D111" s="135" t="str">
        <f ca="1">IFERROR(__xludf.DUMMYFUNCTION("""COMPUTED_VALUE"""),"   363 South Fieldstone Blvd")</f>
        <v xml:space="preserve">   363 South Fieldstone Blvd</v>
      </c>
      <c r="E111" s="135" t="str">
        <f ca="1">IFERROR(__xludf.DUMMYFUNCTION("""COMPUTED_VALUE"""),"   Bloomington, In 47403")</f>
        <v xml:space="preserve">   Bloomington, In 47403</v>
      </c>
      <c r="F111" s="135" t="str">
        <f ca="1">IFERROR(__xludf.DUMMYFUNCTION("""COMPUTED_VALUE"""),"")</f>
        <v/>
      </c>
      <c r="G111" s="135">
        <f ca="1">IFERROR(__xludf.DUMMYFUNCTION("""COMPUTED_VALUE"""),115)</f>
        <v>115</v>
      </c>
      <c r="H111" s="135" t="str">
        <f ca="1">IFERROR(__xludf.DUMMYFUNCTION("""COMPUTED_VALUE"""),"Plan to do testing themselves")</f>
        <v>Plan to do testing themselves</v>
      </c>
      <c r="I111" s="135" t="str">
        <f ca="1">IFERROR(__xludf.DUMMYFUNCTION("""COMPUTED_VALUE"""),"GREEN")</f>
        <v>GREEN</v>
      </c>
      <c r="J111" s="135" t="str">
        <f ca="1">IFERROR(__xludf.DUMMYFUNCTION("""COMPUTED_VALUE"""),"")</f>
        <v/>
      </c>
      <c r="K111" s="135"/>
      <c r="L111" s="135"/>
      <c r="M111" s="135"/>
      <c r="N111" s="135"/>
      <c r="O111" s="135"/>
      <c r="P111" s="135"/>
      <c r="Q111" s="135"/>
      <c r="R111" s="135"/>
      <c r="S111" s="135"/>
      <c r="T111" s="135"/>
      <c r="U111" s="135"/>
      <c r="V111" s="135"/>
      <c r="W111" s="135"/>
      <c r="X111" s="135"/>
      <c r="Y111" s="135"/>
      <c r="Z111" s="135"/>
    </row>
    <row r="112" spans="1:26">
      <c r="A112" s="135" t="str">
        <f ca="1">IFERROR(__xludf.DUMMYFUNCTION("""COMPUTED_VALUE"""),"Terrace At Solarbron The")</f>
        <v>Terrace At Solarbron The</v>
      </c>
      <c r="B112" s="135" t="str">
        <f ca="1">IFERROR(__xludf.DUMMYFUNCTION("""COMPUTED_VALUE"""),"CarDon")</f>
        <v>CarDon</v>
      </c>
      <c r="C112" s="135" t="str">
        <f ca="1">IFERROR(__xludf.DUMMYFUNCTION("""COMPUTED_VALUE"""),"   Tel: (812)985-0055")</f>
        <v xml:space="preserve">   Tel: (812)985-0055</v>
      </c>
      <c r="D112" s="135" t="str">
        <f ca="1">IFERROR(__xludf.DUMMYFUNCTION("""COMPUTED_VALUE"""),"   1701 Mcdowell Rd")</f>
        <v xml:space="preserve">   1701 Mcdowell Rd</v>
      </c>
      <c r="E112" s="135" t="str">
        <f ca="1">IFERROR(__xludf.DUMMYFUNCTION("""COMPUTED_VALUE"""),"   Evansville, In 47712")</f>
        <v xml:space="preserve">   Evansville, In 47712</v>
      </c>
      <c r="F112" s="135" t="str">
        <f ca="1">IFERROR(__xludf.DUMMYFUNCTION("""COMPUTED_VALUE"""),"")</f>
        <v/>
      </c>
      <c r="G112" s="135">
        <f ca="1">IFERROR(__xludf.DUMMYFUNCTION("""COMPUTED_VALUE"""),117)</f>
        <v>117</v>
      </c>
      <c r="H112" s="135" t="str">
        <f ca="1">IFERROR(__xludf.DUMMYFUNCTION("""COMPUTED_VALUE"""),"Plan to do testing themselves")</f>
        <v>Plan to do testing themselves</v>
      </c>
      <c r="I112" s="135" t="str">
        <f ca="1">IFERROR(__xludf.DUMMYFUNCTION("""COMPUTED_VALUE"""),"GREEN")</f>
        <v>GREEN</v>
      </c>
      <c r="J112" s="135" t="str">
        <f ca="1">IFERROR(__xludf.DUMMYFUNCTION("""COMPUTED_VALUE"""),"")</f>
        <v/>
      </c>
      <c r="K112" s="135"/>
      <c r="L112" s="135"/>
      <c r="M112" s="135"/>
      <c r="N112" s="135"/>
      <c r="O112" s="135"/>
      <c r="P112" s="135"/>
      <c r="Q112" s="135"/>
      <c r="R112" s="135"/>
      <c r="S112" s="135"/>
      <c r="T112" s="135"/>
      <c r="U112" s="135"/>
      <c r="V112" s="135"/>
      <c r="W112" s="135"/>
      <c r="X112" s="135"/>
      <c r="Y112" s="135"/>
      <c r="Z112" s="135"/>
    </row>
    <row r="113" spans="1:26">
      <c r="A113" s="135" t="str">
        <f ca="1">IFERROR(__xludf.DUMMYFUNCTION("""COMPUTED_VALUE"""),"The Residence At Waterford Crossing")</f>
        <v>The Residence At Waterford Crossing</v>
      </c>
      <c r="B113" s="135" t="str">
        <f ca="1">IFERROR(__xludf.DUMMYFUNCTION("""COMPUTED_VALUE"""),"")</f>
        <v/>
      </c>
      <c r="C113" s="135" t="str">
        <f ca="1">IFERROR(__xludf.DUMMYFUNCTION("""COMPUTED_VALUE"""),"(574) 538-4394")</f>
        <v>(574) 538-4394</v>
      </c>
      <c r="D113" s="135" t="str">
        <f ca="1">IFERROR(__xludf.DUMMYFUNCTION("""COMPUTED_VALUE"""),"1212 Waterford Cir")</f>
        <v>1212 Waterford Cir</v>
      </c>
      <c r="E113" s="135" t="str">
        <f ca="1">IFERROR(__xludf.DUMMYFUNCTION("""COMPUTED_VALUE"""),"Goshen, In  46526")</f>
        <v>Goshen, In  46526</v>
      </c>
      <c r="F113" s="135" t="str">
        <f ca="1">IFERROR(__xludf.DUMMYFUNCTION("""COMPUTED_VALUE"""),"")</f>
        <v/>
      </c>
      <c r="G113" s="135">
        <f ca="1">IFERROR(__xludf.DUMMYFUNCTION("""COMPUTED_VALUE"""),44)</f>
        <v>44</v>
      </c>
      <c r="H113" s="135" t="str">
        <f ca="1">IFERROR(__xludf.DUMMYFUNCTION("""COMPUTED_VALUE"""),"Plan to do testing themselves")</f>
        <v>Plan to do testing themselves</v>
      </c>
      <c r="I113" s="135" t="str">
        <f ca="1">IFERROR(__xludf.DUMMYFUNCTION("""COMPUTED_VALUE"""),"GREEN")</f>
        <v>GREEN</v>
      </c>
      <c r="J113" s="135" t="str">
        <f ca="1">IFERROR(__xludf.DUMMYFUNCTION("""COMPUTED_VALUE"""),"")</f>
        <v/>
      </c>
      <c r="K113" s="135"/>
      <c r="L113" s="135"/>
      <c r="M113" s="135"/>
      <c r="N113" s="135"/>
      <c r="O113" s="135"/>
      <c r="P113" s="135"/>
      <c r="Q113" s="135"/>
      <c r="R113" s="135"/>
      <c r="S113" s="135"/>
      <c r="T113" s="135"/>
      <c r="U113" s="135"/>
      <c r="V113" s="135"/>
      <c r="W113" s="135"/>
      <c r="X113" s="135"/>
      <c r="Y113" s="135"/>
      <c r="Z113" s="135"/>
    </row>
    <row r="114" spans="1:26">
      <c r="A114" s="135" t="str">
        <f ca="1">IFERROR(__xludf.DUMMYFUNCTION("""COMPUTED_VALUE"""),"The Villages At Historic Silvercrest")</f>
        <v>The Villages At Historic Silvercrest</v>
      </c>
      <c r="B114" s="135" t="str">
        <f ca="1">IFERROR(__xludf.DUMMYFUNCTION("""COMPUTED_VALUE"""),"Trilogy")</f>
        <v>Trilogy</v>
      </c>
      <c r="C114" s="135" t="str">
        <f ca="1">IFERROR(__xludf.DUMMYFUNCTION("""COMPUTED_VALUE"""),"(812) 399-3970")</f>
        <v>(812) 399-3970</v>
      </c>
      <c r="D114" s="135" t="str">
        <f ca="1">IFERROR(__xludf.DUMMYFUNCTION("""COMPUTED_VALUE"""),"1 Silvercrest Dr")</f>
        <v>1 Silvercrest Dr</v>
      </c>
      <c r="E114" s="135" t="str">
        <f ca="1">IFERROR(__xludf.DUMMYFUNCTION("""COMPUTED_VALUE"""),"New Albany, In  47150")</f>
        <v>New Albany, In  47150</v>
      </c>
      <c r="F114" s="135" t="str">
        <f ca="1">IFERROR(__xludf.DUMMYFUNCTION("""COMPUTED_VALUE"""),"")</f>
        <v/>
      </c>
      <c r="G114" s="135">
        <f ca="1">IFERROR(__xludf.DUMMYFUNCTION("""COMPUTED_VALUE"""),141)</f>
        <v>141</v>
      </c>
      <c r="H114" s="135" t="str">
        <f ca="1">IFERROR(__xludf.DUMMYFUNCTION("""COMPUTED_VALUE"""),"Plan to do testing themselves")</f>
        <v>Plan to do testing themselves</v>
      </c>
      <c r="I114" s="135" t="str">
        <f ca="1">IFERROR(__xludf.DUMMYFUNCTION("""COMPUTED_VALUE"""),"GREEN")</f>
        <v>GREEN</v>
      </c>
      <c r="J114" s="135" t="str">
        <f ca="1">IFERROR(__xludf.DUMMYFUNCTION("""COMPUTED_VALUE"""),"")</f>
        <v/>
      </c>
      <c r="K114" s="135"/>
      <c r="L114" s="135"/>
      <c r="M114" s="135"/>
      <c r="N114" s="135"/>
      <c r="O114" s="135"/>
      <c r="P114" s="135"/>
      <c r="Q114" s="135"/>
      <c r="R114" s="135"/>
      <c r="S114" s="135"/>
      <c r="T114" s="135"/>
      <c r="U114" s="135"/>
      <c r="V114" s="135"/>
      <c r="W114" s="135"/>
      <c r="X114" s="135"/>
      <c r="Y114" s="135"/>
      <c r="Z114" s="135"/>
    </row>
    <row r="115" spans="1:26">
      <c r="A115" s="135" t="str">
        <f ca="1">IFERROR(__xludf.DUMMYFUNCTION("""COMPUTED_VALUE"""),"Thornton Terrace Health Campus")</f>
        <v>Thornton Terrace Health Campus</v>
      </c>
      <c r="B115" s="135" t="str">
        <f ca="1">IFERROR(__xludf.DUMMYFUNCTION("""COMPUTED_VALUE"""),"Trilogy")</f>
        <v>Trilogy</v>
      </c>
      <c r="C115" s="135" t="str">
        <f ca="1">IFERROR(__xludf.DUMMYFUNCTION("""COMPUTED_VALUE"""),"   Tel: (812)866-8396")</f>
        <v xml:space="preserve">   Tel: (812)866-8396</v>
      </c>
      <c r="D115" s="135" t="str">
        <f ca="1">IFERROR(__xludf.DUMMYFUNCTION("""COMPUTED_VALUE"""),"   188 Thornton Rd")</f>
        <v xml:space="preserve">   188 Thornton Rd</v>
      </c>
      <c r="E115" s="135" t="str">
        <f ca="1">IFERROR(__xludf.DUMMYFUNCTION("""COMPUTED_VALUE"""),"   Hanover, In 47243")</f>
        <v xml:space="preserve">   Hanover, In 47243</v>
      </c>
      <c r="F115" s="135" t="str">
        <f ca="1">IFERROR(__xludf.DUMMYFUNCTION("""COMPUTED_VALUE"""),"")</f>
        <v/>
      </c>
      <c r="G115" s="135">
        <f ca="1">IFERROR(__xludf.DUMMYFUNCTION("""COMPUTED_VALUE"""),81)</f>
        <v>81</v>
      </c>
      <c r="H115" s="135" t="str">
        <f ca="1">IFERROR(__xludf.DUMMYFUNCTION("""COMPUTED_VALUE"""),"Plan to do testing themselves")</f>
        <v>Plan to do testing themselves</v>
      </c>
      <c r="I115" s="135" t="str">
        <f ca="1">IFERROR(__xludf.DUMMYFUNCTION("""COMPUTED_VALUE"""),"GREEN")</f>
        <v>GREEN</v>
      </c>
      <c r="J115" s="135" t="str">
        <f ca="1">IFERROR(__xludf.DUMMYFUNCTION("""COMPUTED_VALUE"""),"")</f>
        <v/>
      </c>
      <c r="K115" s="135"/>
      <c r="L115" s="135"/>
      <c r="M115" s="135"/>
      <c r="N115" s="135"/>
      <c r="O115" s="135"/>
      <c r="P115" s="135"/>
      <c r="Q115" s="135"/>
      <c r="R115" s="135"/>
      <c r="S115" s="135"/>
      <c r="T115" s="135"/>
      <c r="U115" s="135"/>
      <c r="V115" s="135"/>
      <c r="W115" s="135"/>
      <c r="X115" s="135"/>
      <c r="Y115" s="135"/>
      <c r="Z115" s="135"/>
    </row>
    <row r="116" spans="1:26">
      <c r="A116" s="135" t="str">
        <f ca="1">IFERROR(__xludf.DUMMYFUNCTION("""COMPUTED_VALUE"""),"Timbercrest Church Of The Brethren Home")</f>
        <v>Timbercrest Church Of The Brethren Home</v>
      </c>
      <c r="B116" s="135" t="str">
        <f ca="1">IFERROR(__xludf.DUMMYFUNCTION("""COMPUTED_VALUE"""),"")</f>
        <v/>
      </c>
      <c r="C116" s="135" t="str">
        <f ca="1">IFERROR(__xludf.DUMMYFUNCTION("""COMPUTED_VALUE"""),"   Tel: (260)982-2118")</f>
        <v xml:space="preserve">   Tel: (260)982-2118</v>
      </c>
      <c r="D116" s="135" t="str">
        <f ca="1">IFERROR(__xludf.DUMMYFUNCTION("""COMPUTED_VALUE"""),"   2201 East St")</f>
        <v xml:space="preserve">   2201 East St</v>
      </c>
      <c r="E116" s="135" t="str">
        <f ca="1">IFERROR(__xludf.DUMMYFUNCTION("""COMPUTED_VALUE"""),"   North Manchester, In 46962")</f>
        <v xml:space="preserve">   North Manchester, In 46962</v>
      </c>
      <c r="F116" s="135" t="str">
        <f ca="1">IFERROR(__xludf.DUMMYFUNCTION("""COMPUTED_VALUE"""),"")</f>
        <v/>
      </c>
      <c r="G116" s="135">
        <f ca="1">IFERROR(__xludf.DUMMYFUNCTION("""COMPUTED_VALUE"""),197)</f>
        <v>197</v>
      </c>
      <c r="H116" s="135" t="str">
        <f ca="1">IFERROR(__xludf.DUMMYFUNCTION("""COMPUTED_VALUE"""),"Plan to do testing themselves")</f>
        <v>Plan to do testing themselves</v>
      </c>
      <c r="I116" s="135" t="str">
        <f ca="1">IFERROR(__xludf.DUMMYFUNCTION("""COMPUTED_VALUE"""),"GREEN")</f>
        <v>GREEN</v>
      </c>
      <c r="J116" s="135" t="str">
        <f ca="1">IFERROR(__xludf.DUMMYFUNCTION("""COMPUTED_VALUE"""),"")</f>
        <v/>
      </c>
      <c r="K116" s="135"/>
      <c r="L116" s="135"/>
      <c r="M116" s="135"/>
      <c r="N116" s="135"/>
      <c r="O116" s="135"/>
      <c r="P116" s="135"/>
      <c r="Q116" s="135"/>
      <c r="R116" s="135"/>
      <c r="S116" s="135"/>
      <c r="T116" s="135"/>
      <c r="U116" s="135"/>
      <c r="V116" s="135"/>
      <c r="W116" s="135"/>
      <c r="X116" s="135"/>
      <c r="Y116" s="135"/>
      <c r="Z116" s="135"/>
    </row>
    <row r="117" spans="1:26">
      <c r="A117" s="135" t="str">
        <f ca="1">IFERROR(__xludf.DUMMYFUNCTION("""COMPUTED_VALUE"""),"Towne House Retirement Community")</f>
        <v>Towne House Retirement Community</v>
      </c>
      <c r="B117" s="135" t="str">
        <f ca="1">IFERROR(__xludf.DUMMYFUNCTION("""COMPUTED_VALUE"""),"BHI")</f>
        <v>BHI</v>
      </c>
      <c r="C117" s="135" t="str">
        <f ca="1">IFERROR(__xludf.DUMMYFUNCTION("""COMPUTED_VALUE"""),"   Tel: (260)483-3116")</f>
        <v xml:space="preserve">   Tel: (260)483-3116</v>
      </c>
      <c r="D117" s="135" t="str">
        <f ca="1">IFERROR(__xludf.DUMMYFUNCTION("""COMPUTED_VALUE"""),"   2209 St Joe Center Rd")</f>
        <v xml:space="preserve">   2209 St Joe Center Rd</v>
      </c>
      <c r="E117" s="135" t="str">
        <f ca="1">IFERROR(__xludf.DUMMYFUNCTION("""COMPUTED_VALUE"""),"   Fort Wayne, In 46825")</f>
        <v xml:space="preserve">   Fort Wayne, In 46825</v>
      </c>
      <c r="F117" s="135" t="str">
        <f ca="1">IFERROR(__xludf.DUMMYFUNCTION("""COMPUTED_VALUE"""),"")</f>
        <v/>
      </c>
      <c r="G117" s="135">
        <f ca="1">IFERROR(__xludf.DUMMYFUNCTION("""COMPUTED_VALUE"""),220)</f>
        <v>220</v>
      </c>
      <c r="H117" s="135" t="str">
        <f ca="1">IFERROR(__xludf.DUMMYFUNCTION("""COMPUTED_VALUE"""),"Plan to do testing themselves")</f>
        <v>Plan to do testing themselves</v>
      </c>
      <c r="I117" s="135" t="str">
        <f ca="1">IFERROR(__xludf.DUMMYFUNCTION("""COMPUTED_VALUE"""),"GREEN")</f>
        <v>GREEN</v>
      </c>
      <c r="J117" s="135" t="str">
        <f ca="1">IFERROR(__xludf.DUMMYFUNCTION("""COMPUTED_VALUE"""),"")</f>
        <v/>
      </c>
      <c r="K117" s="135"/>
      <c r="L117" s="135"/>
      <c r="M117" s="135"/>
      <c r="N117" s="135"/>
      <c r="O117" s="135"/>
      <c r="P117" s="135"/>
      <c r="Q117" s="135"/>
      <c r="R117" s="135"/>
      <c r="S117" s="135"/>
      <c r="T117" s="135"/>
      <c r="U117" s="135"/>
      <c r="V117" s="135"/>
      <c r="W117" s="135"/>
      <c r="X117" s="135"/>
      <c r="Y117" s="135"/>
      <c r="Z117" s="135"/>
    </row>
    <row r="118" spans="1:26">
      <c r="A118" s="135" t="str">
        <f ca="1">IFERROR(__xludf.DUMMYFUNCTION("""COMPUTED_VALUE"""),"Villages At Oak Ridge, The")</f>
        <v>Villages At Oak Ridge, The</v>
      </c>
      <c r="B118" s="135" t="str">
        <f ca="1">IFERROR(__xludf.DUMMYFUNCTION("""COMPUTED_VALUE"""),"Trilogy")</f>
        <v>Trilogy</v>
      </c>
      <c r="C118" s="135" t="str">
        <f ca="1">IFERROR(__xludf.DUMMYFUNCTION("""COMPUTED_VALUE"""),"   Tel: (812)254-3800")</f>
        <v xml:space="preserve">   Tel: (812)254-3800</v>
      </c>
      <c r="D118" s="135" t="str">
        <f ca="1">IFERROR(__xludf.DUMMYFUNCTION("""COMPUTED_VALUE"""),"   1694 Troy Road")</f>
        <v xml:space="preserve">   1694 Troy Road</v>
      </c>
      <c r="E118" s="135" t="str">
        <f ca="1">IFERROR(__xludf.DUMMYFUNCTION("""COMPUTED_VALUE"""),"   Washington, In 47501")</f>
        <v xml:space="preserve">   Washington, In 47501</v>
      </c>
      <c r="F118" s="135" t="str">
        <f ca="1">IFERROR(__xludf.DUMMYFUNCTION("""COMPUTED_VALUE"""),"")</f>
        <v/>
      </c>
      <c r="G118" s="135">
        <f ca="1">IFERROR(__xludf.DUMMYFUNCTION("""COMPUTED_VALUE"""),119)</f>
        <v>119</v>
      </c>
      <c r="H118" s="135" t="str">
        <f ca="1">IFERROR(__xludf.DUMMYFUNCTION("""COMPUTED_VALUE"""),"Plan to do testing themselves")</f>
        <v>Plan to do testing themselves</v>
      </c>
      <c r="I118" s="135" t="str">
        <f ca="1">IFERROR(__xludf.DUMMYFUNCTION("""COMPUTED_VALUE"""),"GREEN")</f>
        <v>GREEN</v>
      </c>
      <c r="J118" s="135" t="str">
        <f ca="1">IFERROR(__xludf.DUMMYFUNCTION("""COMPUTED_VALUE"""),"")</f>
        <v/>
      </c>
      <c r="K118" s="135"/>
      <c r="L118" s="135"/>
      <c r="M118" s="135"/>
      <c r="N118" s="135"/>
      <c r="O118" s="135"/>
      <c r="P118" s="135"/>
      <c r="Q118" s="135"/>
      <c r="R118" s="135"/>
      <c r="S118" s="135"/>
      <c r="T118" s="135"/>
      <c r="U118" s="135"/>
      <c r="V118" s="135"/>
      <c r="W118" s="135"/>
      <c r="X118" s="135"/>
      <c r="Y118" s="135"/>
      <c r="Z118" s="135"/>
    </row>
    <row r="119" spans="1:26">
      <c r="A119" s="135" t="str">
        <f ca="1">IFERROR(__xludf.DUMMYFUNCTION("""COMPUTED_VALUE"""),"Waterford At Edison Lakes, The")</f>
        <v>Waterford At Edison Lakes, The</v>
      </c>
      <c r="B119" s="135" t="str">
        <f ca="1">IFERROR(__xludf.DUMMYFUNCTION("""COMPUTED_VALUE"""),"Capitol")</f>
        <v>Capitol</v>
      </c>
      <c r="C119" s="135" t="str">
        <f ca="1">IFERROR(__xludf.DUMMYFUNCTION("""COMPUTED_VALUE"""),"   Tel: (574)247-1552")</f>
        <v xml:space="preserve">   Tel: (574)247-1552</v>
      </c>
      <c r="D119" s="135" t="str">
        <f ca="1">IFERROR(__xludf.DUMMYFUNCTION("""COMPUTED_VALUE"""),"   1025 Park Place")</f>
        <v xml:space="preserve">   1025 Park Place</v>
      </c>
      <c r="E119" s="135" t="str">
        <f ca="1">IFERROR(__xludf.DUMMYFUNCTION("""COMPUTED_VALUE"""),"   Mishawaka, In 46545")</f>
        <v xml:space="preserve">   Mishawaka, In 46545</v>
      </c>
      <c r="F119" s="135" t="str">
        <f ca="1">IFERROR(__xludf.DUMMYFUNCTION("""COMPUTED_VALUE"""),"")</f>
        <v/>
      </c>
      <c r="G119" s="135">
        <f ca="1">IFERROR(__xludf.DUMMYFUNCTION("""COMPUTED_VALUE"""),50)</f>
        <v>50</v>
      </c>
      <c r="H119" s="135" t="str">
        <f ca="1">IFERROR(__xludf.DUMMYFUNCTION("""COMPUTED_VALUE"""),"Plan to do testing themselves")</f>
        <v>Plan to do testing themselves</v>
      </c>
      <c r="I119" s="135" t="str">
        <f ca="1">IFERROR(__xludf.DUMMYFUNCTION("""COMPUTED_VALUE"""),"GREEN")</f>
        <v>GREEN</v>
      </c>
      <c r="J119" s="135" t="str">
        <f ca="1">IFERROR(__xludf.DUMMYFUNCTION("""COMPUTED_VALUE"""),"")</f>
        <v/>
      </c>
      <c r="K119" s="135"/>
      <c r="L119" s="135"/>
      <c r="M119" s="135"/>
      <c r="N119" s="135"/>
      <c r="O119" s="135"/>
      <c r="P119" s="135"/>
      <c r="Q119" s="135"/>
      <c r="R119" s="135"/>
      <c r="S119" s="135"/>
      <c r="T119" s="135"/>
      <c r="U119" s="135"/>
      <c r="V119" s="135"/>
      <c r="W119" s="135"/>
      <c r="X119" s="135"/>
      <c r="Y119" s="135"/>
      <c r="Z119" s="135"/>
    </row>
    <row r="120" spans="1:26">
      <c r="A120" s="135" t="str">
        <f ca="1">IFERROR(__xludf.DUMMYFUNCTION("""COMPUTED_VALUE"""),"Waterford Crossing")</f>
        <v>Waterford Crossing</v>
      </c>
      <c r="B120" s="135" t="str">
        <f ca="1">IFERROR(__xludf.DUMMYFUNCTION("""COMPUTED_VALUE"""),"Trilogy")</f>
        <v>Trilogy</v>
      </c>
      <c r="C120" s="135" t="str">
        <f ca="1">IFERROR(__xludf.DUMMYFUNCTION("""COMPUTED_VALUE"""),"   Tel: (574)534-3920")</f>
        <v xml:space="preserve">   Tel: (574)534-3920</v>
      </c>
      <c r="D120" s="135" t="str">
        <f ca="1">IFERROR(__xludf.DUMMYFUNCTION("""COMPUTED_VALUE"""),"   1332 Waterford Cir")</f>
        <v xml:space="preserve">   1332 Waterford Cir</v>
      </c>
      <c r="E120" s="135" t="str">
        <f ca="1">IFERROR(__xludf.DUMMYFUNCTION("""COMPUTED_VALUE"""),"   Goshen, In 46526")</f>
        <v xml:space="preserve">   Goshen, In 46526</v>
      </c>
      <c r="F120" s="135" t="str">
        <f ca="1">IFERROR(__xludf.DUMMYFUNCTION("""COMPUTED_VALUE"""),"")</f>
        <v/>
      </c>
      <c r="G120" s="135">
        <f ca="1">IFERROR(__xludf.DUMMYFUNCTION("""COMPUTED_VALUE"""),130)</f>
        <v>130</v>
      </c>
      <c r="H120" s="135" t="str">
        <f ca="1">IFERROR(__xludf.DUMMYFUNCTION("""COMPUTED_VALUE"""),"Plan to do testing themselves")</f>
        <v>Plan to do testing themselves</v>
      </c>
      <c r="I120" s="135" t="str">
        <f ca="1">IFERROR(__xludf.DUMMYFUNCTION("""COMPUTED_VALUE"""),"GREEN")</f>
        <v>GREEN</v>
      </c>
      <c r="J120" s="135" t="str">
        <f ca="1">IFERROR(__xludf.DUMMYFUNCTION("""COMPUTED_VALUE"""),"")</f>
        <v/>
      </c>
      <c r="K120" s="135"/>
      <c r="L120" s="135"/>
      <c r="M120" s="135"/>
      <c r="N120" s="135"/>
      <c r="O120" s="135"/>
      <c r="P120" s="135"/>
      <c r="Q120" s="135"/>
      <c r="R120" s="135"/>
      <c r="S120" s="135"/>
      <c r="T120" s="135"/>
      <c r="U120" s="135"/>
      <c r="V120" s="135"/>
      <c r="W120" s="135"/>
      <c r="X120" s="135"/>
      <c r="Y120" s="135"/>
      <c r="Z120" s="135"/>
    </row>
    <row r="121" spans="1:26">
      <c r="A121" s="135" t="str">
        <f ca="1">IFERROR(__xludf.DUMMYFUNCTION("""COMPUTED_VALUE"""),"Waterford Place Health Campus")</f>
        <v>Waterford Place Health Campus</v>
      </c>
      <c r="B121" s="135" t="str">
        <f ca="1">IFERROR(__xludf.DUMMYFUNCTION("""COMPUTED_VALUE"""),"Trilogy")</f>
        <v>Trilogy</v>
      </c>
      <c r="C121" s="135" t="str">
        <f ca="1">IFERROR(__xludf.DUMMYFUNCTION("""COMPUTED_VALUE"""),"   Tel: (765)236-1239")</f>
        <v xml:space="preserve">   Tel: (765)236-1239</v>
      </c>
      <c r="D121" s="135" t="str">
        <f ca="1">IFERROR(__xludf.DUMMYFUNCTION("""COMPUTED_VALUE"""),"   800 St Joseph Dr")</f>
        <v xml:space="preserve">   800 St Joseph Dr</v>
      </c>
      <c r="E121" s="135" t="str">
        <f ca="1">IFERROR(__xludf.DUMMYFUNCTION("""COMPUTED_VALUE"""),"   Kokomo, In 46901")</f>
        <v xml:space="preserve">   Kokomo, In 46901</v>
      </c>
      <c r="F121" s="135" t="str">
        <f ca="1">IFERROR(__xludf.DUMMYFUNCTION("""COMPUTED_VALUE"""),"")</f>
        <v/>
      </c>
      <c r="G121" s="135">
        <f ca="1">IFERROR(__xludf.DUMMYFUNCTION("""COMPUTED_VALUE"""),155)</f>
        <v>155</v>
      </c>
      <c r="H121" s="135" t="str">
        <f ca="1">IFERROR(__xludf.DUMMYFUNCTION("""COMPUTED_VALUE"""),"Plan to do testing themselves")</f>
        <v>Plan to do testing themselves</v>
      </c>
      <c r="I121" s="135" t="str">
        <f ca="1">IFERROR(__xludf.DUMMYFUNCTION("""COMPUTED_VALUE"""),"GREEN")</f>
        <v>GREEN</v>
      </c>
      <c r="J121" s="135" t="str">
        <f ca="1">IFERROR(__xludf.DUMMYFUNCTION("""COMPUTED_VALUE"""),"")</f>
        <v/>
      </c>
      <c r="K121" s="135"/>
      <c r="L121" s="135"/>
      <c r="M121" s="135"/>
      <c r="N121" s="135"/>
      <c r="O121" s="135"/>
      <c r="P121" s="135"/>
      <c r="Q121" s="135"/>
      <c r="R121" s="135"/>
      <c r="S121" s="135"/>
      <c r="T121" s="135"/>
      <c r="U121" s="135"/>
      <c r="V121" s="135"/>
      <c r="W121" s="135"/>
      <c r="X121" s="135"/>
      <c r="Y121" s="135"/>
      <c r="Z121" s="135"/>
    </row>
    <row r="122" spans="1:26">
      <c r="A122" s="135" t="str">
        <f ca="1">IFERROR(__xludf.DUMMYFUNCTION("""COMPUTED_VALUE"""),"Waters Of Greencastle, The")</f>
        <v>Waters Of Greencastle, The</v>
      </c>
      <c r="B122" s="135" t="str">
        <f ca="1">IFERROR(__xludf.DUMMYFUNCTION("""COMPUTED_VALUE"""),"Waters")</f>
        <v>Waters</v>
      </c>
      <c r="C122" s="135" t="str">
        <f ca="1">IFERROR(__xludf.DUMMYFUNCTION("""COMPUTED_VALUE"""),"   Tel: (765)653-2602")</f>
        <v xml:space="preserve">   Tel: (765)653-2602</v>
      </c>
      <c r="D122" s="135" t="str">
        <f ca="1">IFERROR(__xludf.DUMMYFUNCTION("""COMPUTED_VALUE"""),"   1601 Hospital Dr")</f>
        <v xml:space="preserve">   1601 Hospital Dr</v>
      </c>
      <c r="E122" s="135" t="str">
        <f ca="1">IFERROR(__xludf.DUMMYFUNCTION("""COMPUTED_VALUE"""),"   Greencastle, In 46135")</f>
        <v xml:space="preserve">   Greencastle, In 46135</v>
      </c>
      <c r="F122" s="135" t="str">
        <f ca="1">IFERROR(__xludf.DUMMYFUNCTION("""COMPUTED_VALUE"""),"")</f>
        <v/>
      </c>
      <c r="G122" s="135">
        <f ca="1">IFERROR(__xludf.DUMMYFUNCTION("""COMPUTED_VALUE"""),75)</f>
        <v>75</v>
      </c>
      <c r="H122" s="135" t="str">
        <f ca="1">IFERROR(__xludf.DUMMYFUNCTION("""COMPUTED_VALUE"""),"Plan to do testing themselves")</f>
        <v>Plan to do testing themselves</v>
      </c>
      <c r="I122" s="135" t="str">
        <f ca="1">IFERROR(__xludf.DUMMYFUNCTION("""COMPUTED_VALUE"""),"GREEN")</f>
        <v>GREEN</v>
      </c>
      <c r="J122" s="135" t="str">
        <f ca="1">IFERROR(__xludf.DUMMYFUNCTION("""COMPUTED_VALUE"""),"")</f>
        <v/>
      </c>
      <c r="K122" s="135"/>
      <c r="L122" s="135"/>
      <c r="M122" s="135"/>
      <c r="N122" s="135"/>
      <c r="O122" s="135"/>
      <c r="P122" s="135"/>
      <c r="Q122" s="135"/>
      <c r="R122" s="135"/>
      <c r="S122" s="135"/>
      <c r="T122" s="135"/>
      <c r="U122" s="135"/>
      <c r="V122" s="135"/>
      <c r="W122" s="135"/>
      <c r="X122" s="135"/>
      <c r="Y122" s="135"/>
      <c r="Z122" s="135"/>
    </row>
    <row r="123" spans="1:26">
      <c r="A123" s="135" t="str">
        <f ca="1">IFERROR(__xludf.DUMMYFUNCTION("""COMPUTED_VALUE"""),"Waters Of Lebanon, The")</f>
        <v>Waters Of Lebanon, The</v>
      </c>
      <c r="B123" s="135" t="str">
        <f ca="1">IFERROR(__xludf.DUMMYFUNCTION("""COMPUTED_VALUE"""),"Waters")</f>
        <v>Waters</v>
      </c>
      <c r="C123" s="135" t="str">
        <f ca="1">IFERROR(__xludf.DUMMYFUNCTION("""COMPUTED_VALUE"""),"   Tel: (765)482-6391")</f>
        <v xml:space="preserve">   Tel: (765)482-6391</v>
      </c>
      <c r="D123" s="135" t="str">
        <f ca="1">IFERROR(__xludf.DUMMYFUNCTION("""COMPUTED_VALUE"""),"   1585 Perry Worth Rd")</f>
        <v xml:space="preserve">   1585 Perry Worth Rd</v>
      </c>
      <c r="E123" s="135" t="str">
        <f ca="1">IFERROR(__xludf.DUMMYFUNCTION("""COMPUTED_VALUE"""),"   Lebanon, In 46052")</f>
        <v xml:space="preserve">   Lebanon, In 46052</v>
      </c>
      <c r="F123" s="135" t="str">
        <f ca="1">IFERROR(__xludf.DUMMYFUNCTION("""COMPUTED_VALUE"""),"")</f>
        <v/>
      </c>
      <c r="G123" s="135">
        <f ca="1">IFERROR(__xludf.DUMMYFUNCTION("""COMPUTED_VALUE"""),40)</f>
        <v>40</v>
      </c>
      <c r="H123" s="135" t="str">
        <f ca="1">IFERROR(__xludf.DUMMYFUNCTION("""COMPUTED_VALUE"""),"Already Testing Staff")</f>
        <v>Already Testing Staff</v>
      </c>
      <c r="I123" s="135" t="str">
        <f ca="1">IFERROR(__xludf.DUMMYFUNCTION("""COMPUTED_VALUE"""),"GREEN")</f>
        <v>GREEN</v>
      </c>
      <c r="J123" s="135" t="str">
        <f ca="1">IFERROR(__xludf.DUMMYFUNCTION("""COMPUTED_VALUE"""),"")</f>
        <v/>
      </c>
      <c r="K123" s="135"/>
      <c r="L123" s="135"/>
      <c r="M123" s="135"/>
      <c r="N123" s="135"/>
      <c r="O123" s="135"/>
      <c r="P123" s="135"/>
      <c r="Q123" s="135"/>
      <c r="R123" s="135"/>
      <c r="S123" s="135"/>
      <c r="T123" s="135"/>
      <c r="U123" s="135"/>
      <c r="V123" s="135"/>
      <c r="W123" s="135"/>
      <c r="X123" s="135"/>
      <c r="Y123" s="135"/>
      <c r="Z123" s="135"/>
    </row>
    <row r="124" spans="1:26">
      <c r="A124" s="135" t="str">
        <f ca="1">IFERROR(__xludf.DUMMYFUNCTION("""COMPUTED_VALUE"""),"Waters Of New Castle, The")</f>
        <v>Waters Of New Castle, The</v>
      </c>
      <c r="B124" s="135" t="str">
        <f ca="1">IFERROR(__xludf.DUMMYFUNCTION("""COMPUTED_VALUE"""),"Waters")</f>
        <v>Waters</v>
      </c>
      <c r="C124" s="135" t="str">
        <f ca="1">IFERROR(__xludf.DUMMYFUNCTION("""COMPUTED_VALUE"""),"   Tel: (765)521-1420")</f>
        <v xml:space="preserve">   Tel: (765)521-1420</v>
      </c>
      <c r="D124" s="135" t="str">
        <f ca="1">IFERROR(__xludf.DUMMYFUNCTION("""COMPUTED_VALUE"""),"   1000 N 16Th St")</f>
        <v xml:space="preserve">   1000 N 16Th St</v>
      </c>
      <c r="E124" s="135" t="str">
        <f ca="1">IFERROR(__xludf.DUMMYFUNCTION("""COMPUTED_VALUE"""),"   New Castle, In 47362")</f>
        <v xml:space="preserve">   New Castle, In 47362</v>
      </c>
      <c r="F124" s="135" t="str">
        <f ca="1">IFERROR(__xludf.DUMMYFUNCTION("""COMPUTED_VALUE"""),"")</f>
        <v/>
      </c>
      <c r="G124" s="135">
        <f ca="1">IFERROR(__xludf.DUMMYFUNCTION("""COMPUTED_VALUE"""),72)</f>
        <v>72</v>
      </c>
      <c r="H124" s="135" t="str">
        <f ca="1">IFERROR(__xludf.DUMMYFUNCTION("""COMPUTED_VALUE"""),"Plan to do testing themselves")</f>
        <v>Plan to do testing themselves</v>
      </c>
      <c r="I124" s="135" t="str">
        <f ca="1">IFERROR(__xludf.DUMMYFUNCTION("""COMPUTED_VALUE"""),"GREEN")</f>
        <v>GREEN</v>
      </c>
      <c r="J124" s="135" t="str">
        <f ca="1">IFERROR(__xludf.DUMMYFUNCTION("""COMPUTED_VALUE"""),"")</f>
        <v/>
      </c>
      <c r="K124" s="135"/>
      <c r="L124" s="135"/>
      <c r="M124" s="135"/>
      <c r="N124" s="135"/>
      <c r="O124" s="135"/>
      <c r="P124" s="135"/>
      <c r="Q124" s="135"/>
      <c r="R124" s="135"/>
      <c r="S124" s="135"/>
      <c r="T124" s="135"/>
      <c r="U124" s="135"/>
      <c r="V124" s="135"/>
      <c r="W124" s="135"/>
      <c r="X124" s="135"/>
      <c r="Y124" s="135"/>
      <c r="Z124" s="135"/>
    </row>
    <row r="125" spans="1:26">
      <c r="A125" s="135" t="str">
        <f ca="1">IFERROR(__xludf.DUMMYFUNCTION("""COMPUTED_VALUE"""),"Waters Of Scottsburg, The")</f>
        <v>Waters Of Scottsburg, The</v>
      </c>
      <c r="B125" s="135" t="str">
        <f ca="1">IFERROR(__xludf.DUMMYFUNCTION("""COMPUTED_VALUE"""),"Waters")</f>
        <v>Waters</v>
      </c>
      <c r="C125" s="135" t="str">
        <f ca="1">IFERROR(__xludf.DUMMYFUNCTION("""COMPUTED_VALUE"""),"   Tel: (812)752-5663")</f>
        <v xml:space="preserve">   Tel: (812)752-5663</v>
      </c>
      <c r="D125" s="135" t="str">
        <f ca="1">IFERROR(__xludf.DUMMYFUNCTION("""COMPUTED_VALUE"""),"   1350 N Todd Dr")</f>
        <v xml:space="preserve">   1350 N Todd Dr</v>
      </c>
      <c r="E125" s="135" t="str">
        <f ca="1">IFERROR(__xludf.DUMMYFUNCTION("""COMPUTED_VALUE"""),"   Scottsburg, In 47170")</f>
        <v xml:space="preserve">   Scottsburg, In 47170</v>
      </c>
      <c r="F125" s="135" t="str">
        <f ca="1">IFERROR(__xludf.DUMMYFUNCTION("""COMPUTED_VALUE"""),"")</f>
        <v/>
      </c>
      <c r="G125" s="135">
        <f ca="1">IFERROR(__xludf.DUMMYFUNCTION("""COMPUTED_VALUE"""),57)</f>
        <v>57</v>
      </c>
      <c r="H125" s="135" t="str">
        <f ca="1">IFERROR(__xludf.DUMMYFUNCTION("""COMPUTED_VALUE"""),"Already Testing Staff")</f>
        <v>Already Testing Staff</v>
      </c>
      <c r="I125" s="135" t="str">
        <f ca="1">IFERROR(__xludf.DUMMYFUNCTION("""COMPUTED_VALUE"""),"GREEN")</f>
        <v>GREEN</v>
      </c>
      <c r="J125" s="135" t="str">
        <f ca="1">IFERROR(__xludf.DUMMYFUNCTION("""COMPUTED_VALUE"""),"")</f>
        <v/>
      </c>
      <c r="K125" s="135"/>
      <c r="L125" s="135"/>
      <c r="M125" s="135"/>
      <c r="N125" s="135"/>
      <c r="O125" s="135"/>
      <c r="P125" s="135"/>
      <c r="Q125" s="135"/>
      <c r="R125" s="135"/>
      <c r="S125" s="135"/>
      <c r="T125" s="135"/>
      <c r="U125" s="135"/>
      <c r="V125" s="135"/>
      <c r="W125" s="135"/>
      <c r="X125" s="135"/>
      <c r="Y125" s="135"/>
      <c r="Z125" s="135"/>
    </row>
    <row r="126" spans="1:26">
      <c r="A126" s="135" t="str">
        <f ca="1">IFERROR(__xludf.DUMMYFUNCTION("""COMPUTED_VALUE"""),"Wedgewood Healthcare Center")</f>
        <v>Wedgewood Healthcare Center</v>
      </c>
      <c r="B126" s="135" t="str">
        <f ca="1">IFERROR(__xludf.DUMMYFUNCTION("""COMPUTED_VALUE"""),"CommuniCare")</f>
        <v>CommuniCare</v>
      </c>
      <c r="C126" s="135" t="str">
        <f ca="1">IFERROR(__xludf.DUMMYFUNCTION("""COMPUTED_VALUE"""),"   Tel: (812)948-0808")</f>
        <v xml:space="preserve">   Tel: (812)948-0808</v>
      </c>
      <c r="D126" s="135" t="str">
        <f ca="1">IFERROR(__xludf.DUMMYFUNCTION("""COMPUTED_VALUE"""),"   101 Potters Ln")</f>
        <v xml:space="preserve">   101 Potters Ln</v>
      </c>
      <c r="E126" s="135" t="str">
        <f ca="1">IFERROR(__xludf.DUMMYFUNCTION("""COMPUTED_VALUE"""),"   Clarksville, In 47129")</f>
        <v xml:space="preserve">   Clarksville, In 47129</v>
      </c>
      <c r="F126" s="135" t="str">
        <f ca="1">IFERROR(__xludf.DUMMYFUNCTION("""COMPUTED_VALUE"""),"")</f>
        <v/>
      </c>
      <c r="G126" s="135">
        <f ca="1">IFERROR(__xludf.DUMMYFUNCTION("""COMPUTED_VALUE"""),68)</f>
        <v>68</v>
      </c>
      <c r="H126" s="135" t="str">
        <f ca="1">IFERROR(__xludf.DUMMYFUNCTION("""COMPUTED_VALUE"""),"Plan to do testing themselves")</f>
        <v>Plan to do testing themselves</v>
      </c>
      <c r="I126" s="135" t="str">
        <f ca="1">IFERROR(__xludf.DUMMYFUNCTION("""COMPUTED_VALUE"""),"GREEN")</f>
        <v>GREEN</v>
      </c>
      <c r="J126" s="135" t="str">
        <f ca="1">IFERROR(__xludf.DUMMYFUNCTION("""COMPUTED_VALUE"""),"")</f>
        <v/>
      </c>
      <c r="K126" s="135"/>
      <c r="L126" s="135"/>
      <c r="M126" s="135"/>
      <c r="N126" s="135"/>
      <c r="O126" s="135"/>
      <c r="P126" s="135"/>
      <c r="Q126" s="135"/>
      <c r="R126" s="135"/>
      <c r="S126" s="135"/>
      <c r="T126" s="135"/>
      <c r="U126" s="135"/>
      <c r="V126" s="135"/>
      <c r="W126" s="135"/>
      <c r="X126" s="135"/>
      <c r="Y126" s="135"/>
      <c r="Z126" s="135"/>
    </row>
    <row r="127" spans="1:26">
      <c r="A127" s="135" t="str">
        <f ca="1">IFERROR(__xludf.DUMMYFUNCTION("""COMPUTED_VALUE"""),"Wellbrooke Of Avon")</f>
        <v>Wellbrooke Of Avon</v>
      </c>
      <c r="B127" s="135" t="str">
        <f ca="1">IFERROR(__xludf.DUMMYFUNCTION("""COMPUTED_VALUE"""),"Trilogy")</f>
        <v>Trilogy</v>
      </c>
      <c r="C127" s="135" t="str">
        <f ca="1">IFERROR(__xludf.DUMMYFUNCTION("""COMPUTED_VALUE"""),"   Tel: (317)273-2144")</f>
        <v xml:space="preserve">   Tel: (317)273-2144</v>
      </c>
      <c r="D127" s="135" t="str">
        <f ca="1">IFERROR(__xludf.DUMMYFUNCTION("""COMPUTED_VALUE"""),"   10307 East County Road 100 North")</f>
        <v xml:space="preserve">   10307 East County Road 100 North</v>
      </c>
      <c r="E127" s="135" t="str">
        <f ca="1">IFERROR(__xludf.DUMMYFUNCTION("""COMPUTED_VALUE"""),"   Indianapolis, In 46234")</f>
        <v xml:space="preserve">   Indianapolis, In 46234</v>
      </c>
      <c r="F127" s="135" t="str">
        <f ca="1">IFERROR(__xludf.DUMMYFUNCTION("""COMPUTED_VALUE"""),"")</f>
        <v/>
      </c>
      <c r="G127" s="135">
        <f ca="1">IFERROR(__xludf.DUMMYFUNCTION("""COMPUTED_VALUE"""),109)</f>
        <v>109</v>
      </c>
      <c r="H127" s="135" t="str">
        <f ca="1">IFERROR(__xludf.DUMMYFUNCTION("""COMPUTED_VALUE"""),"Plan to do testing themselves")</f>
        <v>Plan to do testing themselves</v>
      </c>
      <c r="I127" s="135" t="str">
        <f ca="1">IFERROR(__xludf.DUMMYFUNCTION("""COMPUTED_VALUE"""),"GREEN")</f>
        <v>GREEN</v>
      </c>
      <c r="J127" s="135" t="str">
        <f ca="1">IFERROR(__xludf.DUMMYFUNCTION("""COMPUTED_VALUE"""),"")</f>
        <v/>
      </c>
      <c r="K127" s="135"/>
      <c r="L127" s="135"/>
      <c r="M127" s="135"/>
      <c r="N127" s="135"/>
      <c r="O127" s="135"/>
      <c r="P127" s="135"/>
      <c r="Q127" s="135"/>
      <c r="R127" s="135"/>
      <c r="S127" s="135"/>
      <c r="T127" s="135"/>
      <c r="U127" s="135"/>
      <c r="V127" s="135"/>
      <c r="W127" s="135"/>
      <c r="X127" s="135"/>
      <c r="Y127" s="135"/>
      <c r="Z127" s="135"/>
    </row>
    <row r="128" spans="1:26">
      <c r="A128" s="135" t="str">
        <f ca="1">IFERROR(__xludf.DUMMYFUNCTION("""COMPUTED_VALUE"""),"Wellbrooke Of Carmel")</f>
        <v>Wellbrooke Of Carmel</v>
      </c>
      <c r="B128" s="135" t="str">
        <f ca="1">IFERROR(__xludf.DUMMYFUNCTION("""COMPUTED_VALUE"""),"Trilogy")</f>
        <v>Trilogy</v>
      </c>
      <c r="C128" s="135" t="str">
        <f ca="1">IFERROR(__xludf.DUMMYFUNCTION("""COMPUTED_VALUE"""),"   Tel: (317)569-7200")</f>
        <v xml:space="preserve">   Tel: (317)569-7200</v>
      </c>
      <c r="D128" s="135" t="str">
        <f ca="1">IFERROR(__xludf.DUMMYFUNCTION("""COMPUTED_VALUE"""),"   12315 Pennsylvania Street")</f>
        <v xml:space="preserve">   12315 Pennsylvania Street</v>
      </c>
      <c r="E128" s="135" t="str">
        <f ca="1">IFERROR(__xludf.DUMMYFUNCTION("""COMPUTED_VALUE"""),"   Carmel, In 46032")</f>
        <v xml:space="preserve">   Carmel, In 46032</v>
      </c>
      <c r="F128" s="135" t="str">
        <f ca="1">IFERROR(__xludf.DUMMYFUNCTION("""COMPUTED_VALUE"""),"")</f>
        <v/>
      </c>
      <c r="G128" s="135">
        <f ca="1">IFERROR(__xludf.DUMMYFUNCTION("""COMPUTED_VALUE"""),94)</f>
        <v>94</v>
      </c>
      <c r="H128" s="135" t="str">
        <f ca="1">IFERROR(__xludf.DUMMYFUNCTION("""COMPUTED_VALUE"""),"Plan to do testing themselves")</f>
        <v>Plan to do testing themselves</v>
      </c>
      <c r="I128" s="135" t="str">
        <f ca="1">IFERROR(__xludf.DUMMYFUNCTION("""COMPUTED_VALUE"""),"GREEN")</f>
        <v>GREEN</v>
      </c>
      <c r="J128" s="135" t="str">
        <f ca="1">IFERROR(__xludf.DUMMYFUNCTION("""COMPUTED_VALUE"""),"")</f>
        <v/>
      </c>
      <c r="K128" s="135"/>
      <c r="L128" s="135"/>
      <c r="M128" s="135"/>
      <c r="N128" s="135"/>
      <c r="O128" s="135"/>
      <c r="P128" s="135"/>
      <c r="Q128" s="135"/>
      <c r="R128" s="135"/>
      <c r="S128" s="135"/>
      <c r="T128" s="135"/>
      <c r="U128" s="135"/>
      <c r="V128" s="135"/>
      <c r="W128" s="135"/>
      <c r="X128" s="135"/>
      <c r="Y128" s="135"/>
      <c r="Z128" s="135"/>
    </row>
    <row r="129" spans="1:26">
      <c r="A129" s="135" t="str">
        <f ca="1">IFERROR(__xludf.DUMMYFUNCTION("""COMPUTED_VALUE"""),"Wellbrooke Of Crawfordsville")</f>
        <v>Wellbrooke Of Crawfordsville</v>
      </c>
      <c r="B129" s="135" t="str">
        <f ca="1">IFERROR(__xludf.DUMMYFUNCTION("""COMPUTED_VALUE"""),"Trilogy")</f>
        <v>Trilogy</v>
      </c>
      <c r="C129" s="135" t="str">
        <f ca="1">IFERROR(__xludf.DUMMYFUNCTION("""COMPUTED_VALUE"""),"   Tel: (765)362-9122")</f>
        <v xml:space="preserve">   Tel: (765)362-9122</v>
      </c>
      <c r="D129" s="135" t="str">
        <f ca="1">IFERROR(__xludf.DUMMYFUNCTION("""COMPUTED_VALUE"""),"   517 Concord Road")</f>
        <v xml:space="preserve">   517 Concord Road</v>
      </c>
      <c r="E129" s="135" t="str">
        <f ca="1">IFERROR(__xludf.DUMMYFUNCTION("""COMPUTED_VALUE"""),"   Crawfordsville, In 47933")</f>
        <v xml:space="preserve">   Crawfordsville, In 47933</v>
      </c>
      <c r="F129" s="135" t="str">
        <f ca="1">IFERROR(__xludf.DUMMYFUNCTION("""COMPUTED_VALUE"""),"")</f>
        <v/>
      </c>
      <c r="G129" s="135">
        <f ca="1">IFERROR(__xludf.DUMMYFUNCTION("""COMPUTED_VALUE"""),126)</f>
        <v>126</v>
      </c>
      <c r="H129" s="135" t="str">
        <f ca="1">IFERROR(__xludf.DUMMYFUNCTION("""COMPUTED_VALUE"""),"Plan to do testing themselves")</f>
        <v>Plan to do testing themselves</v>
      </c>
      <c r="I129" s="135" t="str">
        <f ca="1">IFERROR(__xludf.DUMMYFUNCTION("""COMPUTED_VALUE"""),"GREEN")</f>
        <v>GREEN</v>
      </c>
      <c r="J129" s="135" t="str">
        <f ca="1">IFERROR(__xludf.DUMMYFUNCTION("""COMPUTED_VALUE"""),"")</f>
        <v/>
      </c>
      <c r="K129" s="135"/>
      <c r="L129" s="135"/>
      <c r="M129" s="135"/>
      <c r="N129" s="135"/>
      <c r="O129" s="135"/>
      <c r="P129" s="135"/>
      <c r="Q129" s="135"/>
      <c r="R129" s="135"/>
      <c r="S129" s="135"/>
      <c r="T129" s="135"/>
      <c r="U129" s="135"/>
      <c r="V129" s="135"/>
      <c r="W129" s="135"/>
      <c r="X129" s="135"/>
      <c r="Y129" s="135"/>
      <c r="Z129" s="135"/>
    </row>
    <row r="130" spans="1:26">
      <c r="A130" s="135" t="str">
        <f ca="1">IFERROR(__xludf.DUMMYFUNCTION("""COMPUTED_VALUE"""),"Wellbrooke Of Kokomo")</f>
        <v>Wellbrooke Of Kokomo</v>
      </c>
      <c r="B130" s="135" t="str">
        <f ca="1">IFERROR(__xludf.DUMMYFUNCTION("""COMPUTED_VALUE"""),"Trilogy")</f>
        <v>Trilogy</v>
      </c>
      <c r="C130" s="135" t="str">
        <f ca="1">IFERROR(__xludf.DUMMYFUNCTION("""COMPUTED_VALUE"""),"   Tel: (765)455-4443")</f>
        <v xml:space="preserve">   Tel: (765)455-4443</v>
      </c>
      <c r="D130" s="135" t="str">
        <f ca="1">IFERROR(__xludf.DUMMYFUNCTION("""COMPUTED_VALUE"""),"   2200 South Dixon Road")</f>
        <v xml:space="preserve">   2200 South Dixon Road</v>
      </c>
      <c r="E130" s="135" t="str">
        <f ca="1">IFERROR(__xludf.DUMMYFUNCTION("""COMPUTED_VALUE"""),"   Kokomo, In 46902")</f>
        <v xml:space="preserve">   Kokomo, In 46902</v>
      </c>
      <c r="F130" s="135" t="str">
        <f ca="1">IFERROR(__xludf.DUMMYFUNCTION("""COMPUTED_VALUE"""),"")</f>
        <v/>
      </c>
      <c r="G130" s="135">
        <f ca="1">IFERROR(__xludf.DUMMYFUNCTION("""COMPUTED_VALUE"""),126)</f>
        <v>126</v>
      </c>
      <c r="H130" s="135" t="str">
        <f ca="1">IFERROR(__xludf.DUMMYFUNCTION("""COMPUTED_VALUE"""),"Plan to do testing themselves")</f>
        <v>Plan to do testing themselves</v>
      </c>
      <c r="I130" s="135" t="str">
        <f ca="1">IFERROR(__xludf.DUMMYFUNCTION("""COMPUTED_VALUE"""),"GREEN")</f>
        <v>GREEN</v>
      </c>
      <c r="J130" s="135" t="str">
        <f ca="1">IFERROR(__xludf.DUMMYFUNCTION("""COMPUTED_VALUE"""),"")</f>
        <v/>
      </c>
      <c r="K130" s="135"/>
      <c r="L130" s="135"/>
      <c r="M130" s="135"/>
      <c r="N130" s="135"/>
      <c r="O130" s="135"/>
      <c r="P130" s="135"/>
      <c r="Q130" s="135"/>
      <c r="R130" s="135"/>
      <c r="S130" s="135"/>
      <c r="T130" s="135"/>
      <c r="U130" s="135"/>
      <c r="V130" s="135"/>
      <c r="W130" s="135"/>
      <c r="X130" s="135"/>
      <c r="Y130" s="135"/>
      <c r="Z130" s="135"/>
    </row>
    <row r="131" spans="1:26">
      <c r="A131" s="135" t="str">
        <f ca="1">IFERROR(__xludf.DUMMYFUNCTION("""COMPUTED_VALUE"""),"Wellbrooke Of South Bend")</f>
        <v>Wellbrooke Of South Bend</v>
      </c>
      <c r="B131" s="135" t="str">
        <f ca="1">IFERROR(__xludf.DUMMYFUNCTION("""COMPUTED_VALUE"""),"Trilogy")</f>
        <v>Trilogy</v>
      </c>
      <c r="C131" s="135" t="str">
        <f ca="1">IFERROR(__xludf.DUMMYFUNCTION("""COMPUTED_VALUE"""),"   Tel: (574)247-7044")</f>
        <v xml:space="preserve">   Tel: (574)247-7044</v>
      </c>
      <c r="D131" s="135" t="str">
        <f ca="1">IFERROR(__xludf.DUMMYFUNCTION("""COMPUTED_VALUE"""),"   52565 State Road 933")</f>
        <v xml:space="preserve">   52565 State Road 933</v>
      </c>
      <c r="E131" s="135" t="str">
        <f ca="1">IFERROR(__xludf.DUMMYFUNCTION("""COMPUTED_VALUE"""),"   South Bend, In 46637")</f>
        <v xml:space="preserve">   South Bend, In 46637</v>
      </c>
      <c r="F131" s="135" t="str">
        <f ca="1">IFERROR(__xludf.DUMMYFUNCTION("""COMPUTED_VALUE"""),"")</f>
        <v/>
      </c>
      <c r="G131" s="135">
        <f ca="1">IFERROR(__xludf.DUMMYFUNCTION("""COMPUTED_VALUE"""),135)</f>
        <v>135</v>
      </c>
      <c r="H131" s="135" t="str">
        <f ca="1">IFERROR(__xludf.DUMMYFUNCTION("""COMPUTED_VALUE"""),"Plan to do testing themselves")</f>
        <v>Plan to do testing themselves</v>
      </c>
      <c r="I131" s="135" t="str">
        <f ca="1">IFERROR(__xludf.DUMMYFUNCTION("""COMPUTED_VALUE"""),"GREEN")</f>
        <v>GREEN</v>
      </c>
      <c r="J131" s="135" t="str">
        <f ca="1">IFERROR(__xludf.DUMMYFUNCTION("""COMPUTED_VALUE"""),"")</f>
        <v/>
      </c>
      <c r="K131" s="135"/>
      <c r="L131" s="135"/>
      <c r="M131" s="135"/>
      <c r="N131" s="135"/>
      <c r="O131" s="135"/>
      <c r="P131" s="135"/>
      <c r="Q131" s="135"/>
      <c r="R131" s="135"/>
      <c r="S131" s="135"/>
      <c r="T131" s="135"/>
      <c r="U131" s="135"/>
      <c r="V131" s="135"/>
      <c r="W131" s="135"/>
      <c r="X131" s="135"/>
      <c r="Y131" s="135"/>
      <c r="Z131" s="135"/>
    </row>
    <row r="132" spans="1:26">
      <c r="A132" s="135" t="str">
        <f ca="1">IFERROR(__xludf.DUMMYFUNCTION("""COMPUTED_VALUE"""),"Wellbrooke Of Wabash")</f>
        <v>Wellbrooke Of Wabash</v>
      </c>
      <c r="B132" s="135" t="str">
        <f ca="1">IFERROR(__xludf.DUMMYFUNCTION("""COMPUTED_VALUE"""),"Trilogy")</f>
        <v>Trilogy</v>
      </c>
      <c r="C132" s="135" t="str">
        <f ca="1">IFERROR(__xludf.DUMMYFUNCTION("""COMPUTED_VALUE"""),"   Tel: (260)274-0444")</f>
        <v xml:space="preserve">   Tel: (260)274-0444</v>
      </c>
      <c r="D132" s="135" t="str">
        <f ca="1">IFERROR(__xludf.DUMMYFUNCTION("""COMPUTED_VALUE"""),"   20 John Kissinger Drive")</f>
        <v xml:space="preserve">   20 John Kissinger Drive</v>
      </c>
      <c r="E132" s="135" t="str">
        <f ca="1">IFERROR(__xludf.DUMMYFUNCTION("""COMPUTED_VALUE"""),"   Wabash, In 46992")</f>
        <v xml:space="preserve">   Wabash, In 46992</v>
      </c>
      <c r="F132" s="135" t="str">
        <f ca="1">IFERROR(__xludf.DUMMYFUNCTION("""COMPUTED_VALUE"""),"")</f>
        <v/>
      </c>
      <c r="G132" s="135">
        <f ca="1">IFERROR(__xludf.DUMMYFUNCTION("""COMPUTED_VALUE"""),117)</f>
        <v>117</v>
      </c>
      <c r="H132" s="135" t="str">
        <f ca="1">IFERROR(__xludf.DUMMYFUNCTION("""COMPUTED_VALUE"""),"Plan to do testing themselves")</f>
        <v>Plan to do testing themselves</v>
      </c>
      <c r="I132" s="135" t="str">
        <f ca="1">IFERROR(__xludf.DUMMYFUNCTION("""COMPUTED_VALUE"""),"GREEN")</f>
        <v>GREEN</v>
      </c>
      <c r="J132" s="135" t="str">
        <f ca="1">IFERROR(__xludf.DUMMYFUNCTION("""COMPUTED_VALUE"""),"")</f>
        <v/>
      </c>
      <c r="K132" s="135"/>
      <c r="L132" s="135"/>
      <c r="M132" s="135"/>
      <c r="N132" s="135"/>
      <c r="O132" s="135"/>
      <c r="P132" s="135"/>
      <c r="Q132" s="135"/>
      <c r="R132" s="135"/>
      <c r="S132" s="135"/>
      <c r="T132" s="135"/>
      <c r="U132" s="135"/>
      <c r="V132" s="135"/>
      <c r="W132" s="135"/>
      <c r="X132" s="135"/>
      <c r="Y132" s="135"/>
      <c r="Z132" s="135"/>
    </row>
    <row r="133" spans="1:26">
      <c r="A133" s="135" t="str">
        <f ca="1">IFERROR(__xludf.DUMMYFUNCTION("""COMPUTED_VALUE"""),"Wellbrooke Of Westfield")</f>
        <v>Wellbrooke Of Westfield</v>
      </c>
      <c r="B133" s="135" t="str">
        <f ca="1">IFERROR(__xludf.DUMMYFUNCTION("""COMPUTED_VALUE"""),"Trilogy")</f>
        <v>Trilogy</v>
      </c>
      <c r="C133" s="135" t="str">
        <f ca="1">IFERROR(__xludf.DUMMYFUNCTION("""COMPUTED_VALUE"""),"   Tel: (317)804-8044")</f>
        <v xml:space="preserve">   Tel: (317)804-8044</v>
      </c>
      <c r="D133" s="135" t="str">
        <f ca="1">IFERROR(__xludf.DUMMYFUNCTION("""COMPUTED_VALUE"""),"   937 E 186Th Street")</f>
        <v xml:space="preserve">   937 E 186Th Street</v>
      </c>
      <c r="E133" s="135" t="str">
        <f ca="1">IFERROR(__xludf.DUMMYFUNCTION("""COMPUTED_VALUE"""),"   Westfield, In 46074")</f>
        <v xml:space="preserve">   Westfield, In 46074</v>
      </c>
      <c r="F133" s="135" t="str">
        <f ca="1">IFERROR(__xludf.DUMMYFUNCTION("""COMPUTED_VALUE"""),"")</f>
        <v/>
      </c>
      <c r="G133" s="135">
        <f ca="1">IFERROR(__xludf.DUMMYFUNCTION("""COMPUTED_VALUE"""),96)</f>
        <v>96</v>
      </c>
      <c r="H133" s="135" t="str">
        <f ca="1">IFERROR(__xludf.DUMMYFUNCTION("""COMPUTED_VALUE"""),"Plan to do testing themselves")</f>
        <v>Plan to do testing themselves</v>
      </c>
      <c r="I133" s="135" t="str">
        <f ca="1">IFERROR(__xludf.DUMMYFUNCTION("""COMPUTED_VALUE"""),"GREEN")</f>
        <v>GREEN</v>
      </c>
      <c r="J133" s="135" t="str">
        <f ca="1">IFERROR(__xludf.DUMMYFUNCTION("""COMPUTED_VALUE"""),"")</f>
        <v/>
      </c>
      <c r="K133" s="135"/>
      <c r="L133" s="135"/>
      <c r="M133" s="135"/>
      <c r="N133" s="135"/>
      <c r="O133" s="135"/>
      <c r="P133" s="135"/>
      <c r="Q133" s="135"/>
      <c r="R133" s="135"/>
      <c r="S133" s="135"/>
      <c r="T133" s="135"/>
      <c r="U133" s="135"/>
      <c r="V133" s="135"/>
      <c r="W133" s="135"/>
      <c r="X133" s="135"/>
      <c r="Y133" s="135"/>
      <c r="Z133" s="135"/>
    </row>
    <row r="134" spans="1:26">
      <c r="A134" s="135" t="str">
        <f ca="1">IFERROR(__xludf.DUMMYFUNCTION("""COMPUTED_VALUE"""),"West River Health Campus")</f>
        <v>West River Health Campus</v>
      </c>
      <c r="B134" s="135" t="str">
        <f ca="1">IFERROR(__xludf.DUMMYFUNCTION("""COMPUTED_VALUE"""),"Trilogy")</f>
        <v>Trilogy</v>
      </c>
      <c r="C134" s="135" t="str">
        <f ca="1">IFERROR(__xludf.DUMMYFUNCTION("""COMPUTED_VALUE"""),"   Tel: (812)985-9878")</f>
        <v xml:space="preserve">   Tel: (812)985-9878</v>
      </c>
      <c r="D134" s="135" t="str">
        <f ca="1">IFERROR(__xludf.DUMMYFUNCTION("""COMPUTED_VALUE"""),"   714 S Eickhoff Rd")</f>
        <v xml:space="preserve">   714 S Eickhoff Rd</v>
      </c>
      <c r="E134" s="135" t="str">
        <f ca="1">IFERROR(__xludf.DUMMYFUNCTION("""COMPUTED_VALUE"""),"   Evansville, In 47712")</f>
        <v xml:space="preserve">   Evansville, In 47712</v>
      </c>
      <c r="F134" s="135" t="str">
        <f ca="1">IFERROR(__xludf.DUMMYFUNCTION("""COMPUTED_VALUE"""),"")</f>
        <v/>
      </c>
      <c r="G134" s="135">
        <f ca="1">IFERROR(__xludf.DUMMYFUNCTION("""COMPUTED_VALUE"""),141)</f>
        <v>141</v>
      </c>
      <c r="H134" s="135" t="str">
        <f ca="1">IFERROR(__xludf.DUMMYFUNCTION("""COMPUTED_VALUE"""),"Plan to do testing themselves")</f>
        <v>Plan to do testing themselves</v>
      </c>
      <c r="I134" s="135" t="str">
        <f ca="1">IFERROR(__xludf.DUMMYFUNCTION("""COMPUTED_VALUE"""),"GREEN")</f>
        <v>GREEN</v>
      </c>
      <c r="J134" s="135" t="str">
        <f ca="1">IFERROR(__xludf.DUMMYFUNCTION("""COMPUTED_VALUE"""),"")</f>
        <v/>
      </c>
      <c r="K134" s="135"/>
      <c r="L134" s="135"/>
      <c r="M134" s="135"/>
      <c r="N134" s="135"/>
      <c r="O134" s="135"/>
      <c r="P134" s="135"/>
      <c r="Q134" s="135"/>
      <c r="R134" s="135"/>
      <c r="S134" s="135"/>
      <c r="T134" s="135"/>
      <c r="U134" s="135"/>
      <c r="V134" s="135"/>
      <c r="W134" s="135"/>
      <c r="X134" s="135"/>
      <c r="Y134" s="135"/>
      <c r="Z134" s="135"/>
    </row>
    <row r="135" spans="1:26">
      <c r="A135" s="135" t="str">
        <f ca="1">IFERROR(__xludf.DUMMYFUNCTION("""COMPUTED_VALUE"""),"White Oak Health Campus")</f>
        <v>White Oak Health Campus</v>
      </c>
      <c r="B135" s="135" t="str">
        <f ca="1">IFERROR(__xludf.DUMMYFUNCTION("""COMPUTED_VALUE"""),"Trilogy")</f>
        <v>Trilogy</v>
      </c>
      <c r="C135" s="135" t="str">
        <f ca="1">IFERROR(__xludf.DUMMYFUNCTION("""COMPUTED_VALUE"""),"   Tel: (574)583-0324")</f>
        <v xml:space="preserve">   Tel: (574)583-0324</v>
      </c>
      <c r="D135" s="135" t="str">
        <f ca="1">IFERROR(__xludf.DUMMYFUNCTION("""COMPUTED_VALUE"""),"   814 S 6Th St")</f>
        <v xml:space="preserve">   814 S 6Th St</v>
      </c>
      <c r="E135" s="135" t="str">
        <f ca="1">IFERROR(__xludf.DUMMYFUNCTION("""COMPUTED_VALUE"""),"   Monticello, In 47960")</f>
        <v xml:space="preserve">   Monticello, In 47960</v>
      </c>
      <c r="F135" s="135" t="str">
        <f ca="1">IFERROR(__xludf.DUMMYFUNCTION("""COMPUTED_VALUE"""),"No")</f>
        <v>No</v>
      </c>
      <c r="G135" s="135">
        <f ca="1">IFERROR(__xludf.DUMMYFUNCTION("""COMPUTED_VALUE"""),137)</f>
        <v>137</v>
      </c>
      <c r="H135" s="135" t="str">
        <f ca="1">IFERROR(__xludf.DUMMYFUNCTION("""COMPUTED_VALUE"""),"Plan to do testing themselves")</f>
        <v>Plan to do testing themselves</v>
      </c>
      <c r="I135" s="135" t="str">
        <f ca="1">IFERROR(__xludf.DUMMYFUNCTION("""COMPUTED_VALUE"""),"GREEN")</f>
        <v>GREEN</v>
      </c>
      <c r="J135" s="135" t="str">
        <f ca="1">IFERROR(__xludf.DUMMYFUNCTION("""COMPUTED_VALUE"""),"")</f>
        <v/>
      </c>
      <c r="K135" s="135"/>
      <c r="L135" s="135"/>
      <c r="M135" s="135"/>
      <c r="N135" s="135"/>
      <c r="O135" s="135"/>
      <c r="P135" s="135"/>
      <c r="Q135" s="135"/>
      <c r="R135" s="135"/>
      <c r="S135" s="135"/>
      <c r="T135" s="135"/>
      <c r="U135" s="135"/>
      <c r="V135" s="135"/>
      <c r="W135" s="135"/>
      <c r="X135" s="135"/>
      <c r="Y135" s="135"/>
      <c r="Z135" s="135"/>
    </row>
    <row r="136" spans="1:26">
      <c r="A136" s="135" t="str">
        <f ca="1">IFERROR(__xludf.DUMMYFUNCTION("""COMPUTED_VALUE"""),"Witham Extended Care")</f>
        <v>Witham Extended Care</v>
      </c>
      <c r="B136" s="135" t="str">
        <f ca="1">IFERROR(__xludf.DUMMYFUNCTION("""COMPUTED_VALUE"""),"")</f>
        <v/>
      </c>
      <c r="C136" s="135" t="str">
        <f ca="1">IFERROR(__xludf.DUMMYFUNCTION("""COMPUTED_VALUE"""),"   Tel: (765)485-8300")</f>
        <v xml:space="preserve">   Tel: (765)485-8300</v>
      </c>
      <c r="D136" s="135" t="str">
        <f ca="1">IFERROR(__xludf.DUMMYFUNCTION("""COMPUTED_VALUE"""),"   2605 N Lebanon Street")</f>
        <v xml:space="preserve">   2605 N Lebanon Street</v>
      </c>
      <c r="E136" s="135" t="str">
        <f ca="1">IFERROR(__xludf.DUMMYFUNCTION("""COMPUTED_VALUE"""),"   Lebanon, In 46052")</f>
        <v xml:space="preserve">   Lebanon, In 46052</v>
      </c>
      <c r="F136" s="135" t="str">
        <f ca="1">IFERROR(__xludf.DUMMYFUNCTION("""COMPUTED_VALUE"""),"")</f>
        <v/>
      </c>
      <c r="G136" s="135">
        <f ca="1">IFERROR(__xludf.DUMMYFUNCTION("""COMPUTED_VALUE"""),70)</f>
        <v>70</v>
      </c>
      <c r="H136" s="135" t="str">
        <f ca="1">IFERROR(__xludf.DUMMYFUNCTION("""COMPUTED_VALUE"""),"Plan to do testing themselves")</f>
        <v>Plan to do testing themselves</v>
      </c>
      <c r="I136" s="135" t="str">
        <f ca="1">IFERROR(__xludf.DUMMYFUNCTION("""COMPUTED_VALUE"""),"GREEN")</f>
        <v>GREEN</v>
      </c>
      <c r="J136" s="135" t="str">
        <f ca="1">IFERROR(__xludf.DUMMYFUNCTION("""COMPUTED_VALUE"""),"")</f>
        <v/>
      </c>
      <c r="K136" s="135"/>
      <c r="L136" s="135"/>
      <c r="M136" s="135"/>
      <c r="N136" s="135"/>
      <c r="O136" s="135"/>
      <c r="P136" s="135"/>
      <c r="Q136" s="135"/>
      <c r="R136" s="135"/>
      <c r="S136" s="135"/>
      <c r="T136" s="135"/>
      <c r="U136" s="135"/>
      <c r="V136" s="135"/>
      <c r="W136" s="135"/>
      <c r="X136" s="135"/>
      <c r="Y136" s="135"/>
      <c r="Z136" s="135"/>
    </row>
    <row r="137" spans="1:26">
      <c r="A137" s="135" t="str">
        <f ca="1">IFERROR(__xludf.DUMMYFUNCTION("""COMPUTED_VALUE"""),"Woodbridge Health Campus")</f>
        <v>Woodbridge Health Campus</v>
      </c>
      <c r="B137" s="135" t="str">
        <f ca="1">IFERROR(__xludf.DUMMYFUNCTION("""COMPUTED_VALUE"""),"Trilogy")</f>
        <v>Trilogy</v>
      </c>
      <c r="C137" s="135" t="str">
        <f ca="1">IFERROR(__xludf.DUMMYFUNCTION("""COMPUTED_VALUE"""),"   Tel: (574)753-3223")</f>
        <v xml:space="preserve">   Tel: (574)753-3223</v>
      </c>
      <c r="D137" s="135" t="str">
        <f ca="1">IFERROR(__xludf.DUMMYFUNCTION("""COMPUTED_VALUE"""),"   602 Woodbridge Ave")</f>
        <v xml:space="preserve">   602 Woodbridge Ave</v>
      </c>
      <c r="E137" s="135" t="str">
        <f ca="1">IFERROR(__xludf.DUMMYFUNCTION("""COMPUTED_VALUE"""),"   Logansport, In 46947")</f>
        <v xml:space="preserve">   Logansport, In 46947</v>
      </c>
      <c r="F137" s="135" t="str">
        <f ca="1">IFERROR(__xludf.DUMMYFUNCTION("""COMPUTED_VALUE"""),"")</f>
        <v/>
      </c>
      <c r="G137" s="135">
        <f ca="1">IFERROR(__xludf.DUMMYFUNCTION("""COMPUTED_VALUE"""),106)</f>
        <v>106</v>
      </c>
      <c r="H137" s="135" t="str">
        <f ca="1">IFERROR(__xludf.DUMMYFUNCTION("""COMPUTED_VALUE"""),"Plan to do testing themselves")</f>
        <v>Plan to do testing themselves</v>
      </c>
      <c r="I137" s="135" t="str">
        <f ca="1">IFERROR(__xludf.DUMMYFUNCTION("""COMPUTED_VALUE"""),"GREEN")</f>
        <v>GREEN</v>
      </c>
      <c r="J137" s="135" t="str">
        <f ca="1">IFERROR(__xludf.DUMMYFUNCTION("""COMPUTED_VALUE"""),"")</f>
        <v/>
      </c>
      <c r="K137" s="135"/>
      <c r="L137" s="135"/>
      <c r="M137" s="135"/>
      <c r="N137" s="135"/>
      <c r="O137" s="135"/>
      <c r="P137" s="135"/>
      <c r="Q137" s="135"/>
      <c r="R137" s="135"/>
      <c r="S137" s="135"/>
      <c r="T137" s="135"/>
      <c r="U137" s="135"/>
      <c r="V137" s="135"/>
      <c r="W137" s="135"/>
      <c r="X137" s="135"/>
      <c r="Y137" s="135"/>
      <c r="Z137" s="135"/>
    </row>
    <row r="138" spans="1:26">
      <c r="A138" s="135" t="str">
        <f ca="1">IFERROR(__xludf.DUMMYFUNCTION("""COMPUTED_VALUE"""),"Woodmont Health Campus")</f>
        <v>Woodmont Health Campus</v>
      </c>
      <c r="B138" s="135" t="str">
        <f ca="1">IFERROR(__xludf.DUMMYFUNCTION("""COMPUTED_VALUE"""),"Trilogy")</f>
        <v>Trilogy</v>
      </c>
      <c r="C138" s="135" t="str">
        <f ca="1">IFERROR(__xludf.DUMMYFUNCTION("""COMPUTED_VALUE"""),"   Tel: (812)897-4114")</f>
        <v xml:space="preserve">   Tel: (812)897-4114</v>
      </c>
      <c r="D138" s="135" t="str">
        <f ca="1">IFERROR(__xludf.DUMMYFUNCTION("""COMPUTED_VALUE"""),"   1325 Rockport Rd")</f>
        <v xml:space="preserve">   1325 Rockport Rd</v>
      </c>
      <c r="E138" s="135" t="str">
        <f ca="1">IFERROR(__xludf.DUMMYFUNCTION("""COMPUTED_VALUE"""),"   Boonville, In 47601")</f>
        <v xml:space="preserve">   Boonville, In 47601</v>
      </c>
      <c r="F138" s="135" t="str">
        <f ca="1">IFERROR(__xludf.DUMMYFUNCTION("""COMPUTED_VALUE"""),"No")</f>
        <v>No</v>
      </c>
      <c r="G138" s="135">
        <f ca="1">IFERROR(__xludf.DUMMYFUNCTION("""COMPUTED_VALUE"""),108)</f>
        <v>108</v>
      </c>
      <c r="H138" s="135" t="str">
        <f ca="1">IFERROR(__xludf.DUMMYFUNCTION("""COMPUTED_VALUE"""),"Plan to do testing themselves")</f>
        <v>Plan to do testing themselves</v>
      </c>
      <c r="I138" s="135" t="str">
        <f ca="1">IFERROR(__xludf.DUMMYFUNCTION("""COMPUTED_VALUE"""),"GREEN")</f>
        <v>GREEN</v>
      </c>
      <c r="J138" s="135" t="str">
        <f ca="1">IFERROR(__xludf.DUMMYFUNCTION("""COMPUTED_VALUE"""),"")</f>
        <v/>
      </c>
      <c r="K138" s="135"/>
      <c r="L138" s="135"/>
      <c r="M138" s="135"/>
      <c r="N138" s="135"/>
      <c r="O138" s="135"/>
      <c r="P138" s="135"/>
      <c r="Q138" s="135"/>
      <c r="R138" s="135"/>
      <c r="S138" s="135"/>
      <c r="T138" s="135"/>
      <c r="U138" s="135"/>
      <c r="V138" s="135"/>
      <c r="W138" s="135"/>
      <c r="X138" s="135"/>
      <c r="Y138" s="135"/>
      <c r="Z138" s="135"/>
    </row>
    <row r="139" spans="1:26">
      <c r="A139" s="135" t="str">
        <f ca="1">IFERROR(__xludf.DUMMYFUNCTION("""COMPUTED_VALUE"""),"Yorktown Manor")</f>
        <v>Yorktown Manor</v>
      </c>
      <c r="B139" s="135" t="str">
        <f ca="1">IFERROR(__xludf.DUMMYFUNCTION("""COMPUTED_VALUE"""),"IMG")</f>
        <v>IMG</v>
      </c>
      <c r="C139" s="135" t="str">
        <f ca="1">IFERROR(__xludf.DUMMYFUNCTION("""COMPUTED_VALUE"""),"   Tel: (765)759-7740")</f>
        <v xml:space="preserve">   Tel: (765)759-7740</v>
      </c>
      <c r="D139" s="135" t="str">
        <f ca="1">IFERROR(__xludf.DUMMYFUNCTION("""COMPUTED_VALUE"""),"   2000 S Andrews Rd")</f>
        <v xml:space="preserve">   2000 S Andrews Rd</v>
      </c>
      <c r="E139" s="135" t="str">
        <f ca="1">IFERROR(__xludf.DUMMYFUNCTION("""COMPUTED_VALUE"""),"   Yorktown, In 47396")</f>
        <v xml:space="preserve">   Yorktown, In 47396</v>
      </c>
      <c r="F139" s="135" t="str">
        <f ca="1">IFERROR(__xludf.DUMMYFUNCTION("""COMPUTED_VALUE"""),"")</f>
        <v/>
      </c>
      <c r="G139" s="135">
        <f ca="1">IFERROR(__xludf.DUMMYFUNCTION("""COMPUTED_VALUE"""),88)</f>
        <v>88</v>
      </c>
      <c r="H139" s="135" t="str">
        <f ca="1">IFERROR(__xludf.DUMMYFUNCTION("""COMPUTED_VALUE"""),"Already Testing Staff")</f>
        <v>Already Testing Staff</v>
      </c>
      <c r="I139" s="135" t="str">
        <f ca="1">IFERROR(__xludf.DUMMYFUNCTION("""COMPUTED_VALUE"""),"GREEN")</f>
        <v>GREEN</v>
      </c>
      <c r="J139" s="135" t="str">
        <f ca="1">IFERROR(__xludf.DUMMYFUNCTION("""COMPUTED_VALUE"""),"")</f>
        <v/>
      </c>
      <c r="K139" s="135"/>
      <c r="L139" s="135"/>
      <c r="M139" s="135"/>
      <c r="N139" s="135"/>
      <c r="O139" s="135"/>
      <c r="P139" s="135"/>
      <c r="Q139" s="135"/>
      <c r="R139" s="135"/>
      <c r="S139" s="135"/>
      <c r="T139" s="135"/>
      <c r="U139" s="135"/>
      <c r="V139" s="135"/>
      <c r="W139" s="135"/>
      <c r="X139" s="135"/>
      <c r="Y139" s="135"/>
      <c r="Z139" s="135"/>
    </row>
    <row r="140" spans="1:26">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row>
    <row r="141" spans="1:26">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row>
    <row r="142" spans="1:26">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row>
    <row r="143" spans="1:26">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row>
    <row r="144" spans="1:26">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row>
    <row r="145" spans="1:26">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row>
    <row r="146" spans="1:26">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row>
    <row r="147" spans="1:26">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row>
    <row r="148" spans="1:26">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row>
    <row r="149" spans="1:26">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row>
    <row r="150" spans="1:26">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row>
    <row r="151" spans="1:26">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row>
    <row r="152" spans="1:26">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row>
    <row r="153" spans="1:26">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row>
    <row r="154" spans="1:26">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row>
    <row r="155" spans="1:26">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row>
    <row r="156" spans="1:26">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row>
    <row r="157" spans="1:26">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row>
    <row r="158" spans="1:26">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row>
    <row r="159" spans="1:26">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row>
    <row r="160" spans="1:26">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row>
    <row r="161" spans="1:26">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row>
    <row r="162" spans="1:26">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row>
    <row r="163" spans="1:26">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row>
    <row r="164" spans="1:26">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row>
    <row r="165" spans="1:26">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row>
    <row r="166" spans="1:26">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row>
    <row r="167" spans="1:26">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row>
    <row r="168" spans="1:26">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row>
    <row r="169" spans="1:26">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row>
    <row r="170" spans="1:26">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row>
    <row r="171" spans="1:26">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row>
    <row r="172" spans="1:26">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row>
    <row r="173" spans="1:26">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row>
    <row r="174" spans="1:26">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row>
    <row r="175" spans="1:26">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row>
    <row r="176" spans="1:26">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row>
    <row r="177" spans="1:26">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row>
    <row r="178" spans="1:26">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row>
    <row r="179" spans="1:26">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row>
    <row r="180" spans="1:26">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row>
    <row r="181" spans="1:26">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row>
    <row r="182" spans="1:26">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row>
    <row r="183" spans="1:26">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row>
    <row r="184" spans="1:26">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row>
    <row r="185" spans="1:26">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row>
    <row r="186" spans="1:26">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row>
    <row r="187" spans="1:26">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row>
    <row r="188" spans="1:26">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row>
    <row r="189" spans="1:26">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row>
    <row r="190" spans="1:26">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row>
    <row r="191" spans="1:26">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row>
    <row r="192" spans="1:26">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row>
    <row r="193" spans="1:26">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row>
    <row r="194" spans="1:26">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row>
    <row r="195" spans="1:26">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spans="1:26">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row>
    <row r="197" spans="1:26">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row>
    <row r="198" spans="1:26">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row>
    <row r="199" spans="1:26">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row>
    <row r="200" spans="1:26">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row>
    <row r="201" spans="1:26">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row>
    <row r="202" spans="1:26">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row>
    <row r="203" spans="1:26">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row>
    <row r="204" spans="1:26">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row>
    <row r="205" spans="1:26">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row>
    <row r="206" spans="1:26">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row>
    <row r="207" spans="1:26">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row>
    <row r="208" spans="1:26">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row>
    <row r="209" spans="1:26">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row>
    <row r="210" spans="1:26">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row>
    <row r="211" spans="1:26">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row>
    <row r="212" spans="1:26">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row>
    <row r="213" spans="1:26">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row>
    <row r="214" spans="1:26">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row>
    <row r="215" spans="1:26">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row>
    <row r="216" spans="1:26">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row>
    <row r="217" spans="1:26">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row>
    <row r="218" spans="1:26">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row>
    <row r="219" spans="1:26">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row>
    <row r="220" spans="1:26">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row>
    <row r="221" spans="1:26">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row>
    <row r="222" spans="1:26">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row>
    <row r="223" spans="1:26">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row>
    <row r="224" spans="1:26">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row>
    <row r="225" spans="1:26">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row>
    <row r="226" spans="1:26">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row>
    <row r="227" spans="1:26">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row>
    <row r="228" spans="1:26">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row>
    <row r="229" spans="1:26">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row>
    <row r="230" spans="1:26">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row>
    <row r="231" spans="1:26">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row>
    <row r="232" spans="1:26">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row>
    <row r="233" spans="1:26">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row>
    <row r="234" spans="1:26">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row>
    <row r="235" spans="1:26">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spans="1:26">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row>
    <row r="237" spans="1:26">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row>
    <row r="238" spans="1:26">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row>
    <row r="239" spans="1:26">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row>
    <row r="240" spans="1:26">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row>
    <row r="241" spans="1:26">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row>
    <row r="242" spans="1:26">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row>
    <row r="243" spans="1:26">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row>
    <row r="244" spans="1:26">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row>
    <row r="245" spans="1:26">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row>
    <row r="246" spans="1:26">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row>
    <row r="247" spans="1:26">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row>
    <row r="248" spans="1:26">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row>
    <row r="249" spans="1:26">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row>
    <row r="250" spans="1:26">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row>
    <row r="251" spans="1:26">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row>
    <row r="252" spans="1:26">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row>
    <row r="253" spans="1:26">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row>
    <row r="254" spans="1:26">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row>
    <row r="255" spans="1:26">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row>
    <row r="256" spans="1:26">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row>
    <row r="257" spans="1:26">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row>
    <row r="258" spans="1:26">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row>
    <row r="259" spans="1:26">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row>
    <row r="260" spans="1:26">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row>
    <row r="261" spans="1:26">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row>
    <row r="262" spans="1:26">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row>
    <row r="263" spans="1:26">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row>
    <row r="264" spans="1:26">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row>
    <row r="265" spans="1:26">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row>
    <row r="266" spans="1:26">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row>
    <row r="267" spans="1:26">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row>
    <row r="268" spans="1:26">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row>
    <row r="269" spans="1:26">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row>
    <row r="270" spans="1:26">
      <c r="A270" s="135"/>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row>
    <row r="271" spans="1:26">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row>
    <row r="272" spans="1:26">
      <c r="A272" s="135"/>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row>
    <row r="273" spans="1:26">
      <c r="A273" s="135"/>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row>
    <row r="274" spans="1:26">
      <c r="A274" s="135"/>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row>
    <row r="275" spans="1:26">
      <c r="A275" s="135"/>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row>
    <row r="276" spans="1:26">
      <c r="A276" s="135"/>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row>
    <row r="277" spans="1:26">
      <c r="A277" s="135"/>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row>
    <row r="278" spans="1:26">
      <c r="A278" s="13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row>
    <row r="279" spans="1:26">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row>
    <row r="280" spans="1:26">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row>
    <row r="281" spans="1:26">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row>
    <row r="282" spans="1:26">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row>
    <row r="283" spans="1:26">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row>
    <row r="284" spans="1:26">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row>
    <row r="285" spans="1:26">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row>
    <row r="286" spans="1:26">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row>
    <row r="287" spans="1:26">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row>
    <row r="288" spans="1:26">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row>
    <row r="289" spans="1:26">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row>
    <row r="290" spans="1:26">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row>
    <row r="291" spans="1:26">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row>
    <row r="292" spans="1:26">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row>
    <row r="293" spans="1:26">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row>
    <row r="294" spans="1:26">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row>
    <row r="295" spans="1:26">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row>
    <row r="296" spans="1:26">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spans="1:26">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spans="1:26">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spans="1:26">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spans="1:26">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spans="1:26">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spans="1:26">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spans="1:26">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spans="1:26">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spans="1:26">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spans="1:26">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spans="1:26">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spans="1:26">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spans="1:26">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spans="1:26">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spans="1:26">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spans="1:26">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spans="1:26">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spans="1:26">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spans="1:26">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spans="1:26">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spans="1:26">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spans="1:26">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spans="1:26">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spans="1:26">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spans="1:26">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spans="1:26">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spans="1:26">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spans="1:26">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spans="1:26">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spans="1:26">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spans="1:26">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spans="1:26">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spans="1:26">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spans="1:26">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spans="1:26">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spans="1:26">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spans="1:26">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spans="1:26">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spans="1:26">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spans="1:26">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spans="1:26">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spans="1:26">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spans="1:26">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spans="1:26">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spans="1:26">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spans="1:26">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spans="1:26">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spans="1:26">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spans="1:26">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spans="1:26">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spans="1:26">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spans="1:26">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spans="1:26">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spans="1:26">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spans="1:26">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spans="1:26">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spans="1:26">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spans="1:26">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spans="1:26">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spans="1:26">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spans="1:26">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spans="1:26">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spans="1:26">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spans="1:26">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spans="1:26">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spans="1:26">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spans="1:26">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spans="1:26">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spans="1:26">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spans="1:26">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spans="1:26">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spans="1:26">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spans="1:26">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row>
    <row r="370" spans="1:26">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spans="1:26">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spans="1:26">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spans="1:26">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spans="1:26">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spans="1:26">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spans="1:26">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spans="1:26">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spans="1:26">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spans="1:26">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spans="1:26">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spans="1:26">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spans="1:26">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spans="1:26">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spans="1:26">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spans="1:26">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spans="1:26">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spans="1:26">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spans="1:26">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spans="1:26">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spans="1:26">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spans="1:26">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spans="1:26">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spans="1:26">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spans="1:26">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spans="1:26">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spans="1:26">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spans="1:26">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spans="1:26">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spans="1:26">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spans="1:26">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spans="1:26">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spans="1:26">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spans="1:26">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spans="1:26">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spans="1:26">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spans="1:26">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spans="1:26">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spans="1:26">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spans="1:26">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spans="1:26">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spans="1:26">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spans="1:26">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spans="1:26">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spans="1:26">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spans="1:26">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spans="1:26">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spans="1:26">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spans="1:26">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spans="1:26">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spans="1:26">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spans="1:26">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spans="1:26">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spans="1:26">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spans="1:26">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spans="1:26">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spans="1:26">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spans="1:26">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spans="1:26">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spans="1:26">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spans="1:26">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spans="1:26">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spans="1:26">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spans="1:26">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spans="1:26">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spans="1:26">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spans="1:26">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spans="1:26">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spans="1:26">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spans="1:26">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spans="1:26">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spans="1:26">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spans="1:26">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spans="1:26">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spans="1:26">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spans="1:26">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spans="1:26">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spans="1:26">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spans="1:26">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spans="1:26">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spans="1:26">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spans="1:26">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spans="1:26">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spans="1:26">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spans="1:26">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spans="1:26">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spans="1:26">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spans="1:26">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spans="1:26">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spans="1:26">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spans="1:26">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spans="1:26">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spans="1:26">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spans="1:26">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spans="1:26">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spans="1:26">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spans="1:26">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spans="1:26">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spans="1:26">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spans="1:26">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spans="1:26">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spans="1:26">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spans="1:26">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spans="1:26">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spans="1:26">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spans="1:26">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spans="1:26">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spans="1:26">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spans="1:26">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spans="1:26">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spans="1:26">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spans="1:26">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spans="1:26">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spans="1:26">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spans="1:26">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spans="1:26">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spans="1:26">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spans="1:26">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spans="1:26">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spans="1:26">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spans="1:26">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spans="1:26">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spans="1:26">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spans="1:26">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spans="1:26">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spans="1:26">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spans="1:26">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spans="1:26">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spans="1:26">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spans="1:26">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spans="1:26">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spans="1:26">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spans="1:26">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spans="1:26">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spans="1:26">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spans="1:26">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spans="1:26">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spans="1:26">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spans="1:26">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spans="1:26">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spans="1:26">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spans="1:26">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spans="1:26">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spans="1:26">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spans="1:26">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spans="1:26">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spans="1:26">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spans="1:26">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spans="1:26">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spans="1:26">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spans="1:26">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spans="1:26">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spans="1:26">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spans="1:26">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spans="1:26">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spans="1:26">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spans="1:26">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spans="1:26">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spans="1:26">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spans="1:26">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spans="1:26">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spans="1:26">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spans="1:26">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spans="1:26">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spans="1:26">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spans="1:26">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spans="1:26">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spans="1:26">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spans="1:26">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spans="1:26">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spans="1:26">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spans="1:26">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spans="1:26">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spans="1:26">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spans="1:26">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spans="1:26">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spans="1:26">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spans="1:26">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spans="1:26">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spans="1:26">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spans="1:26">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spans="1:26">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spans="1:26">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spans="1:26">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spans="1:26">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spans="1:26">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spans="1:26">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spans="1:26">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spans="1:26">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spans="1:26">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spans="1:26">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spans="1:26">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spans="1:26">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spans="1:26">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spans="1:26">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spans="1:26">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spans="1:26">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spans="1:26">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spans="1:26">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spans="1:26">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spans="1:26">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spans="1:26">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spans="1:26">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spans="1:26">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spans="1:26">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spans="1:26">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spans="1:26">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spans="1:26">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spans="1:26">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spans="1:26">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spans="1:26">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spans="1:26">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spans="1:26">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spans="1:26">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spans="1:26">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spans="1:26">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spans="1:26">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spans="1:26">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spans="1:26">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spans="1:26">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spans="1:26">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spans="1:26">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spans="1:26">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spans="1:26">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spans="1:26">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spans="1:26">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spans="1:26">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spans="1:26">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spans="1:26">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spans="1:26">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spans="1:26">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spans="1:26">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spans="1:26">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spans="1:26">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spans="1:26">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spans="1:26">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spans="1:26">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spans="1:26">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spans="1:26">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spans="1:26">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spans="1:26">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spans="1:26">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spans="1:26">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spans="1:26">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spans="1:26">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spans="1:26">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spans="1:26">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spans="1:26">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spans="1:26">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spans="1:26">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spans="1:26">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spans="1:26">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spans="1:26">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spans="1:26">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spans="1:26">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spans="1:26">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spans="1:26">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spans="1:26">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spans="1:26">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spans="1:26">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spans="1:26">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spans="1:26">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spans="1:26">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spans="1:26">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spans="1:26">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spans="1:26">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spans="1:26">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spans="1:26">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spans="1:26">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spans="1:26">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spans="1:26">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spans="1:26">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spans="1:26">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spans="1:26">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spans="1:26">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spans="1:26">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spans="1:26">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spans="1:26">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spans="1:26">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spans="1:26">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spans="1:26">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spans="1:26">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spans="1:26">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spans="1:26">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spans="1:26">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spans="1:26">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spans="1:26">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spans="1:26">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spans="1:26">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spans="1:26">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spans="1:26">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spans="1:26">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spans="1:26">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spans="1:26">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spans="1:26">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spans="1:26">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spans="1:26">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spans="1:26">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spans="1:26">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spans="1:26">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spans="1:26">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spans="1:26">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spans="1:26">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spans="1:26">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spans="1:26">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spans="1:26">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spans="1:26">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spans="1:26">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spans="1:26">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spans="1:26">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spans="1:26">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spans="1:26">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spans="1:26">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spans="1:26">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spans="1:26">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spans="1:26">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spans="1:26">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spans="1:26">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spans="1:26">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spans="1:26">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spans="1:26">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spans="1:26">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spans="1:26">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spans="1:26">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spans="1:26">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spans="1:26">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spans="1:26">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spans="1:26">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spans="1:26">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spans="1:26">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spans="1:26">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spans="1:26">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spans="1:26">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spans="1:26">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spans="1:26">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spans="1:26">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spans="1:26">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spans="1:26">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spans="1:26">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spans="1:26">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spans="1:26">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spans="1:26">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spans="1:26">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spans="1:26">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spans="1:26">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spans="1:26">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spans="1:26">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spans="1:26">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spans="1:26">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spans="1:26">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spans="1:26">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spans="1:26">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spans="1:26">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spans="1:26">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spans="1:26">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spans="1:26">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spans="1:26">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spans="1:26">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spans="1:26">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spans="1:26">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spans="1:26">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spans="1:26">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spans="1:26">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spans="1:26">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spans="1:26">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spans="1:26">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spans="1:26">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spans="1:26">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spans="1:26">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spans="1:26">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spans="1:26">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spans="1:26">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spans="1:26">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spans="1:26">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spans="1:26">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spans="1:26">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spans="1:26">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spans="1:26">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spans="1:26">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spans="1:26">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spans="1:26">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spans="1:26">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spans="1:26">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spans="1:26">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spans="1:26">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spans="1:26">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spans="1:26">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spans="1:26">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spans="1:26">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spans="1:26">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spans="1:26">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spans="1:26">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spans="1:26">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spans="1:26">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spans="1:26">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spans="1:26">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spans="1:26">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spans="1:26">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spans="1:26">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spans="1:26">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spans="1:26">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spans="1:26">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spans="1:26">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spans="1:26">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spans="1:26">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spans="1:26">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spans="1:26">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spans="1:26">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spans="1:26">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spans="1:26">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spans="1:26">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spans="1:26">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spans="1:26">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spans="1:26">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spans="1:26">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spans="1:26">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spans="1:26">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spans="1:26">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spans="1:26">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spans="1:26">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spans="1:26">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spans="1:26">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spans="1:26">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spans="1:26">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spans="1:26">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spans="1:26">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spans="1:26">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spans="1:26">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spans="1:26">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spans="1:26">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spans="1:26">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spans="1:26">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spans="1:26">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spans="1:26">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spans="1:26">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spans="1:26">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spans="1:26">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spans="1:26">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spans="1:26">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spans="1:26">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spans="1:26">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spans="1:26">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spans="1:26">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spans="1:26">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spans="1:26">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spans="1:26">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spans="1:26">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spans="1:26">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spans="1:26">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spans="1:26">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spans="1:26">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spans="1:26">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spans="1:26">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spans="1:26">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spans="1:26">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spans="1:26">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spans="1:26">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spans="1:26">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spans="1:26">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spans="1:26">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spans="1:26">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spans="1:26">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spans="1:26">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spans="1:26">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spans="1:26">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spans="1:26">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spans="1:26">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spans="1:26">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spans="1:26">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spans="1:26">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spans="1:26">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spans="1:26">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spans="1:26">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spans="1:26">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spans="1:26">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spans="1:26">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spans="1:26">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spans="1:26">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spans="1:26">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spans="1:26">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spans="1:26">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spans="1:26">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spans="1:26">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spans="1:26">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spans="1:26">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spans="1:26">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spans="1:26">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spans="1:26">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spans="1:26">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spans="1:26">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spans="1:26">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spans="1:26">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spans="1:26">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spans="1:26">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spans="1:26">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spans="1:26">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spans="1:26">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spans="1:26">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spans="1:26">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spans="1:26">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spans="1:26">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spans="1:26">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spans="1:26">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spans="1:26">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spans="1:26">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spans="1:26">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spans="1:26">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spans="1:26">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spans="1:26">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spans="1:26">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spans="1:26">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spans="1:26">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spans="1:26">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spans="1:26">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spans="1:26">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spans="1:26">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spans="1:26">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spans="1:26">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spans="1:26">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spans="1:26">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spans="1:26">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spans="1:26">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spans="1:26">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spans="1:26">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spans="1:26">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spans="1:26">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spans="1:26">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spans="1:26">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spans="1:26">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spans="1:26">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spans="1:26">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spans="1:26">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spans="1:26">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spans="1:26">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spans="1:26">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spans="1:26">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spans="1:26">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spans="1:26">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spans="1:26">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spans="1:26">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spans="1:26">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spans="1:26">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spans="1:26">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spans="1:26">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spans="1:26">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spans="1:26">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spans="1:26">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spans="1:26">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spans="1:26">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spans="1:26">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spans="1:26">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spans="1:26">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spans="1:26">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spans="1:26">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spans="1:26">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spans="1:26">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spans="1:26">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spans="1:26">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spans="1:26">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spans="1:26">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spans="1:26">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spans="1:26">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spans="1:26">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spans="1:26">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spans="1:26">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spans="1:26">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spans="1:26">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spans="1:26">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spans="1:26">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spans="1:26">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spans="1:26">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spans="1:26">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spans="1:26">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spans="1:26">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spans="1:26">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spans="1:26">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spans="1:26">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spans="1:26">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spans="1:26">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spans="1:26">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spans="1:26">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spans="1:26">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spans="1:26">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spans="1:26">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spans="1:26">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spans="1:26">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spans="1:26">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spans="1:26">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spans="1:26">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spans="1:26">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spans="1:26">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spans="1:26">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spans="1:26">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spans="1:26">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spans="1:26">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spans="1:26">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spans="1:26">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spans="1:26">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spans="1:26">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spans="1:26">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spans="1:26">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spans="1:26">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spans="1:26">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spans="1:26">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spans="1:26">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spans="1:26">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spans="1:26">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spans="1:26">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spans="1:26">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spans="1:26">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spans="1:26">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spans="1:26">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spans="1:26">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spans="1:26">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spans="1:26">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spans="1:26">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spans="1:26">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spans="1:26">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spans="1:26">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spans="1:26">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spans="1:26">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spans="1:26">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spans="1:26">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spans="1:26">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spans="1:26">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spans="1:26">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spans="1:26">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spans="1:26">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spans="1:26">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spans="1:26">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spans="1:26">
      <c r="A1000" s="135"/>
      <c r="B1000" s="135"/>
      <c r="C1000" s="135"/>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outlinePr summaryBelow="0" summaryRight="0"/>
  </sheetPr>
  <dimension ref="A1:Z1000"/>
  <sheetViews>
    <sheetView workbookViewId="0"/>
  </sheetViews>
  <sheetFormatPr defaultColWidth="12.625" defaultRowHeight="15" customHeight="1"/>
  <cols>
    <col min="1" max="1" width="39.75" customWidth="1"/>
    <col min="3" max="3" width="15.75" customWidth="1"/>
    <col min="4" max="4" width="30" customWidth="1"/>
    <col min="5" max="5" width="28" customWidth="1"/>
    <col min="6" max="6" width="16.75" customWidth="1"/>
    <col min="8" max="8" width="38.75" customWidth="1"/>
    <col min="10" max="10" width="40.875" customWidth="1"/>
  </cols>
  <sheetData>
    <row r="1" spans="1:26">
      <c r="A1" s="2" t="str">
        <f ca="1">IFERROR(__xludf.DUMMYFUNCTION("query('Data Set'!1:99931, ""Select A,B,X,Y,Z,F,G,H,I,J Where I = 'KITS'"",1)"),"Facility")</f>
        <v>Facility</v>
      </c>
      <c r="B1" s="2" t="str">
        <f ca="1">IFERROR(__xludf.DUMMYFUNCTION("""COMPUTED_VALUE"""),"Corporation")</f>
        <v>Corporation</v>
      </c>
      <c r="C1" s="2" t="str">
        <f ca="1">IFERROR(__xludf.DUMMYFUNCTION("""COMPUTED_VALUE"""),"Phone")</f>
        <v>Phone</v>
      </c>
      <c r="D1" s="2" t="str">
        <f ca="1">IFERROR(__xludf.DUMMYFUNCTION("""COMPUTED_VALUE"""),"Address 1")</f>
        <v>Address 1</v>
      </c>
      <c r="E1" s="2" t="str">
        <f ca="1">IFERROR(__xludf.DUMMYFUNCTION("""COMPUTED_VALUE"""),"Address 2")</f>
        <v>Address 2</v>
      </c>
      <c r="F1" s="2" t="str">
        <f ca="1">IFERROR(__xludf.DUMMYFUNCTION("""COMPUTED_VALUE"""),"Within 10 mi OPTUM")</f>
        <v>Within 10 mi OPTUM</v>
      </c>
      <c r="G1" s="2" t="str">
        <f ca="1">IFERROR(__xludf.DUMMYFUNCTION("""COMPUTED_VALUE"""),"Number of Staff")</f>
        <v>Number of Staff</v>
      </c>
      <c r="H1" s="2" t="str">
        <f ca="1">IFERROR(__xludf.DUMMYFUNCTION("""COMPUTED_VALUE"""),"Status")</f>
        <v>Status</v>
      </c>
      <c r="I1" s="2" t="str">
        <f ca="1">IFERROR(__xludf.DUMMYFUNCTION("""COMPUTED_VALUE"""),"Designation")</f>
        <v>Designation</v>
      </c>
      <c r="J1" s="2" t="str">
        <f ca="1">IFERROR(__xludf.DUMMYFUNCTION("""COMPUTED_VALUE"""),"Notes")</f>
        <v>Notes</v>
      </c>
      <c r="K1" s="2"/>
      <c r="L1" s="2"/>
      <c r="M1" s="2"/>
      <c r="N1" s="2"/>
      <c r="O1" s="2"/>
      <c r="P1" s="2"/>
      <c r="Q1" s="2"/>
      <c r="R1" s="2"/>
      <c r="S1" s="2"/>
      <c r="T1" s="2"/>
      <c r="U1" s="2"/>
      <c r="V1" s="2"/>
      <c r="W1" s="2"/>
      <c r="X1" s="2"/>
      <c r="Y1" s="2"/>
      <c r="Z1" s="2"/>
    </row>
    <row r="2" spans="1:26">
      <c r="A2" s="135" t="str">
        <f ca="1">IFERROR(__xludf.DUMMYFUNCTION("""COMPUTED_VALUE"""),"Adams Heritage")</f>
        <v>Adams Heritage</v>
      </c>
      <c r="B2" s="135" t="str">
        <f ca="1">IFERROR(__xludf.DUMMYFUNCTION("""COMPUTED_VALUE"""),"")</f>
        <v/>
      </c>
      <c r="C2" s="135" t="str">
        <f ca="1">IFERROR(__xludf.DUMMYFUNCTION("""COMPUTED_VALUE"""),"   Tel: (260)623-6440")</f>
        <v xml:space="preserve">   Tel: (260)623-6440</v>
      </c>
      <c r="D2" s="135" t="str">
        <f ca="1">IFERROR(__xludf.DUMMYFUNCTION("""COMPUTED_VALUE"""),"   12011 Whittern Rd")</f>
        <v xml:space="preserve">   12011 Whittern Rd</v>
      </c>
      <c r="E2" s="135" t="str">
        <f ca="1">IFERROR(__xludf.DUMMYFUNCTION("""COMPUTED_VALUE"""),"   Monroeville, In 46773")</f>
        <v xml:space="preserve">   Monroeville, In 46773</v>
      </c>
      <c r="F2" s="135" t="str">
        <f ca="1">IFERROR(__xludf.DUMMYFUNCTION("""COMPUTED_VALUE"""),"")</f>
        <v/>
      </c>
      <c r="G2" s="135">
        <f ca="1">IFERROR(__xludf.DUMMYFUNCTION("""COMPUTED_VALUE"""),100)</f>
        <v>100</v>
      </c>
      <c r="H2" s="135" t="str">
        <f ca="1">IFERROR(__xludf.DUMMYFUNCTION("""COMPUTED_VALUE"""),"Local Hospital")</f>
        <v>Local Hospital</v>
      </c>
      <c r="I2" s="135" t="str">
        <f ca="1">IFERROR(__xludf.DUMMYFUNCTION("""COMPUTED_VALUE"""),"KITS")</f>
        <v>KITS</v>
      </c>
      <c r="J2" s="135" t="str">
        <f ca="1">IFERROR(__xludf.DUMMYFUNCTION("""COMPUTED_VALUE"""),"")</f>
        <v/>
      </c>
      <c r="K2" s="135"/>
      <c r="L2" s="135"/>
      <c r="M2" s="135"/>
      <c r="N2" s="135"/>
      <c r="O2" s="135"/>
      <c r="P2" s="135"/>
      <c r="Q2" s="135"/>
      <c r="R2" s="135"/>
      <c r="S2" s="135"/>
      <c r="T2" s="135"/>
      <c r="U2" s="135"/>
      <c r="V2" s="135"/>
      <c r="W2" s="135"/>
      <c r="X2" s="135"/>
      <c r="Y2" s="135"/>
      <c r="Z2" s="135"/>
    </row>
    <row r="3" spans="1:26">
      <c r="A3" s="135" t="str">
        <f ca="1">IFERROR(__xludf.DUMMYFUNCTION("""COMPUTED_VALUE"""),"Adams Woodcrest")</f>
        <v>Adams Woodcrest</v>
      </c>
      <c r="B3" s="135" t="str">
        <f ca="1">IFERROR(__xludf.DUMMYFUNCTION("""COMPUTED_VALUE"""),"")</f>
        <v/>
      </c>
      <c r="C3" s="135" t="str">
        <f ca="1">IFERROR(__xludf.DUMMYFUNCTION("""COMPUTED_VALUE"""),"   Tel: (260)724-3311")</f>
        <v xml:space="preserve">   Tel: (260)724-3311</v>
      </c>
      <c r="D3" s="135" t="str">
        <f ca="1">IFERROR(__xludf.DUMMYFUNCTION("""COMPUTED_VALUE"""),"   1300 Mercer Ave")</f>
        <v xml:space="preserve">   1300 Mercer Ave</v>
      </c>
      <c r="E3" s="135" t="str">
        <f ca="1">IFERROR(__xludf.DUMMYFUNCTION("""COMPUTED_VALUE"""),"   Decatur, In 46733")</f>
        <v xml:space="preserve">   Decatur, In 46733</v>
      </c>
      <c r="F3" s="135" t="str">
        <f ca="1">IFERROR(__xludf.DUMMYFUNCTION("""COMPUTED_VALUE"""),"")</f>
        <v/>
      </c>
      <c r="G3" s="135">
        <f ca="1">IFERROR(__xludf.DUMMYFUNCTION("""COMPUTED_VALUE"""),171)</f>
        <v>171</v>
      </c>
      <c r="H3" s="135" t="str">
        <f ca="1">IFERROR(__xludf.DUMMYFUNCTION("""COMPUTED_VALUE"""),"Local Hospital")</f>
        <v>Local Hospital</v>
      </c>
      <c r="I3" s="135" t="str">
        <f ca="1">IFERROR(__xludf.DUMMYFUNCTION("""COMPUTED_VALUE"""),"KITS")</f>
        <v>KITS</v>
      </c>
      <c r="J3" s="135" t="str">
        <f ca="1">IFERROR(__xludf.DUMMYFUNCTION("""COMPUTED_VALUE"""),"")</f>
        <v/>
      </c>
      <c r="K3" s="135"/>
      <c r="L3" s="135"/>
      <c r="M3" s="135"/>
      <c r="N3" s="135"/>
      <c r="O3" s="135"/>
      <c r="P3" s="135"/>
      <c r="Q3" s="135"/>
      <c r="R3" s="135"/>
      <c r="S3" s="135"/>
      <c r="T3" s="135"/>
      <c r="U3" s="135"/>
      <c r="V3" s="135"/>
      <c r="W3" s="135"/>
      <c r="X3" s="135"/>
      <c r="Y3" s="135"/>
      <c r="Z3" s="135"/>
    </row>
    <row r="4" spans="1:26">
      <c r="A4" s="135" t="str">
        <f ca="1">IFERROR(__xludf.DUMMYFUNCTION("""COMPUTED_VALUE"""),"Addison Pointe Health &amp; Rehabilitation Center")</f>
        <v>Addison Pointe Health &amp; Rehabilitation Center</v>
      </c>
      <c r="B4" s="135" t="str">
        <f ca="1">IFERROR(__xludf.DUMMYFUNCTION("""COMPUTED_VALUE"""),"TLC")</f>
        <v>TLC</v>
      </c>
      <c r="C4" s="135" t="str">
        <f ca="1">IFERROR(__xludf.DUMMYFUNCTION("""COMPUTED_VALUE"""),"   Tel: (219)921-2200")</f>
        <v xml:space="preserve">   Tel: (219)921-2200</v>
      </c>
      <c r="D4" s="135" t="str">
        <f ca="1">IFERROR(__xludf.DUMMYFUNCTION("""COMPUTED_VALUE"""),"   780 Dickinson Road")</f>
        <v xml:space="preserve">   780 Dickinson Road</v>
      </c>
      <c r="E4" s="135" t="str">
        <f ca="1">IFERROR(__xludf.DUMMYFUNCTION("""COMPUTED_VALUE"""),"   Chesterton, In 46304")</f>
        <v xml:space="preserve">   Chesterton, In 46304</v>
      </c>
      <c r="F4" s="135" t="str">
        <f ca="1">IFERROR(__xludf.DUMMYFUNCTION("""COMPUTED_VALUE"""),"")</f>
        <v/>
      </c>
      <c r="G4" s="135">
        <f ca="1">IFERROR(__xludf.DUMMYFUNCTION("""COMPUTED_VALUE"""),130)</f>
        <v>130</v>
      </c>
      <c r="H4" s="135" t="str">
        <f ca="1">IFERROR(__xludf.DUMMYFUNCTION("""COMPUTED_VALUE"""),"Non-Specific Plan/Hypothetical/Local Sites")</f>
        <v>Non-Specific Plan/Hypothetical/Local Sites</v>
      </c>
      <c r="I4" s="135" t="str">
        <f ca="1">IFERROR(__xludf.DUMMYFUNCTION("""COMPUTED_VALUE"""),"KITS")</f>
        <v>KITS</v>
      </c>
      <c r="J4" s="135" t="str">
        <f ca="1">IFERROR(__xludf.DUMMYFUNCTION("""COMPUTED_VALUE"""),"")</f>
        <v/>
      </c>
      <c r="K4" s="135"/>
      <c r="L4" s="135"/>
      <c r="M4" s="135"/>
      <c r="N4" s="135"/>
      <c r="O4" s="135"/>
      <c r="P4" s="135"/>
      <c r="Q4" s="135"/>
      <c r="R4" s="135"/>
      <c r="S4" s="135"/>
      <c r="T4" s="135"/>
      <c r="U4" s="135"/>
      <c r="V4" s="135"/>
      <c r="W4" s="135"/>
      <c r="X4" s="135"/>
      <c r="Y4" s="135"/>
      <c r="Z4" s="135"/>
    </row>
    <row r="5" spans="1:26">
      <c r="A5" s="135" t="str">
        <f ca="1">IFERROR(__xludf.DUMMYFUNCTION("""COMPUTED_VALUE"""),"Alexandria Care Center")</f>
        <v>Alexandria Care Center</v>
      </c>
      <c r="B5" s="135" t="str">
        <f ca="1">IFERROR(__xludf.DUMMYFUNCTION("""COMPUTED_VALUE"""),"")</f>
        <v/>
      </c>
      <c r="C5" s="135" t="str">
        <f ca="1">IFERROR(__xludf.DUMMYFUNCTION("""COMPUTED_VALUE"""),"   Tel: (765)724-4478")</f>
        <v xml:space="preserve">   Tel: (765)724-4478</v>
      </c>
      <c r="D5" s="135" t="str">
        <f ca="1">IFERROR(__xludf.DUMMYFUNCTION("""COMPUTED_VALUE"""),"   1912 S Park Ave")</f>
        <v xml:space="preserve">   1912 S Park Ave</v>
      </c>
      <c r="E5" s="135" t="str">
        <f ca="1">IFERROR(__xludf.DUMMYFUNCTION("""COMPUTED_VALUE"""),"   Alexandria, In 46001")</f>
        <v xml:space="preserve">   Alexandria, In 46001</v>
      </c>
      <c r="F5" s="135" t="str">
        <f ca="1">IFERROR(__xludf.DUMMYFUNCTION("""COMPUTED_VALUE"""),"")</f>
        <v/>
      </c>
      <c r="G5" s="135">
        <f ca="1">IFERROR(__xludf.DUMMYFUNCTION("""COMPUTED_VALUE"""),73)</f>
        <v>73</v>
      </c>
      <c r="H5" s="135" t="str">
        <f ca="1">IFERROR(__xludf.DUMMYFUNCTION("""COMPUTED_VALUE"""),"Optum Testing")</f>
        <v>Optum Testing</v>
      </c>
      <c r="I5" s="135" t="str">
        <f ca="1">IFERROR(__xludf.DUMMYFUNCTION("""COMPUTED_VALUE"""),"KITS")</f>
        <v>KITS</v>
      </c>
      <c r="J5" s="135" t="str">
        <f ca="1">IFERROR(__xludf.DUMMYFUNCTION("""COMPUTED_VALUE"""),"")</f>
        <v/>
      </c>
      <c r="K5" s="135"/>
      <c r="L5" s="135"/>
      <c r="M5" s="135"/>
      <c r="N5" s="135"/>
      <c r="O5" s="135"/>
      <c r="P5" s="135"/>
      <c r="Q5" s="135"/>
      <c r="R5" s="135"/>
      <c r="S5" s="135"/>
      <c r="T5" s="135"/>
      <c r="U5" s="135"/>
      <c r="V5" s="135"/>
      <c r="W5" s="135"/>
      <c r="X5" s="135"/>
      <c r="Y5" s="135"/>
      <c r="Z5" s="135"/>
    </row>
    <row r="6" spans="1:26">
      <c r="A6" s="135" t="str">
        <f ca="1">IFERROR(__xludf.DUMMYFUNCTION("""COMPUTED_VALUE"""),"Allisonville Meadows")</f>
        <v>Allisonville Meadows</v>
      </c>
      <c r="B6" s="135" t="str">
        <f ca="1">IFERROR(__xludf.DUMMYFUNCTION("""COMPUTED_VALUE"""),"ASC")</f>
        <v>ASC</v>
      </c>
      <c r="C6" s="135" t="str">
        <f ca="1">IFERROR(__xludf.DUMMYFUNCTION("""COMPUTED_VALUE"""),"   Tel: (317)841-8777")</f>
        <v xml:space="preserve">   Tel: (317)841-8777</v>
      </c>
      <c r="D6" s="135" t="str">
        <f ca="1">IFERROR(__xludf.DUMMYFUNCTION("""COMPUTED_VALUE"""),"   10312 Allisonville Rd")</f>
        <v xml:space="preserve">   10312 Allisonville Rd</v>
      </c>
      <c r="E6" s="135" t="str">
        <f ca="1">IFERROR(__xludf.DUMMYFUNCTION("""COMPUTED_VALUE"""),"   Fishers, In 46038")</f>
        <v xml:space="preserve">   Fishers, In 46038</v>
      </c>
      <c r="F6" s="135" t="str">
        <f ca="1">IFERROR(__xludf.DUMMYFUNCTION("""COMPUTED_VALUE"""),"")</f>
        <v/>
      </c>
      <c r="G6" s="135">
        <f ca="1">IFERROR(__xludf.DUMMYFUNCTION("""COMPUTED_VALUE"""),140)</f>
        <v>140</v>
      </c>
      <c r="H6" s="135" t="str">
        <f ca="1">IFERROR(__xludf.DUMMYFUNCTION("""COMPUTED_VALUE"""),"Optum Testing")</f>
        <v>Optum Testing</v>
      </c>
      <c r="I6" s="135" t="str">
        <f ca="1">IFERROR(__xludf.DUMMYFUNCTION("""COMPUTED_VALUE"""),"KITS")</f>
        <v>KITS</v>
      </c>
      <c r="J6" s="135" t="str">
        <f ca="1">IFERROR(__xludf.DUMMYFUNCTION("""COMPUTED_VALUE"""),"")</f>
        <v/>
      </c>
      <c r="K6" s="135"/>
      <c r="L6" s="135"/>
      <c r="M6" s="135"/>
      <c r="N6" s="135"/>
      <c r="O6" s="135"/>
      <c r="P6" s="135"/>
      <c r="Q6" s="135"/>
      <c r="R6" s="135"/>
      <c r="S6" s="135"/>
      <c r="T6" s="135"/>
      <c r="U6" s="135"/>
      <c r="V6" s="135"/>
      <c r="W6" s="135"/>
      <c r="X6" s="135"/>
      <c r="Y6" s="135"/>
      <c r="Z6" s="135"/>
    </row>
    <row r="7" spans="1:26">
      <c r="A7" s="135" t="str">
        <f ca="1">IFERROR(__xludf.DUMMYFUNCTION("""COMPUTED_VALUE"""),"American Village")</f>
        <v>American Village</v>
      </c>
      <c r="B7" s="135" t="str">
        <f ca="1">IFERROR(__xludf.DUMMYFUNCTION("""COMPUTED_VALUE"""),"ASC")</f>
        <v>ASC</v>
      </c>
      <c r="C7" s="135" t="str">
        <f ca="1">IFERROR(__xludf.DUMMYFUNCTION("""COMPUTED_VALUE"""),"   Tel: (317)253-6950")</f>
        <v xml:space="preserve">   Tel: (317)253-6950</v>
      </c>
      <c r="D7" s="135" t="str">
        <f ca="1">IFERROR(__xludf.DUMMYFUNCTION("""COMPUTED_VALUE"""),"   2026 East 54Th St")</f>
        <v xml:space="preserve">   2026 East 54Th St</v>
      </c>
      <c r="E7" s="135" t="str">
        <f ca="1">IFERROR(__xludf.DUMMYFUNCTION("""COMPUTED_VALUE"""),"   Indianapolis, In 46220")</f>
        <v xml:space="preserve">   Indianapolis, In 46220</v>
      </c>
      <c r="F7" s="135" t="str">
        <f ca="1">IFERROR(__xludf.DUMMYFUNCTION("""COMPUTED_VALUE"""),"")</f>
        <v/>
      </c>
      <c r="G7" s="135">
        <f ca="1">IFERROR(__xludf.DUMMYFUNCTION("""COMPUTED_VALUE"""),251)</f>
        <v>251</v>
      </c>
      <c r="H7" s="135" t="str">
        <f ca="1">IFERROR(__xludf.DUMMYFUNCTION("""COMPUTED_VALUE"""),"Optum Testing")</f>
        <v>Optum Testing</v>
      </c>
      <c r="I7" s="135" t="str">
        <f ca="1">IFERROR(__xludf.DUMMYFUNCTION("""COMPUTED_VALUE"""),"KITS")</f>
        <v>KITS</v>
      </c>
      <c r="J7" s="135" t="str">
        <f ca="1">IFERROR(__xludf.DUMMYFUNCTION("""COMPUTED_VALUE"""),"")</f>
        <v/>
      </c>
      <c r="K7" s="135"/>
      <c r="L7" s="135"/>
      <c r="M7" s="135"/>
      <c r="N7" s="135"/>
      <c r="O7" s="135"/>
      <c r="P7" s="135"/>
      <c r="Q7" s="135"/>
      <c r="R7" s="135"/>
      <c r="S7" s="135"/>
      <c r="T7" s="135"/>
      <c r="U7" s="135"/>
      <c r="V7" s="135"/>
      <c r="W7" s="135"/>
      <c r="X7" s="135"/>
      <c r="Y7" s="135"/>
      <c r="Z7" s="135"/>
    </row>
    <row r="8" spans="1:26">
      <c r="A8" s="135" t="str">
        <f ca="1">IFERROR(__xludf.DUMMYFUNCTION("""COMPUTED_VALUE"""),"Aperion Care Frankfort")</f>
        <v>Aperion Care Frankfort</v>
      </c>
      <c r="B8" s="135" t="str">
        <f ca="1">IFERROR(__xludf.DUMMYFUNCTION("""COMPUTED_VALUE"""),"Aperion Care")</f>
        <v>Aperion Care</v>
      </c>
      <c r="C8" s="135" t="str">
        <f ca="1">IFERROR(__xludf.DUMMYFUNCTION("""COMPUTED_VALUE"""),"   Tel: (765)654-8783")</f>
        <v xml:space="preserve">   Tel: (765)654-8783</v>
      </c>
      <c r="D8" s="135" t="str">
        <f ca="1">IFERROR(__xludf.DUMMYFUNCTION("""COMPUTED_VALUE"""),"   809 W Freeman St")</f>
        <v xml:space="preserve">   809 W Freeman St</v>
      </c>
      <c r="E8" s="135" t="str">
        <f ca="1">IFERROR(__xludf.DUMMYFUNCTION("""COMPUTED_VALUE"""),"   Frankfort, In 46041")</f>
        <v xml:space="preserve">   Frankfort, In 46041</v>
      </c>
      <c r="F8" s="135" t="str">
        <f ca="1">IFERROR(__xludf.DUMMYFUNCTION("""COMPUTED_VALUE"""),"")</f>
        <v/>
      </c>
      <c r="G8" s="135">
        <f ca="1">IFERROR(__xludf.DUMMYFUNCTION("""COMPUTED_VALUE"""),91)</f>
        <v>91</v>
      </c>
      <c r="H8" s="135" t="str">
        <f ca="1">IFERROR(__xludf.DUMMYFUNCTION("""COMPUTED_VALUE"""),"Optum Testing")</f>
        <v>Optum Testing</v>
      </c>
      <c r="I8" s="135" t="str">
        <f ca="1">IFERROR(__xludf.DUMMYFUNCTION("""COMPUTED_VALUE"""),"KITS")</f>
        <v>KITS</v>
      </c>
      <c r="J8" s="135" t="str">
        <f ca="1">IFERROR(__xludf.DUMMYFUNCTION("""COMPUTED_VALUE"""),"")</f>
        <v/>
      </c>
      <c r="K8" s="135"/>
      <c r="L8" s="135"/>
      <c r="M8" s="135"/>
      <c r="N8" s="135"/>
      <c r="O8" s="135"/>
      <c r="P8" s="135"/>
      <c r="Q8" s="135"/>
      <c r="R8" s="135"/>
      <c r="S8" s="135"/>
      <c r="T8" s="135"/>
      <c r="U8" s="135"/>
      <c r="V8" s="135"/>
      <c r="W8" s="135"/>
      <c r="X8" s="135"/>
      <c r="Y8" s="135"/>
      <c r="Z8" s="135"/>
    </row>
    <row r="9" spans="1:26">
      <c r="A9" s="135" t="str">
        <f ca="1">IFERROR(__xludf.DUMMYFUNCTION("""COMPUTED_VALUE"""),"Aperion Care Peru")</f>
        <v>Aperion Care Peru</v>
      </c>
      <c r="B9" s="135" t="str">
        <f ca="1">IFERROR(__xludf.DUMMYFUNCTION("""COMPUTED_VALUE"""),"Aperion Care")</f>
        <v>Aperion Care</v>
      </c>
      <c r="C9" s="135" t="str">
        <f ca="1">IFERROR(__xludf.DUMMYFUNCTION("""COMPUTED_VALUE"""),"   Tel: (765)689-5000")</f>
        <v xml:space="preserve">   Tel: (765)689-5000</v>
      </c>
      <c r="D9" s="135" t="str">
        <f ca="1">IFERROR(__xludf.DUMMYFUNCTION("""COMPUTED_VALUE"""),"   1850 West Matador St")</f>
        <v xml:space="preserve">   1850 West Matador St</v>
      </c>
      <c r="E9" s="135" t="str">
        <f ca="1">IFERROR(__xludf.DUMMYFUNCTION("""COMPUTED_VALUE"""),"   Peru, In 46970")</f>
        <v xml:space="preserve">   Peru, In 46970</v>
      </c>
      <c r="F9" s="135" t="str">
        <f ca="1">IFERROR(__xludf.DUMMYFUNCTION("""COMPUTED_VALUE"""),"")</f>
        <v/>
      </c>
      <c r="G9" s="135">
        <f ca="1">IFERROR(__xludf.DUMMYFUNCTION("""COMPUTED_VALUE"""),90)</f>
        <v>90</v>
      </c>
      <c r="H9" s="135" t="str">
        <f ca="1">IFERROR(__xludf.DUMMYFUNCTION("""COMPUTED_VALUE"""),"Optum Testing")</f>
        <v>Optum Testing</v>
      </c>
      <c r="I9" s="135" t="str">
        <f ca="1">IFERROR(__xludf.DUMMYFUNCTION("""COMPUTED_VALUE"""),"KITS")</f>
        <v>KITS</v>
      </c>
      <c r="J9" s="135" t="str">
        <f ca="1">IFERROR(__xludf.DUMMYFUNCTION("""COMPUTED_VALUE"""),"")</f>
        <v/>
      </c>
      <c r="K9" s="135"/>
      <c r="L9" s="135"/>
      <c r="M9" s="135"/>
      <c r="N9" s="135"/>
      <c r="O9" s="135"/>
      <c r="P9" s="135"/>
      <c r="Q9" s="135"/>
      <c r="R9" s="135"/>
      <c r="S9" s="135"/>
      <c r="T9" s="135"/>
      <c r="U9" s="135"/>
      <c r="V9" s="135"/>
      <c r="W9" s="135"/>
      <c r="X9" s="135"/>
      <c r="Y9" s="135"/>
      <c r="Z9" s="135"/>
    </row>
    <row r="10" spans="1:26">
      <c r="A10" s="135" t="str">
        <f ca="1">IFERROR(__xludf.DUMMYFUNCTION("""COMPUTED_VALUE"""),"Aperion Care University Park")</f>
        <v>Aperion Care University Park</v>
      </c>
      <c r="B10" s="135" t="str">
        <f ca="1">IFERROR(__xludf.DUMMYFUNCTION("""COMPUTED_VALUE"""),"Aperion Care")</f>
        <v>Aperion Care</v>
      </c>
      <c r="C10" s="135" t="str">
        <f ca="1">IFERROR(__xludf.DUMMYFUNCTION("""COMPUTED_VALUE"""),"   Tel: (260)484-1558")</f>
        <v xml:space="preserve">   Tel: (260)484-1558</v>
      </c>
      <c r="D10" s="135" t="str">
        <f ca="1">IFERROR(__xludf.DUMMYFUNCTION("""COMPUTED_VALUE"""),"   1400 Medical Park Dr")</f>
        <v xml:space="preserve">   1400 Medical Park Dr</v>
      </c>
      <c r="E10" s="135" t="str">
        <f ca="1">IFERROR(__xludf.DUMMYFUNCTION("""COMPUTED_VALUE"""),"   Fort Wayne, In 46825")</f>
        <v xml:space="preserve">   Fort Wayne, In 46825</v>
      </c>
      <c r="F10" s="135" t="str">
        <f ca="1">IFERROR(__xludf.DUMMYFUNCTION("""COMPUTED_VALUE"""),"")</f>
        <v/>
      </c>
      <c r="G10" s="135">
        <f ca="1">IFERROR(__xludf.DUMMYFUNCTION("""COMPUTED_VALUE"""),60)</f>
        <v>60</v>
      </c>
      <c r="H10" s="135" t="str">
        <f ca="1">IFERROR(__xludf.DUMMYFUNCTION("""COMPUTED_VALUE"""),"Non-Specific Plan/Hypothetical/Local Sites")</f>
        <v>Non-Specific Plan/Hypothetical/Local Sites</v>
      </c>
      <c r="I10" s="135" t="str">
        <f ca="1">IFERROR(__xludf.DUMMYFUNCTION("""COMPUTED_VALUE"""),"KITS")</f>
        <v>KITS</v>
      </c>
      <c r="J10" s="135" t="str">
        <f ca="1">IFERROR(__xludf.DUMMYFUNCTION("""COMPUTED_VALUE"""),"")</f>
        <v/>
      </c>
      <c r="K10" s="135"/>
      <c r="L10" s="135"/>
      <c r="M10" s="135"/>
      <c r="N10" s="135"/>
      <c r="O10" s="135"/>
      <c r="P10" s="135"/>
      <c r="Q10" s="135"/>
      <c r="R10" s="135"/>
      <c r="S10" s="135"/>
      <c r="T10" s="135"/>
      <c r="U10" s="135"/>
      <c r="V10" s="135"/>
      <c r="W10" s="135"/>
      <c r="X10" s="135"/>
      <c r="Y10" s="135"/>
      <c r="Z10" s="135"/>
    </row>
    <row r="11" spans="1:26">
      <c r="A11" s="135" t="str">
        <f ca="1">IFERROR(__xludf.DUMMYFUNCTION("""COMPUTED_VALUE"""),"Aperion Estates Peru, Llc")</f>
        <v>Aperion Estates Peru, Llc</v>
      </c>
      <c r="B11" s="135" t="str">
        <f ca="1">IFERROR(__xludf.DUMMYFUNCTION("""COMPUTED_VALUE"""),"Aperion Care")</f>
        <v>Aperion Care</v>
      </c>
      <c r="C11" s="135" t="str">
        <f ca="1">IFERROR(__xludf.DUMMYFUNCTION("""COMPUTED_VALUE"""),"   Tel: (765)689-7305")</f>
        <v xml:space="preserve">   Tel: (765)689-7305</v>
      </c>
      <c r="D11" s="135" t="str">
        <f ca="1">IFERROR(__xludf.DUMMYFUNCTION("""COMPUTED_VALUE"""),"   1200 Kitty Hawk Drive")</f>
        <v xml:space="preserve">   1200 Kitty Hawk Drive</v>
      </c>
      <c r="E11" s="135" t="str">
        <f ca="1">IFERROR(__xludf.DUMMYFUNCTION("""COMPUTED_VALUE"""),"   Peru, In 46970")</f>
        <v xml:space="preserve">   Peru, In 46970</v>
      </c>
      <c r="F11" s="135" t="str">
        <f ca="1">IFERROR(__xludf.DUMMYFUNCTION("""COMPUTED_VALUE"""),"")</f>
        <v/>
      </c>
      <c r="G11" s="135">
        <f ca="1">IFERROR(__xludf.DUMMYFUNCTION("""COMPUTED_VALUE"""),16)</f>
        <v>16</v>
      </c>
      <c r="H11" s="135" t="str">
        <f ca="1">IFERROR(__xludf.DUMMYFUNCTION("""COMPUTED_VALUE"""),"Optum Testing")</f>
        <v>Optum Testing</v>
      </c>
      <c r="I11" s="135" t="str">
        <f ca="1">IFERROR(__xludf.DUMMYFUNCTION("""COMPUTED_VALUE"""),"KITS")</f>
        <v>KITS</v>
      </c>
      <c r="J11" s="135" t="str">
        <f ca="1">IFERROR(__xludf.DUMMYFUNCTION("""COMPUTED_VALUE"""),"")</f>
        <v/>
      </c>
      <c r="K11" s="135"/>
      <c r="L11" s="135"/>
      <c r="M11" s="135"/>
      <c r="N11" s="135"/>
      <c r="O11" s="135"/>
      <c r="P11" s="135"/>
      <c r="Q11" s="135"/>
      <c r="R11" s="135"/>
      <c r="S11" s="135"/>
      <c r="T11" s="135"/>
      <c r="U11" s="135"/>
      <c r="V11" s="135"/>
      <c r="W11" s="135"/>
      <c r="X11" s="135"/>
      <c r="Y11" s="135"/>
      <c r="Z11" s="135"/>
    </row>
    <row r="12" spans="1:26">
      <c r="A12" s="135" t="str">
        <f ca="1">IFERROR(__xludf.DUMMYFUNCTION("""COMPUTED_VALUE"""),"Arbor Trace Health &amp; Living Community")</f>
        <v>Arbor Trace Health &amp; Living Community</v>
      </c>
      <c r="B12" s="135" t="str">
        <f ca="1">IFERROR(__xludf.DUMMYFUNCTION("""COMPUTED_VALUE"""),"CarDon")</f>
        <v>CarDon</v>
      </c>
      <c r="C12" s="135" t="str">
        <f ca="1">IFERROR(__xludf.DUMMYFUNCTION("""COMPUTED_VALUE"""),"   Tel: (765)939-3701")</f>
        <v xml:space="preserve">   Tel: (765)939-3701</v>
      </c>
      <c r="D12" s="135" t="str">
        <f ca="1">IFERROR(__xludf.DUMMYFUNCTION("""COMPUTED_VALUE"""),"   3701 Hodgin Rd")</f>
        <v xml:space="preserve">   3701 Hodgin Rd</v>
      </c>
      <c r="E12" s="135" t="str">
        <f ca="1">IFERROR(__xludf.DUMMYFUNCTION("""COMPUTED_VALUE"""),"   Richmond, In 47374")</f>
        <v xml:space="preserve">   Richmond, In 47374</v>
      </c>
      <c r="F12" s="135" t="str">
        <f ca="1">IFERROR(__xludf.DUMMYFUNCTION("""COMPUTED_VALUE"""),"")</f>
        <v/>
      </c>
      <c r="G12" s="135">
        <f ca="1">IFERROR(__xludf.DUMMYFUNCTION("""COMPUTED_VALUE"""),149)</f>
        <v>149</v>
      </c>
      <c r="H12" s="135" t="str">
        <f ca="1">IFERROR(__xludf.DUMMYFUNCTION("""COMPUTED_VALUE"""),"Optum Testing")</f>
        <v>Optum Testing</v>
      </c>
      <c r="I12" s="135" t="str">
        <f ca="1">IFERROR(__xludf.DUMMYFUNCTION("""COMPUTED_VALUE"""),"KITS")</f>
        <v>KITS</v>
      </c>
      <c r="J12" s="135" t="str">
        <f ca="1">IFERROR(__xludf.DUMMYFUNCTION("""COMPUTED_VALUE"""),"")</f>
        <v/>
      </c>
      <c r="K12" s="135"/>
      <c r="L12" s="135"/>
      <c r="M12" s="135"/>
      <c r="N12" s="135"/>
      <c r="O12" s="135"/>
      <c r="P12" s="135"/>
      <c r="Q12" s="135"/>
      <c r="R12" s="135"/>
      <c r="S12" s="135"/>
      <c r="T12" s="135"/>
      <c r="U12" s="135"/>
      <c r="V12" s="135"/>
      <c r="W12" s="135"/>
      <c r="X12" s="135"/>
      <c r="Y12" s="135"/>
      <c r="Z12" s="135"/>
    </row>
    <row r="13" spans="1:26">
      <c r="A13" s="135" t="str">
        <f ca="1">IFERROR(__xludf.DUMMYFUNCTION("""COMPUTED_VALUE"""),"Autumn Ridge Rehabilitation Centre")</f>
        <v>Autumn Ridge Rehabilitation Centre</v>
      </c>
      <c r="B13" s="135" t="str">
        <f ca="1">IFERROR(__xludf.DUMMYFUNCTION("""COMPUTED_VALUE"""),"ASC")</f>
        <v>ASC</v>
      </c>
      <c r="C13" s="135" t="str">
        <f ca="1">IFERROR(__xludf.DUMMYFUNCTION("""COMPUTED_VALUE"""),"   Tel: (260)563-8402")</f>
        <v xml:space="preserve">   Tel: (260)563-8402</v>
      </c>
      <c r="D13" s="135" t="str">
        <f ca="1">IFERROR(__xludf.DUMMYFUNCTION("""COMPUTED_VALUE"""),"   600 Washington Ave")</f>
        <v xml:space="preserve">   600 Washington Ave</v>
      </c>
      <c r="E13" s="135" t="str">
        <f ca="1">IFERROR(__xludf.DUMMYFUNCTION("""COMPUTED_VALUE"""),"   Wabash, In 46992")</f>
        <v xml:space="preserve">   Wabash, In 46992</v>
      </c>
      <c r="F13" s="135" t="str">
        <f ca="1">IFERROR(__xludf.DUMMYFUNCTION("""COMPUTED_VALUE"""),"")</f>
        <v/>
      </c>
      <c r="G13" s="135">
        <f ca="1">IFERROR(__xludf.DUMMYFUNCTION("""COMPUTED_VALUE"""),72)</f>
        <v>72</v>
      </c>
      <c r="H13" s="135" t="str">
        <f ca="1">IFERROR(__xludf.DUMMYFUNCTION("""COMPUTED_VALUE"""),"Optum Testing")</f>
        <v>Optum Testing</v>
      </c>
      <c r="I13" s="135" t="str">
        <f ca="1">IFERROR(__xludf.DUMMYFUNCTION("""COMPUTED_VALUE"""),"KITS")</f>
        <v>KITS</v>
      </c>
      <c r="J13" s="135" t="str">
        <f ca="1">IFERROR(__xludf.DUMMYFUNCTION("""COMPUTED_VALUE"""),"")</f>
        <v/>
      </c>
      <c r="K13" s="135"/>
      <c r="L13" s="135"/>
      <c r="M13" s="135"/>
      <c r="N13" s="135"/>
      <c r="O13" s="135"/>
      <c r="P13" s="135"/>
      <c r="Q13" s="135"/>
      <c r="R13" s="135"/>
      <c r="S13" s="135"/>
      <c r="T13" s="135"/>
      <c r="U13" s="135"/>
      <c r="V13" s="135"/>
      <c r="W13" s="135"/>
      <c r="X13" s="135"/>
      <c r="Y13" s="135"/>
      <c r="Z13" s="135"/>
    </row>
    <row r="14" spans="1:26">
      <c r="A14" s="135" t="str">
        <f ca="1">IFERROR(__xludf.DUMMYFUNCTION("""COMPUTED_VALUE"""),"Avalon Village")</f>
        <v>Avalon Village</v>
      </c>
      <c r="B14" s="135" t="str">
        <f ca="1">IFERROR(__xludf.DUMMYFUNCTION("""COMPUTED_VALUE"""),"ASC")</f>
        <v>ASC</v>
      </c>
      <c r="C14" s="135" t="str">
        <f ca="1">IFERROR(__xludf.DUMMYFUNCTION("""COMPUTED_VALUE"""),"   Tel: (260)894-7131")</f>
        <v xml:space="preserve">   Tel: (260)894-7131</v>
      </c>
      <c r="D14" s="135" t="str">
        <f ca="1">IFERROR(__xludf.DUMMYFUNCTION("""COMPUTED_VALUE"""),"   200 Kingston Cir")</f>
        <v xml:space="preserve">   200 Kingston Cir</v>
      </c>
      <c r="E14" s="135" t="str">
        <f ca="1">IFERROR(__xludf.DUMMYFUNCTION("""COMPUTED_VALUE"""),"   Ligonier, In 46767")</f>
        <v xml:space="preserve">   Ligonier, In 46767</v>
      </c>
      <c r="F14" s="135" t="str">
        <f ca="1">IFERROR(__xludf.DUMMYFUNCTION("""COMPUTED_VALUE"""),"")</f>
        <v/>
      </c>
      <c r="G14" s="135">
        <f ca="1">IFERROR(__xludf.DUMMYFUNCTION("""COMPUTED_VALUE"""),80)</f>
        <v>80</v>
      </c>
      <c r="H14" s="135" t="str">
        <f ca="1">IFERROR(__xludf.DUMMYFUNCTION("""COMPUTED_VALUE"""),"Optum Testing")</f>
        <v>Optum Testing</v>
      </c>
      <c r="I14" s="135" t="str">
        <f ca="1">IFERROR(__xludf.DUMMYFUNCTION("""COMPUTED_VALUE"""),"KITS")</f>
        <v>KITS</v>
      </c>
      <c r="J14" s="135" t="str">
        <f ca="1">IFERROR(__xludf.DUMMYFUNCTION("""COMPUTED_VALUE"""),"")</f>
        <v/>
      </c>
      <c r="K14" s="135"/>
      <c r="L14" s="135"/>
      <c r="M14" s="135"/>
      <c r="N14" s="135"/>
      <c r="O14" s="135"/>
      <c r="P14" s="135"/>
      <c r="Q14" s="135"/>
      <c r="R14" s="135"/>
      <c r="S14" s="135"/>
      <c r="T14" s="135"/>
      <c r="U14" s="135"/>
      <c r="V14" s="135"/>
      <c r="W14" s="135"/>
      <c r="X14" s="135"/>
      <c r="Y14" s="135"/>
      <c r="Z14" s="135"/>
    </row>
    <row r="15" spans="1:26">
      <c r="A15" s="135" t="str">
        <f ca="1">IFERROR(__xludf.DUMMYFUNCTION("""COMPUTED_VALUE"""),"Beech Grove Meadows")</f>
        <v>Beech Grove Meadows</v>
      </c>
      <c r="B15" s="135" t="str">
        <f ca="1">IFERROR(__xludf.DUMMYFUNCTION("""COMPUTED_VALUE"""),"ASC")</f>
        <v>ASC</v>
      </c>
      <c r="C15" s="135" t="str">
        <f ca="1">IFERROR(__xludf.DUMMYFUNCTION("""COMPUTED_VALUE"""),"   Tel: (317)783-2911")</f>
        <v xml:space="preserve">   Tel: (317)783-2911</v>
      </c>
      <c r="D15" s="135" t="str">
        <f ca="1">IFERROR(__xludf.DUMMYFUNCTION("""COMPUTED_VALUE"""),"   2002 Albany St")</f>
        <v xml:space="preserve">   2002 Albany St</v>
      </c>
      <c r="E15" s="135" t="str">
        <f ca="1">IFERROR(__xludf.DUMMYFUNCTION("""COMPUTED_VALUE"""),"   Beech Grove, In 46107")</f>
        <v xml:space="preserve">   Beech Grove, In 46107</v>
      </c>
      <c r="F15" s="135" t="str">
        <f ca="1">IFERROR(__xludf.DUMMYFUNCTION("""COMPUTED_VALUE"""),"")</f>
        <v/>
      </c>
      <c r="G15" s="135">
        <f ca="1">IFERROR(__xludf.DUMMYFUNCTION("""COMPUTED_VALUE"""),155)</f>
        <v>155</v>
      </c>
      <c r="H15" s="135" t="str">
        <f ca="1">IFERROR(__xludf.DUMMYFUNCTION("""COMPUTED_VALUE"""),"Optum Testing")</f>
        <v>Optum Testing</v>
      </c>
      <c r="I15" s="135" t="str">
        <f ca="1">IFERROR(__xludf.DUMMYFUNCTION("""COMPUTED_VALUE"""),"KITS")</f>
        <v>KITS</v>
      </c>
      <c r="J15" s="135" t="str">
        <f ca="1">IFERROR(__xludf.DUMMYFUNCTION("""COMPUTED_VALUE"""),"")</f>
        <v/>
      </c>
      <c r="K15" s="135"/>
      <c r="L15" s="135"/>
      <c r="M15" s="135"/>
      <c r="N15" s="135"/>
      <c r="O15" s="135"/>
      <c r="P15" s="135"/>
      <c r="Q15" s="135"/>
      <c r="R15" s="135"/>
      <c r="S15" s="135"/>
      <c r="T15" s="135"/>
      <c r="U15" s="135"/>
      <c r="V15" s="135"/>
      <c r="W15" s="135"/>
      <c r="X15" s="135"/>
      <c r="Y15" s="135"/>
      <c r="Z15" s="135"/>
    </row>
    <row r="16" spans="1:26">
      <c r="A16" s="135" t="str">
        <f ca="1">IFERROR(__xludf.DUMMYFUNCTION("""COMPUTED_VALUE"""),"Ben Hur Health And Rehabilitation")</f>
        <v>Ben Hur Health And Rehabilitation</v>
      </c>
      <c r="B16" s="135" t="str">
        <f ca="1">IFERROR(__xludf.DUMMYFUNCTION("""COMPUTED_VALUE"""),"ASC")</f>
        <v>ASC</v>
      </c>
      <c r="C16" s="135" t="str">
        <f ca="1">IFERROR(__xludf.DUMMYFUNCTION("""COMPUTED_VALUE"""),"   Tel: (765)362-0905")</f>
        <v xml:space="preserve">   Tel: (765)362-0905</v>
      </c>
      <c r="D16" s="135" t="str">
        <f ca="1">IFERROR(__xludf.DUMMYFUNCTION("""COMPUTED_VALUE"""),"   1375 S Grant Ave")</f>
        <v xml:space="preserve">   1375 S Grant Ave</v>
      </c>
      <c r="E16" s="135" t="str">
        <f ca="1">IFERROR(__xludf.DUMMYFUNCTION("""COMPUTED_VALUE"""),"   Crawfordsville, In 47933")</f>
        <v xml:space="preserve">   Crawfordsville, In 47933</v>
      </c>
      <c r="F16" s="135" t="str">
        <f ca="1">IFERROR(__xludf.DUMMYFUNCTION("""COMPUTED_VALUE"""),"")</f>
        <v/>
      </c>
      <c r="G16" s="135">
        <f ca="1">IFERROR(__xludf.DUMMYFUNCTION("""COMPUTED_VALUE"""),114)</f>
        <v>114</v>
      </c>
      <c r="H16" s="135" t="str">
        <f ca="1">IFERROR(__xludf.DUMMYFUNCTION("""COMPUTED_VALUE"""),"Optum Testing")</f>
        <v>Optum Testing</v>
      </c>
      <c r="I16" s="135" t="str">
        <f ca="1">IFERROR(__xludf.DUMMYFUNCTION("""COMPUTED_VALUE"""),"KITS")</f>
        <v>KITS</v>
      </c>
      <c r="J16" s="135" t="str">
        <f ca="1">IFERROR(__xludf.DUMMYFUNCTION("""COMPUTED_VALUE"""),"")</f>
        <v/>
      </c>
      <c r="K16" s="135"/>
      <c r="L16" s="135"/>
      <c r="M16" s="135"/>
      <c r="N16" s="135"/>
      <c r="O16" s="135"/>
      <c r="P16" s="135"/>
      <c r="Q16" s="135"/>
      <c r="R16" s="135"/>
      <c r="S16" s="135"/>
      <c r="T16" s="135"/>
      <c r="U16" s="135"/>
      <c r="V16" s="135"/>
      <c r="W16" s="135"/>
      <c r="X16" s="135"/>
      <c r="Y16" s="135"/>
      <c r="Z16" s="135"/>
    </row>
    <row r="17" spans="1:26">
      <c r="A17" s="135" t="str">
        <f ca="1">IFERROR(__xludf.DUMMYFUNCTION("""COMPUTED_VALUE"""),"Bertha D Garten Ketcham Memorial Center")</f>
        <v>Bertha D Garten Ketcham Memorial Center</v>
      </c>
      <c r="B17" s="135" t="str">
        <f ca="1">IFERROR(__xludf.DUMMYFUNCTION("""COMPUTED_VALUE"""),"")</f>
        <v/>
      </c>
      <c r="C17" s="135" t="str">
        <f ca="1">IFERROR(__xludf.DUMMYFUNCTION("""COMPUTED_VALUE"""),"   Tel: (812)636-4920")</f>
        <v xml:space="preserve">   Tel: (812)636-4920</v>
      </c>
      <c r="D17" s="135" t="str">
        <f ca="1">IFERROR(__xludf.DUMMYFUNCTION("""COMPUTED_VALUE"""),"   601 E Race St")</f>
        <v xml:space="preserve">   601 E Race St</v>
      </c>
      <c r="E17" s="135" t="str">
        <f ca="1">IFERROR(__xludf.DUMMYFUNCTION("""COMPUTED_VALUE"""),"   Odon, In 47562")</f>
        <v xml:space="preserve">   Odon, In 47562</v>
      </c>
      <c r="F17" s="135" t="str">
        <f ca="1">IFERROR(__xludf.DUMMYFUNCTION("""COMPUTED_VALUE"""),"No")</f>
        <v>No</v>
      </c>
      <c r="G17" s="135">
        <f ca="1">IFERROR(__xludf.DUMMYFUNCTION("""COMPUTED_VALUE"""),90)</f>
        <v>90</v>
      </c>
      <c r="H17" s="135" t="str">
        <f ca="1">IFERROR(__xludf.DUMMYFUNCTION("""COMPUTED_VALUE"""),"Optum Testing")</f>
        <v>Optum Testing</v>
      </c>
      <c r="I17" s="135" t="str">
        <f ca="1">IFERROR(__xludf.DUMMYFUNCTION("""COMPUTED_VALUE"""),"KITS")</f>
        <v>KITS</v>
      </c>
      <c r="J17" s="135" t="str">
        <f ca="1">IFERROR(__xludf.DUMMYFUNCTION("""COMPUTED_VALUE"""),"")</f>
        <v/>
      </c>
      <c r="K17" s="135"/>
      <c r="L17" s="135"/>
      <c r="M17" s="135"/>
      <c r="N17" s="135"/>
      <c r="O17" s="135"/>
      <c r="P17" s="135"/>
      <c r="Q17" s="135"/>
      <c r="R17" s="135"/>
      <c r="S17" s="135"/>
      <c r="T17" s="135"/>
      <c r="U17" s="135"/>
      <c r="V17" s="135"/>
      <c r="W17" s="135"/>
      <c r="X17" s="135"/>
      <c r="Y17" s="135"/>
      <c r="Z17" s="135"/>
    </row>
    <row r="18" spans="1:26">
      <c r="A18" s="135" t="str">
        <f ca="1">IFERROR(__xludf.DUMMYFUNCTION("""COMPUTED_VALUE"""),"Bethany Village")</f>
        <v>Bethany Village</v>
      </c>
      <c r="B18" s="135" t="str">
        <f ca="1">IFERROR(__xludf.DUMMYFUNCTION("""COMPUTED_VALUE"""),"ASC")</f>
        <v>ASC</v>
      </c>
      <c r="C18" s="135" t="str">
        <f ca="1">IFERROR(__xludf.DUMMYFUNCTION("""COMPUTED_VALUE"""),"   Tel: (317)783-4042")</f>
        <v xml:space="preserve">   Tel: (317)783-4042</v>
      </c>
      <c r="D18" s="135" t="str">
        <f ca="1">IFERROR(__xludf.DUMMYFUNCTION("""COMPUTED_VALUE"""),"   3518 S Shelby St")</f>
        <v xml:space="preserve">   3518 S Shelby St</v>
      </c>
      <c r="E18" s="135" t="str">
        <f ca="1">IFERROR(__xludf.DUMMYFUNCTION("""COMPUTED_VALUE"""),"   Indianapolis, In 46227")</f>
        <v xml:space="preserve">   Indianapolis, In 46227</v>
      </c>
      <c r="F18" s="135" t="str">
        <f ca="1">IFERROR(__xludf.DUMMYFUNCTION("""COMPUTED_VALUE"""),"")</f>
        <v/>
      </c>
      <c r="G18" s="135">
        <f ca="1">IFERROR(__xludf.DUMMYFUNCTION("""COMPUTED_VALUE"""),100)</f>
        <v>100</v>
      </c>
      <c r="H18" s="135" t="str">
        <f ca="1">IFERROR(__xludf.DUMMYFUNCTION("""COMPUTED_VALUE"""),"Optum Testing")</f>
        <v>Optum Testing</v>
      </c>
      <c r="I18" s="135" t="str">
        <f ca="1">IFERROR(__xludf.DUMMYFUNCTION("""COMPUTED_VALUE"""),"KITS")</f>
        <v>KITS</v>
      </c>
      <c r="J18" s="135" t="str">
        <f ca="1">IFERROR(__xludf.DUMMYFUNCTION("""COMPUTED_VALUE"""),"")</f>
        <v/>
      </c>
      <c r="K18" s="135"/>
      <c r="L18" s="135"/>
      <c r="M18" s="135"/>
      <c r="N18" s="135"/>
      <c r="O18" s="135"/>
      <c r="P18" s="135"/>
      <c r="Q18" s="135"/>
      <c r="R18" s="135"/>
      <c r="S18" s="135"/>
      <c r="T18" s="135"/>
      <c r="U18" s="135"/>
      <c r="V18" s="135"/>
      <c r="W18" s="135"/>
      <c r="X18" s="135"/>
      <c r="Y18" s="135"/>
      <c r="Z18" s="135"/>
    </row>
    <row r="19" spans="1:26">
      <c r="A19" s="135" t="str">
        <f ca="1">IFERROR(__xludf.DUMMYFUNCTION("""COMPUTED_VALUE"""),"Bethel Pointe Health And Rehab")</f>
        <v>Bethel Pointe Health And Rehab</v>
      </c>
      <c r="B19" s="135" t="str">
        <f ca="1">IFERROR(__xludf.DUMMYFUNCTION("""COMPUTED_VALUE"""),"TLC")</f>
        <v>TLC</v>
      </c>
      <c r="C19" s="135" t="str">
        <f ca="1">IFERROR(__xludf.DUMMYFUNCTION("""COMPUTED_VALUE"""),"   Tel: (765)289-2273")</f>
        <v xml:space="preserve">   Tel: (765)289-2273</v>
      </c>
      <c r="D19" s="135" t="str">
        <f ca="1">IFERROR(__xludf.DUMMYFUNCTION("""COMPUTED_VALUE"""),"   3400 W Community Dr")</f>
        <v xml:space="preserve">   3400 W Community Dr</v>
      </c>
      <c r="E19" s="135" t="str">
        <f ca="1">IFERROR(__xludf.DUMMYFUNCTION("""COMPUTED_VALUE"""),"   Muncie, In 47304")</f>
        <v xml:space="preserve">   Muncie, In 47304</v>
      </c>
      <c r="F19" s="135" t="str">
        <f ca="1">IFERROR(__xludf.DUMMYFUNCTION("""COMPUTED_VALUE"""),"")</f>
        <v/>
      </c>
      <c r="G19" s="135">
        <f ca="1">IFERROR(__xludf.DUMMYFUNCTION("""COMPUTED_VALUE"""),150)</f>
        <v>150</v>
      </c>
      <c r="H19" s="135" t="str">
        <f ca="1">IFERROR(__xludf.DUMMYFUNCTION("""COMPUTED_VALUE"""),"Non-Specific Plan/Hypothetical/Local Sites")</f>
        <v>Non-Specific Plan/Hypothetical/Local Sites</v>
      </c>
      <c r="I19" s="135" t="str">
        <f ca="1">IFERROR(__xludf.DUMMYFUNCTION("""COMPUTED_VALUE"""),"KITS")</f>
        <v>KITS</v>
      </c>
      <c r="J19" s="135" t="str">
        <f ca="1">IFERROR(__xludf.DUMMYFUNCTION("""COMPUTED_VALUE"""),"")</f>
        <v/>
      </c>
      <c r="K19" s="135"/>
      <c r="L19" s="135"/>
      <c r="M19" s="135"/>
      <c r="N19" s="135"/>
      <c r="O19" s="135"/>
      <c r="P19" s="135"/>
      <c r="Q19" s="135"/>
      <c r="R19" s="135"/>
      <c r="S19" s="135"/>
      <c r="T19" s="135"/>
      <c r="U19" s="135"/>
      <c r="V19" s="135"/>
      <c r="W19" s="135"/>
      <c r="X19" s="135"/>
      <c r="Y19" s="135"/>
      <c r="Z19" s="135"/>
    </row>
    <row r="20" spans="1:26">
      <c r="A20" s="135" t="str">
        <f ca="1">IFERROR(__xludf.DUMMYFUNCTION("""COMPUTED_VALUE"""),"Bethlehem Woods Nursing And Rehabilitation")</f>
        <v>Bethlehem Woods Nursing And Rehabilitation</v>
      </c>
      <c r="B20" s="135" t="str">
        <f ca="1">IFERROR(__xludf.DUMMYFUNCTION("""COMPUTED_VALUE"""),"ASC")</f>
        <v>ASC</v>
      </c>
      <c r="C20" s="135" t="str">
        <f ca="1">IFERROR(__xludf.DUMMYFUNCTION("""COMPUTED_VALUE"""),"   Tel: (260)485-8157")</f>
        <v xml:space="preserve">   Tel: (260)485-8157</v>
      </c>
      <c r="D20" s="135" t="str">
        <f ca="1">IFERROR(__xludf.DUMMYFUNCTION("""COMPUTED_VALUE"""),"   4430 Elsdale Dr")</f>
        <v xml:space="preserve">   4430 Elsdale Dr</v>
      </c>
      <c r="E20" s="135" t="str">
        <f ca="1">IFERROR(__xludf.DUMMYFUNCTION("""COMPUTED_VALUE"""),"   Fort Wayne, In 46835")</f>
        <v xml:space="preserve">   Fort Wayne, In 46835</v>
      </c>
      <c r="F20" s="135" t="str">
        <f ca="1">IFERROR(__xludf.DUMMYFUNCTION("""COMPUTED_VALUE"""),"")</f>
        <v/>
      </c>
      <c r="G20" s="135">
        <f ca="1">IFERROR(__xludf.DUMMYFUNCTION("""COMPUTED_VALUE"""),99)</f>
        <v>99</v>
      </c>
      <c r="H20" s="135" t="str">
        <f ca="1">IFERROR(__xludf.DUMMYFUNCTION("""COMPUTED_VALUE"""),"Optum Testing")</f>
        <v>Optum Testing</v>
      </c>
      <c r="I20" s="135" t="str">
        <f ca="1">IFERROR(__xludf.DUMMYFUNCTION("""COMPUTED_VALUE"""),"KITS")</f>
        <v>KITS</v>
      </c>
      <c r="J20" s="135" t="str">
        <f ca="1">IFERROR(__xludf.DUMMYFUNCTION("""COMPUTED_VALUE"""),"")</f>
        <v/>
      </c>
      <c r="K20" s="135"/>
      <c r="L20" s="135"/>
      <c r="M20" s="135"/>
      <c r="N20" s="135"/>
      <c r="O20" s="135"/>
      <c r="P20" s="135"/>
      <c r="Q20" s="135"/>
      <c r="R20" s="135"/>
      <c r="S20" s="135"/>
      <c r="T20" s="135"/>
      <c r="U20" s="135"/>
      <c r="V20" s="135"/>
      <c r="W20" s="135"/>
      <c r="X20" s="135"/>
      <c r="Y20" s="135"/>
      <c r="Z20" s="135"/>
    </row>
    <row r="21" spans="1:26">
      <c r="A21" s="135" t="str">
        <f ca="1">IFERROR(__xludf.DUMMYFUNCTION("""COMPUTED_VALUE"""),"Betz Nursing Home")</f>
        <v>Betz Nursing Home</v>
      </c>
      <c r="B21" s="135" t="str">
        <f ca="1">IFERROR(__xludf.DUMMYFUNCTION("""COMPUTED_VALUE"""),"ASC")</f>
        <v>ASC</v>
      </c>
      <c r="C21" s="135" t="str">
        <f ca="1">IFERROR(__xludf.DUMMYFUNCTION("""COMPUTED_VALUE"""),"   Tel: (260)925-3814")</f>
        <v xml:space="preserve">   Tel: (260)925-3814</v>
      </c>
      <c r="D21" s="135" t="str">
        <f ca="1">IFERROR(__xludf.DUMMYFUNCTION("""COMPUTED_VALUE"""),"   116 Betz Rd")</f>
        <v xml:space="preserve">   116 Betz Rd</v>
      </c>
      <c r="E21" s="135" t="str">
        <f ca="1">IFERROR(__xludf.DUMMYFUNCTION("""COMPUTED_VALUE"""),"   Auburn, In 46706")</f>
        <v xml:space="preserve">   Auburn, In 46706</v>
      </c>
      <c r="F21" s="135" t="str">
        <f ca="1">IFERROR(__xludf.DUMMYFUNCTION("""COMPUTED_VALUE"""),"")</f>
        <v/>
      </c>
      <c r="G21" s="135">
        <f ca="1">IFERROR(__xludf.DUMMYFUNCTION("""COMPUTED_VALUE"""),125)</f>
        <v>125</v>
      </c>
      <c r="H21" s="135" t="str">
        <f ca="1">IFERROR(__xludf.DUMMYFUNCTION("""COMPUTED_VALUE"""),"Optum Testing")</f>
        <v>Optum Testing</v>
      </c>
      <c r="I21" s="135" t="str">
        <f ca="1">IFERROR(__xludf.DUMMYFUNCTION("""COMPUTED_VALUE"""),"KITS")</f>
        <v>KITS</v>
      </c>
      <c r="J21" s="135" t="str">
        <f ca="1">IFERROR(__xludf.DUMMYFUNCTION("""COMPUTED_VALUE"""),"")</f>
        <v/>
      </c>
      <c r="K21" s="135"/>
      <c r="L21" s="135"/>
      <c r="M21" s="135"/>
      <c r="N21" s="135"/>
      <c r="O21" s="135"/>
      <c r="P21" s="135"/>
      <c r="Q21" s="135"/>
      <c r="R21" s="135"/>
      <c r="S21" s="135"/>
      <c r="T21" s="135"/>
      <c r="U21" s="135"/>
      <c r="V21" s="135"/>
      <c r="W21" s="135"/>
      <c r="X21" s="135"/>
      <c r="Y21" s="135"/>
      <c r="Z21" s="135"/>
    </row>
    <row r="22" spans="1:26">
      <c r="A22" s="135" t="str">
        <f ca="1">IFERROR(__xludf.DUMMYFUNCTION("""COMPUTED_VALUE"""),"Bluffton Regional Medical Center Care Center")</f>
        <v>Bluffton Regional Medical Center Care Center</v>
      </c>
      <c r="B22" s="135" t="str">
        <f ca="1">IFERROR(__xludf.DUMMYFUNCTION("""COMPUTED_VALUE"""),"")</f>
        <v/>
      </c>
      <c r="C22" s="135" t="str">
        <f ca="1">IFERROR(__xludf.DUMMYFUNCTION("""COMPUTED_VALUE"""),"   Tel: (260)824-3210")</f>
        <v xml:space="preserve">   Tel: (260)824-3210</v>
      </c>
      <c r="D22" s="135" t="str">
        <f ca="1">IFERROR(__xludf.DUMMYFUNCTION("""COMPUTED_VALUE"""),"   303 S Main St")</f>
        <v xml:space="preserve">   303 S Main St</v>
      </c>
      <c r="E22" s="135" t="str">
        <f ca="1">IFERROR(__xludf.DUMMYFUNCTION("""COMPUTED_VALUE"""),"   Bluffton, In 46714")</f>
        <v xml:space="preserve">   Bluffton, In 46714</v>
      </c>
      <c r="F22" s="135" t="str">
        <f ca="1">IFERROR(__xludf.DUMMYFUNCTION("""COMPUTED_VALUE"""),"")</f>
        <v/>
      </c>
      <c r="G22" s="135">
        <f ca="1">IFERROR(__xludf.DUMMYFUNCTION("""COMPUTED_VALUE"""),50)</f>
        <v>50</v>
      </c>
      <c r="H22" s="135" t="str">
        <f ca="1">IFERROR(__xludf.DUMMYFUNCTION("""COMPUTED_VALUE"""),"Local Hospital")</f>
        <v>Local Hospital</v>
      </c>
      <c r="I22" s="135" t="str">
        <f ca="1">IFERROR(__xludf.DUMMYFUNCTION("""COMPUTED_VALUE"""),"KITS")</f>
        <v>KITS</v>
      </c>
      <c r="J22" s="135" t="str">
        <f ca="1">IFERROR(__xludf.DUMMYFUNCTION("""COMPUTED_VALUE"""),"")</f>
        <v/>
      </c>
      <c r="K22" s="135"/>
      <c r="L22" s="135"/>
      <c r="M22" s="135"/>
      <c r="N22" s="135"/>
      <c r="O22" s="135"/>
      <c r="P22" s="135"/>
      <c r="Q22" s="135"/>
      <c r="R22" s="135"/>
      <c r="S22" s="135"/>
      <c r="T22" s="135"/>
      <c r="U22" s="135"/>
      <c r="V22" s="135"/>
      <c r="W22" s="135"/>
      <c r="X22" s="135"/>
      <c r="Y22" s="135"/>
      <c r="Z22" s="135"/>
    </row>
    <row r="23" spans="1:26">
      <c r="A23" s="135" t="str">
        <f ca="1">IFERROR(__xludf.DUMMYFUNCTION("""COMPUTED_VALUE"""),"Breckenridge Health &amp; Rehabilitation")</f>
        <v>Breckenridge Health &amp; Rehabilitation</v>
      </c>
      <c r="B23" s="135" t="str">
        <f ca="1">IFERROR(__xludf.DUMMYFUNCTION("""COMPUTED_VALUE"""),"")</f>
        <v/>
      </c>
      <c r="C23" s="135" t="str">
        <f ca="1">IFERROR(__xludf.DUMMYFUNCTION("""COMPUTED_VALUE"""),"   Tel: (812)268-3351")</f>
        <v xml:space="preserve">   Tel: (812)268-3351</v>
      </c>
      <c r="D23" s="135" t="str">
        <f ca="1">IFERROR(__xludf.DUMMYFUNCTION("""COMPUTED_VALUE"""),"   325 W Northwood Dr")</f>
        <v xml:space="preserve">   325 W Northwood Dr</v>
      </c>
      <c r="E23" s="135" t="str">
        <f ca="1">IFERROR(__xludf.DUMMYFUNCTION("""COMPUTED_VALUE"""),"   Sullivan, In 47882")</f>
        <v xml:space="preserve">   Sullivan, In 47882</v>
      </c>
      <c r="F23" s="135" t="str">
        <f ca="1">IFERROR(__xludf.DUMMYFUNCTION("""COMPUTED_VALUE"""),"")</f>
        <v/>
      </c>
      <c r="G23" s="135">
        <f ca="1">IFERROR(__xludf.DUMMYFUNCTION("""COMPUTED_VALUE"""),60)</f>
        <v>60</v>
      </c>
      <c r="H23" s="135" t="str">
        <f ca="1">IFERROR(__xludf.DUMMYFUNCTION("""COMPUTED_VALUE"""),"Optum Testing")</f>
        <v>Optum Testing</v>
      </c>
      <c r="I23" s="135" t="str">
        <f ca="1">IFERROR(__xludf.DUMMYFUNCTION("""COMPUTED_VALUE"""),"KITS")</f>
        <v>KITS</v>
      </c>
      <c r="J23" s="135" t="str">
        <f ca="1">IFERROR(__xludf.DUMMYFUNCTION("""COMPUTED_VALUE"""),"")</f>
        <v/>
      </c>
      <c r="K23" s="135"/>
      <c r="L23" s="135"/>
      <c r="M23" s="135"/>
      <c r="N23" s="135"/>
      <c r="O23" s="135"/>
      <c r="P23" s="135"/>
      <c r="Q23" s="135"/>
      <c r="R23" s="135"/>
      <c r="S23" s="135"/>
      <c r="T23" s="135"/>
      <c r="U23" s="135"/>
      <c r="V23" s="135"/>
      <c r="W23" s="135"/>
      <c r="X23" s="135"/>
      <c r="Y23" s="135"/>
      <c r="Z23" s="135"/>
    </row>
    <row r="24" spans="1:26">
      <c r="A24" s="135" t="str">
        <f ca="1">IFERROR(__xludf.DUMMYFUNCTION("""COMPUTED_VALUE"""),"Bridgewater Rehabilitation Centre")</f>
        <v>Bridgewater Rehabilitation Centre</v>
      </c>
      <c r="B24" s="135" t="str">
        <f ca="1">IFERROR(__xludf.DUMMYFUNCTION("""COMPUTED_VALUE"""),"INHCF")</f>
        <v>INHCF</v>
      </c>
      <c r="C24" s="135" t="str">
        <f ca="1">IFERROR(__xludf.DUMMYFUNCTION("""COMPUTED_VALUE"""),"   Tel: (765)348-2273")</f>
        <v xml:space="preserve">   Tel: (765)348-2273</v>
      </c>
      <c r="D24" s="135" t="str">
        <f ca="1">IFERROR(__xludf.DUMMYFUNCTION("""COMPUTED_VALUE"""),"   715 N Mill St")</f>
        <v xml:space="preserve">   715 N Mill St</v>
      </c>
      <c r="E24" s="135" t="str">
        <f ca="1">IFERROR(__xludf.DUMMYFUNCTION("""COMPUTED_VALUE"""),"   Hartford City, In 47348")</f>
        <v xml:space="preserve">   Hartford City, In 47348</v>
      </c>
      <c r="F24" s="135" t="str">
        <f ca="1">IFERROR(__xludf.DUMMYFUNCTION("""COMPUTED_VALUE"""),"")</f>
        <v/>
      </c>
      <c r="G24" s="135">
        <f ca="1">IFERROR(__xludf.DUMMYFUNCTION("""COMPUTED_VALUE"""),50)</f>
        <v>50</v>
      </c>
      <c r="H24" s="135" t="str">
        <f ca="1">IFERROR(__xludf.DUMMYFUNCTION("""COMPUTED_VALUE"""),"Optum Testing")</f>
        <v>Optum Testing</v>
      </c>
      <c r="I24" s="135" t="str">
        <f ca="1">IFERROR(__xludf.DUMMYFUNCTION("""COMPUTED_VALUE"""),"KITS")</f>
        <v>KITS</v>
      </c>
      <c r="J24" s="135" t="str">
        <f ca="1">IFERROR(__xludf.DUMMYFUNCTION("""COMPUTED_VALUE"""),"")</f>
        <v/>
      </c>
      <c r="K24" s="135"/>
      <c r="L24" s="135"/>
      <c r="M24" s="135"/>
      <c r="N24" s="135"/>
      <c r="O24" s="135"/>
      <c r="P24" s="135"/>
      <c r="Q24" s="135"/>
      <c r="R24" s="135"/>
      <c r="S24" s="135"/>
      <c r="T24" s="135"/>
      <c r="U24" s="135"/>
      <c r="V24" s="135"/>
      <c r="W24" s="135"/>
      <c r="X24" s="135"/>
      <c r="Y24" s="135"/>
      <c r="Z24" s="135"/>
    </row>
    <row r="25" spans="1:26">
      <c r="A25" s="135" t="str">
        <f ca="1">IFERROR(__xludf.DUMMYFUNCTION("""COMPUTED_VALUE"""),"Brooke Knoll Village")</f>
        <v>Brooke Knoll Village</v>
      </c>
      <c r="B25" s="135" t="str">
        <f ca="1">IFERROR(__xludf.DUMMYFUNCTION("""COMPUTED_VALUE"""),"")</f>
        <v/>
      </c>
      <c r="C25" s="135" t="str">
        <f ca="1">IFERROR(__xludf.DUMMYFUNCTION("""COMPUTED_VALUE"""),"   Tel: (317)271-7052")</f>
        <v xml:space="preserve">   Tel: (317)271-7052</v>
      </c>
      <c r="D25" s="135" t="str">
        <f ca="1">IFERROR(__xludf.DUMMYFUNCTION("""COMPUTED_VALUE"""),"   1108 Kingwood Drive")</f>
        <v xml:space="preserve">   1108 Kingwood Drive</v>
      </c>
      <c r="E25" s="135" t="str">
        <f ca="1">IFERROR(__xludf.DUMMYFUNCTION("""COMPUTED_VALUE"""),"   Avon, In 46123")</f>
        <v xml:space="preserve">   Avon, In 46123</v>
      </c>
      <c r="F25" s="135" t="str">
        <f ca="1">IFERROR(__xludf.DUMMYFUNCTION("""COMPUTED_VALUE"""),"")</f>
        <v/>
      </c>
      <c r="G25" s="135">
        <f ca="1">IFERROR(__xludf.DUMMYFUNCTION("""COMPUTED_VALUE"""),48)</f>
        <v>48</v>
      </c>
      <c r="H25" s="135" t="str">
        <f ca="1">IFERROR(__xludf.DUMMYFUNCTION("""COMPUTED_VALUE"""),"Optum Testing")</f>
        <v>Optum Testing</v>
      </c>
      <c r="I25" s="135" t="str">
        <f ca="1">IFERROR(__xludf.DUMMYFUNCTION("""COMPUTED_VALUE"""),"KITS")</f>
        <v>KITS</v>
      </c>
      <c r="J25" s="135" t="str">
        <f ca="1">IFERROR(__xludf.DUMMYFUNCTION("""COMPUTED_VALUE"""),"")</f>
        <v/>
      </c>
      <c r="K25" s="135"/>
      <c r="L25" s="135"/>
      <c r="M25" s="135"/>
      <c r="N25" s="135"/>
      <c r="O25" s="135"/>
      <c r="P25" s="135"/>
      <c r="Q25" s="135"/>
      <c r="R25" s="135"/>
      <c r="S25" s="135"/>
      <c r="T25" s="135"/>
      <c r="U25" s="135"/>
      <c r="V25" s="135"/>
      <c r="W25" s="135"/>
      <c r="X25" s="135"/>
      <c r="Y25" s="135"/>
      <c r="Z25" s="135"/>
    </row>
    <row r="26" spans="1:26">
      <c r="A26" s="135" t="str">
        <f ca="1">IFERROR(__xludf.DUMMYFUNCTION("""COMPUTED_VALUE"""),"Brookside Care Strategies")</f>
        <v>Brookside Care Strategies</v>
      </c>
      <c r="B26" s="135" t="str">
        <f ca="1">IFERROR(__xludf.DUMMYFUNCTION("""COMPUTED_VALUE"""),"")</f>
        <v/>
      </c>
      <c r="C26" s="135" t="str">
        <f ca="1">IFERROR(__xludf.DUMMYFUNCTION("""COMPUTED_VALUE"""),"   Tel: (765)289-1915")</f>
        <v xml:space="preserve">   Tel: (765)289-1915</v>
      </c>
      <c r="D26" s="135" t="str">
        <f ca="1">IFERROR(__xludf.DUMMYFUNCTION("""COMPUTED_VALUE"""),"   505 N Gavin St")</f>
        <v xml:space="preserve">   505 N Gavin St</v>
      </c>
      <c r="E26" s="135" t="str">
        <f ca="1">IFERROR(__xludf.DUMMYFUNCTION("""COMPUTED_VALUE"""),"   Muncie, In 47303")</f>
        <v xml:space="preserve">   Muncie, In 47303</v>
      </c>
      <c r="F26" s="135" t="str">
        <f ca="1">IFERROR(__xludf.DUMMYFUNCTION("""COMPUTED_VALUE"""),"")</f>
        <v/>
      </c>
      <c r="G26" s="135">
        <f ca="1">IFERROR(__xludf.DUMMYFUNCTION("""COMPUTED_VALUE"""),55)</f>
        <v>55</v>
      </c>
      <c r="H26" s="135" t="str">
        <f ca="1">IFERROR(__xludf.DUMMYFUNCTION("""COMPUTED_VALUE"""),"Optum Testing")</f>
        <v>Optum Testing</v>
      </c>
      <c r="I26" s="135" t="str">
        <f ca="1">IFERROR(__xludf.DUMMYFUNCTION("""COMPUTED_VALUE"""),"KITS")</f>
        <v>KITS</v>
      </c>
      <c r="J26" s="135" t="str">
        <f ca="1">IFERROR(__xludf.DUMMYFUNCTION("""COMPUTED_VALUE"""),"")</f>
        <v/>
      </c>
      <c r="K26" s="135"/>
      <c r="L26" s="135"/>
      <c r="M26" s="135"/>
      <c r="N26" s="135"/>
      <c r="O26" s="135"/>
      <c r="P26" s="135"/>
      <c r="Q26" s="135"/>
      <c r="R26" s="135"/>
      <c r="S26" s="135"/>
      <c r="T26" s="135"/>
      <c r="U26" s="135"/>
      <c r="V26" s="135"/>
      <c r="W26" s="135"/>
      <c r="X26" s="135"/>
      <c r="Y26" s="135"/>
      <c r="Z26" s="135"/>
    </row>
    <row r="27" spans="1:26">
      <c r="A27" s="135" t="str">
        <f ca="1">IFERROR(__xludf.DUMMYFUNCTION("""COMPUTED_VALUE"""),"Brookville Healthcare Center")</f>
        <v>Brookville Healthcare Center</v>
      </c>
      <c r="B27" s="135" t="str">
        <f ca="1">IFERROR(__xludf.DUMMYFUNCTION("""COMPUTED_VALUE"""),"INHCF")</f>
        <v>INHCF</v>
      </c>
      <c r="C27" s="135" t="str">
        <f ca="1">IFERROR(__xludf.DUMMYFUNCTION("""COMPUTED_VALUE"""),"   Tel: (765)647-2527")</f>
        <v xml:space="preserve">   Tel: (765)647-2527</v>
      </c>
      <c r="D27" s="135" t="str">
        <f ca="1">IFERROR(__xludf.DUMMYFUNCTION("""COMPUTED_VALUE"""),"   11049 State Road 101")</f>
        <v xml:space="preserve">   11049 State Road 101</v>
      </c>
      <c r="E27" s="135" t="str">
        <f ca="1">IFERROR(__xludf.DUMMYFUNCTION("""COMPUTED_VALUE"""),"   Brookville, In 47012")</f>
        <v xml:space="preserve">   Brookville, In 47012</v>
      </c>
      <c r="F27" s="135" t="str">
        <f ca="1">IFERROR(__xludf.DUMMYFUNCTION("""COMPUTED_VALUE"""),"No")</f>
        <v>No</v>
      </c>
      <c r="G27" s="135">
        <f ca="1">IFERROR(__xludf.DUMMYFUNCTION("""COMPUTED_VALUE"""),70)</f>
        <v>70</v>
      </c>
      <c r="H27" s="135" t="str">
        <f ca="1">IFERROR(__xludf.DUMMYFUNCTION("""COMPUTED_VALUE"""),"Optum Testing")</f>
        <v>Optum Testing</v>
      </c>
      <c r="I27" s="135" t="str">
        <f ca="1">IFERROR(__xludf.DUMMYFUNCTION("""COMPUTED_VALUE"""),"KITS")</f>
        <v>KITS</v>
      </c>
      <c r="J27" s="135" t="str">
        <f ca="1">IFERROR(__xludf.DUMMYFUNCTION("""COMPUTED_VALUE"""),"")</f>
        <v/>
      </c>
      <c r="K27" s="135"/>
      <c r="L27" s="135"/>
      <c r="M27" s="135"/>
      <c r="N27" s="135"/>
      <c r="O27" s="135"/>
      <c r="P27" s="135"/>
      <c r="Q27" s="135"/>
      <c r="R27" s="135"/>
      <c r="S27" s="135"/>
      <c r="T27" s="135"/>
      <c r="U27" s="135"/>
      <c r="V27" s="135"/>
      <c r="W27" s="135"/>
      <c r="X27" s="135"/>
      <c r="Y27" s="135"/>
      <c r="Z27" s="135"/>
    </row>
    <row r="28" spans="1:26">
      <c r="A28" s="135" t="str">
        <f ca="1">IFERROR(__xludf.DUMMYFUNCTION("""COMPUTED_VALUE"""),"Brown County Health And Living Community")</f>
        <v>Brown County Health And Living Community</v>
      </c>
      <c r="B28" s="135" t="str">
        <f ca="1">IFERROR(__xludf.DUMMYFUNCTION("""COMPUTED_VALUE"""),"CarDon")</f>
        <v>CarDon</v>
      </c>
      <c r="C28" s="135" t="str">
        <f ca="1">IFERROR(__xludf.DUMMYFUNCTION("""COMPUTED_VALUE"""),"   Tel: (812)988-6666")</f>
        <v xml:space="preserve">   Tel: (812)988-6666</v>
      </c>
      <c r="D28" s="135" t="str">
        <f ca="1">IFERROR(__xludf.DUMMYFUNCTION("""COMPUTED_VALUE"""),"   55 E Willow St")</f>
        <v xml:space="preserve">   55 E Willow St</v>
      </c>
      <c r="E28" s="135" t="str">
        <f ca="1">IFERROR(__xludf.DUMMYFUNCTION("""COMPUTED_VALUE"""),"   Nashville, In 47448")</f>
        <v xml:space="preserve">   Nashville, In 47448</v>
      </c>
      <c r="F28" s="135" t="str">
        <f ca="1">IFERROR(__xludf.DUMMYFUNCTION("""COMPUTED_VALUE"""),"No")</f>
        <v>No</v>
      </c>
      <c r="G28" s="135">
        <f ca="1">IFERROR(__xludf.DUMMYFUNCTION("""COMPUTED_VALUE"""),125)</f>
        <v>125</v>
      </c>
      <c r="H28" s="135" t="str">
        <f ca="1">IFERROR(__xludf.DUMMYFUNCTION("""COMPUTED_VALUE"""),"Need Kits")</f>
        <v>Need Kits</v>
      </c>
      <c r="I28" s="135" t="str">
        <f ca="1">IFERROR(__xludf.DUMMYFUNCTION("""COMPUTED_VALUE"""),"KITS")</f>
        <v>KITS</v>
      </c>
      <c r="J28" s="135" t="str">
        <f ca="1">IFERROR(__xludf.DUMMYFUNCTION("""COMPUTED_VALUE"""),"")</f>
        <v/>
      </c>
      <c r="K28" s="135"/>
      <c r="L28" s="135"/>
      <c r="M28" s="135"/>
      <c r="N28" s="135"/>
      <c r="O28" s="135"/>
      <c r="P28" s="135"/>
      <c r="Q28" s="135"/>
      <c r="R28" s="135"/>
      <c r="S28" s="135"/>
      <c r="T28" s="135"/>
      <c r="U28" s="135"/>
      <c r="V28" s="135"/>
      <c r="W28" s="135"/>
      <c r="X28" s="135"/>
      <c r="Y28" s="135"/>
      <c r="Z28" s="135"/>
    </row>
    <row r="29" spans="1:26">
      <c r="A29" s="135" t="str">
        <f ca="1">IFERROR(__xludf.DUMMYFUNCTION("""COMPUTED_VALUE"""),"Brownsburg Meadows")</f>
        <v>Brownsburg Meadows</v>
      </c>
      <c r="B29" s="135" t="str">
        <f ca="1">IFERROR(__xludf.DUMMYFUNCTION("""COMPUTED_VALUE"""),"ASC")</f>
        <v>ASC</v>
      </c>
      <c r="C29" s="135" t="str">
        <f ca="1">IFERROR(__xludf.DUMMYFUNCTION("""COMPUTED_VALUE"""),"   Tel: (317)852-8585")</f>
        <v xml:space="preserve">   Tel: (317)852-8585</v>
      </c>
      <c r="D29" s="135" t="str">
        <f ca="1">IFERROR(__xludf.DUMMYFUNCTION("""COMPUTED_VALUE"""),"   2 E Tilden")</f>
        <v xml:space="preserve">   2 E Tilden</v>
      </c>
      <c r="E29" s="135" t="str">
        <f ca="1">IFERROR(__xludf.DUMMYFUNCTION("""COMPUTED_VALUE"""),"   Brownsburg, In 46112")</f>
        <v xml:space="preserve">   Brownsburg, In 46112</v>
      </c>
      <c r="F29" s="135" t="str">
        <f ca="1">IFERROR(__xludf.DUMMYFUNCTION("""COMPUTED_VALUE"""),"")</f>
        <v/>
      </c>
      <c r="G29" s="135">
        <f ca="1">IFERROR(__xludf.DUMMYFUNCTION("""COMPUTED_VALUE"""),180)</f>
        <v>180</v>
      </c>
      <c r="H29" s="135" t="str">
        <f ca="1">IFERROR(__xludf.DUMMYFUNCTION("""COMPUTED_VALUE"""),"Optum Testing")</f>
        <v>Optum Testing</v>
      </c>
      <c r="I29" s="135" t="str">
        <f ca="1">IFERROR(__xludf.DUMMYFUNCTION("""COMPUTED_VALUE"""),"KITS")</f>
        <v>KITS</v>
      </c>
      <c r="J29" s="135" t="str">
        <f ca="1">IFERROR(__xludf.DUMMYFUNCTION("""COMPUTED_VALUE"""),"")</f>
        <v/>
      </c>
      <c r="K29" s="135"/>
      <c r="L29" s="135"/>
      <c r="M29" s="135"/>
      <c r="N29" s="135"/>
      <c r="O29" s="135"/>
      <c r="P29" s="135"/>
      <c r="Q29" s="135"/>
      <c r="R29" s="135"/>
      <c r="S29" s="135"/>
      <c r="T29" s="135"/>
      <c r="U29" s="135"/>
      <c r="V29" s="135"/>
      <c r="W29" s="135"/>
      <c r="X29" s="135"/>
      <c r="Y29" s="135"/>
      <c r="Z29" s="135"/>
    </row>
    <row r="30" spans="1:26">
      <c r="A30" s="135" t="str">
        <f ca="1">IFERROR(__xludf.DUMMYFUNCTION("""COMPUTED_VALUE"""),"Camelot Care Center")</f>
        <v>Camelot Care Center</v>
      </c>
      <c r="B30" s="135" t="str">
        <f ca="1">IFERROR(__xludf.DUMMYFUNCTION("""COMPUTED_VALUE"""),"")</f>
        <v/>
      </c>
      <c r="C30" s="135" t="str">
        <f ca="1">IFERROR(__xludf.DUMMYFUNCTION("""COMPUTED_VALUE"""),"   Tel: (574)753-0404")</f>
        <v xml:space="preserve">   Tel: (574)753-0404</v>
      </c>
      <c r="D30" s="135" t="str">
        <f ca="1">IFERROR(__xludf.DUMMYFUNCTION("""COMPUTED_VALUE"""),"   1555 Commerce St")</f>
        <v xml:space="preserve">   1555 Commerce St</v>
      </c>
      <c r="E30" s="135" t="str">
        <f ca="1">IFERROR(__xludf.DUMMYFUNCTION("""COMPUTED_VALUE"""),"   Logansport, In 46947")</f>
        <v xml:space="preserve">   Logansport, In 46947</v>
      </c>
      <c r="F30" s="135" t="str">
        <f ca="1">IFERROR(__xludf.DUMMYFUNCTION("""COMPUTED_VALUE"""),"")</f>
        <v/>
      </c>
      <c r="G30" s="135">
        <f ca="1">IFERROR(__xludf.DUMMYFUNCTION("""COMPUTED_VALUE"""),116)</f>
        <v>116</v>
      </c>
      <c r="H30" s="135" t="str">
        <f ca="1">IFERROR(__xludf.DUMMYFUNCTION("""COMPUTED_VALUE"""),"Optum Testing")</f>
        <v>Optum Testing</v>
      </c>
      <c r="I30" s="135" t="str">
        <f ca="1">IFERROR(__xludf.DUMMYFUNCTION("""COMPUTED_VALUE"""),"KITS")</f>
        <v>KITS</v>
      </c>
      <c r="J30" s="135" t="str">
        <f ca="1">IFERROR(__xludf.DUMMYFUNCTION("""COMPUTED_VALUE"""),"")</f>
        <v/>
      </c>
      <c r="K30" s="135"/>
      <c r="L30" s="135"/>
      <c r="M30" s="135"/>
      <c r="N30" s="135"/>
      <c r="O30" s="135"/>
      <c r="P30" s="135"/>
      <c r="Q30" s="135"/>
      <c r="R30" s="135"/>
      <c r="S30" s="135"/>
      <c r="T30" s="135"/>
      <c r="U30" s="135"/>
      <c r="V30" s="135"/>
      <c r="W30" s="135"/>
      <c r="X30" s="135"/>
      <c r="Y30" s="135"/>
      <c r="Z30" s="135"/>
    </row>
    <row r="31" spans="1:26">
      <c r="A31" s="135" t="str">
        <f ca="1">IFERROR(__xludf.DUMMYFUNCTION("""COMPUTED_VALUE"""),"Canterbury Nursing And Rehabilitation Center")</f>
        <v>Canterbury Nursing And Rehabilitation Center</v>
      </c>
      <c r="B31" s="135" t="str">
        <f ca="1">IFERROR(__xludf.DUMMYFUNCTION("""COMPUTED_VALUE"""),"ASC")</f>
        <v>ASC</v>
      </c>
      <c r="C31" s="135" t="str">
        <f ca="1">IFERROR(__xludf.DUMMYFUNCTION("""COMPUTED_VALUE"""),"   Tel: (260)492-1400")</f>
        <v xml:space="preserve">   Tel: (260)492-1400</v>
      </c>
      <c r="D31" s="135" t="str">
        <f ca="1">IFERROR(__xludf.DUMMYFUNCTION("""COMPUTED_VALUE"""),"   2827 Northgate Blvd")</f>
        <v xml:space="preserve">   2827 Northgate Blvd</v>
      </c>
      <c r="E31" s="135" t="str">
        <f ca="1">IFERROR(__xludf.DUMMYFUNCTION("""COMPUTED_VALUE"""),"   Fort Wayne, In 46835")</f>
        <v xml:space="preserve">   Fort Wayne, In 46835</v>
      </c>
      <c r="F31" s="135" t="str">
        <f ca="1">IFERROR(__xludf.DUMMYFUNCTION("""COMPUTED_VALUE"""),"")</f>
        <v/>
      </c>
      <c r="G31" s="135">
        <f ca="1">IFERROR(__xludf.DUMMYFUNCTION("""COMPUTED_VALUE"""),150)</f>
        <v>150</v>
      </c>
      <c r="H31" s="135" t="str">
        <f ca="1">IFERROR(__xludf.DUMMYFUNCTION("""COMPUTED_VALUE"""),"Optum Testing")</f>
        <v>Optum Testing</v>
      </c>
      <c r="I31" s="135" t="str">
        <f ca="1">IFERROR(__xludf.DUMMYFUNCTION("""COMPUTED_VALUE"""),"KITS")</f>
        <v>KITS</v>
      </c>
      <c r="J31" s="135" t="str">
        <f ca="1">IFERROR(__xludf.DUMMYFUNCTION("""COMPUTED_VALUE"""),"")</f>
        <v/>
      </c>
      <c r="K31" s="135"/>
      <c r="L31" s="135"/>
      <c r="M31" s="135"/>
      <c r="N31" s="135"/>
      <c r="O31" s="135"/>
      <c r="P31" s="135"/>
      <c r="Q31" s="135"/>
      <c r="R31" s="135"/>
      <c r="S31" s="135"/>
      <c r="T31" s="135"/>
      <c r="U31" s="135"/>
      <c r="V31" s="135"/>
      <c r="W31" s="135"/>
      <c r="X31" s="135"/>
      <c r="Y31" s="135"/>
      <c r="Z31" s="135"/>
    </row>
    <row r="32" spans="1:26">
      <c r="A32" s="135" t="str">
        <f ca="1">IFERROR(__xludf.DUMMYFUNCTION("""COMPUTED_VALUE"""),"Cardinal Nursing And Rehabilitation Center")</f>
        <v>Cardinal Nursing And Rehabilitation Center</v>
      </c>
      <c r="B32" s="135" t="str">
        <f ca="1">IFERROR(__xludf.DUMMYFUNCTION("""COMPUTED_VALUE"""),"ASC")</f>
        <v>ASC</v>
      </c>
      <c r="C32" s="135" t="str">
        <f ca="1">IFERROR(__xludf.DUMMYFUNCTION("""COMPUTED_VALUE"""),"   Tel: (574)287-6501")</f>
        <v xml:space="preserve">   Tel: (574)287-6501</v>
      </c>
      <c r="D32" s="135" t="str">
        <f ca="1">IFERROR(__xludf.DUMMYFUNCTION("""COMPUTED_VALUE"""),"   1121 E Lasalle Ave")</f>
        <v xml:space="preserve">   1121 E Lasalle Ave</v>
      </c>
      <c r="E32" s="135" t="str">
        <f ca="1">IFERROR(__xludf.DUMMYFUNCTION("""COMPUTED_VALUE"""),"   South Bend, In 46617")</f>
        <v xml:space="preserve">   South Bend, In 46617</v>
      </c>
      <c r="F32" s="135" t="str">
        <f ca="1">IFERROR(__xludf.DUMMYFUNCTION("""COMPUTED_VALUE"""),"")</f>
        <v/>
      </c>
      <c r="G32" s="135">
        <f ca="1">IFERROR(__xludf.DUMMYFUNCTION("""COMPUTED_VALUE"""),100)</f>
        <v>100</v>
      </c>
      <c r="H32" s="135" t="str">
        <f ca="1">IFERROR(__xludf.DUMMYFUNCTION("""COMPUTED_VALUE"""),"Optum Testing")</f>
        <v>Optum Testing</v>
      </c>
      <c r="I32" s="135" t="str">
        <f ca="1">IFERROR(__xludf.DUMMYFUNCTION("""COMPUTED_VALUE"""),"KITS")</f>
        <v>KITS</v>
      </c>
      <c r="J32" s="135" t="str">
        <f ca="1">IFERROR(__xludf.DUMMYFUNCTION("""COMPUTED_VALUE"""),"")</f>
        <v/>
      </c>
      <c r="K32" s="135"/>
      <c r="L32" s="135"/>
      <c r="M32" s="135"/>
      <c r="N32" s="135"/>
      <c r="O32" s="135"/>
      <c r="P32" s="135"/>
      <c r="Q32" s="135"/>
      <c r="R32" s="135"/>
      <c r="S32" s="135"/>
      <c r="T32" s="135"/>
      <c r="U32" s="135"/>
      <c r="V32" s="135"/>
      <c r="W32" s="135"/>
      <c r="X32" s="135"/>
      <c r="Y32" s="135"/>
      <c r="Z32" s="135"/>
    </row>
    <row r="33" spans="1:26">
      <c r="A33" s="135" t="str">
        <f ca="1">IFERROR(__xludf.DUMMYFUNCTION("""COMPUTED_VALUE"""),"Carmel Health &amp; Living Community")</f>
        <v>Carmel Health &amp; Living Community</v>
      </c>
      <c r="B33" s="135" t="str">
        <f ca="1">IFERROR(__xludf.DUMMYFUNCTION("""COMPUTED_VALUE"""),"CarDon")</f>
        <v>CarDon</v>
      </c>
      <c r="C33" s="135" t="str">
        <f ca="1">IFERROR(__xludf.DUMMYFUNCTION("""COMPUTED_VALUE"""),"   Tel: (317)844-4211")</f>
        <v xml:space="preserve">   Tel: (317)844-4211</v>
      </c>
      <c r="D33" s="135" t="str">
        <f ca="1">IFERROR(__xludf.DUMMYFUNCTION("""COMPUTED_VALUE"""),"   118 Medical Dr")</f>
        <v xml:space="preserve">   118 Medical Dr</v>
      </c>
      <c r="E33" s="135" t="str">
        <f ca="1">IFERROR(__xludf.DUMMYFUNCTION("""COMPUTED_VALUE"""),"   Carmel, In 46032")</f>
        <v xml:space="preserve">   Carmel, In 46032</v>
      </c>
      <c r="F33" s="135" t="str">
        <f ca="1">IFERROR(__xludf.DUMMYFUNCTION("""COMPUTED_VALUE"""),"")</f>
        <v/>
      </c>
      <c r="G33" s="135">
        <f ca="1">IFERROR(__xludf.DUMMYFUNCTION("""COMPUTED_VALUE"""),120)</f>
        <v>120</v>
      </c>
      <c r="H33" s="135" t="str">
        <f ca="1">IFERROR(__xludf.DUMMYFUNCTION("""COMPUTED_VALUE"""),"Optum Testing")</f>
        <v>Optum Testing</v>
      </c>
      <c r="I33" s="135" t="str">
        <f ca="1">IFERROR(__xludf.DUMMYFUNCTION("""COMPUTED_VALUE"""),"KITS")</f>
        <v>KITS</v>
      </c>
      <c r="J33" s="135" t="str">
        <f ca="1">IFERROR(__xludf.DUMMYFUNCTION("""COMPUTED_VALUE"""),"")</f>
        <v/>
      </c>
      <c r="K33" s="135"/>
      <c r="L33" s="135"/>
      <c r="M33" s="135"/>
      <c r="N33" s="135"/>
      <c r="O33" s="135"/>
      <c r="P33" s="135"/>
      <c r="Q33" s="135"/>
      <c r="R33" s="135"/>
      <c r="S33" s="135"/>
      <c r="T33" s="135"/>
      <c r="U33" s="135"/>
      <c r="V33" s="135"/>
      <c r="W33" s="135"/>
      <c r="X33" s="135"/>
      <c r="Y33" s="135"/>
      <c r="Z33" s="135"/>
    </row>
    <row r="34" spans="1:26">
      <c r="A34" s="135" t="str">
        <f ca="1">IFERROR(__xludf.DUMMYFUNCTION("""COMPUTED_VALUE"""),"Caroleton Healthcare Center")</f>
        <v>Caroleton Healthcare Center</v>
      </c>
      <c r="B34" s="135" t="str">
        <f ca="1">IFERROR(__xludf.DUMMYFUNCTION("""COMPUTED_VALUE"""),"CommuniCare")</f>
        <v>CommuniCare</v>
      </c>
      <c r="C34" s="135" t="str">
        <f ca="1">IFERROR(__xludf.DUMMYFUNCTION("""COMPUTED_VALUE"""),"   Tel: (765)825-7514")</f>
        <v xml:space="preserve">   Tel: (765)825-7514</v>
      </c>
      <c r="D34" s="135" t="str">
        <f ca="1">IFERROR(__xludf.DUMMYFUNCTION("""COMPUTED_VALUE"""),"   2500 Iowa Ave")</f>
        <v xml:space="preserve">   2500 Iowa Ave</v>
      </c>
      <c r="E34" s="135" t="str">
        <f ca="1">IFERROR(__xludf.DUMMYFUNCTION("""COMPUTED_VALUE"""),"   Connersville, In 47331")</f>
        <v xml:space="preserve">   Connersville, In 47331</v>
      </c>
      <c r="F34" s="135" t="str">
        <f ca="1">IFERROR(__xludf.DUMMYFUNCTION("""COMPUTED_VALUE"""),"")</f>
        <v/>
      </c>
      <c r="G34" s="135">
        <f ca="1">IFERROR(__xludf.DUMMYFUNCTION("""COMPUTED_VALUE"""),68)</f>
        <v>68</v>
      </c>
      <c r="H34" s="135" t="str">
        <f ca="1">IFERROR(__xludf.DUMMYFUNCTION("""COMPUTED_VALUE"""),"Local Hospital")</f>
        <v>Local Hospital</v>
      </c>
      <c r="I34" s="135" t="str">
        <f ca="1">IFERROR(__xludf.DUMMYFUNCTION("""COMPUTED_VALUE"""),"KITS")</f>
        <v>KITS</v>
      </c>
      <c r="J34" s="135" t="str">
        <f ca="1">IFERROR(__xludf.DUMMYFUNCTION("""COMPUTED_VALUE"""),"")</f>
        <v/>
      </c>
      <c r="K34" s="135"/>
      <c r="L34" s="135"/>
      <c r="M34" s="135"/>
      <c r="N34" s="135"/>
      <c r="O34" s="135"/>
      <c r="P34" s="135"/>
      <c r="Q34" s="135"/>
      <c r="R34" s="135"/>
      <c r="S34" s="135"/>
      <c r="T34" s="135"/>
      <c r="U34" s="135"/>
      <c r="V34" s="135"/>
      <c r="W34" s="135"/>
      <c r="X34" s="135"/>
      <c r="Y34" s="135"/>
      <c r="Z34" s="135"/>
    </row>
    <row r="35" spans="1:26">
      <c r="A35" s="135" t="str">
        <f ca="1">IFERROR(__xludf.DUMMYFUNCTION("""COMPUTED_VALUE"""),"Cathedral Health Care Center")</f>
        <v>Cathedral Health Care Center</v>
      </c>
      <c r="B35" s="135" t="str">
        <f ca="1">IFERROR(__xludf.DUMMYFUNCTION("""COMPUTED_VALUE"""),"IMG")</f>
        <v>IMG</v>
      </c>
      <c r="C35" s="135" t="str">
        <f ca="1">IFERROR(__xludf.DUMMYFUNCTION("""COMPUTED_VALUE"""),"   Tel: (812)482-6603")</f>
        <v xml:space="preserve">   Tel: (812)482-6603</v>
      </c>
      <c r="D35" s="135" t="str">
        <f ca="1">IFERROR(__xludf.DUMMYFUNCTION("""COMPUTED_VALUE"""),"   520 W 9Th St")</f>
        <v xml:space="preserve">   520 W 9Th St</v>
      </c>
      <c r="E35" s="135" t="str">
        <f ca="1">IFERROR(__xludf.DUMMYFUNCTION("""COMPUTED_VALUE"""),"   Jasper, In 47546")</f>
        <v xml:space="preserve">   Jasper, In 47546</v>
      </c>
      <c r="F35" s="135" t="str">
        <f ca="1">IFERROR(__xludf.DUMMYFUNCTION("""COMPUTED_VALUE"""),"")</f>
        <v/>
      </c>
      <c r="G35" s="135">
        <f ca="1">IFERROR(__xludf.DUMMYFUNCTION("""COMPUTED_VALUE"""),69)</f>
        <v>69</v>
      </c>
      <c r="H35" s="135" t="str">
        <f ca="1">IFERROR(__xludf.DUMMYFUNCTION("""COMPUTED_VALUE"""),"Optum Testing")</f>
        <v>Optum Testing</v>
      </c>
      <c r="I35" s="135" t="str">
        <f ca="1">IFERROR(__xludf.DUMMYFUNCTION("""COMPUTED_VALUE"""),"KITS")</f>
        <v>KITS</v>
      </c>
      <c r="J35" s="135" t="str">
        <f ca="1">IFERROR(__xludf.DUMMYFUNCTION("""COMPUTED_VALUE"""),"")</f>
        <v/>
      </c>
      <c r="K35" s="135"/>
      <c r="L35" s="135"/>
      <c r="M35" s="135"/>
      <c r="N35" s="135"/>
      <c r="O35" s="135"/>
      <c r="P35" s="135"/>
      <c r="Q35" s="135"/>
      <c r="R35" s="135"/>
      <c r="S35" s="135"/>
      <c r="T35" s="135"/>
      <c r="U35" s="135"/>
      <c r="V35" s="135"/>
      <c r="W35" s="135"/>
      <c r="X35" s="135"/>
      <c r="Y35" s="135"/>
      <c r="Z35" s="135"/>
    </row>
    <row r="36" spans="1:26">
      <c r="A36" s="135" t="str">
        <f ca="1">IFERROR(__xludf.DUMMYFUNCTION("""COMPUTED_VALUE"""),"Catherine Kasper Home")</f>
        <v>Catherine Kasper Home</v>
      </c>
      <c r="B36" s="135" t="str">
        <f ca="1">IFERROR(__xludf.DUMMYFUNCTION("""COMPUTED_VALUE"""),"")</f>
        <v/>
      </c>
      <c r="C36" s="135" t="str">
        <f ca="1">IFERROR(__xludf.DUMMYFUNCTION("""COMPUTED_VALUE"""),"   Tel: (574)935-1742")</f>
        <v xml:space="preserve">   Tel: (574)935-1742</v>
      </c>
      <c r="D36" s="135" t="str">
        <f ca="1">IFERROR(__xludf.DUMMYFUNCTION("""COMPUTED_VALUE"""),"   9601 S Union Rd")</f>
        <v xml:space="preserve">   9601 S Union Rd</v>
      </c>
      <c r="E36" s="135" t="str">
        <f ca="1">IFERROR(__xludf.DUMMYFUNCTION("""COMPUTED_VALUE"""),"   Donaldson, In 46513")</f>
        <v xml:space="preserve">   Donaldson, In 46513</v>
      </c>
      <c r="F36" s="135" t="str">
        <f ca="1">IFERROR(__xludf.DUMMYFUNCTION("""COMPUTED_VALUE"""),"")</f>
        <v/>
      </c>
      <c r="G36" s="135">
        <f ca="1">IFERROR(__xludf.DUMMYFUNCTION("""COMPUTED_VALUE"""),110)</f>
        <v>110</v>
      </c>
      <c r="H36" s="135" t="str">
        <f ca="1">IFERROR(__xludf.DUMMYFUNCTION("""COMPUTED_VALUE"""),"Non-Specific Plan/Hypothetical/Local Sites")</f>
        <v>Non-Specific Plan/Hypothetical/Local Sites</v>
      </c>
      <c r="I36" s="135" t="str">
        <f ca="1">IFERROR(__xludf.DUMMYFUNCTION("""COMPUTED_VALUE"""),"KITS")</f>
        <v>KITS</v>
      </c>
      <c r="J36" s="135" t="str">
        <f ca="1">IFERROR(__xludf.DUMMYFUNCTION("""COMPUTED_VALUE"""),"")</f>
        <v/>
      </c>
      <c r="K36" s="135"/>
      <c r="L36" s="135"/>
      <c r="M36" s="135"/>
      <c r="N36" s="135"/>
      <c r="O36" s="135"/>
      <c r="P36" s="135"/>
      <c r="Q36" s="135"/>
      <c r="R36" s="135"/>
      <c r="S36" s="135"/>
      <c r="T36" s="135"/>
      <c r="U36" s="135"/>
      <c r="V36" s="135"/>
      <c r="W36" s="135"/>
      <c r="X36" s="135"/>
      <c r="Y36" s="135"/>
      <c r="Z36" s="135"/>
    </row>
    <row r="37" spans="1:26">
      <c r="A37" s="135" t="str">
        <f ca="1">IFERROR(__xludf.DUMMYFUNCTION("""COMPUTED_VALUE"""),"Cedars, The")</f>
        <v>Cedars, The</v>
      </c>
      <c r="B37" s="135" t="str">
        <f ca="1">IFERROR(__xludf.DUMMYFUNCTION("""COMPUTED_VALUE"""),"")</f>
        <v/>
      </c>
      <c r="C37" s="135" t="str">
        <f ca="1">IFERROR(__xludf.DUMMYFUNCTION("""COMPUTED_VALUE"""),"   Tel: (260)627-2191")</f>
        <v xml:space="preserve">   Tel: (260)627-2191</v>
      </c>
      <c r="D37" s="135" t="str">
        <f ca="1">IFERROR(__xludf.DUMMYFUNCTION("""COMPUTED_VALUE"""),"   14409 Sunrise Ct")</f>
        <v xml:space="preserve">   14409 Sunrise Ct</v>
      </c>
      <c r="E37" s="135" t="str">
        <f ca="1">IFERROR(__xludf.DUMMYFUNCTION("""COMPUTED_VALUE"""),"   Leo, In 46765")</f>
        <v xml:space="preserve">   Leo, In 46765</v>
      </c>
      <c r="F37" s="135" t="str">
        <f ca="1">IFERROR(__xludf.DUMMYFUNCTION("""COMPUTED_VALUE"""),"")</f>
        <v/>
      </c>
      <c r="G37" s="135">
        <f ca="1">IFERROR(__xludf.DUMMYFUNCTION("""COMPUTED_VALUE"""),135)</f>
        <v>135</v>
      </c>
      <c r="H37" s="135" t="str">
        <f ca="1">IFERROR(__xludf.DUMMYFUNCTION("""COMPUTED_VALUE"""),"Optum Testing")</f>
        <v>Optum Testing</v>
      </c>
      <c r="I37" s="135" t="str">
        <f ca="1">IFERROR(__xludf.DUMMYFUNCTION("""COMPUTED_VALUE"""),"KITS")</f>
        <v>KITS</v>
      </c>
      <c r="J37" s="135" t="str">
        <f ca="1">IFERROR(__xludf.DUMMYFUNCTION("""COMPUTED_VALUE"""),"")</f>
        <v/>
      </c>
      <c r="K37" s="135"/>
      <c r="L37" s="135"/>
      <c r="M37" s="135"/>
      <c r="N37" s="135"/>
      <c r="O37" s="135"/>
      <c r="P37" s="135"/>
      <c r="Q37" s="135"/>
      <c r="R37" s="135"/>
      <c r="S37" s="135"/>
      <c r="T37" s="135"/>
      <c r="U37" s="135"/>
      <c r="V37" s="135"/>
      <c r="W37" s="135"/>
      <c r="X37" s="135"/>
      <c r="Y37" s="135"/>
      <c r="Z37" s="135"/>
    </row>
    <row r="38" spans="1:26">
      <c r="A38" s="135" t="str">
        <f ca="1">IFERROR(__xludf.DUMMYFUNCTION("""COMPUTED_VALUE"""),"Chalet Village Health And Rehabilitation Center")</f>
        <v>Chalet Village Health And Rehabilitation Center</v>
      </c>
      <c r="B38" s="135" t="str">
        <f ca="1">IFERROR(__xludf.DUMMYFUNCTION("""COMPUTED_VALUE"""),"")</f>
        <v/>
      </c>
      <c r="C38" s="135" t="str">
        <f ca="1">IFERROR(__xludf.DUMMYFUNCTION("""COMPUTED_VALUE"""),"   Tel: (260)589-2127")</f>
        <v xml:space="preserve">   Tel: (260)589-2127</v>
      </c>
      <c r="D38" s="135" t="str">
        <f ca="1">IFERROR(__xludf.DUMMYFUNCTION("""COMPUTED_VALUE"""),"   1065 Parkway St")</f>
        <v xml:space="preserve">   1065 Parkway St</v>
      </c>
      <c r="E38" s="135" t="str">
        <f ca="1">IFERROR(__xludf.DUMMYFUNCTION("""COMPUTED_VALUE"""),"   Berne, In 46711")</f>
        <v xml:space="preserve">   Berne, In 46711</v>
      </c>
      <c r="F38" s="135" t="str">
        <f ca="1">IFERROR(__xludf.DUMMYFUNCTION("""COMPUTED_VALUE"""),"No")</f>
        <v>No</v>
      </c>
      <c r="G38" s="135">
        <f ca="1">IFERROR(__xludf.DUMMYFUNCTION("""COMPUTED_VALUE"""),57)</f>
        <v>57</v>
      </c>
      <c r="H38" s="135" t="str">
        <f ca="1">IFERROR(__xludf.DUMMYFUNCTION("""COMPUTED_VALUE"""),"Optum Testing")</f>
        <v>Optum Testing</v>
      </c>
      <c r="I38" s="135" t="str">
        <f ca="1">IFERROR(__xludf.DUMMYFUNCTION("""COMPUTED_VALUE"""),"KITS")</f>
        <v>KITS</v>
      </c>
      <c r="J38" s="135" t="str">
        <f ca="1">IFERROR(__xludf.DUMMYFUNCTION("""COMPUTED_VALUE"""),"")</f>
        <v/>
      </c>
      <c r="K38" s="135"/>
      <c r="L38" s="135"/>
      <c r="M38" s="135"/>
      <c r="N38" s="135"/>
      <c r="O38" s="135"/>
      <c r="P38" s="135"/>
      <c r="Q38" s="135"/>
      <c r="R38" s="135"/>
      <c r="S38" s="135"/>
      <c r="T38" s="135"/>
      <c r="U38" s="135"/>
      <c r="V38" s="135"/>
      <c r="W38" s="135"/>
      <c r="X38" s="135"/>
      <c r="Y38" s="135"/>
      <c r="Z38" s="135"/>
    </row>
    <row r="39" spans="1:26">
      <c r="A39" s="135" t="str">
        <f ca="1">IFERROR(__xludf.DUMMYFUNCTION("""COMPUTED_VALUE"""),"Chesterton Manor")</f>
        <v>Chesterton Manor</v>
      </c>
      <c r="B39" s="135" t="str">
        <f ca="1">IFERROR(__xludf.DUMMYFUNCTION("""COMPUTED_VALUE"""),"IMG")</f>
        <v>IMG</v>
      </c>
      <c r="C39" s="135" t="str">
        <f ca="1">IFERROR(__xludf.DUMMYFUNCTION("""COMPUTED_VALUE"""),"   Tel: (219)926-8387")</f>
        <v xml:space="preserve">   Tel: (219)926-8387</v>
      </c>
      <c r="D39" s="135" t="str">
        <f ca="1">IFERROR(__xludf.DUMMYFUNCTION("""COMPUTED_VALUE"""),"   110 Beverly Dr")</f>
        <v xml:space="preserve">   110 Beverly Dr</v>
      </c>
      <c r="E39" s="135" t="str">
        <f ca="1">IFERROR(__xludf.DUMMYFUNCTION("""COMPUTED_VALUE"""),"   Chesterton, In 46304")</f>
        <v xml:space="preserve">   Chesterton, In 46304</v>
      </c>
      <c r="F39" s="135" t="str">
        <f ca="1">IFERROR(__xludf.DUMMYFUNCTION("""COMPUTED_VALUE"""),"")</f>
        <v/>
      </c>
      <c r="G39" s="135">
        <f ca="1">IFERROR(__xludf.DUMMYFUNCTION("""COMPUTED_VALUE"""),85)</f>
        <v>85</v>
      </c>
      <c r="H39" s="135" t="str">
        <f ca="1">IFERROR(__xludf.DUMMYFUNCTION("""COMPUTED_VALUE"""),"Optum Testing")</f>
        <v>Optum Testing</v>
      </c>
      <c r="I39" s="135" t="str">
        <f ca="1">IFERROR(__xludf.DUMMYFUNCTION("""COMPUTED_VALUE"""),"KITS")</f>
        <v>KITS</v>
      </c>
      <c r="J39" s="135" t="str">
        <f ca="1">IFERROR(__xludf.DUMMYFUNCTION("""COMPUTED_VALUE"""),"")</f>
        <v/>
      </c>
      <c r="K39" s="135"/>
      <c r="L39" s="135"/>
      <c r="M39" s="135"/>
      <c r="N39" s="135"/>
      <c r="O39" s="135"/>
      <c r="P39" s="135"/>
      <c r="Q39" s="135"/>
      <c r="R39" s="135"/>
      <c r="S39" s="135"/>
      <c r="T39" s="135"/>
      <c r="U39" s="135"/>
      <c r="V39" s="135"/>
      <c r="W39" s="135"/>
      <c r="X39" s="135"/>
      <c r="Y39" s="135"/>
      <c r="Z39" s="135"/>
    </row>
    <row r="40" spans="1:26">
      <c r="A40" s="135" t="str">
        <f ca="1">IFERROR(__xludf.DUMMYFUNCTION("""COMPUTED_VALUE"""),"Christian Care Retirement Community")</f>
        <v>Christian Care Retirement Community</v>
      </c>
      <c r="B40" s="135" t="str">
        <f ca="1">IFERROR(__xludf.DUMMYFUNCTION("""COMPUTED_VALUE"""),"")</f>
        <v/>
      </c>
      <c r="C40" s="135" t="str">
        <f ca="1">IFERROR(__xludf.DUMMYFUNCTION("""COMPUTED_VALUE"""),"   Tel: (260)565-3000")</f>
        <v xml:space="preserve">   Tel: (260)565-3000</v>
      </c>
      <c r="D40" s="135" t="str">
        <f ca="1">IFERROR(__xludf.DUMMYFUNCTION("""COMPUTED_VALUE"""),"   720 E Dustman Rd")</f>
        <v xml:space="preserve">   720 E Dustman Rd</v>
      </c>
      <c r="E40" s="135" t="str">
        <f ca="1">IFERROR(__xludf.DUMMYFUNCTION("""COMPUTED_VALUE"""),"   Bluffton, In 46714")</f>
        <v xml:space="preserve">   Bluffton, In 46714</v>
      </c>
      <c r="F40" s="135" t="str">
        <f ca="1">IFERROR(__xludf.DUMMYFUNCTION("""COMPUTED_VALUE"""),"")</f>
        <v/>
      </c>
      <c r="G40" s="135">
        <f ca="1">IFERROR(__xludf.DUMMYFUNCTION("""COMPUTED_VALUE"""),175)</f>
        <v>175</v>
      </c>
      <c r="H40" s="135" t="str">
        <f ca="1">IFERROR(__xludf.DUMMYFUNCTION("""COMPUTED_VALUE"""),"Optum Testing")</f>
        <v>Optum Testing</v>
      </c>
      <c r="I40" s="135" t="str">
        <f ca="1">IFERROR(__xludf.DUMMYFUNCTION("""COMPUTED_VALUE"""),"KITS")</f>
        <v>KITS</v>
      </c>
      <c r="J40" s="135" t="str">
        <f ca="1">IFERROR(__xludf.DUMMYFUNCTION("""COMPUTED_VALUE"""),"")</f>
        <v/>
      </c>
      <c r="K40" s="135"/>
      <c r="L40" s="135"/>
      <c r="M40" s="135"/>
      <c r="N40" s="135"/>
      <c r="O40" s="135"/>
      <c r="P40" s="135"/>
      <c r="Q40" s="135"/>
      <c r="R40" s="135"/>
      <c r="S40" s="135"/>
      <c r="T40" s="135"/>
      <c r="U40" s="135"/>
      <c r="V40" s="135"/>
      <c r="W40" s="135"/>
      <c r="X40" s="135"/>
      <c r="Y40" s="135"/>
      <c r="Z40" s="135"/>
    </row>
    <row r="41" spans="1:26">
      <c r="A41" s="135" t="str">
        <f ca="1">IFERROR(__xludf.DUMMYFUNCTION("""COMPUTED_VALUE"""),"Clark Rehabilitation And Skilled Nursing Center")</f>
        <v>Clark Rehabilitation And Skilled Nursing Center</v>
      </c>
      <c r="B41" s="135" t="str">
        <f ca="1">IFERROR(__xludf.DUMMYFUNCTION("""COMPUTED_VALUE"""),"ASC")</f>
        <v>ASC</v>
      </c>
      <c r="C41" s="135" t="str">
        <f ca="1">IFERROR(__xludf.DUMMYFUNCTION("""COMPUTED_VALUE"""),"   Tel: (812)282-8406")</f>
        <v xml:space="preserve">   Tel: (812)282-8406</v>
      </c>
      <c r="D41" s="135" t="str">
        <f ca="1">IFERROR(__xludf.DUMMYFUNCTION("""COMPUTED_VALUE"""),"   517 N Little League Blvd")</f>
        <v xml:space="preserve">   517 N Little League Blvd</v>
      </c>
      <c r="E41" s="135" t="str">
        <f ca="1">IFERROR(__xludf.DUMMYFUNCTION("""COMPUTED_VALUE"""),"   Clarksville, In 47129")</f>
        <v xml:space="preserve">   Clarksville, In 47129</v>
      </c>
      <c r="F41" s="135" t="str">
        <f ca="1">IFERROR(__xludf.DUMMYFUNCTION("""COMPUTED_VALUE"""),"")</f>
        <v/>
      </c>
      <c r="G41" s="135">
        <f ca="1">IFERROR(__xludf.DUMMYFUNCTION("""COMPUTED_VALUE"""),80)</f>
        <v>80</v>
      </c>
      <c r="H41" s="135" t="str">
        <f ca="1">IFERROR(__xludf.DUMMYFUNCTION("""COMPUTED_VALUE"""),"Optum Testing")</f>
        <v>Optum Testing</v>
      </c>
      <c r="I41" s="135" t="str">
        <f ca="1">IFERROR(__xludf.DUMMYFUNCTION("""COMPUTED_VALUE"""),"KITS")</f>
        <v>KITS</v>
      </c>
      <c r="J41" s="135" t="str">
        <f ca="1">IFERROR(__xludf.DUMMYFUNCTION("""COMPUTED_VALUE"""),"")</f>
        <v/>
      </c>
      <c r="K41" s="135"/>
      <c r="L41" s="135"/>
      <c r="M41" s="135"/>
      <c r="N41" s="135"/>
      <c r="O41" s="135"/>
      <c r="P41" s="135"/>
      <c r="Q41" s="135"/>
      <c r="R41" s="135"/>
      <c r="S41" s="135"/>
      <c r="T41" s="135"/>
      <c r="U41" s="135"/>
      <c r="V41" s="135"/>
      <c r="W41" s="135"/>
      <c r="X41" s="135"/>
      <c r="Y41" s="135"/>
      <c r="Z41" s="135"/>
    </row>
    <row r="42" spans="1:26">
      <c r="A42" s="135" t="str">
        <f ca="1">IFERROR(__xludf.DUMMYFUNCTION("""COMPUTED_VALUE"""),"Clinton Gardens")</f>
        <v>Clinton Gardens</v>
      </c>
      <c r="B42" s="135" t="str">
        <f ca="1">IFERROR(__xludf.DUMMYFUNCTION("""COMPUTED_VALUE"""),"ASC")</f>
        <v>ASC</v>
      </c>
      <c r="C42" s="135" t="str">
        <f ca="1">IFERROR(__xludf.DUMMYFUNCTION("""COMPUTED_VALUE"""),"   Tel: (765)832-2491")</f>
        <v xml:space="preserve">   Tel: (765)832-2491</v>
      </c>
      <c r="D42" s="135" t="str">
        <f ca="1">IFERROR(__xludf.DUMMYFUNCTION("""COMPUTED_VALUE"""),"   375 S 11Th St")</f>
        <v xml:space="preserve">   375 S 11Th St</v>
      </c>
      <c r="E42" s="135" t="str">
        <f ca="1">IFERROR(__xludf.DUMMYFUNCTION("""COMPUTED_VALUE"""),"   Clinton, In 47842")</f>
        <v xml:space="preserve">   Clinton, In 47842</v>
      </c>
      <c r="F42" s="135" t="str">
        <f ca="1">IFERROR(__xludf.DUMMYFUNCTION("""COMPUTED_VALUE"""),"")</f>
        <v/>
      </c>
      <c r="G42" s="135">
        <f ca="1">IFERROR(__xludf.DUMMYFUNCTION("""COMPUTED_VALUE"""),138)</f>
        <v>138</v>
      </c>
      <c r="H42" s="135" t="str">
        <f ca="1">IFERROR(__xludf.DUMMYFUNCTION("""COMPUTED_VALUE"""),"Optum Testing")</f>
        <v>Optum Testing</v>
      </c>
      <c r="I42" s="135" t="str">
        <f ca="1">IFERROR(__xludf.DUMMYFUNCTION("""COMPUTED_VALUE"""),"KITS")</f>
        <v>KITS</v>
      </c>
      <c r="J42" s="135" t="str">
        <f ca="1">IFERROR(__xludf.DUMMYFUNCTION("""COMPUTED_VALUE"""),"")</f>
        <v/>
      </c>
      <c r="K42" s="135"/>
      <c r="L42" s="135"/>
      <c r="M42" s="135"/>
      <c r="N42" s="135"/>
      <c r="O42" s="135"/>
      <c r="P42" s="135"/>
      <c r="Q42" s="135"/>
      <c r="R42" s="135"/>
      <c r="S42" s="135"/>
      <c r="T42" s="135"/>
      <c r="U42" s="135"/>
      <c r="V42" s="135"/>
      <c r="W42" s="135"/>
      <c r="X42" s="135"/>
      <c r="Y42" s="135"/>
      <c r="Z42" s="135"/>
    </row>
    <row r="43" spans="1:26">
      <c r="A43" s="135" t="str">
        <f ca="1">IFERROR(__xludf.DUMMYFUNCTION("""COMPUTED_VALUE"""),"Cloverleaf Of Knightsville")</f>
        <v>Cloverleaf Of Knightsville</v>
      </c>
      <c r="B43" s="135" t="str">
        <f ca="1">IFERROR(__xludf.DUMMYFUNCTION("""COMPUTED_VALUE"""),"IMG")</f>
        <v>IMG</v>
      </c>
      <c r="C43" s="135" t="str">
        <f ca="1">IFERROR(__xludf.DUMMYFUNCTION("""COMPUTED_VALUE"""),"   Tel: (812)446-2309")</f>
        <v xml:space="preserve">   Tel: (812)446-2309</v>
      </c>
      <c r="D43" s="135" t="str">
        <f ca="1">IFERROR(__xludf.DUMMYFUNCTION("""COMPUTED_VALUE"""),"   9325 N Crawford St")</f>
        <v xml:space="preserve">   9325 N Crawford St</v>
      </c>
      <c r="E43" s="135" t="str">
        <f ca="1">IFERROR(__xludf.DUMMYFUNCTION("""COMPUTED_VALUE"""),"   Knightsville, In 47857")</f>
        <v xml:space="preserve">   Knightsville, In 47857</v>
      </c>
      <c r="F43" s="135" t="str">
        <f ca="1">IFERROR(__xludf.DUMMYFUNCTION("""COMPUTED_VALUE"""),"No")</f>
        <v>No</v>
      </c>
      <c r="G43" s="135">
        <f ca="1">IFERROR(__xludf.DUMMYFUNCTION("""COMPUTED_VALUE"""),125)</f>
        <v>125</v>
      </c>
      <c r="H43" s="135" t="str">
        <f ca="1">IFERROR(__xludf.DUMMYFUNCTION("""COMPUTED_VALUE"""),"Optum Testing")</f>
        <v>Optum Testing</v>
      </c>
      <c r="I43" s="135" t="str">
        <f ca="1">IFERROR(__xludf.DUMMYFUNCTION("""COMPUTED_VALUE"""),"KITS")</f>
        <v>KITS</v>
      </c>
      <c r="J43" s="135" t="str">
        <f ca="1">IFERROR(__xludf.DUMMYFUNCTION("""COMPUTED_VALUE"""),"")</f>
        <v/>
      </c>
      <c r="K43" s="135"/>
      <c r="L43" s="135"/>
      <c r="M43" s="135"/>
      <c r="N43" s="135"/>
      <c r="O43" s="135"/>
      <c r="P43" s="135"/>
      <c r="Q43" s="135"/>
      <c r="R43" s="135"/>
      <c r="S43" s="135"/>
      <c r="T43" s="135"/>
      <c r="U43" s="135"/>
      <c r="V43" s="135"/>
      <c r="W43" s="135"/>
      <c r="X43" s="135"/>
      <c r="Y43" s="135"/>
      <c r="Z43" s="135"/>
    </row>
    <row r="44" spans="1:26">
      <c r="A44" s="135" t="str">
        <f ca="1">IFERROR(__xludf.DUMMYFUNCTION("""COMPUTED_VALUE"""),"Colonial Nursing Home")</f>
        <v>Colonial Nursing Home</v>
      </c>
      <c r="B44" s="135" t="str">
        <f ca="1">IFERROR(__xludf.DUMMYFUNCTION("""COMPUTED_VALUE"""),"IMG")</f>
        <v>IMG</v>
      </c>
      <c r="C44" s="135" t="str">
        <f ca="1">IFERROR(__xludf.DUMMYFUNCTION("""COMPUTED_VALUE"""),"   Tel: (219)663-2532")</f>
        <v xml:space="preserve">   Tel: (219)663-2532</v>
      </c>
      <c r="D44" s="135" t="str">
        <f ca="1">IFERROR(__xludf.DUMMYFUNCTION("""COMPUTED_VALUE"""),"   119 N Indiana Ave")</f>
        <v xml:space="preserve">   119 N Indiana Ave</v>
      </c>
      <c r="E44" s="135" t="str">
        <f ca="1">IFERROR(__xludf.DUMMYFUNCTION("""COMPUTED_VALUE"""),"   Crown Point, In 46307")</f>
        <v xml:space="preserve">   Crown Point, In 46307</v>
      </c>
      <c r="F44" s="135" t="str">
        <f ca="1">IFERROR(__xludf.DUMMYFUNCTION("""COMPUTED_VALUE"""),"")</f>
        <v/>
      </c>
      <c r="G44" s="135">
        <f ca="1">IFERROR(__xludf.DUMMYFUNCTION("""COMPUTED_VALUE"""),48)</f>
        <v>48</v>
      </c>
      <c r="H44" s="135" t="str">
        <f ca="1">IFERROR(__xludf.DUMMYFUNCTION("""COMPUTED_VALUE"""),"Optum Testing")</f>
        <v>Optum Testing</v>
      </c>
      <c r="I44" s="135" t="str">
        <f ca="1">IFERROR(__xludf.DUMMYFUNCTION("""COMPUTED_VALUE"""),"KITS")</f>
        <v>KITS</v>
      </c>
      <c r="J44" s="135" t="str">
        <f ca="1">IFERROR(__xludf.DUMMYFUNCTION("""COMPUTED_VALUE"""),"")</f>
        <v/>
      </c>
      <c r="K44" s="135"/>
      <c r="L44" s="135"/>
      <c r="M44" s="135"/>
      <c r="N44" s="135"/>
      <c r="O44" s="135"/>
      <c r="P44" s="135"/>
      <c r="Q44" s="135"/>
      <c r="R44" s="135"/>
      <c r="S44" s="135"/>
      <c r="T44" s="135"/>
      <c r="U44" s="135"/>
      <c r="V44" s="135"/>
      <c r="W44" s="135"/>
      <c r="X44" s="135"/>
      <c r="Y44" s="135"/>
      <c r="Z44" s="135"/>
    </row>
    <row r="45" spans="1:26">
      <c r="A45" s="135" t="str">
        <f ca="1">IFERROR(__xludf.DUMMYFUNCTION("""COMPUTED_VALUE"""),"Columbia Healthcare Center")</f>
        <v>Columbia Healthcare Center</v>
      </c>
      <c r="B45" s="135" t="str">
        <f ca="1">IFERROR(__xludf.DUMMYFUNCTION("""COMPUTED_VALUE"""),"ASC")</f>
        <v>ASC</v>
      </c>
      <c r="C45" s="135" t="str">
        <f ca="1">IFERROR(__xludf.DUMMYFUNCTION("""COMPUTED_VALUE"""),"   Tel: (812)428-5678")</f>
        <v xml:space="preserve">   Tel: (812)428-5678</v>
      </c>
      <c r="D45" s="135" t="str">
        <f ca="1">IFERROR(__xludf.DUMMYFUNCTION("""COMPUTED_VALUE"""),"   621 W Columbia St")</f>
        <v xml:space="preserve">   621 W Columbia St</v>
      </c>
      <c r="E45" s="135" t="str">
        <f ca="1">IFERROR(__xludf.DUMMYFUNCTION("""COMPUTED_VALUE"""),"   Evansville, In 47710")</f>
        <v xml:space="preserve">   Evansville, In 47710</v>
      </c>
      <c r="F45" s="135" t="str">
        <f ca="1">IFERROR(__xludf.DUMMYFUNCTION("""COMPUTED_VALUE"""),"")</f>
        <v/>
      </c>
      <c r="G45" s="135">
        <f ca="1">IFERROR(__xludf.DUMMYFUNCTION("""COMPUTED_VALUE"""),139)</f>
        <v>139</v>
      </c>
      <c r="H45" s="135" t="str">
        <f ca="1">IFERROR(__xludf.DUMMYFUNCTION("""COMPUTED_VALUE"""),"Optum Testing")</f>
        <v>Optum Testing</v>
      </c>
      <c r="I45" s="135" t="str">
        <f ca="1">IFERROR(__xludf.DUMMYFUNCTION("""COMPUTED_VALUE"""),"KITS")</f>
        <v>KITS</v>
      </c>
      <c r="J45" s="135" t="str">
        <f ca="1">IFERROR(__xludf.DUMMYFUNCTION("""COMPUTED_VALUE"""),"")</f>
        <v/>
      </c>
      <c r="K45" s="135"/>
      <c r="L45" s="135"/>
      <c r="M45" s="135"/>
      <c r="N45" s="135"/>
      <c r="O45" s="135"/>
      <c r="P45" s="135"/>
      <c r="Q45" s="135"/>
      <c r="R45" s="135"/>
      <c r="S45" s="135"/>
      <c r="T45" s="135"/>
      <c r="U45" s="135"/>
      <c r="V45" s="135"/>
      <c r="W45" s="135"/>
      <c r="X45" s="135"/>
      <c r="Y45" s="135"/>
      <c r="Z45" s="135"/>
    </row>
    <row r="46" spans="1:26">
      <c r="A46" s="135" t="str">
        <f ca="1">IFERROR(__xludf.DUMMYFUNCTION("""COMPUTED_VALUE"""),"Columbus Transitional Care And Rehabilitation")</f>
        <v>Columbus Transitional Care And Rehabilitation</v>
      </c>
      <c r="B46" s="135" t="str">
        <f ca="1">IFERROR(__xludf.DUMMYFUNCTION("""COMPUTED_VALUE"""),"")</f>
        <v/>
      </c>
      <c r="C46" s="135" t="str">
        <f ca="1">IFERROR(__xludf.DUMMYFUNCTION("""COMPUTED_VALUE"""),"   Tel: (812)372-8447")</f>
        <v xml:space="preserve">   Tel: (812)372-8447</v>
      </c>
      <c r="D46" s="135" t="str">
        <f ca="1">IFERROR(__xludf.DUMMYFUNCTION("""COMPUTED_VALUE"""),"   2100 Midway St")</f>
        <v xml:space="preserve">   2100 Midway St</v>
      </c>
      <c r="E46" s="135" t="str">
        <f ca="1">IFERROR(__xludf.DUMMYFUNCTION("""COMPUTED_VALUE"""),"   Columbus, In 47201")</f>
        <v xml:space="preserve">   Columbus, In 47201</v>
      </c>
      <c r="F46" s="135" t="str">
        <f ca="1">IFERROR(__xludf.DUMMYFUNCTION("""COMPUTED_VALUE"""),"")</f>
        <v/>
      </c>
      <c r="G46" s="135">
        <f ca="1">IFERROR(__xludf.DUMMYFUNCTION("""COMPUTED_VALUE"""),125)</f>
        <v>125</v>
      </c>
      <c r="H46" s="135" t="str">
        <f ca="1">IFERROR(__xludf.DUMMYFUNCTION("""COMPUTED_VALUE"""),"Optum Testing")</f>
        <v>Optum Testing</v>
      </c>
      <c r="I46" s="135" t="str">
        <f ca="1">IFERROR(__xludf.DUMMYFUNCTION("""COMPUTED_VALUE"""),"KITS")</f>
        <v>KITS</v>
      </c>
      <c r="J46" s="135" t="str">
        <f ca="1">IFERROR(__xludf.DUMMYFUNCTION("""COMPUTED_VALUE"""),"")</f>
        <v/>
      </c>
      <c r="K46" s="135"/>
      <c r="L46" s="135"/>
      <c r="M46" s="135"/>
      <c r="N46" s="135"/>
      <c r="O46" s="135"/>
      <c r="P46" s="135"/>
      <c r="Q46" s="135"/>
      <c r="R46" s="135"/>
      <c r="S46" s="135"/>
      <c r="T46" s="135"/>
      <c r="U46" s="135"/>
      <c r="V46" s="135"/>
      <c r="W46" s="135"/>
      <c r="X46" s="135"/>
      <c r="Y46" s="135"/>
      <c r="Z46" s="135"/>
    </row>
    <row r="47" spans="1:26">
      <c r="A47" s="135" t="str">
        <f ca="1">IFERROR(__xludf.DUMMYFUNCTION("""COMPUTED_VALUE"""),"Community Nursing And Rehabilitation Center")</f>
        <v>Community Nursing And Rehabilitation Center</v>
      </c>
      <c r="B47" s="135" t="str">
        <f ca="1">IFERROR(__xludf.DUMMYFUNCTION("""COMPUTED_VALUE"""),"ASC")</f>
        <v>ASC</v>
      </c>
      <c r="C47" s="135" t="str">
        <f ca="1">IFERROR(__xludf.DUMMYFUNCTION("""COMPUTED_VALUE"""),"   Tel: (317)356-0911")</f>
        <v xml:space="preserve">   Tel: (317)356-0911</v>
      </c>
      <c r="D47" s="135" t="str">
        <f ca="1">IFERROR(__xludf.DUMMYFUNCTION("""COMPUTED_VALUE"""),"   5600 E 16Th St")</f>
        <v xml:space="preserve">   5600 E 16Th St</v>
      </c>
      <c r="E47" s="135" t="str">
        <f ca="1">IFERROR(__xludf.DUMMYFUNCTION("""COMPUTED_VALUE"""),"   Indianapolis, In 46218")</f>
        <v xml:space="preserve">   Indianapolis, In 46218</v>
      </c>
      <c r="F47" s="135" t="str">
        <f ca="1">IFERROR(__xludf.DUMMYFUNCTION("""COMPUTED_VALUE"""),"")</f>
        <v/>
      </c>
      <c r="G47" s="135">
        <f ca="1">IFERROR(__xludf.DUMMYFUNCTION("""COMPUTED_VALUE"""),116)</f>
        <v>116</v>
      </c>
      <c r="H47" s="135" t="str">
        <f ca="1">IFERROR(__xludf.DUMMYFUNCTION("""COMPUTED_VALUE"""),"Optum Testing")</f>
        <v>Optum Testing</v>
      </c>
      <c r="I47" s="135" t="str">
        <f ca="1">IFERROR(__xludf.DUMMYFUNCTION("""COMPUTED_VALUE"""),"KITS")</f>
        <v>KITS</v>
      </c>
      <c r="J47" s="135" t="str">
        <f ca="1">IFERROR(__xludf.DUMMYFUNCTION("""COMPUTED_VALUE"""),"")</f>
        <v/>
      </c>
      <c r="K47" s="135"/>
      <c r="L47" s="135"/>
      <c r="M47" s="135"/>
      <c r="N47" s="135"/>
      <c r="O47" s="135"/>
      <c r="P47" s="135"/>
      <c r="Q47" s="135"/>
      <c r="R47" s="135"/>
      <c r="S47" s="135"/>
      <c r="T47" s="135"/>
      <c r="U47" s="135"/>
      <c r="V47" s="135"/>
      <c r="W47" s="135"/>
      <c r="X47" s="135"/>
      <c r="Y47" s="135"/>
      <c r="Z47" s="135"/>
    </row>
    <row r="48" spans="1:26">
      <c r="A48" s="135" t="str">
        <f ca="1">IFERROR(__xludf.DUMMYFUNCTION("""COMPUTED_VALUE"""),"Core Of Dale")</f>
        <v>Core Of Dale</v>
      </c>
      <c r="B48" s="135" t="str">
        <f ca="1">IFERROR(__xludf.DUMMYFUNCTION("""COMPUTED_VALUE"""),"")</f>
        <v/>
      </c>
      <c r="C48" s="135" t="str">
        <f ca="1">IFERROR(__xludf.DUMMYFUNCTION("""COMPUTED_VALUE"""),"   Tel: (812)937-7073")</f>
        <v xml:space="preserve">   Tel: (812)937-7073</v>
      </c>
      <c r="D48" s="135" t="str">
        <f ca="1">IFERROR(__xludf.DUMMYFUNCTION("""COMPUTED_VALUE"""),"   510 W Medcalf Road")</f>
        <v xml:space="preserve">   510 W Medcalf Road</v>
      </c>
      <c r="E48" s="135" t="str">
        <f ca="1">IFERROR(__xludf.DUMMYFUNCTION("""COMPUTED_VALUE"""),"   Dale, In 47523")</f>
        <v xml:space="preserve">   Dale, In 47523</v>
      </c>
      <c r="F48" s="135" t="str">
        <f ca="1">IFERROR(__xludf.DUMMYFUNCTION("""COMPUTED_VALUE"""),"No")</f>
        <v>No</v>
      </c>
      <c r="G48" s="135">
        <f ca="1">IFERROR(__xludf.DUMMYFUNCTION("""COMPUTED_VALUE"""),56)</f>
        <v>56</v>
      </c>
      <c r="H48" s="135" t="str">
        <f ca="1">IFERROR(__xludf.DUMMYFUNCTION("""COMPUTED_VALUE"""),"Optum Testing")</f>
        <v>Optum Testing</v>
      </c>
      <c r="I48" s="135" t="str">
        <f ca="1">IFERROR(__xludf.DUMMYFUNCTION("""COMPUTED_VALUE"""),"KITS")</f>
        <v>KITS</v>
      </c>
      <c r="J48" s="135" t="str">
        <f ca="1">IFERROR(__xludf.DUMMYFUNCTION("""COMPUTED_VALUE"""),"")</f>
        <v/>
      </c>
      <c r="K48" s="135"/>
      <c r="L48" s="135"/>
      <c r="M48" s="135"/>
      <c r="N48" s="135"/>
      <c r="O48" s="135"/>
      <c r="P48" s="135"/>
      <c r="Q48" s="135"/>
      <c r="R48" s="135"/>
      <c r="S48" s="135"/>
      <c r="T48" s="135"/>
      <c r="U48" s="135"/>
      <c r="V48" s="135"/>
      <c r="W48" s="135"/>
      <c r="X48" s="135"/>
      <c r="Y48" s="135"/>
      <c r="Z48" s="135"/>
    </row>
    <row r="49" spans="1:26">
      <c r="A49" s="135" t="str">
        <f ca="1">IFERROR(__xludf.DUMMYFUNCTION("""COMPUTED_VALUE"""),"Countryside Meadows")</f>
        <v>Countryside Meadows</v>
      </c>
      <c r="B49" s="135" t="str">
        <f ca="1">IFERROR(__xludf.DUMMYFUNCTION("""COMPUTED_VALUE"""),"ASC")</f>
        <v>ASC</v>
      </c>
      <c r="C49" s="135" t="str">
        <f ca="1">IFERROR(__xludf.DUMMYFUNCTION("""COMPUTED_VALUE"""),"   Tel: (317)495-7200")</f>
        <v xml:space="preserve">   Tel: (317)495-7200</v>
      </c>
      <c r="D49" s="135" t="str">
        <f ca="1">IFERROR(__xludf.DUMMYFUNCTION("""COMPUTED_VALUE"""),"   762 N Dan Jones Rd")</f>
        <v xml:space="preserve">   762 N Dan Jones Rd</v>
      </c>
      <c r="E49" s="135" t="str">
        <f ca="1">IFERROR(__xludf.DUMMYFUNCTION("""COMPUTED_VALUE"""),"   Avon, In 46123")</f>
        <v xml:space="preserve">   Avon, In 46123</v>
      </c>
      <c r="F49" s="135" t="str">
        <f ca="1">IFERROR(__xludf.DUMMYFUNCTION("""COMPUTED_VALUE"""),"")</f>
        <v/>
      </c>
      <c r="G49" s="135">
        <f ca="1">IFERROR(__xludf.DUMMYFUNCTION("""COMPUTED_VALUE"""),150)</f>
        <v>150</v>
      </c>
      <c r="H49" s="135" t="str">
        <f ca="1">IFERROR(__xludf.DUMMYFUNCTION("""COMPUTED_VALUE"""),"Optum Testing")</f>
        <v>Optum Testing</v>
      </c>
      <c r="I49" s="135" t="str">
        <f ca="1">IFERROR(__xludf.DUMMYFUNCTION("""COMPUTED_VALUE"""),"KITS")</f>
        <v>KITS</v>
      </c>
      <c r="J49" s="135" t="str">
        <f ca="1">IFERROR(__xludf.DUMMYFUNCTION("""COMPUTED_VALUE"""),"")</f>
        <v/>
      </c>
      <c r="K49" s="135"/>
      <c r="L49" s="135"/>
      <c r="M49" s="135"/>
      <c r="N49" s="135"/>
      <c r="O49" s="135"/>
      <c r="P49" s="135"/>
      <c r="Q49" s="135"/>
      <c r="R49" s="135"/>
      <c r="S49" s="135"/>
      <c r="T49" s="135"/>
      <c r="U49" s="135"/>
      <c r="V49" s="135"/>
      <c r="W49" s="135"/>
      <c r="X49" s="135"/>
      <c r="Y49" s="135"/>
      <c r="Z49" s="135"/>
    </row>
    <row r="50" spans="1:26">
      <c r="A50" s="135" t="str">
        <f ca="1">IFERROR(__xludf.DUMMYFUNCTION("""COMPUTED_VALUE"""),"Courtyard Healthcare Center")</f>
        <v>Courtyard Healthcare Center</v>
      </c>
      <c r="B50" s="135" t="str">
        <f ca="1">IFERROR(__xludf.DUMMYFUNCTION("""COMPUTED_VALUE"""),"")</f>
        <v/>
      </c>
      <c r="C50" s="135" t="str">
        <f ca="1">IFERROR(__xludf.DUMMYFUNCTION("""COMPUTED_VALUE"""),"   Tel: (574)533-0351")</f>
        <v xml:space="preserve">   Tel: (574)533-0351</v>
      </c>
      <c r="D50" s="135" t="str">
        <f ca="1">IFERROR(__xludf.DUMMYFUNCTION("""COMPUTED_VALUE"""),"   2400 College Ave")</f>
        <v xml:space="preserve">   2400 College Ave</v>
      </c>
      <c r="E50" s="135" t="str">
        <f ca="1">IFERROR(__xludf.DUMMYFUNCTION("""COMPUTED_VALUE"""),"   Goshen, In 46526")</f>
        <v xml:space="preserve">   Goshen, In 46526</v>
      </c>
      <c r="F50" s="135" t="str">
        <f ca="1">IFERROR(__xludf.DUMMYFUNCTION("""COMPUTED_VALUE"""),"")</f>
        <v/>
      </c>
      <c r="G50" s="135">
        <f ca="1">IFERROR(__xludf.DUMMYFUNCTION("""COMPUTED_VALUE"""),250)</f>
        <v>250</v>
      </c>
      <c r="H50" s="135" t="str">
        <f ca="1">IFERROR(__xludf.DUMMYFUNCTION("""COMPUTED_VALUE"""),"Local Hospital")</f>
        <v>Local Hospital</v>
      </c>
      <c r="I50" s="135" t="str">
        <f ca="1">IFERROR(__xludf.DUMMYFUNCTION("""COMPUTED_VALUE"""),"KITS")</f>
        <v>KITS</v>
      </c>
      <c r="J50" s="135" t="str">
        <f ca="1">IFERROR(__xludf.DUMMYFUNCTION("""COMPUTED_VALUE"""),"")</f>
        <v/>
      </c>
      <c r="K50" s="135"/>
      <c r="L50" s="135"/>
      <c r="M50" s="135"/>
      <c r="N50" s="135"/>
      <c r="O50" s="135"/>
      <c r="P50" s="135"/>
      <c r="Q50" s="135"/>
      <c r="R50" s="135"/>
      <c r="S50" s="135"/>
      <c r="T50" s="135"/>
      <c r="U50" s="135"/>
      <c r="V50" s="135"/>
      <c r="W50" s="135"/>
      <c r="X50" s="135"/>
      <c r="Y50" s="135"/>
      <c r="Z50" s="135"/>
    </row>
    <row r="51" spans="1:26">
      <c r="A51" s="135" t="str">
        <f ca="1">IFERROR(__xludf.DUMMYFUNCTION("""COMPUTED_VALUE"""),"Coventry Meadows")</f>
        <v>Coventry Meadows</v>
      </c>
      <c r="B51" s="135" t="str">
        <f ca="1">IFERROR(__xludf.DUMMYFUNCTION("""COMPUTED_VALUE"""),"ASC")</f>
        <v>ASC</v>
      </c>
      <c r="C51" s="135" t="str">
        <f ca="1">IFERROR(__xludf.DUMMYFUNCTION("""COMPUTED_VALUE"""),"   Tel: (260)432-4848")</f>
        <v xml:space="preserve">   Tel: (260)432-4848</v>
      </c>
      <c r="D51" s="135" t="str">
        <f ca="1">IFERROR(__xludf.DUMMYFUNCTION("""COMPUTED_VALUE"""),"   7843 W Jefferson Blvd")</f>
        <v xml:space="preserve">   7843 W Jefferson Blvd</v>
      </c>
      <c r="E51" s="135" t="str">
        <f ca="1">IFERROR(__xludf.DUMMYFUNCTION("""COMPUTED_VALUE"""),"   Fort Wayne, In 46804")</f>
        <v xml:space="preserve">   Fort Wayne, In 46804</v>
      </c>
      <c r="F51" s="135" t="str">
        <f ca="1">IFERROR(__xludf.DUMMYFUNCTION("""COMPUTED_VALUE"""),"")</f>
        <v/>
      </c>
      <c r="G51" s="135">
        <f ca="1">IFERROR(__xludf.DUMMYFUNCTION("""COMPUTED_VALUE"""),180)</f>
        <v>180</v>
      </c>
      <c r="H51" s="135" t="str">
        <f ca="1">IFERROR(__xludf.DUMMYFUNCTION("""COMPUTED_VALUE"""),"Optum Testing")</f>
        <v>Optum Testing</v>
      </c>
      <c r="I51" s="135" t="str">
        <f ca="1">IFERROR(__xludf.DUMMYFUNCTION("""COMPUTED_VALUE"""),"KITS")</f>
        <v>KITS</v>
      </c>
      <c r="J51" s="135" t="str">
        <f ca="1">IFERROR(__xludf.DUMMYFUNCTION("""COMPUTED_VALUE"""),"")</f>
        <v/>
      </c>
      <c r="K51" s="135"/>
      <c r="L51" s="135"/>
      <c r="M51" s="135"/>
      <c r="N51" s="135"/>
      <c r="O51" s="135"/>
      <c r="P51" s="135"/>
      <c r="Q51" s="135"/>
      <c r="R51" s="135"/>
      <c r="S51" s="135"/>
      <c r="T51" s="135"/>
      <c r="U51" s="135"/>
      <c r="V51" s="135"/>
      <c r="W51" s="135"/>
      <c r="X51" s="135"/>
      <c r="Y51" s="135"/>
      <c r="Z51" s="135"/>
    </row>
    <row r="52" spans="1:26">
      <c r="A52" s="135" t="str">
        <f ca="1">IFERROR(__xludf.DUMMYFUNCTION("""COMPUTED_VALUE"""),"Creekside Village")</f>
        <v>Creekside Village</v>
      </c>
      <c r="B52" s="135" t="str">
        <f ca="1">IFERROR(__xludf.DUMMYFUNCTION("""COMPUTED_VALUE"""),"ASC")</f>
        <v>ASC</v>
      </c>
      <c r="C52" s="135" t="str">
        <f ca="1">IFERROR(__xludf.DUMMYFUNCTION("""COMPUTED_VALUE"""),"   Tel: (574)307-7200")</f>
        <v xml:space="preserve">   Tel: (574)307-7200</v>
      </c>
      <c r="D52" s="135" t="str">
        <f ca="1">IFERROR(__xludf.DUMMYFUNCTION("""COMPUTED_VALUE"""),"   1420 E Douglas Rd")</f>
        <v xml:space="preserve">   1420 E Douglas Rd</v>
      </c>
      <c r="E52" s="135" t="str">
        <f ca="1">IFERROR(__xludf.DUMMYFUNCTION("""COMPUTED_VALUE"""),"   Mishawaka, In 46545")</f>
        <v xml:space="preserve">   Mishawaka, In 46545</v>
      </c>
      <c r="F52" s="135" t="str">
        <f ca="1">IFERROR(__xludf.DUMMYFUNCTION("""COMPUTED_VALUE"""),"")</f>
        <v/>
      </c>
      <c r="G52" s="135">
        <f ca="1">IFERROR(__xludf.DUMMYFUNCTION("""COMPUTED_VALUE"""),142)</f>
        <v>142</v>
      </c>
      <c r="H52" s="135" t="str">
        <f ca="1">IFERROR(__xludf.DUMMYFUNCTION("""COMPUTED_VALUE"""),"Optum Testing")</f>
        <v>Optum Testing</v>
      </c>
      <c r="I52" s="135" t="str">
        <f ca="1">IFERROR(__xludf.DUMMYFUNCTION("""COMPUTED_VALUE"""),"KITS")</f>
        <v>KITS</v>
      </c>
      <c r="J52" s="135" t="str">
        <f ca="1">IFERROR(__xludf.DUMMYFUNCTION("""COMPUTED_VALUE"""),"")</f>
        <v/>
      </c>
      <c r="K52" s="135"/>
      <c r="L52" s="135"/>
      <c r="M52" s="135"/>
      <c r="N52" s="135"/>
      <c r="O52" s="135"/>
      <c r="P52" s="135"/>
      <c r="Q52" s="135"/>
      <c r="R52" s="135"/>
      <c r="S52" s="135"/>
      <c r="T52" s="135"/>
      <c r="U52" s="135"/>
      <c r="V52" s="135"/>
      <c r="W52" s="135"/>
      <c r="X52" s="135"/>
      <c r="Y52" s="135"/>
      <c r="Z52" s="135"/>
    </row>
    <row r="53" spans="1:26">
      <c r="A53" s="135" t="str">
        <f ca="1">IFERROR(__xludf.DUMMYFUNCTION("""COMPUTED_VALUE"""),"Cypress Grove Rehabilitation Center")</f>
        <v>Cypress Grove Rehabilitation Center</v>
      </c>
      <c r="B53" s="135" t="str">
        <f ca="1">IFERROR(__xludf.DUMMYFUNCTION("""COMPUTED_VALUE"""),"ASC")</f>
        <v>ASC</v>
      </c>
      <c r="C53" s="135" t="str">
        <f ca="1">IFERROR(__xludf.DUMMYFUNCTION("""COMPUTED_VALUE"""),"   Tel: (812)853-2993")</f>
        <v xml:space="preserve">   Tel: (812)853-2993</v>
      </c>
      <c r="D53" s="135" t="str">
        <f ca="1">IFERROR(__xludf.DUMMYFUNCTION("""COMPUTED_VALUE"""),"   4255 Medwell Dr")</f>
        <v xml:space="preserve">   4255 Medwell Dr</v>
      </c>
      <c r="E53" s="135" t="str">
        <f ca="1">IFERROR(__xludf.DUMMYFUNCTION("""COMPUTED_VALUE"""),"   Newburgh, In 47630")</f>
        <v xml:space="preserve">   Newburgh, In 47630</v>
      </c>
      <c r="F53" s="135" t="str">
        <f ca="1">IFERROR(__xludf.DUMMYFUNCTION("""COMPUTED_VALUE"""),"")</f>
        <v/>
      </c>
      <c r="G53" s="135">
        <f ca="1">IFERROR(__xludf.DUMMYFUNCTION("""COMPUTED_VALUE"""),100)</f>
        <v>100</v>
      </c>
      <c r="H53" s="135" t="str">
        <f ca="1">IFERROR(__xludf.DUMMYFUNCTION("""COMPUTED_VALUE"""),"Optum Testing")</f>
        <v>Optum Testing</v>
      </c>
      <c r="I53" s="135" t="str">
        <f ca="1">IFERROR(__xludf.DUMMYFUNCTION("""COMPUTED_VALUE"""),"KITS")</f>
        <v>KITS</v>
      </c>
      <c r="J53" s="135" t="str">
        <f ca="1">IFERROR(__xludf.DUMMYFUNCTION("""COMPUTED_VALUE"""),"")</f>
        <v/>
      </c>
      <c r="K53" s="135"/>
      <c r="L53" s="135"/>
      <c r="M53" s="135"/>
      <c r="N53" s="135"/>
      <c r="O53" s="135"/>
      <c r="P53" s="135"/>
      <c r="Q53" s="135"/>
      <c r="R53" s="135"/>
      <c r="S53" s="135"/>
      <c r="T53" s="135"/>
      <c r="U53" s="135"/>
      <c r="V53" s="135"/>
      <c r="W53" s="135"/>
      <c r="X53" s="135"/>
      <c r="Y53" s="135"/>
      <c r="Z53" s="135"/>
    </row>
    <row r="54" spans="1:26">
      <c r="A54" s="135" t="str">
        <f ca="1">IFERROR(__xludf.DUMMYFUNCTION("""COMPUTED_VALUE"""),"Danville Regional Rehabilitation")</f>
        <v>Danville Regional Rehabilitation</v>
      </c>
      <c r="B54" s="135" t="str">
        <f ca="1">IFERROR(__xludf.DUMMYFUNCTION("""COMPUTED_VALUE"""),"ASC")</f>
        <v>ASC</v>
      </c>
      <c r="C54" s="135" t="str">
        <f ca="1">IFERROR(__xludf.DUMMYFUNCTION("""COMPUTED_VALUE"""),"   Tel: (317)745-5451")</f>
        <v xml:space="preserve">   Tel: (317)745-5451</v>
      </c>
      <c r="D54" s="135" t="str">
        <f ca="1">IFERROR(__xludf.DUMMYFUNCTION("""COMPUTED_VALUE"""),"   255 Meadow Dr")</f>
        <v xml:space="preserve">   255 Meadow Dr</v>
      </c>
      <c r="E54" s="135" t="str">
        <f ca="1">IFERROR(__xludf.DUMMYFUNCTION("""COMPUTED_VALUE"""),"   Danville, In 46122")</f>
        <v xml:space="preserve">   Danville, In 46122</v>
      </c>
      <c r="F54" s="135" t="str">
        <f ca="1">IFERROR(__xludf.DUMMYFUNCTION("""COMPUTED_VALUE"""),"")</f>
        <v/>
      </c>
      <c r="G54" s="135">
        <f ca="1">IFERROR(__xludf.DUMMYFUNCTION("""COMPUTED_VALUE"""),124)</f>
        <v>124</v>
      </c>
      <c r="H54" s="135" t="str">
        <f ca="1">IFERROR(__xludf.DUMMYFUNCTION("""COMPUTED_VALUE"""),"Optum Testing")</f>
        <v>Optum Testing</v>
      </c>
      <c r="I54" s="135" t="str">
        <f ca="1">IFERROR(__xludf.DUMMYFUNCTION("""COMPUTED_VALUE"""),"KITS")</f>
        <v>KITS</v>
      </c>
      <c r="J54" s="135" t="str">
        <f ca="1">IFERROR(__xludf.DUMMYFUNCTION("""COMPUTED_VALUE"""),"")</f>
        <v/>
      </c>
      <c r="K54" s="135"/>
      <c r="L54" s="135"/>
      <c r="M54" s="135"/>
      <c r="N54" s="135"/>
      <c r="O54" s="135"/>
      <c r="P54" s="135"/>
      <c r="Q54" s="135"/>
      <c r="R54" s="135"/>
      <c r="S54" s="135"/>
      <c r="T54" s="135"/>
      <c r="U54" s="135"/>
      <c r="V54" s="135"/>
      <c r="W54" s="135"/>
      <c r="X54" s="135"/>
      <c r="Y54" s="135"/>
      <c r="Z54" s="135"/>
    </row>
    <row r="55" spans="1:26">
      <c r="A55" s="135" t="str">
        <f ca="1">IFERROR(__xludf.DUMMYFUNCTION("""COMPUTED_VALUE"""),"Eagle Valley Meadows")</f>
        <v>Eagle Valley Meadows</v>
      </c>
      <c r="B55" s="135" t="str">
        <f ca="1">IFERROR(__xludf.DUMMYFUNCTION("""COMPUTED_VALUE"""),"ASC")</f>
        <v>ASC</v>
      </c>
      <c r="C55" s="135" t="str">
        <f ca="1">IFERROR(__xludf.DUMMYFUNCTION("""COMPUTED_VALUE"""),"   Tel: (317)293-2555")</f>
        <v xml:space="preserve">   Tel: (317)293-2555</v>
      </c>
      <c r="D55" s="135" t="str">
        <f ca="1">IFERROR(__xludf.DUMMYFUNCTION("""COMPUTED_VALUE"""),"   3017 Valley Farms Rd")</f>
        <v xml:space="preserve">   3017 Valley Farms Rd</v>
      </c>
      <c r="E55" s="135" t="str">
        <f ca="1">IFERROR(__xludf.DUMMYFUNCTION("""COMPUTED_VALUE"""),"   Indianapolis, In 46214")</f>
        <v xml:space="preserve">   Indianapolis, In 46214</v>
      </c>
      <c r="F55" s="135" t="str">
        <f ca="1">IFERROR(__xludf.DUMMYFUNCTION("""COMPUTED_VALUE"""),"")</f>
        <v/>
      </c>
      <c r="G55" s="135">
        <f ca="1">IFERROR(__xludf.DUMMYFUNCTION("""COMPUTED_VALUE"""),92)</f>
        <v>92</v>
      </c>
      <c r="H55" s="135" t="str">
        <f ca="1">IFERROR(__xludf.DUMMYFUNCTION("""COMPUTED_VALUE"""),"Optum Testing")</f>
        <v>Optum Testing</v>
      </c>
      <c r="I55" s="135" t="str">
        <f ca="1">IFERROR(__xludf.DUMMYFUNCTION("""COMPUTED_VALUE"""),"KITS")</f>
        <v>KITS</v>
      </c>
      <c r="J55" s="135" t="str">
        <f ca="1">IFERROR(__xludf.DUMMYFUNCTION("""COMPUTED_VALUE"""),"")</f>
        <v/>
      </c>
      <c r="K55" s="135"/>
      <c r="L55" s="135"/>
      <c r="M55" s="135"/>
      <c r="N55" s="135"/>
      <c r="O55" s="135"/>
      <c r="P55" s="135"/>
      <c r="Q55" s="135"/>
      <c r="R55" s="135"/>
      <c r="S55" s="135"/>
      <c r="T55" s="135"/>
      <c r="U55" s="135"/>
      <c r="V55" s="135"/>
      <c r="W55" s="135"/>
      <c r="X55" s="135"/>
      <c r="Y55" s="135"/>
      <c r="Z55" s="135"/>
    </row>
    <row r="56" spans="1:26">
      <c r="A56" s="135" t="str">
        <f ca="1">IFERROR(__xludf.DUMMYFUNCTION("""COMPUTED_VALUE"""),"East Lake Nursing &amp; Rehabilitation Center")</f>
        <v>East Lake Nursing &amp; Rehabilitation Center</v>
      </c>
      <c r="B56" s="135" t="str">
        <f ca="1">IFERROR(__xludf.DUMMYFUNCTION("""COMPUTED_VALUE"""),"ASC")</f>
        <v>ASC</v>
      </c>
      <c r="C56" s="135" t="str">
        <f ca="1">IFERROR(__xludf.DUMMYFUNCTION("""COMPUTED_VALUE"""),"   Tel: (574)264-1133")</f>
        <v xml:space="preserve">   Tel: (574)264-1133</v>
      </c>
      <c r="D56" s="135" t="str">
        <f ca="1">IFERROR(__xludf.DUMMYFUNCTION("""COMPUTED_VALUE"""),"   1900 Jeanwood Dr")</f>
        <v xml:space="preserve">   1900 Jeanwood Dr</v>
      </c>
      <c r="E56" s="135" t="str">
        <f ca="1">IFERROR(__xludf.DUMMYFUNCTION("""COMPUTED_VALUE"""),"   Elkhart, In 46514")</f>
        <v xml:space="preserve">   Elkhart, In 46514</v>
      </c>
      <c r="F56" s="135" t="str">
        <f ca="1">IFERROR(__xludf.DUMMYFUNCTION("""COMPUTED_VALUE"""),"")</f>
        <v/>
      </c>
      <c r="G56" s="135">
        <f ca="1">IFERROR(__xludf.DUMMYFUNCTION("""COMPUTED_VALUE"""),112)</f>
        <v>112</v>
      </c>
      <c r="H56" s="135" t="str">
        <f ca="1">IFERROR(__xludf.DUMMYFUNCTION("""COMPUTED_VALUE"""),"Optum Testing")</f>
        <v>Optum Testing</v>
      </c>
      <c r="I56" s="135" t="str">
        <f ca="1">IFERROR(__xludf.DUMMYFUNCTION("""COMPUTED_VALUE"""),"KITS")</f>
        <v>KITS</v>
      </c>
      <c r="J56" s="135" t="str">
        <f ca="1">IFERROR(__xludf.DUMMYFUNCTION("""COMPUTED_VALUE"""),"")</f>
        <v/>
      </c>
      <c r="K56" s="135"/>
      <c r="L56" s="135"/>
      <c r="M56" s="135"/>
      <c r="N56" s="135"/>
      <c r="O56" s="135"/>
      <c r="P56" s="135"/>
      <c r="Q56" s="135"/>
      <c r="R56" s="135"/>
      <c r="S56" s="135"/>
      <c r="T56" s="135"/>
      <c r="U56" s="135"/>
      <c r="V56" s="135"/>
      <c r="W56" s="135"/>
      <c r="X56" s="135"/>
      <c r="Y56" s="135"/>
      <c r="Z56" s="135"/>
    </row>
    <row r="57" spans="1:26">
      <c r="A57" s="135" t="str">
        <f ca="1">IFERROR(__xludf.DUMMYFUNCTION("""COMPUTED_VALUE"""),"Eastgate Manor Nursing And Rehabilitation")</f>
        <v>Eastgate Manor Nursing And Rehabilitation</v>
      </c>
      <c r="B57" s="135" t="str">
        <f ca="1">IFERROR(__xludf.DUMMYFUNCTION("""COMPUTED_VALUE"""),"ASC")</f>
        <v>ASC</v>
      </c>
      <c r="C57" s="135" t="str">
        <f ca="1">IFERROR(__xludf.DUMMYFUNCTION("""COMPUTED_VALUE"""),"   Tel: (812)254-3301")</f>
        <v xml:space="preserve">   Tel: (812)254-3301</v>
      </c>
      <c r="D57" s="135" t="str">
        <f ca="1">IFERROR(__xludf.DUMMYFUNCTION("""COMPUTED_VALUE"""),"   2119 E National Hwy")</f>
        <v xml:space="preserve">   2119 E National Hwy</v>
      </c>
      <c r="E57" s="135" t="str">
        <f ca="1">IFERROR(__xludf.DUMMYFUNCTION("""COMPUTED_VALUE"""),"   Washington, In 47501")</f>
        <v xml:space="preserve">   Washington, In 47501</v>
      </c>
      <c r="F57" s="135" t="str">
        <f ca="1">IFERROR(__xludf.DUMMYFUNCTION("""COMPUTED_VALUE"""),"No")</f>
        <v>No</v>
      </c>
      <c r="G57" s="135">
        <f ca="1">IFERROR(__xludf.DUMMYFUNCTION("""COMPUTED_VALUE"""),67)</f>
        <v>67</v>
      </c>
      <c r="H57" s="135" t="str">
        <f ca="1">IFERROR(__xludf.DUMMYFUNCTION("""COMPUTED_VALUE"""),"Optum Testing")</f>
        <v>Optum Testing</v>
      </c>
      <c r="I57" s="135" t="str">
        <f ca="1">IFERROR(__xludf.DUMMYFUNCTION("""COMPUTED_VALUE"""),"KITS")</f>
        <v>KITS</v>
      </c>
      <c r="J57" s="135" t="str">
        <f ca="1">IFERROR(__xludf.DUMMYFUNCTION("""COMPUTED_VALUE"""),"")</f>
        <v/>
      </c>
      <c r="K57" s="135"/>
      <c r="L57" s="135"/>
      <c r="M57" s="135"/>
      <c r="N57" s="135"/>
      <c r="O57" s="135"/>
      <c r="P57" s="135"/>
      <c r="Q57" s="135"/>
      <c r="R57" s="135"/>
      <c r="S57" s="135"/>
      <c r="T57" s="135"/>
      <c r="U57" s="135"/>
      <c r="V57" s="135"/>
      <c r="W57" s="135"/>
      <c r="X57" s="135"/>
      <c r="Y57" s="135"/>
      <c r="Z57" s="135"/>
    </row>
    <row r="58" spans="1:26">
      <c r="A58" s="135" t="str">
        <f ca="1">IFERROR(__xludf.DUMMYFUNCTION("""COMPUTED_VALUE"""),"Edgewater Woods")</f>
        <v>Edgewater Woods</v>
      </c>
      <c r="B58" s="135" t="str">
        <f ca="1">IFERROR(__xludf.DUMMYFUNCTION("""COMPUTED_VALUE"""),"ASC")</f>
        <v>ASC</v>
      </c>
      <c r="C58" s="135" t="str">
        <f ca="1">IFERROR(__xludf.DUMMYFUNCTION("""COMPUTED_VALUE"""),"   Tel: (765)644-0903")</f>
        <v xml:space="preserve">   Tel: (765)644-0903</v>
      </c>
      <c r="D58" s="135" t="str">
        <f ca="1">IFERROR(__xludf.DUMMYFUNCTION("""COMPUTED_VALUE"""),"   1809 N Madison Ave")</f>
        <v xml:space="preserve">   1809 N Madison Ave</v>
      </c>
      <c r="E58" s="135" t="str">
        <f ca="1">IFERROR(__xludf.DUMMYFUNCTION("""COMPUTED_VALUE"""),"   Anderson, In 46011")</f>
        <v xml:space="preserve">   Anderson, In 46011</v>
      </c>
      <c r="F58" s="135" t="str">
        <f ca="1">IFERROR(__xludf.DUMMYFUNCTION("""COMPUTED_VALUE"""),"")</f>
        <v/>
      </c>
      <c r="G58" s="135">
        <f ca="1">IFERROR(__xludf.DUMMYFUNCTION("""COMPUTED_VALUE"""),80)</f>
        <v>80</v>
      </c>
      <c r="H58" s="135" t="str">
        <f ca="1">IFERROR(__xludf.DUMMYFUNCTION("""COMPUTED_VALUE"""),"Optum Testing")</f>
        <v>Optum Testing</v>
      </c>
      <c r="I58" s="135" t="str">
        <f ca="1">IFERROR(__xludf.DUMMYFUNCTION("""COMPUTED_VALUE"""),"KITS")</f>
        <v>KITS</v>
      </c>
      <c r="J58" s="135" t="str">
        <f ca="1">IFERROR(__xludf.DUMMYFUNCTION("""COMPUTED_VALUE"""),"")</f>
        <v/>
      </c>
      <c r="K58" s="135"/>
      <c r="L58" s="135"/>
      <c r="M58" s="135"/>
      <c r="N58" s="135"/>
      <c r="O58" s="135"/>
      <c r="P58" s="135"/>
      <c r="Q58" s="135"/>
      <c r="R58" s="135"/>
      <c r="S58" s="135"/>
      <c r="T58" s="135"/>
      <c r="U58" s="135"/>
      <c r="V58" s="135"/>
      <c r="W58" s="135"/>
      <c r="X58" s="135"/>
      <c r="Y58" s="135"/>
      <c r="Z58" s="135"/>
    </row>
    <row r="59" spans="1:26">
      <c r="A59" s="135" t="str">
        <f ca="1">IFERROR(__xludf.DUMMYFUNCTION("""COMPUTED_VALUE"""),"Elkhart Meadows")</f>
        <v>Elkhart Meadows</v>
      </c>
      <c r="B59" s="135" t="str">
        <f ca="1">IFERROR(__xludf.DUMMYFUNCTION("""COMPUTED_VALUE"""),"ASC")</f>
        <v>ASC</v>
      </c>
      <c r="C59" s="135" t="str">
        <f ca="1">IFERROR(__xludf.DUMMYFUNCTION("""COMPUTED_VALUE"""),"   Tel: (574)295-8800")</f>
        <v xml:space="preserve">   Tel: (574)295-8800</v>
      </c>
      <c r="D59" s="135" t="str">
        <f ca="1">IFERROR(__xludf.DUMMYFUNCTION("""COMPUTED_VALUE"""),"   2600 Morehouse Ave")</f>
        <v xml:space="preserve">   2600 Morehouse Ave</v>
      </c>
      <c r="E59" s="135" t="str">
        <f ca="1">IFERROR(__xludf.DUMMYFUNCTION("""COMPUTED_VALUE"""),"   Elkhart, In 46517")</f>
        <v xml:space="preserve">   Elkhart, In 46517</v>
      </c>
      <c r="F59" s="135" t="str">
        <f ca="1">IFERROR(__xludf.DUMMYFUNCTION("""COMPUTED_VALUE"""),"")</f>
        <v/>
      </c>
      <c r="G59" s="135">
        <f ca="1">IFERROR(__xludf.DUMMYFUNCTION("""COMPUTED_VALUE"""),90)</f>
        <v>90</v>
      </c>
      <c r="H59" s="135" t="str">
        <f ca="1">IFERROR(__xludf.DUMMYFUNCTION("""COMPUTED_VALUE"""),"Optum Testing")</f>
        <v>Optum Testing</v>
      </c>
      <c r="I59" s="135" t="str">
        <f ca="1">IFERROR(__xludf.DUMMYFUNCTION("""COMPUTED_VALUE"""),"KITS")</f>
        <v>KITS</v>
      </c>
      <c r="J59" s="135" t="str">
        <f ca="1">IFERROR(__xludf.DUMMYFUNCTION("""COMPUTED_VALUE"""),"")</f>
        <v/>
      </c>
      <c r="K59" s="135"/>
      <c r="L59" s="135"/>
      <c r="M59" s="135"/>
      <c r="N59" s="135"/>
      <c r="O59" s="135"/>
      <c r="P59" s="135"/>
      <c r="Q59" s="135"/>
      <c r="R59" s="135"/>
      <c r="S59" s="135"/>
      <c r="T59" s="135"/>
      <c r="U59" s="135"/>
      <c r="V59" s="135"/>
      <c r="W59" s="135"/>
      <c r="X59" s="135"/>
      <c r="Y59" s="135"/>
      <c r="Z59" s="135"/>
    </row>
    <row r="60" spans="1:26">
      <c r="A60" s="135" t="str">
        <f ca="1">IFERROR(__xludf.DUMMYFUNCTION("""COMPUTED_VALUE"""),"Elwood Health And Living")</f>
        <v>Elwood Health And Living</v>
      </c>
      <c r="B60" s="135" t="str">
        <f ca="1">IFERROR(__xludf.DUMMYFUNCTION("""COMPUTED_VALUE"""),"")</f>
        <v/>
      </c>
      <c r="C60" s="135" t="str">
        <f ca="1">IFERROR(__xludf.DUMMYFUNCTION("""COMPUTED_VALUE"""),"   Tel: (765)203-2672")</f>
        <v xml:space="preserve">   Tel: (765)203-2672</v>
      </c>
      <c r="D60" s="135" t="str">
        <f ca="1">IFERROR(__xludf.DUMMYFUNCTION("""COMPUTED_VALUE"""),"   2300 Parkview Ln")</f>
        <v xml:space="preserve">   2300 Parkview Ln</v>
      </c>
      <c r="E60" s="135" t="str">
        <f ca="1">IFERROR(__xludf.DUMMYFUNCTION("""COMPUTED_VALUE"""),"   Elwood, In 46036")</f>
        <v xml:space="preserve">   Elwood, In 46036</v>
      </c>
      <c r="F60" s="135" t="str">
        <f ca="1">IFERROR(__xludf.DUMMYFUNCTION("""COMPUTED_VALUE"""),"")</f>
        <v/>
      </c>
      <c r="G60" s="135">
        <f ca="1">IFERROR(__xludf.DUMMYFUNCTION("""COMPUTED_VALUE"""),86)</f>
        <v>86</v>
      </c>
      <c r="H60" s="135" t="str">
        <f ca="1">IFERROR(__xludf.DUMMYFUNCTION("""COMPUTED_VALUE"""),"Non-Specific Plan/Hypothetical/Local Sites")</f>
        <v>Non-Specific Plan/Hypothetical/Local Sites</v>
      </c>
      <c r="I60" s="135" t="str">
        <f ca="1">IFERROR(__xludf.DUMMYFUNCTION("""COMPUTED_VALUE"""),"KITS")</f>
        <v>KITS</v>
      </c>
      <c r="J60" s="135" t="str">
        <f ca="1">IFERROR(__xludf.DUMMYFUNCTION("""COMPUTED_VALUE"""),"")</f>
        <v/>
      </c>
      <c r="K60" s="135"/>
      <c r="L60" s="135"/>
      <c r="M60" s="135"/>
      <c r="N60" s="135"/>
      <c r="O60" s="135"/>
      <c r="P60" s="135"/>
      <c r="Q60" s="135"/>
      <c r="R60" s="135"/>
      <c r="S60" s="135"/>
      <c r="T60" s="135"/>
      <c r="U60" s="135"/>
      <c r="V60" s="135"/>
      <c r="W60" s="135"/>
      <c r="X60" s="135"/>
      <c r="Y60" s="135"/>
      <c r="Z60" s="135"/>
    </row>
    <row r="61" spans="1:26">
      <c r="A61" s="135" t="str">
        <f ca="1">IFERROR(__xludf.DUMMYFUNCTION("""COMPUTED_VALUE"""),"Essex Nursing And Rehabilitation Center")</f>
        <v>Essex Nursing And Rehabilitation Center</v>
      </c>
      <c r="B61" s="135" t="str">
        <f ca="1">IFERROR(__xludf.DUMMYFUNCTION("""COMPUTED_VALUE"""),"Chosen")</f>
        <v>Chosen</v>
      </c>
      <c r="C61" s="135" t="str">
        <f ca="1">IFERROR(__xludf.DUMMYFUNCTION("""COMPUTED_VALUE"""),"   Tel: (765)482-1950")</f>
        <v xml:space="preserve">   Tel: (765)482-1950</v>
      </c>
      <c r="D61" s="135" t="str">
        <f ca="1">IFERROR(__xludf.DUMMYFUNCTION("""COMPUTED_VALUE"""),"   301 W Essex St")</f>
        <v xml:space="preserve">   301 W Essex St</v>
      </c>
      <c r="E61" s="135" t="str">
        <f ca="1">IFERROR(__xludf.DUMMYFUNCTION("""COMPUTED_VALUE"""),"   Lebanon, In 46052")</f>
        <v xml:space="preserve">   Lebanon, In 46052</v>
      </c>
      <c r="F61" s="135" t="str">
        <f ca="1">IFERROR(__xludf.DUMMYFUNCTION("""COMPUTED_VALUE"""),"")</f>
        <v/>
      </c>
      <c r="G61" s="135">
        <f ca="1">IFERROR(__xludf.DUMMYFUNCTION("""COMPUTED_VALUE"""),32)</f>
        <v>32</v>
      </c>
      <c r="H61" s="135" t="str">
        <f ca="1">IFERROR(__xludf.DUMMYFUNCTION("""COMPUTED_VALUE"""),"Optum Testing")</f>
        <v>Optum Testing</v>
      </c>
      <c r="I61" s="135" t="str">
        <f ca="1">IFERROR(__xludf.DUMMYFUNCTION("""COMPUTED_VALUE"""),"KITS")</f>
        <v>KITS</v>
      </c>
      <c r="J61" s="135" t="str">
        <f ca="1">IFERROR(__xludf.DUMMYFUNCTION("""COMPUTED_VALUE"""),"")</f>
        <v/>
      </c>
      <c r="K61" s="135"/>
      <c r="L61" s="135"/>
      <c r="M61" s="135"/>
      <c r="N61" s="135"/>
      <c r="O61" s="135"/>
      <c r="P61" s="135"/>
      <c r="Q61" s="135"/>
      <c r="R61" s="135"/>
      <c r="S61" s="135"/>
      <c r="T61" s="135"/>
      <c r="U61" s="135"/>
      <c r="V61" s="135"/>
      <c r="W61" s="135"/>
      <c r="X61" s="135"/>
      <c r="Y61" s="135"/>
      <c r="Z61" s="135"/>
    </row>
    <row r="62" spans="1:26">
      <c r="A62" s="135" t="str">
        <f ca="1">IFERROR(__xludf.DUMMYFUNCTION("""COMPUTED_VALUE"""),"Fairway Village")</f>
        <v>Fairway Village</v>
      </c>
      <c r="B62" s="135" t="str">
        <f ca="1">IFERROR(__xludf.DUMMYFUNCTION("""COMPUTED_VALUE"""),"ASC")</f>
        <v>ASC</v>
      </c>
      <c r="C62" s="135" t="str">
        <f ca="1">IFERROR(__xludf.DUMMYFUNCTION("""COMPUTED_VALUE"""),"   Tel: (317)787-8951")</f>
        <v xml:space="preserve">   Tel: (317)787-8951</v>
      </c>
      <c r="D62" s="135" t="str">
        <f ca="1">IFERROR(__xludf.DUMMYFUNCTION("""COMPUTED_VALUE"""),"   2630 S Keystone Ave")</f>
        <v xml:space="preserve">   2630 S Keystone Ave</v>
      </c>
      <c r="E62" s="135" t="str">
        <f ca="1">IFERROR(__xludf.DUMMYFUNCTION("""COMPUTED_VALUE"""),"   Indianapolis, In 46203")</f>
        <v xml:space="preserve">   Indianapolis, In 46203</v>
      </c>
      <c r="F62" s="135" t="str">
        <f ca="1">IFERROR(__xludf.DUMMYFUNCTION("""COMPUTED_VALUE"""),"")</f>
        <v/>
      </c>
      <c r="G62" s="135">
        <f ca="1">IFERROR(__xludf.DUMMYFUNCTION("""COMPUTED_VALUE"""),55)</f>
        <v>55</v>
      </c>
      <c r="H62" s="135" t="str">
        <f ca="1">IFERROR(__xludf.DUMMYFUNCTION("""COMPUTED_VALUE"""),"Optum Testing")</f>
        <v>Optum Testing</v>
      </c>
      <c r="I62" s="135" t="str">
        <f ca="1">IFERROR(__xludf.DUMMYFUNCTION("""COMPUTED_VALUE"""),"KITS")</f>
        <v>KITS</v>
      </c>
      <c r="J62" s="135" t="str">
        <f ca="1">IFERROR(__xludf.DUMMYFUNCTION("""COMPUTED_VALUE"""),"")</f>
        <v/>
      </c>
      <c r="K62" s="135"/>
      <c r="L62" s="135"/>
      <c r="M62" s="135"/>
      <c r="N62" s="135"/>
      <c r="O62" s="135"/>
      <c r="P62" s="135"/>
      <c r="Q62" s="135"/>
      <c r="R62" s="135"/>
      <c r="S62" s="135"/>
      <c r="T62" s="135"/>
      <c r="U62" s="135"/>
      <c r="V62" s="135"/>
      <c r="W62" s="135"/>
      <c r="X62" s="135"/>
      <c r="Y62" s="135"/>
      <c r="Z62" s="135"/>
    </row>
    <row r="63" spans="1:26">
      <c r="A63" s="135" t="str">
        <f ca="1">IFERROR(__xludf.DUMMYFUNCTION("""COMPUTED_VALUE"""),"Flatrock River Lodge")</f>
        <v>Flatrock River Lodge</v>
      </c>
      <c r="B63" s="135" t="str">
        <f ca="1">IFERROR(__xludf.DUMMYFUNCTION("""COMPUTED_VALUE"""),"")</f>
        <v/>
      </c>
      <c r="C63" s="135" t="str">
        <f ca="1">IFERROR(__xludf.DUMMYFUNCTION("""COMPUTED_VALUE"""),"   Tel: (765)932-2974")</f>
        <v xml:space="preserve">   Tel: (765)932-2974</v>
      </c>
      <c r="D63" s="135" t="str">
        <f ca="1">IFERROR(__xludf.DUMMYFUNCTION("""COMPUTED_VALUE"""),"   904 E 11Th St")</f>
        <v xml:space="preserve">   904 E 11Th St</v>
      </c>
      <c r="E63" s="135" t="str">
        <f ca="1">IFERROR(__xludf.DUMMYFUNCTION("""COMPUTED_VALUE"""),"   Rushville, In 46173")</f>
        <v xml:space="preserve">   Rushville, In 46173</v>
      </c>
      <c r="F63" s="135" t="str">
        <f ca="1">IFERROR(__xludf.DUMMYFUNCTION("""COMPUTED_VALUE"""),"")</f>
        <v/>
      </c>
      <c r="G63" s="135">
        <f ca="1">IFERROR(__xludf.DUMMYFUNCTION("""COMPUTED_VALUE"""),48)</f>
        <v>48</v>
      </c>
      <c r="H63" s="135" t="str">
        <f ca="1">IFERROR(__xludf.DUMMYFUNCTION("""COMPUTED_VALUE"""),"Optum Testing")</f>
        <v>Optum Testing</v>
      </c>
      <c r="I63" s="135" t="str">
        <f ca="1">IFERROR(__xludf.DUMMYFUNCTION("""COMPUTED_VALUE"""),"KITS")</f>
        <v>KITS</v>
      </c>
      <c r="J63" s="135" t="str">
        <f ca="1">IFERROR(__xludf.DUMMYFUNCTION("""COMPUTED_VALUE"""),"")</f>
        <v/>
      </c>
      <c r="K63" s="135"/>
      <c r="L63" s="135"/>
      <c r="M63" s="135"/>
      <c r="N63" s="135"/>
      <c r="O63" s="135"/>
      <c r="P63" s="135"/>
      <c r="Q63" s="135"/>
      <c r="R63" s="135"/>
      <c r="S63" s="135"/>
      <c r="T63" s="135"/>
      <c r="U63" s="135"/>
      <c r="V63" s="135"/>
      <c r="W63" s="135"/>
      <c r="X63" s="135"/>
      <c r="Y63" s="135"/>
      <c r="Z63" s="135"/>
    </row>
    <row r="64" spans="1:26">
      <c r="A64" s="135" t="str">
        <f ca="1">IFERROR(__xludf.DUMMYFUNCTION("""COMPUTED_VALUE"""),"Franklin Meadows")</f>
        <v>Franklin Meadows</v>
      </c>
      <c r="B64" s="135" t="str">
        <f ca="1">IFERROR(__xludf.DUMMYFUNCTION("""COMPUTED_VALUE"""),"ASC")</f>
        <v>ASC</v>
      </c>
      <c r="C64" s="135" t="str">
        <f ca="1">IFERROR(__xludf.DUMMYFUNCTION("""COMPUTED_VALUE"""),"   Tel: (317)736-9113")</f>
        <v xml:space="preserve">   Tel: (317)736-9113</v>
      </c>
      <c r="D64" s="135" t="str">
        <f ca="1">IFERROR(__xludf.DUMMYFUNCTION("""COMPUTED_VALUE"""),"   1285 W Jefferson St")</f>
        <v xml:space="preserve">   1285 W Jefferson St</v>
      </c>
      <c r="E64" s="135" t="str">
        <f ca="1">IFERROR(__xludf.DUMMYFUNCTION("""COMPUTED_VALUE"""),"   Franklin, In 46131")</f>
        <v xml:space="preserve">   Franklin, In 46131</v>
      </c>
      <c r="F64" s="135" t="str">
        <f ca="1">IFERROR(__xludf.DUMMYFUNCTION("""COMPUTED_VALUE"""),"")</f>
        <v/>
      </c>
      <c r="G64" s="135">
        <f ca="1">IFERROR(__xludf.DUMMYFUNCTION("""COMPUTED_VALUE"""),93)</f>
        <v>93</v>
      </c>
      <c r="H64" s="135" t="str">
        <f ca="1">IFERROR(__xludf.DUMMYFUNCTION("""COMPUTED_VALUE"""),"Optum Testing")</f>
        <v>Optum Testing</v>
      </c>
      <c r="I64" s="135" t="str">
        <f ca="1">IFERROR(__xludf.DUMMYFUNCTION("""COMPUTED_VALUE"""),"KITS")</f>
        <v>KITS</v>
      </c>
      <c r="J64" s="135" t="str">
        <f ca="1">IFERROR(__xludf.DUMMYFUNCTION("""COMPUTED_VALUE"""),"")</f>
        <v/>
      </c>
      <c r="K64" s="135"/>
      <c r="L64" s="135"/>
      <c r="M64" s="135"/>
      <c r="N64" s="135"/>
      <c r="O64" s="135"/>
      <c r="P64" s="135"/>
      <c r="Q64" s="135"/>
      <c r="R64" s="135"/>
      <c r="S64" s="135"/>
      <c r="T64" s="135"/>
      <c r="U64" s="135"/>
      <c r="V64" s="135"/>
      <c r="W64" s="135"/>
      <c r="X64" s="135"/>
      <c r="Y64" s="135"/>
      <c r="Z64" s="135"/>
    </row>
    <row r="65" spans="1:26">
      <c r="A65" s="135" t="str">
        <f ca="1">IFERROR(__xludf.DUMMYFUNCTION("""COMPUTED_VALUE"""),"Freelandville Community Home")</f>
        <v>Freelandville Community Home</v>
      </c>
      <c r="B65" s="135" t="str">
        <f ca="1">IFERROR(__xludf.DUMMYFUNCTION("""COMPUTED_VALUE"""),"")</f>
        <v/>
      </c>
      <c r="C65" s="135" t="str">
        <f ca="1">IFERROR(__xludf.DUMMYFUNCTION("""COMPUTED_VALUE"""),"   Tel: (812)328-2134")</f>
        <v xml:space="preserve">   Tel: (812)328-2134</v>
      </c>
      <c r="D65" s="135" t="str">
        <f ca="1">IFERROR(__xludf.DUMMYFUNCTION("""COMPUTED_VALUE"""),"   310 W Carlisle St, Po Box 288")</f>
        <v xml:space="preserve">   310 W Carlisle St, Po Box 288</v>
      </c>
      <c r="E65" s="135" t="str">
        <f ca="1">IFERROR(__xludf.DUMMYFUNCTION("""COMPUTED_VALUE"""),"   Freelandville, In 47535")</f>
        <v xml:space="preserve">   Freelandville, In 47535</v>
      </c>
      <c r="F65" s="135" t="str">
        <f ca="1">IFERROR(__xludf.DUMMYFUNCTION("""COMPUTED_VALUE"""),"No")</f>
        <v>No</v>
      </c>
      <c r="G65" s="135">
        <f ca="1">IFERROR(__xludf.DUMMYFUNCTION("""COMPUTED_VALUE"""),50)</f>
        <v>50</v>
      </c>
      <c r="H65" s="135" t="str">
        <f ca="1">IFERROR(__xludf.DUMMYFUNCTION("""COMPUTED_VALUE"""),"Need Kits and PPE")</f>
        <v>Need Kits and PPE</v>
      </c>
      <c r="I65" s="135" t="str">
        <f ca="1">IFERROR(__xludf.DUMMYFUNCTION("""COMPUTED_VALUE"""),"KITS")</f>
        <v>KITS</v>
      </c>
      <c r="J65" s="135" t="str">
        <f ca="1">IFERROR(__xludf.DUMMYFUNCTION("""COMPUTED_VALUE"""),"")</f>
        <v/>
      </c>
      <c r="K65" s="135"/>
      <c r="L65" s="135"/>
      <c r="M65" s="135"/>
      <c r="N65" s="135"/>
      <c r="O65" s="135"/>
      <c r="P65" s="135"/>
      <c r="Q65" s="135"/>
      <c r="R65" s="135"/>
      <c r="S65" s="135"/>
      <c r="T65" s="135"/>
      <c r="U65" s="135"/>
      <c r="V65" s="135"/>
      <c r="W65" s="135"/>
      <c r="X65" s="135"/>
      <c r="Y65" s="135"/>
      <c r="Z65" s="135"/>
    </row>
    <row r="66" spans="1:26">
      <c r="A66" s="135" t="str">
        <f ca="1">IFERROR(__xludf.DUMMYFUNCTION("""COMPUTED_VALUE"""),"Friends Fellowship Community")</f>
        <v>Friends Fellowship Community</v>
      </c>
      <c r="B66" s="135" t="str">
        <f ca="1">IFERROR(__xludf.DUMMYFUNCTION("""COMPUTED_VALUE"""),"")</f>
        <v/>
      </c>
      <c r="C66" s="135" t="str">
        <f ca="1">IFERROR(__xludf.DUMMYFUNCTION("""COMPUTED_VALUE"""),"   Tel: (765)962-6546")</f>
        <v xml:space="preserve">   Tel: (765)962-6546</v>
      </c>
      <c r="D66" s="135" t="str">
        <f ca="1">IFERROR(__xludf.DUMMYFUNCTION("""COMPUTED_VALUE"""),"   2030 Chester Blvd")</f>
        <v xml:space="preserve">   2030 Chester Blvd</v>
      </c>
      <c r="E66" s="135" t="str">
        <f ca="1">IFERROR(__xludf.DUMMYFUNCTION("""COMPUTED_VALUE"""),"   Richmond, In 47374")</f>
        <v xml:space="preserve">   Richmond, In 47374</v>
      </c>
      <c r="F66" s="135" t="str">
        <f ca="1">IFERROR(__xludf.DUMMYFUNCTION("""COMPUTED_VALUE"""),"")</f>
        <v/>
      </c>
      <c r="G66" s="135">
        <f ca="1">IFERROR(__xludf.DUMMYFUNCTION("""COMPUTED_VALUE"""),218)</f>
        <v>218</v>
      </c>
      <c r="H66" s="135" t="str">
        <f ca="1">IFERROR(__xludf.DUMMYFUNCTION("""COMPUTED_VALUE"""),"Local Hospital")</f>
        <v>Local Hospital</v>
      </c>
      <c r="I66" s="135" t="str">
        <f ca="1">IFERROR(__xludf.DUMMYFUNCTION("""COMPUTED_VALUE"""),"KITS")</f>
        <v>KITS</v>
      </c>
      <c r="J66" s="135" t="str">
        <f ca="1">IFERROR(__xludf.DUMMYFUNCTION("""COMPUTED_VALUE"""),"")</f>
        <v/>
      </c>
      <c r="K66" s="135"/>
      <c r="L66" s="135"/>
      <c r="M66" s="135"/>
      <c r="N66" s="135"/>
      <c r="O66" s="135"/>
      <c r="P66" s="135"/>
      <c r="Q66" s="135"/>
      <c r="R66" s="135"/>
      <c r="S66" s="135"/>
      <c r="T66" s="135"/>
      <c r="U66" s="135"/>
      <c r="V66" s="135"/>
      <c r="W66" s="135"/>
      <c r="X66" s="135"/>
      <c r="Y66" s="135"/>
      <c r="Z66" s="135"/>
    </row>
    <row r="67" spans="1:26">
      <c r="A67" s="135" t="str">
        <f ca="1">IFERROR(__xludf.DUMMYFUNCTION("""COMPUTED_VALUE"""),"Garden Villa - Bedford")</f>
        <v>Garden Villa - Bedford</v>
      </c>
      <c r="B67" s="135" t="str">
        <f ca="1">IFERROR(__xludf.DUMMYFUNCTION("""COMPUTED_VALUE"""),"")</f>
        <v/>
      </c>
      <c r="C67" s="135" t="str">
        <f ca="1">IFERROR(__xludf.DUMMYFUNCTION("""COMPUTED_VALUE"""),"   Tel: (812)277-3730")</f>
        <v xml:space="preserve">   Tel: (812)277-3730</v>
      </c>
      <c r="D67" s="135" t="str">
        <f ca="1">IFERROR(__xludf.DUMMYFUNCTION("""COMPUTED_VALUE"""),"   2111 Norton Ln")</f>
        <v xml:space="preserve">   2111 Norton Ln</v>
      </c>
      <c r="E67" s="135" t="str">
        <f ca="1">IFERROR(__xludf.DUMMYFUNCTION("""COMPUTED_VALUE"""),"   Bedford, In 47421")</f>
        <v xml:space="preserve">   Bedford, In 47421</v>
      </c>
      <c r="F67" s="135" t="str">
        <f ca="1">IFERROR(__xludf.DUMMYFUNCTION("""COMPUTED_VALUE"""),"")</f>
        <v/>
      </c>
      <c r="G67" s="135">
        <f ca="1">IFERROR(__xludf.DUMMYFUNCTION("""COMPUTED_VALUE"""),161)</f>
        <v>161</v>
      </c>
      <c r="H67" s="135" t="str">
        <f ca="1">IFERROR(__xludf.DUMMYFUNCTION("""COMPUTED_VALUE"""),"Optum Testing")</f>
        <v>Optum Testing</v>
      </c>
      <c r="I67" s="135" t="str">
        <f ca="1">IFERROR(__xludf.DUMMYFUNCTION("""COMPUTED_VALUE"""),"KITS")</f>
        <v>KITS</v>
      </c>
      <c r="J67" s="135" t="str">
        <f ca="1">IFERROR(__xludf.DUMMYFUNCTION("""COMPUTED_VALUE"""),"")</f>
        <v/>
      </c>
      <c r="K67" s="135"/>
      <c r="L67" s="135"/>
      <c r="M67" s="135"/>
      <c r="N67" s="135"/>
      <c r="O67" s="135"/>
      <c r="P67" s="135"/>
      <c r="Q67" s="135"/>
      <c r="R67" s="135"/>
      <c r="S67" s="135"/>
      <c r="T67" s="135"/>
      <c r="U67" s="135"/>
      <c r="V67" s="135"/>
      <c r="W67" s="135"/>
      <c r="X67" s="135"/>
      <c r="Y67" s="135"/>
      <c r="Z67" s="135"/>
    </row>
    <row r="68" spans="1:26">
      <c r="A68" s="135" t="str">
        <f ca="1">IFERROR(__xludf.DUMMYFUNCTION("""COMPUTED_VALUE"""),"Gentlecare Of Vincennes")</f>
        <v>Gentlecare Of Vincennes</v>
      </c>
      <c r="B68" s="135" t="str">
        <f ca="1">IFERROR(__xludf.DUMMYFUNCTION("""COMPUTED_VALUE"""),"")</f>
        <v/>
      </c>
      <c r="C68" s="135" t="str">
        <f ca="1">IFERROR(__xludf.DUMMYFUNCTION("""COMPUTED_VALUE"""),"   Tel: (812)882-8292")</f>
        <v xml:space="preserve">   Tel: (812)882-8292</v>
      </c>
      <c r="D68" s="135" t="str">
        <f ca="1">IFERROR(__xludf.DUMMYFUNCTION("""COMPUTED_VALUE"""),"   1202 S 16Th St")</f>
        <v xml:space="preserve">   1202 S 16Th St</v>
      </c>
      <c r="E68" s="135" t="str">
        <f ca="1">IFERROR(__xludf.DUMMYFUNCTION("""COMPUTED_VALUE"""),"   Vincennes, In 47591")</f>
        <v xml:space="preserve">   Vincennes, In 47591</v>
      </c>
      <c r="F68" s="135" t="str">
        <f ca="1">IFERROR(__xludf.DUMMYFUNCTION("""COMPUTED_VALUE"""),"")</f>
        <v/>
      </c>
      <c r="G68" s="135">
        <f ca="1">IFERROR(__xludf.DUMMYFUNCTION("""COMPUTED_VALUE"""),55)</f>
        <v>55</v>
      </c>
      <c r="H68" s="135" t="str">
        <f ca="1">IFERROR(__xludf.DUMMYFUNCTION("""COMPUTED_VALUE"""),"Optum Testing")</f>
        <v>Optum Testing</v>
      </c>
      <c r="I68" s="135" t="str">
        <f ca="1">IFERROR(__xludf.DUMMYFUNCTION("""COMPUTED_VALUE"""),"KITS")</f>
        <v>KITS</v>
      </c>
      <c r="J68" s="135" t="str">
        <f ca="1">IFERROR(__xludf.DUMMYFUNCTION("""COMPUTED_VALUE"""),"")</f>
        <v/>
      </c>
      <c r="K68" s="135"/>
      <c r="L68" s="135"/>
      <c r="M68" s="135"/>
      <c r="N68" s="135"/>
      <c r="O68" s="135"/>
      <c r="P68" s="135"/>
      <c r="Q68" s="135"/>
      <c r="R68" s="135"/>
      <c r="S68" s="135"/>
      <c r="T68" s="135"/>
      <c r="U68" s="135"/>
      <c r="V68" s="135"/>
      <c r="W68" s="135"/>
      <c r="X68" s="135"/>
      <c r="Y68" s="135"/>
      <c r="Z68" s="135"/>
    </row>
    <row r="69" spans="1:26">
      <c r="A69" s="135" t="str">
        <f ca="1">IFERROR(__xludf.DUMMYFUNCTION("""COMPUTED_VALUE"""),"Glenbrook Rehabilitation &amp; Skilled Nursing Center")</f>
        <v>Glenbrook Rehabilitation &amp; Skilled Nursing Center</v>
      </c>
      <c r="B69" s="135" t="str">
        <f ca="1">IFERROR(__xludf.DUMMYFUNCTION("""COMPUTED_VALUE"""),"ASC")</f>
        <v>ASC</v>
      </c>
      <c r="C69" s="135" t="str">
        <f ca="1">IFERROR(__xludf.DUMMYFUNCTION("""COMPUTED_VALUE"""),"   Tel: (260)482-4651")</f>
        <v xml:space="preserve">   Tel: (260)482-4651</v>
      </c>
      <c r="D69" s="135" t="str">
        <f ca="1">IFERROR(__xludf.DUMMYFUNCTION("""COMPUTED_VALUE"""),"   3811 Parnell Ave")</f>
        <v xml:space="preserve">   3811 Parnell Ave</v>
      </c>
      <c r="E69" s="135" t="str">
        <f ca="1">IFERROR(__xludf.DUMMYFUNCTION("""COMPUTED_VALUE"""),"   Fort Wayne, In 46805")</f>
        <v xml:space="preserve">   Fort Wayne, In 46805</v>
      </c>
      <c r="F69" s="135" t="str">
        <f ca="1">IFERROR(__xludf.DUMMYFUNCTION("""COMPUTED_VALUE"""),"")</f>
        <v/>
      </c>
      <c r="G69" s="135">
        <f ca="1">IFERROR(__xludf.DUMMYFUNCTION("""COMPUTED_VALUE"""),94)</f>
        <v>94</v>
      </c>
      <c r="H69" s="135" t="str">
        <f ca="1">IFERROR(__xludf.DUMMYFUNCTION("""COMPUTED_VALUE"""),"Optum Testing")</f>
        <v>Optum Testing</v>
      </c>
      <c r="I69" s="135" t="str">
        <f ca="1">IFERROR(__xludf.DUMMYFUNCTION("""COMPUTED_VALUE"""),"KITS")</f>
        <v>KITS</v>
      </c>
      <c r="J69" s="135" t="str">
        <f ca="1">IFERROR(__xludf.DUMMYFUNCTION("""COMPUTED_VALUE"""),"")</f>
        <v/>
      </c>
      <c r="K69" s="135"/>
      <c r="L69" s="135"/>
      <c r="M69" s="135"/>
      <c r="N69" s="135"/>
      <c r="O69" s="135"/>
      <c r="P69" s="135"/>
      <c r="Q69" s="135"/>
      <c r="R69" s="135"/>
      <c r="S69" s="135"/>
      <c r="T69" s="135"/>
      <c r="U69" s="135"/>
      <c r="V69" s="135"/>
      <c r="W69" s="135"/>
      <c r="X69" s="135"/>
      <c r="Y69" s="135"/>
      <c r="Z69" s="135"/>
    </row>
    <row r="70" spans="1:26">
      <c r="A70" s="135" t="str">
        <f ca="1">IFERROR(__xludf.DUMMYFUNCTION("""COMPUTED_VALUE"""),"Glenburn Home")</f>
        <v>Glenburn Home</v>
      </c>
      <c r="B70" s="135" t="str">
        <f ca="1">IFERROR(__xludf.DUMMYFUNCTION("""COMPUTED_VALUE"""),"")</f>
        <v/>
      </c>
      <c r="C70" s="135" t="str">
        <f ca="1">IFERROR(__xludf.DUMMYFUNCTION("""COMPUTED_VALUE"""),"(812) 847-2221")</f>
        <v>(812) 847-2221</v>
      </c>
      <c r="D70" s="135" t="str">
        <f ca="1">IFERROR(__xludf.DUMMYFUNCTION("""COMPUTED_VALUE"""),"618 W Glenburn Road")</f>
        <v>618 W Glenburn Road</v>
      </c>
      <c r="E70" s="135" t="str">
        <f ca="1">IFERROR(__xludf.DUMMYFUNCTION("""COMPUTED_VALUE"""),"Linton, In  47441")</f>
        <v>Linton, In  47441</v>
      </c>
      <c r="F70" s="135" t="str">
        <f ca="1">IFERROR(__xludf.DUMMYFUNCTION("""COMPUTED_VALUE"""),"")</f>
        <v/>
      </c>
      <c r="G70" s="135">
        <f ca="1">IFERROR(__xludf.DUMMYFUNCTION("""COMPUTED_VALUE"""),195)</f>
        <v>195</v>
      </c>
      <c r="H70" s="135" t="str">
        <f ca="1">IFERROR(__xludf.DUMMYFUNCTION("""COMPUTED_VALUE"""),"Non-Specific Plan/Hypothetical/Local Sites")</f>
        <v>Non-Specific Plan/Hypothetical/Local Sites</v>
      </c>
      <c r="I70" s="135" t="str">
        <f ca="1">IFERROR(__xludf.DUMMYFUNCTION("""COMPUTED_VALUE"""),"KITS")</f>
        <v>KITS</v>
      </c>
      <c r="J70" s="135" t="str">
        <f ca="1">IFERROR(__xludf.DUMMYFUNCTION("""COMPUTED_VALUE"""),"")</f>
        <v/>
      </c>
      <c r="K70" s="135"/>
      <c r="L70" s="135"/>
      <c r="M70" s="135"/>
      <c r="N70" s="135"/>
      <c r="O70" s="135"/>
      <c r="P70" s="135"/>
      <c r="Q70" s="135"/>
      <c r="R70" s="135"/>
      <c r="S70" s="135"/>
      <c r="T70" s="135"/>
      <c r="U70" s="135"/>
      <c r="V70" s="135"/>
      <c r="W70" s="135"/>
      <c r="X70" s="135"/>
      <c r="Y70" s="135"/>
      <c r="Z70" s="135"/>
    </row>
    <row r="71" spans="1:26">
      <c r="A71" s="135" t="str">
        <f ca="1">IFERROR(__xludf.DUMMYFUNCTION("""COMPUTED_VALUE"""),"Golden Living Center - Willow Springs")</f>
        <v>Golden Living Center - Willow Springs</v>
      </c>
      <c r="B71" s="135" t="str">
        <f ca="1">IFERROR(__xludf.DUMMYFUNCTION("""COMPUTED_VALUE"""),"Golden Living")</f>
        <v>Golden Living</v>
      </c>
      <c r="C71" s="135" t="str">
        <f ca="1">IFERROR(__xludf.DUMMYFUNCTION("""COMPUTED_VALUE"""),"   Tel: (317)872-8811")</f>
        <v xml:space="preserve">   Tel: (317)872-8811</v>
      </c>
      <c r="D71" s="135" t="str">
        <f ca="1">IFERROR(__xludf.DUMMYFUNCTION("""COMPUTED_VALUE"""),"   2002 West 86Th Street")</f>
        <v xml:space="preserve">   2002 West 86Th Street</v>
      </c>
      <c r="E71" s="135" t="str">
        <f ca="1">IFERROR(__xludf.DUMMYFUNCTION("""COMPUTED_VALUE"""),"   Indianapolis, In 46260")</f>
        <v xml:space="preserve">   Indianapolis, In 46260</v>
      </c>
      <c r="F71" s="135" t="str">
        <f ca="1">IFERROR(__xludf.DUMMYFUNCTION("""COMPUTED_VALUE"""),"")</f>
        <v/>
      </c>
      <c r="G71" s="135">
        <f ca="1">IFERROR(__xludf.DUMMYFUNCTION("""COMPUTED_VALUE"""),110)</f>
        <v>110</v>
      </c>
      <c r="H71" s="135" t="str">
        <f ca="1">IFERROR(__xludf.DUMMYFUNCTION("""COMPUTED_VALUE"""),"Non-Specific Plan/Hypothetical/Local Sites")</f>
        <v>Non-Specific Plan/Hypothetical/Local Sites</v>
      </c>
      <c r="I71" s="135" t="str">
        <f ca="1">IFERROR(__xludf.DUMMYFUNCTION("""COMPUTED_VALUE"""),"KITS")</f>
        <v>KITS</v>
      </c>
      <c r="J71" s="135" t="str">
        <f ca="1">IFERROR(__xludf.DUMMYFUNCTION("""COMPUTED_VALUE"""),"")</f>
        <v/>
      </c>
      <c r="K71" s="135"/>
      <c r="L71" s="135"/>
      <c r="M71" s="135"/>
      <c r="N71" s="135"/>
      <c r="O71" s="135"/>
      <c r="P71" s="135"/>
      <c r="Q71" s="135"/>
      <c r="R71" s="135"/>
      <c r="S71" s="135"/>
      <c r="T71" s="135"/>
      <c r="U71" s="135"/>
      <c r="V71" s="135"/>
      <c r="W71" s="135"/>
      <c r="X71" s="135"/>
      <c r="Y71" s="135"/>
      <c r="Z71" s="135"/>
    </row>
    <row r="72" spans="1:26">
      <c r="A72" s="135" t="str">
        <f ca="1">IFERROR(__xludf.DUMMYFUNCTION("""COMPUTED_VALUE"""),"Golden Living Center-Bloomington")</f>
        <v>Golden Living Center-Bloomington</v>
      </c>
      <c r="B72" s="135" t="str">
        <f ca="1">IFERROR(__xludf.DUMMYFUNCTION("""COMPUTED_VALUE"""),"Golden Living")</f>
        <v>Golden Living</v>
      </c>
      <c r="C72" s="135" t="str">
        <f ca="1">IFERROR(__xludf.DUMMYFUNCTION("""COMPUTED_VALUE"""),"   Tel: (812)332-4437")</f>
        <v xml:space="preserve">   Tel: (812)332-4437</v>
      </c>
      <c r="D72" s="135" t="str">
        <f ca="1">IFERROR(__xludf.DUMMYFUNCTION("""COMPUTED_VALUE"""),"   155 E Burks Dr")</f>
        <v xml:space="preserve">   155 E Burks Dr</v>
      </c>
      <c r="E72" s="135" t="str">
        <f ca="1">IFERROR(__xludf.DUMMYFUNCTION("""COMPUTED_VALUE"""),"   Bloomington, In 47401")</f>
        <v xml:space="preserve">   Bloomington, In 47401</v>
      </c>
      <c r="F72" s="135" t="str">
        <f ca="1">IFERROR(__xludf.DUMMYFUNCTION("""COMPUTED_VALUE"""),"")</f>
        <v/>
      </c>
      <c r="G72" s="135">
        <f ca="1">IFERROR(__xludf.DUMMYFUNCTION("""COMPUTED_VALUE"""),111)</f>
        <v>111</v>
      </c>
      <c r="H72" s="135" t="str">
        <f ca="1">IFERROR(__xludf.DUMMYFUNCTION("""COMPUTED_VALUE"""),"Non-Specific Plan/Hypothetical/Local Sites")</f>
        <v>Non-Specific Plan/Hypothetical/Local Sites</v>
      </c>
      <c r="I72" s="135" t="str">
        <f ca="1">IFERROR(__xludf.DUMMYFUNCTION("""COMPUTED_VALUE"""),"KITS")</f>
        <v>KITS</v>
      </c>
      <c r="J72" s="135" t="str">
        <f ca="1">IFERROR(__xludf.DUMMYFUNCTION("""COMPUTED_VALUE"""),"")</f>
        <v/>
      </c>
      <c r="K72" s="135"/>
      <c r="L72" s="135"/>
      <c r="M72" s="135"/>
      <c r="N72" s="135"/>
      <c r="O72" s="135"/>
      <c r="P72" s="135"/>
      <c r="Q72" s="135"/>
      <c r="R72" s="135"/>
      <c r="S72" s="135"/>
      <c r="T72" s="135"/>
      <c r="U72" s="135"/>
      <c r="V72" s="135"/>
      <c r="W72" s="135"/>
      <c r="X72" s="135"/>
      <c r="Y72" s="135"/>
      <c r="Z72" s="135"/>
    </row>
    <row r="73" spans="1:26">
      <c r="A73" s="135" t="str">
        <f ca="1">IFERROR(__xludf.DUMMYFUNCTION("""COMPUTED_VALUE"""),"Golden Living Center-Brandywine")</f>
        <v>Golden Living Center-Brandywine</v>
      </c>
      <c r="B73" s="135" t="str">
        <f ca="1">IFERROR(__xludf.DUMMYFUNCTION("""COMPUTED_VALUE"""),"Golden Living")</f>
        <v>Golden Living</v>
      </c>
      <c r="C73" s="135" t="str">
        <f ca="1">IFERROR(__xludf.DUMMYFUNCTION("""COMPUTED_VALUE"""),"   Tel: (317)462-9221")</f>
        <v xml:space="preserve">   Tel: (317)462-9221</v>
      </c>
      <c r="D73" s="135" t="str">
        <f ca="1">IFERROR(__xludf.DUMMYFUNCTION("""COMPUTED_VALUE"""),"   745 N Swope St")</f>
        <v xml:space="preserve">   745 N Swope St</v>
      </c>
      <c r="E73" s="135" t="str">
        <f ca="1">IFERROR(__xludf.DUMMYFUNCTION("""COMPUTED_VALUE"""),"   Greenfield, In 46140")</f>
        <v xml:space="preserve">   Greenfield, In 46140</v>
      </c>
      <c r="F73" s="135" t="str">
        <f ca="1">IFERROR(__xludf.DUMMYFUNCTION("""COMPUTED_VALUE"""),"")</f>
        <v/>
      </c>
      <c r="G73" s="135">
        <f ca="1">IFERROR(__xludf.DUMMYFUNCTION("""COMPUTED_VALUE"""),128)</f>
        <v>128</v>
      </c>
      <c r="H73" s="135" t="str">
        <f ca="1">IFERROR(__xludf.DUMMYFUNCTION("""COMPUTED_VALUE"""),"Non-Specific Plan/Hypothetical/Local Sites")</f>
        <v>Non-Specific Plan/Hypothetical/Local Sites</v>
      </c>
      <c r="I73" s="135" t="str">
        <f ca="1">IFERROR(__xludf.DUMMYFUNCTION("""COMPUTED_VALUE"""),"KITS")</f>
        <v>KITS</v>
      </c>
      <c r="J73" s="135" t="str">
        <f ca="1">IFERROR(__xludf.DUMMYFUNCTION("""COMPUTED_VALUE"""),"")</f>
        <v/>
      </c>
      <c r="K73" s="135"/>
      <c r="L73" s="135"/>
      <c r="M73" s="135"/>
      <c r="N73" s="135"/>
      <c r="O73" s="135"/>
      <c r="P73" s="135"/>
      <c r="Q73" s="135"/>
      <c r="R73" s="135"/>
      <c r="S73" s="135"/>
      <c r="T73" s="135"/>
      <c r="U73" s="135"/>
      <c r="V73" s="135"/>
      <c r="W73" s="135"/>
      <c r="X73" s="135"/>
      <c r="Y73" s="135"/>
      <c r="Z73" s="135"/>
    </row>
    <row r="74" spans="1:26">
      <c r="A74" s="135" t="str">
        <f ca="1">IFERROR(__xludf.DUMMYFUNCTION("""COMPUTED_VALUE"""),"Golden Living Center-Brentwood")</f>
        <v>Golden Living Center-Brentwood</v>
      </c>
      <c r="B74" s="135" t="str">
        <f ca="1">IFERROR(__xludf.DUMMYFUNCTION("""COMPUTED_VALUE"""),"Golden Living")</f>
        <v>Golden Living</v>
      </c>
      <c r="C74" s="135" t="str">
        <f ca="1">IFERROR(__xludf.DUMMYFUNCTION("""COMPUTED_VALUE"""),"   Tel: (812)423-6019")</f>
        <v xml:space="preserve">   Tel: (812)423-6019</v>
      </c>
      <c r="D74" s="135" t="str">
        <f ca="1">IFERROR(__xludf.DUMMYFUNCTION("""COMPUTED_VALUE"""),"   30 E Chandler Ave")</f>
        <v xml:space="preserve">   30 E Chandler Ave</v>
      </c>
      <c r="E74" s="135" t="str">
        <f ca="1">IFERROR(__xludf.DUMMYFUNCTION("""COMPUTED_VALUE"""),"   Evansville, In 47713")</f>
        <v xml:space="preserve">   Evansville, In 47713</v>
      </c>
      <c r="F74" s="135" t="str">
        <f ca="1">IFERROR(__xludf.DUMMYFUNCTION("""COMPUTED_VALUE"""),"")</f>
        <v/>
      </c>
      <c r="G74" s="135">
        <f ca="1">IFERROR(__xludf.DUMMYFUNCTION("""COMPUTED_VALUE"""),93)</f>
        <v>93</v>
      </c>
      <c r="H74" s="135" t="str">
        <f ca="1">IFERROR(__xludf.DUMMYFUNCTION("""COMPUTED_VALUE"""),"Non-Specific Plan/Hypothetical/Local Sites")</f>
        <v>Non-Specific Plan/Hypothetical/Local Sites</v>
      </c>
      <c r="I74" s="135" t="str">
        <f ca="1">IFERROR(__xludf.DUMMYFUNCTION("""COMPUTED_VALUE"""),"KITS")</f>
        <v>KITS</v>
      </c>
      <c r="J74" s="135" t="str">
        <f ca="1">IFERROR(__xludf.DUMMYFUNCTION("""COMPUTED_VALUE"""),"")</f>
        <v/>
      </c>
      <c r="K74" s="135"/>
      <c r="L74" s="135"/>
      <c r="M74" s="135"/>
      <c r="N74" s="135"/>
      <c r="O74" s="135"/>
      <c r="P74" s="135"/>
      <c r="Q74" s="135"/>
      <c r="R74" s="135"/>
      <c r="S74" s="135"/>
      <c r="T74" s="135"/>
      <c r="U74" s="135"/>
      <c r="V74" s="135"/>
      <c r="W74" s="135"/>
      <c r="X74" s="135"/>
      <c r="Y74" s="135"/>
      <c r="Z74" s="135"/>
    </row>
    <row r="75" spans="1:26">
      <c r="A75" s="135" t="str">
        <f ca="1">IFERROR(__xludf.DUMMYFUNCTION("""COMPUTED_VALUE"""),"Golden Living Center-Brookview")</f>
        <v>Golden Living Center-Brookview</v>
      </c>
      <c r="B75" s="135" t="str">
        <f ca="1">IFERROR(__xludf.DUMMYFUNCTION("""COMPUTED_VALUE"""),"Golden Living")</f>
        <v>Golden Living</v>
      </c>
      <c r="C75" s="135" t="str">
        <f ca="1">IFERROR(__xludf.DUMMYFUNCTION("""COMPUTED_VALUE"""),"   Tel: (317)356-0977")</f>
        <v xml:space="preserve">   Tel: (317)356-0977</v>
      </c>
      <c r="D75" s="135" t="str">
        <f ca="1">IFERROR(__xludf.DUMMYFUNCTION("""COMPUTED_VALUE"""),"   7145 E 21St Street")</f>
        <v xml:space="preserve">   7145 E 21St Street</v>
      </c>
      <c r="E75" s="135" t="str">
        <f ca="1">IFERROR(__xludf.DUMMYFUNCTION("""COMPUTED_VALUE"""),"   Indianapolis, In 46219")</f>
        <v xml:space="preserve">   Indianapolis, In 46219</v>
      </c>
      <c r="F75" s="135" t="str">
        <f ca="1">IFERROR(__xludf.DUMMYFUNCTION("""COMPUTED_VALUE"""),"")</f>
        <v/>
      </c>
      <c r="G75" s="135">
        <f ca="1">IFERROR(__xludf.DUMMYFUNCTION("""COMPUTED_VALUE"""),87)</f>
        <v>87</v>
      </c>
      <c r="H75" s="135" t="str">
        <f ca="1">IFERROR(__xludf.DUMMYFUNCTION("""COMPUTED_VALUE"""),"Non-Specific Plan/Hypothetical/Local Sites")</f>
        <v>Non-Specific Plan/Hypothetical/Local Sites</v>
      </c>
      <c r="I75" s="135" t="str">
        <f ca="1">IFERROR(__xludf.DUMMYFUNCTION("""COMPUTED_VALUE"""),"KITS")</f>
        <v>KITS</v>
      </c>
      <c r="J75" s="135" t="str">
        <f ca="1">IFERROR(__xludf.DUMMYFUNCTION("""COMPUTED_VALUE"""),"")</f>
        <v/>
      </c>
      <c r="K75" s="135"/>
      <c r="L75" s="135"/>
      <c r="M75" s="135"/>
      <c r="N75" s="135"/>
      <c r="O75" s="135"/>
      <c r="P75" s="135"/>
      <c r="Q75" s="135"/>
      <c r="R75" s="135"/>
      <c r="S75" s="135"/>
      <c r="T75" s="135"/>
      <c r="U75" s="135"/>
      <c r="V75" s="135"/>
      <c r="W75" s="135"/>
      <c r="X75" s="135"/>
      <c r="Y75" s="135"/>
      <c r="Z75" s="135"/>
    </row>
    <row r="76" spans="1:26">
      <c r="A76" s="135" t="str">
        <f ca="1">IFERROR(__xludf.DUMMYFUNCTION("""COMPUTED_VALUE"""),"Golden Living Center-Fountainview Terrace")</f>
        <v>Golden Living Center-Fountainview Terrace</v>
      </c>
      <c r="B76" s="135" t="str">
        <f ca="1">IFERROR(__xludf.DUMMYFUNCTION("""COMPUTED_VALUE"""),"Golden Living")</f>
        <v>Golden Living</v>
      </c>
      <c r="C76" s="135" t="str">
        <f ca="1">IFERROR(__xludf.DUMMYFUNCTION("""COMPUTED_VALUE"""),"   Tel: (219)362-7014")</f>
        <v xml:space="preserve">   Tel: (219)362-7014</v>
      </c>
      <c r="D76" s="135" t="str">
        <f ca="1">IFERROR(__xludf.DUMMYFUNCTION("""COMPUTED_VALUE"""),"   1900 Andrew Ave")</f>
        <v xml:space="preserve">   1900 Andrew Ave</v>
      </c>
      <c r="E76" s="135" t="str">
        <f ca="1">IFERROR(__xludf.DUMMYFUNCTION("""COMPUTED_VALUE"""),"   La Porte, In 46350")</f>
        <v xml:space="preserve">   La Porte, In 46350</v>
      </c>
      <c r="F76" s="135" t="str">
        <f ca="1">IFERROR(__xludf.DUMMYFUNCTION("""COMPUTED_VALUE"""),"")</f>
        <v/>
      </c>
      <c r="G76" s="135">
        <f ca="1">IFERROR(__xludf.DUMMYFUNCTION("""COMPUTED_VALUE"""),152)</f>
        <v>152</v>
      </c>
      <c r="H76" s="135" t="str">
        <f ca="1">IFERROR(__xludf.DUMMYFUNCTION("""COMPUTED_VALUE"""),"Non-Specific Plan/Hypothetical/Local Sites")</f>
        <v>Non-Specific Plan/Hypothetical/Local Sites</v>
      </c>
      <c r="I76" s="135" t="str">
        <f ca="1">IFERROR(__xludf.DUMMYFUNCTION("""COMPUTED_VALUE"""),"KITS")</f>
        <v>KITS</v>
      </c>
      <c r="J76" s="135" t="str">
        <f ca="1">IFERROR(__xludf.DUMMYFUNCTION("""COMPUTED_VALUE"""),"")</f>
        <v/>
      </c>
      <c r="K76" s="135"/>
      <c r="L76" s="135"/>
      <c r="M76" s="135"/>
      <c r="N76" s="135"/>
      <c r="O76" s="135"/>
      <c r="P76" s="135"/>
      <c r="Q76" s="135"/>
      <c r="R76" s="135"/>
      <c r="S76" s="135"/>
      <c r="T76" s="135"/>
      <c r="U76" s="135"/>
      <c r="V76" s="135"/>
      <c r="W76" s="135"/>
      <c r="X76" s="135"/>
      <c r="Y76" s="135"/>
      <c r="Z76" s="135"/>
    </row>
    <row r="77" spans="1:26">
      <c r="A77" s="135" t="str">
        <f ca="1">IFERROR(__xludf.DUMMYFUNCTION("""COMPUTED_VALUE"""),"Golden Living Center-Knox")</f>
        <v>Golden Living Center-Knox</v>
      </c>
      <c r="B77" s="135" t="str">
        <f ca="1">IFERROR(__xludf.DUMMYFUNCTION("""COMPUTED_VALUE"""),"Golden Living")</f>
        <v>Golden Living</v>
      </c>
      <c r="C77" s="135" t="str">
        <f ca="1">IFERROR(__xludf.DUMMYFUNCTION("""COMPUTED_VALUE"""),"   Tel: (574)772-6248")</f>
        <v xml:space="preserve">   Tel: (574)772-6248</v>
      </c>
      <c r="D77" s="135" t="str">
        <f ca="1">IFERROR(__xludf.DUMMYFUNCTION("""COMPUTED_VALUE"""),"   300 E Culver Rd")</f>
        <v xml:space="preserve">   300 E Culver Rd</v>
      </c>
      <c r="E77" s="135" t="str">
        <f ca="1">IFERROR(__xludf.DUMMYFUNCTION("""COMPUTED_VALUE"""),"   Knox, In 46534")</f>
        <v xml:space="preserve">   Knox, In 46534</v>
      </c>
      <c r="F77" s="135" t="str">
        <f ca="1">IFERROR(__xludf.DUMMYFUNCTION("""COMPUTED_VALUE"""),"")</f>
        <v/>
      </c>
      <c r="G77" s="135">
        <f ca="1">IFERROR(__xludf.DUMMYFUNCTION("""COMPUTED_VALUE"""),66)</f>
        <v>66</v>
      </c>
      <c r="H77" s="135" t="str">
        <f ca="1">IFERROR(__xludf.DUMMYFUNCTION("""COMPUTED_VALUE"""),"Non-Specific Plan/Hypothetical/Local Sites")</f>
        <v>Non-Specific Plan/Hypothetical/Local Sites</v>
      </c>
      <c r="I77" s="135" t="str">
        <f ca="1">IFERROR(__xludf.DUMMYFUNCTION("""COMPUTED_VALUE"""),"KITS")</f>
        <v>KITS</v>
      </c>
      <c r="J77" s="135" t="str">
        <f ca="1">IFERROR(__xludf.DUMMYFUNCTION("""COMPUTED_VALUE"""),"")</f>
        <v/>
      </c>
      <c r="K77" s="135"/>
      <c r="L77" s="135"/>
      <c r="M77" s="135"/>
      <c r="N77" s="135"/>
      <c r="O77" s="135"/>
      <c r="P77" s="135"/>
      <c r="Q77" s="135"/>
      <c r="R77" s="135"/>
      <c r="S77" s="135"/>
      <c r="T77" s="135"/>
      <c r="U77" s="135"/>
      <c r="V77" s="135"/>
      <c r="W77" s="135"/>
      <c r="X77" s="135"/>
      <c r="Y77" s="135"/>
      <c r="Z77" s="135"/>
    </row>
    <row r="78" spans="1:26">
      <c r="A78" s="135" t="str">
        <f ca="1">IFERROR(__xludf.DUMMYFUNCTION("""COMPUTED_VALUE"""),"Golden Living Center-Laporte")</f>
        <v>Golden Living Center-Laporte</v>
      </c>
      <c r="B78" s="135" t="str">
        <f ca="1">IFERROR(__xludf.DUMMYFUNCTION("""COMPUTED_VALUE"""),"Golden Living")</f>
        <v>Golden Living</v>
      </c>
      <c r="C78" s="135" t="str">
        <f ca="1">IFERROR(__xludf.DUMMYFUNCTION("""COMPUTED_VALUE"""),"   Tel: (219)362-6234")</f>
        <v xml:space="preserve">   Tel: (219)362-6234</v>
      </c>
      <c r="D78" s="135" t="str">
        <f ca="1">IFERROR(__xludf.DUMMYFUNCTION("""COMPUTED_VALUE"""),"   1700 I Street")</f>
        <v xml:space="preserve">   1700 I Street</v>
      </c>
      <c r="E78" s="135" t="str">
        <f ca="1">IFERROR(__xludf.DUMMYFUNCTION("""COMPUTED_VALUE"""),"   La Porte, In 46350")</f>
        <v xml:space="preserve">   La Porte, In 46350</v>
      </c>
      <c r="F78" s="135" t="str">
        <f ca="1">IFERROR(__xludf.DUMMYFUNCTION("""COMPUTED_VALUE"""),"")</f>
        <v/>
      </c>
      <c r="G78" s="135">
        <f ca="1">IFERROR(__xludf.DUMMYFUNCTION("""COMPUTED_VALUE"""),72)</f>
        <v>72</v>
      </c>
      <c r="H78" s="135" t="str">
        <f ca="1">IFERROR(__xludf.DUMMYFUNCTION("""COMPUTED_VALUE"""),"Non-Specific Plan/Hypothetical/Local Sites")</f>
        <v>Non-Specific Plan/Hypothetical/Local Sites</v>
      </c>
      <c r="I78" s="135" t="str">
        <f ca="1">IFERROR(__xludf.DUMMYFUNCTION("""COMPUTED_VALUE"""),"KITS")</f>
        <v>KITS</v>
      </c>
      <c r="J78" s="135" t="str">
        <f ca="1">IFERROR(__xludf.DUMMYFUNCTION("""COMPUTED_VALUE"""),"")</f>
        <v/>
      </c>
      <c r="K78" s="135"/>
      <c r="L78" s="135"/>
      <c r="M78" s="135"/>
      <c r="N78" s="135"/>
      <c r="O78" s="135"/>
      <c r="P78" s="135"/>
      <c r="Q78" s="135"/>
      <c r="R78" s="135"/>
      <c r="S78" s="135"/>
      <c r="T78" s="135"/>
      <c r="U78" s="135"/>
      <c r="V78" s="135"/>
      <c r="W78" s="135"/>
      <c r="X78" s="135"/>
      <c r="Y78" s="135"/>
      <c r="Z78" s="135"/>
    </row>
    <row r="79" spans="1:26">
      <c r="A79" s="135" t="str">
        <f ca="1">IFERROR(__xludf.DUMMYFUNCTION("""COMPUTED_VALUE"""),"Golden Living Center-Merrillville")</f>
        <v>Golden Living Center-Merrillville</v>
      </c>
      <c r="B79" s="135" t="str">
        <f ca="1">IFERROR(__xludf.DUMMYFUNCTION("""COMPUTED_VALUE"""),"Golden Living")</f>
        <v>Golden Living</v>
      </c>
      <c r="C79" s="135" t="str">
        <f ca="1">IFERROR(__xludf.DUMMYFUNCTION("""COMPUTED_VALUE"""),"   Tel: (219)736-1310")</f>
        <v xml:space="preserve">   Tel: (219)736-1310</v>
      </c>
      <c r="D79" s="135" t="str">
        <f ca="1">IFERROR(__xludf.DUMMYFUNCTION("""COMPUTED_VALUE"""),"   8800 Virginia Place")</f>
        <v xml:space="preserve">   8800 Virginia Place</v>
      </c>
      <c r="E79" s="135" t="str">
        <f ca="1">IFERROR(__xludf.DUMMYFUNCTION("""COMPUTED_VALUE"""),"   Merrillville, In 46410")</f>
        <v xml:space="preserve">   Merrillville, In 46410</v>
      </c>
      <c r="F79" s="135" t="str">
        <f ca="1">IFERROR(__xludf.DUMMYFUNCTION("""COMPUTED_VALUE"""),"")</f>
        <v/>
      </c>
      <c r="G79" s="135">
        <f ca="1">IFERROR(__xludf.DUMMYFUNCTION("""COMPUTED_VALUE"""),125)</f>
        <v>125</v>
      </c>
      <c r="H79" s="135" t="str">
        <f ca="1">IFERROR(__xludf.DUMMYFUNCTION("""COMPUTED_VALUE"""),"Non-Specific Plan/Hypothetical/Local Sites")</f>
        <v>Non-Specific Plan/Hypothetical/Local Sites</v>
      </c>
      <c r="I79" s="135" t="str">
        <f ca="1">IFERROR(__xludf.DUMMYFUNCTION("""COMPUTED_VALUE"""),"KITS")</f>
        <v>KITS</v>
      </c>
      <c r="J79" s="135" t="str">
        <f ca="1">IFERROR(__xludf.DUMMYFUNCTION("""COMPUTED_VALUE"""),"")</f>
        <v/>
      </c>
      <c r="K79" s="135"/>
      <c r="L79" s="135"/>
      <c r="M79" s="135"/>
      <c r="N79" s="135"/>
      <c r="O79" s="135"/>
      <c r="P79" s="135"/>
      <c r="Q79" s="135"/>
      <c r="R79" s="135"/>
      <c r="S79" s="135"/>
      <c r="T79" s="135"/>
      <c r="U79" s="135"/>
      <c r="V79" s="135"/>
      <c r="W79" s="135"/>
      <c r="X79" s="135"/>
      <c r="Y79" s="135"/>
      <c r="Z79" s="135"/>
    </row>
    <row r="80" spans="1:26">
      <c r="A80" s="135" t="str">
        <f ca="1">IFERROR(__xludf.DUMMYFUNCTION("""COMPUTED_VALUE"""),"Golden Living Center-Muncie")</f>
        <v>Golden Living Center-Muncie</v>
      </c>
      <c r="B80" s="135" t="str">
        <f ca="1">IFERROR(__xludf.DUMMYFUNCTION("""COMPUTED_VALUE"""),"Golden Living")</f>
        <v>Golden Living</v>
      </c>
      <c r="C80" s="135" t="str">
        <f ca="1">IFERROR(__xludf.DUMMYFUNCTION("""COMPUTED_VALUE"""),"   Tel: (765)286-5979")</f>
        <v xml:space="preserve">   Tel: (765)286-5979</v>
      </c>
      <c r="D80" s="135" t="str">
        <f ca="1">IFERROR(__xludf.DUMMYFUNCTION("""COMPUTED_VALUE"""),"   2701 Lyn-Mar Dr")</f>
        <v xml:space="preserve">   2701 Lyn-Mar Dr</v>
      </c>
      <c r="E80" s="135" t="str">
        <f ca="1">IFERROR(__xludf.DUMMYFUNCTION("""COMPUTED_VALUE"""),"   Muncie, In 47304")</f>
        <v xml:space="preserve">   Muncie, In 47304</v>
      </c>
      <c r="F80" s="135" t="str">
        <f ca="1">IFERROR(__xludf.DUMMYFUNCTION("""COMPUTED_VALUE"""),"")</f>
        <v/>
      </c>
      <c r="G80" s="135">
        <f ca="1">IFERROR(__xludf.DUMMYFUNCTION("""COMPUTED_VALUE"""),117)</f>
        <v>117</v>
      </c>
      <c r="H80" s="135" t="str">
        <f ca="1">IFERROR(__xludf.DUMMYFUNCTION("""COMPUTED_VALUE"""),"Non-Specific Plan/Hypothetical/Local Sites")</f>
        <v>Non-Specific Plan/Hypothetical/Local Sites</v>
      </c>
      <c r="I80" s="135" t="str">
        <f ca="1">IFERROR(__xludf.DUMMYFUNCTION("""COMPUTED_VALUE"""),"KITS")</f>
        <v>KITS</v>
      </c>
      <c r="J80" s="135" t="str">
        <f ca="1">IFERROR(__xludf.DUMMYFUNCTION("""COMPUTED_VALUE"""),"")</f>
        <v/>
      </c>
      <c r="K80" s="135"/>
      <c r="L80" s="135"/>
      <c r="M80" s="135"/>
      <c r="N80" s="135"/>
      <c r="O80" s="135"/>
      <c r="P80" s="135"/>
      <c r="Q80" s="135"/>
      <c r="R80" s="135"/>
      <c r="S80" s="135"/>
      <c r="T80" s="135"/>
      <c r="U80" s="135"/>
      <c r="V80" s="135"/>
      <c r="W80" s="135"/>
      <c r="X80" s="135"/>
      <c r="Y80" s="135"/>
      <c r="Z80" s="135"/>
    </row>
    <row r="81" spans="1:26">
      <c r="A81" s="135" t="str">
        <f ca="1">IFERROR(__xludf.DUMMYFUNCTION("""COMPUTED_VALUE"""),"Golden Living Center-Petersburg")</f>
        <v>Golden Living Center-Petersburg</v>
      </c>
      <c r="B81" s="135" t="str">
        <f ca="1">IFERROR(__xludf.DUMMYFUNCTION("""COMPUTED_VALUE"""),"Golden Living")</f>
        <v>Golden Living</v>
      </c>
      <c r="C81" s="135" t="str">
        <f ca="1">IFERROR(__xludf.DUMMYFUNCTION("""COMPUTED_VALUE"""),"   Tel: (812)354-8833")</f>
        <v xml:space="preserve">   Tel: (812)354-8833</v>
      </c>
      <c r="D81" s="135" t="str">
        <f ca="1">IFERROR(__xludf.DUMMYFUNCTION("""COMPUTED_VALUE"""),"   309 W Pike Ave")</f>
        <v xml:space="preserve">   309 W Pike Ave</v>
      </c>
      <c r="E81" s="135" t="str">
        <f ca="1">IFERROR(__xludf.DUMMYFUNCTION("""COMPUTED_VALUE"""),"   Petersburg, In 47567")</f>
        <v xml:space="preserve">   Petersburg, In 47567</v>
      </c>
      <c r="F81" s="135" t="str">
        <f ca="1">IFERROR(__xludf.DUMMYFUNCTION("""COMPUTED_VALUE"""),"No")</f>
        <v>No</v>
      </c>
      <c r="G81" s="135">
        <f ca="1">IFERROR(__xludf.DUMMYFUNCTION("""COMPUTED_VALUE"""),75)</f>
        <v>75</v>
      </c>
      <c r="H81" s="135" t="str">
        <f ca="1">IFERROR(__xludf.DUMMYFUNCTION("""COMPUTED_VALUE"""),"Need Kits")</f>
        <v>Need Kits</v>
      </c>
      <c r="I81" s="135" t="str">
        <f ca="1">IFERROR(__xludf.DUMMYFUNCTION("""COMPUTED_VALUE"""),"KITS")</f>
        <v>KITS</v>
      </c>
      <c r="J81" s="135" t="str">
        <f ca="1">IFERROR(__xludf.DUMMYFUNCTION("""COMPUTED_VALUE"""),"")</f>
        <v/>
      </c>
      <c r="K81" s="135"/>
      <c r="L81" s="135"/>
      <c r="M81" s="135"/>
      <c r="N81" s="135"/>
      <c r="O81" s="135"/>
      <c r="P81" s="135"/>
      <c r="Q81" s="135"/>
      <c r="R81" s="135"/>
      <c r="S81" s="135"/>
      <c r="T81" s="135"/>
      <c r="U81" s="135"/>
      <c r="V81" s="135"/>
      <c r="W81" s="135"/>
      <c r="X81" s="135"/>
      <c r="Y81" s="135"/>
      <c r="Z81" s="135"/>
    </row>
    <row r="82" spans="1:26">
      <c r="A82" s="135" t="str">
        <f ca="1">IFERROR(__xludf.DUMMYFUNCTION("""COMPUTED_VALUE"""),"Golden Living Center-Sycamore Village")</f>
        <v>Golden Living Center-Sycamore Village</v>
      </c>
      <c r="B82" s="135" t="str">
        <f ca="1">IFERROR(__xludf.DUMMYFUNCTION("""COMPUTED_VALUE"""),"Golden Living")</f>
        <v>Golden Living</v>
      </c>
      <c r="C82" s="135" t="str">
        <f ca="1">IFERROR(__xludf.DUMMYFUNCTION("""COMPUTED_VALUE"""),"   Tel: (765)452-5491")</f>
        <v xml:space="preserve">   Tel: (765)452-5491</v>
      </c>
      <c r="D82" s="135" t="str">
        <f ca="1">IFERROR(__xludf.DUMMYFUNCTION("""COMPUTED_VALUE"""),"   2905 W Sycamore St")</f>
        <v xml:space="preserve">   2905 W Sycamore St</v>
      </c>
      <c r="E82" s="135" t="str">
        <f ca="1">IFERROR(__xludf.DUMMYFUNCTION("""COMPUTED_VALUE"""),"   Kokomo, In 46901")</f>
        <v xml:space="preserve">   Kokomo, In 46901</v>
      </c>
      <c r="F82" s="135" t="str">
        <f ca="1">IFERROR(__xludf.DUMMYFUNCTION("""COMPUTED_VALUE"""),"")</f>
        <v/>
      </c>
      <c r="G82" s="135">
        <f ca="1">IFERROR(__xludf.DUMMYFUNCTION("""COMPUTED_VALUE"""),89)</f>
        <v>89</v>
      </c>
      <c r="H82" s="135" t="str">
        <f ca="1">IFERROR(__xludf.DUMMYFUNCTION("""COMPUTED_VALUE"""),"Non-Specific Plan/Hypothetical/Local Sites")</f>
        <v>Non-Specific Plan/Hypothetical/Local Sites</v>
      </c>
      <c r="I82" s="135" t="str">
        <f ca="1">IFERROR(__xludf.DUMMYFUNCTION("""COMPUTED_VALUE"""),"KITS")</f>
        <v>KITS</v>
      </c>
      <c r="J82" s="135" t="str">
        <f ca="1">IFERROR(__xludf.DUMMYFUNCTION("""COMPUTED_VALUE"""),"")</f>
        <v/>
      </c>
      <c r="K82" s="135"/>
      <c r="L82" s="135"/>
      <c r="M82" s="135"/>
      <c r="N82" s="135"/>
      <c r="O82" s="135"/>
      <c r="P82" s="135"/>
      <c r="Q82" s="135"/>
      <c r="R82" s="135"/>
      <c r="S82" s="135"/>
      <c r="T82" s="135"/>
      <c r="U82" s="135"/>
      <c r="V82" s="135"/>
      <c r="W82" s="135"/>
      <c r="X82" s="135"/>
      <c r="Y82" s="135"/>
      <c r="Z82" s="135"/>
    </row>
    <row r="83" spans="1:26">
      <c r="A83" s="135" t="str">
        <f ca="1">IFERROR(__xludf.DUMMYFUNCTION("""COMPUTED_VALUE"""),"Golden Living Center-Woodbridge")</f>
        <v>Golden Living Center-Woodbridge</v>
      </c>
      <c r="B83" s="135" t="str">
        <f ca="1">IFERROR(__xludf.DUMMYFUNCTION("""COMPUTED_VALUE"""),"Golden Living")</f>
        <v>Golden Living</v>
      </c>
      <c r="C83" s="135" t="str">
        <f ca="1">IFERROR(__xludf.DUMMYFUNCTION("""COMPUTED_VALUE"""),"   Tel: (812)426-2841")</f>
        <v xml:space="preserve">   Tel: (812)426-2841</v>
      </c>
      <c r="D83" s="135" t="str">
        <f ca="1">IFERROR(__xludf.DUMMYFUNCTION("""COMPUTED_VALUE"""),"   816 N First Ave")</f>
        <v xml:space="preserve">   816 N First Ave</v>
      </c>
      <c r="E83" s="135" t="str">
        <f ca="1">IFERROR(__xludf.DUMMYFUNCTION("""COMPUTED_VALUE"""),"   Evansville, In 47710")</f>
        <v xml:space="preserve">   Evansville, In 47710</v>
      </c>
      <c r="F83" s="135" t="str">
        <f ca="1">IFERROR(__xludf.DUMMYFUNCTION("""COMPUTED_VALUE"""),"")</f>
        <v/>
      </c>
      <c r="G83" s="135">
        <f ca="1">IFERROR(__xludf.DUMMYFUNCTION("""COMPUTED_VALUE"""),89)</f>
        <v>89</v>
      </c>
      <c r="H83" s="135" t="str">
        <f ca="1">IFERROR(__xludf.DUMMYFUNCTION("""COMPUTED_VALUE"""),"Non-Specific Plan/Hypothetical/Local Sites")</f>
        <v>Non-Specific Plan/Hypothetical/Local Sites</v>
      </c>
      <c r="I83" s="135" t="str">
        <f ca="1">IFERROR(__xludf.DUMMYFUNCTION("""COMPUTED_VALUE"""),"KITS")</f>
        <v>KITS</v>
      </c>
      <c r="J83" s="135" t="str">
        <f ca="1">IFERROR(__xludf.DUMMYFUNCTION("""COMPUTED_VALUE"""),"")</f>
        <v/>
      </c>
      <c r="K83" s="135"/>
      <c r="L83" s="135"/>
      <c r="M83" s="135"/>
      <c r="N83" s="135"/>
      <c r="O83" s="135"/>
      <c r="P83" s="135"/>
      <c r="Q83" s="135"/>
      <c r="R83" s="135"/>
      <c r="S83" s="135"/>
      <c r="T83" s="135"/>
      <c r="U83" s="135"/>
      <c r="V83" s="135"/>
      <c r="W83" s="135"/>
      <c r="X83" s="135"/>
      <c r="Y83" s="135"/>
      <c r="Z83" s="135"/>
    </row>
    <row r="84" spans="1:26">
      <c r="A84" s="135" t="str">
        <f ca="1">IFERROR(__xludf.DUMMYFUNCTION("""COMPUTED_VALUE"""),"Golden Living Center-Woodlands")</f>
        <v>Golden Living Center-Woodlands</v>
      </c>
      <c r="B84" s="135" t="str">
        <f ca="1">IFERROR(__xludf.DUMMYFUNCTION("""COMPUTED_VALUE"""),"Golden Living")</f>
        <v>Golden Living</v>
      </c>
      <c r="C84" s="135" t="str">
        <f ca="1">IFERROR(__xludf.DUMMYFUNCTION("""COMPUTED_VALUE"""),"   Tel: (812)853-9567")</f>
        <v xml:space="preserve">   Tel: (812)853-9567</v>
      </c>
      <c r="D84" s="135" t="str">
        <f ca="1">IFERROR(__xludf.DUMMYFUNCTION("""COMPUTED_VALUE"""),"   4088 Frame Rd")</f>
        <v xml:space="preserve">   4088 Frame Rd</v>
      </c>
      <c r="E84" s="135" t="str">
        <f ca="1">IFERROR(__xludf.DUMMYFUNCTION("""COMPUTED_VALUE"""),"   Newburgh, In 47630")</f>
        <v xml:space="preserve">   Newburgh, In 47630</v>
      </c>
      <c r="F84" s="135" t="str">
        <f ca="1">IFERROR(__xludf.DUMMYFUNCTION("""COMPUTED_VALUE"""),"")</f>
        <v/>
      </c>
      <c r="G84" s="135">
        <f ca="1">IFERROR(__xludf.DUMMYFUNCTION("""COMPUTED_VALUE"""),128)</f>
        <v>128</v>
      </c>
      <c r="H84" s="135" t="str">
        <f ca="1">IFERROR(__xludf.DUMMYFUNCTION("""COMPUTED_VALUE"""),"Non-Specific Plan/Hypothetical/Local Sites")</f>
        <v>Non-Specific Plan/Hypothetical/Local Sites</v>
      </c>
      <c r="I84" s="135" t="str">
        <f ca="1">IFERROR(__xludf.DUMMYFUNCTION("""COMPUTED_VALUE"""),"KITS")</f>
        <v>KITS</v>
      </c>
      <c r="J84" s="135" t="str">
        <f ca="1">IFERROR(__xludf.DUMMYFUNCTION("""COMPUTED_VALUE"""),"")</f>
        <v/>
      </c>
      <c r="K84" s="135"/>
      <c r="L84" s="135"/>
      <c r="M84" s="135"/>
      <c r="N84" s="135"/>
      <c r="O84" s="135"/>
      <c r="P84" s="135"/>
      <c r="Q84" s="135"/>
      <c r="R84" s="135"/>
      <c r="S84" s="135"/>
      <c r="T84" s="135"/>
      <c r="U84" s="135"/>
      <c r="V84" s="135"/>
      <c r="W84" s="135"/>
      <c r="X84" s="135"/>
      <c r="Y84" s="135"/>
      <c r="Z84" s="135"/>
    </row>
    <row r="85" spans="1:26">
      <c r="A85" s="135" t="str">
        <f ca="1">IFERROR(__xludf.DUMMYFUNCTION("""COMPUTED_VALUE"""),"Golden Years Homestead")</f>
        <v>Golden Years Homestead</v>
      </c>
      <c r="B85" s="135" t="str">
        <f ca="1">IFERROR(__xludf.DUMMYFUNCTION("""COMPUTED_VALUE"""),"")</f>
        <v/>
      </c>
      <c r="C85" s="135" t="str">
        <f ca="1">IFERROR(__xludf.DUMMYFUNCTION("""COMPUTED_VALUE"""),"   Tel: (260)749-9655")</f>
        <v xml:space="preserve">   Tel: (260)749-9655</v>
      </c>
      <c r="D85" s="135" t="str">
        <f ca="1">IFERROR(__xludf.DUMMYFUNCTION("""COMPUTED_VALUE"""),"   3136 Goeglein Rd")</f>
        <v xml:space="preserve">   3136 Goeglein Rd</v>
      </c>
      <c r="E85" s="135" t="str">
        <f ca="1">IFERROR(__xludf.DUMMYFUNCTION("""COMPUTED_VALUE"""),"   Fort Wayne, In 46815")</f>
        <v xml:space="preserve">   Fort Wayne, In 46815</v>
      </c>
      <c r="F85" s="135" t="str">
        <f ca="1">IFERROR(__xludf.DUMMYFUNCTION("""COMPUTED_VALUE"""),"")</f>
        <v/>
      </c>
      <c r="G85" s="135">
        <f ca="1">IFERROR(__xludf.DUMMYFUNCTION("""COMPUTED_VALUE"""),190)</f>
        <v>190</v>
      </c>
      <c r="H85" s="135" t="str">
        <f ca="1">IFERROR(__xludf.DUMMYFUNCTION("""COMPUTED_VALUE"""),"Local Hospital")</f>
        <v>Local Hospital</v>
      </c>
      <c r="I85" s="135" t="str">
        <f ca="1">IFERROR(__xludf.DUMMYFUNCTION("""COMPUTED_VALUE"""),"KITS")</f>
        <v>KITS</v>
      </c>
      <c r="J85" s="135" t="str">
        <f ca="1">IFERROR(__xludf.DUMMYFUNCTION("""COMPUTED_VALUE"""),"")</f>
        <v/>
      </c>
      <c r="K85" s="135"/>
      <c r="L85" s="135"/>
      <c r="M85" s="135"/>
      <c r="N85" s="135"/>
      <c r="O85" s="135"/>
      <c r="P85" s="135"/>
      <c r="Q85" s="135"/>
      <c r="R85" s="135"/>
      <c r="S85" s="135"/>
      <c r="T85" s="135"/>
      <c r="U85" s="135"/>
      <c r="V85" s="135"/>
      <c r="W85" s="135"/>
      <c r="X85" s="135"/>
      <c r="Y85" s="135"/>
      <c r="Z85" s="135"/>
    </row>
    <row r="86" spans="1:26">
      <c r="A86" s="135" t="str">
        <f ca="1">IFERROR(__xludf.DUMMYFUNCTION("""COMPUTED_VALUE"""),"Good Samaritan Home &amp; Rehabilitative Center")</f>
        <v>Good Samaritan Home &amp; Rehabilitative Center</v>
      </c>
      <c r="B86" s="135" t="str">
        <f ca="1">IFERROR(__xludf.DUMMYFUNCTION("""COMPUTED_VALUE"""),"ASC")</f>
        <v>ASC</v>
      </c>
      <c r="C86" s="135" t="str">
        <f ca="1">IFERROR(__xludf.DUMMYFUNCTION("""COMPUTED_VALUE"""),"   Tel: (812)749-4774")</f>
        <v xml:space="preserve">   Tel: (812)749-4774</v>
      </c>
      <c r="D86" s="135" t="str">
        <f ca="1">IFERROR(__xludf.DUMMYFUNCTION("""COMPUTED_VALUE"""),"   231 N Jackson St")</f>
        <v xml:space="preserve">   231 N Jackson St</v>
      </c>
      <c r="E86" s="135" t="str">
        <f ca="1">IFERROR(__xludf.DUMMYFUNCTION("""COMPUTED_VALUE"""),"   Oakland City, In 47660")</f>
        <v xml:space="preserve">   Oakland City, In 47660</v>
      </c>
      <c r="F86" s="135" t="str">
        <f ca="1">IFERROR(__xludf.DUMMYFUNCTION("""COMPUTED_VALUE"""),"No")</f>
        <v>No</v>
      </c>
      <c r="G86" s="135">
        <f ca="1">IFERROR(__xludf.DUMMYFUNCTION("""COMPUTED_VALUE"""),114)</f>
        <v>114</v>
      </c>
      <c r="H86" s="135" t="str">
        <f ca="1">IFERROR(__xludf.DUMMYFUNCTION("""COMPUTED_VALUE"""),"Optum Testing")</f>
        <v>Optum Testing</v>
      </c>
      <c r="I86" s="135" t="str">
        <f ca="1">IFERROR(__xludf.DUMMYFUNCTION("""COMPUTED_VALUE"""),"KITS")</f>
        <v>KITS</v>
      </c>
      <c r="J86" s="135" t="str">
        <f ca="1">IFERROR(__xludf.DUMMYFUNCTION("""COMPUTED_VALUE"""),"")</f>
        <v/>
      </c>
      <c r="K86" s="135"/>
      <c r="L86" s="135"/>
      <c r="M86" s="135"/>
      <c r="N86" s="135"/>
      <c r="O86" s="135"/>
      <c r="P86" s="135"/>
      <c r="Q86" s="135"/>
      <c r="R86" s="135"/>
      <c r="S86" s="135"/>
      <c r="T86" s="135"/>
      <c r="U86" s="135"/>
      <c r="V86" s="135"/>
      <c r="W86" s="135"/>
      <c r="X86" s="135"/>
      <c r="Y86" s="135"/>
      <c r="Z86" s="135"/>
    </row>
    <row r="87" spans="1:26">
      <c r="A87" s="135" t="str">
        <f ca="1">IFERROR(__xludf.DUMMYFUNCTION("""COMPUTED_VALUE"""),"Good Samaritan Home Health Center And Residential")</f>
        <v>Good Samaritan Home Health Center And Residential</v>
      </c>
      <c r="B87" s="135" t="str">
        <f ca="1">IFERROR(__xludf.DUMMYFUNCTION("""COMPUTED_VALUE"""),"ASC")</f>
        <v>ASC</v>
      </c>
      <c r="C87" s="135" t="str">
        <f ca="1">IFERROR(__xludf.DUMMYFUNCTION("""COMPUTED_VALUE"""),"   Tel: (812)476-4912")</f>
        <v xml:space="preserve">   Tel: (812)476-4912</v>
      </c>
      <c r="D87" s="135" t="str">
        <f ca="1">IFERROR(__xludf.DUMMYFUNCTION("""COMPUTED_VALUE"""),"   601 N Boeke Rd")</f>
        <v xml:space="preserve">   601 N Boeke Rd</v>
      </c>
      <c r="E87" s="135" t="str">
        <f ca="1">IFERROR(__xludf.DUMMYFUNCTION("""COMPUTED_VALUE"""),"   Evansville, In 47711")</f>
        <v xml:space="preserve">   Evansville, In 47711</v>
      </c>
      <c r="F87" s="135" t="str">
        <f ca="1">IFERROR(__xludf.DUMMYFUNCTION("""COMPUTED_VALUE"""),"")</f>
        <v/>
      </c>
      <c r="G87" s="135">
        <f ca="1">IFERROR(__xludf.DUMMYFUNCTION("""COMPUTED_VALUE"""),240)</f>
        <v>240</v>
      </c>
      <c r="H87" s="135" t="str">
        <f ca="1">IFERROR(__xludf.DUMMYFUNCTION("""COMPUTED_VALUE"""),"Optum Testing")</f>
        <v>Optum Testing</v>
      </c>
      <c r="I87" s="135" t="str">
        <f ca="1">IFERROR(__xludf.DUMMYFUNCTION("""COMPUTED_VALUE"""),"KITS")</f>
        <v>KITS</v>
      </c>
      <c r="J87" s="135" t="str">
        <f ca="1">IFERROR(__xludf.DUMMYFUNCTION("""COMPUTED_VALUE"""),"")</f>
        <v/>
      </c>
      <c r="K87" s="135"/>
      <c r="L87" s="135"/>
      <c r="M87" s="135"/>
      <c r="N87" s="135"/>
      <c r="O87" s="135"/>
      <c r="P87" s="135"/>
      <c r="Q87" s="135"/>
      <c r="R87" s="135"/>
      <c r="S87" s="135"/>
      <c r="T87" s="135"/>
      <c r="U87" s="135"/>
      <c r="V87" s="135"/>
      <c r="W87" s="135"/>
      <c r="X87" s="135"/>
      <c r="Y87" s="135"/>
      <c r="Z87" s="135"/>
    </row>
    <row r="88" spans="1:26">
      <c r="A88" s="135" t="str">
        <f ca="1">IFERROR(__xludf.DUMMYFUNCTION("""COMPUTED_VALUE"""),"Good Samaritan Society Shakamak Retirement Comm")</f>
        <v>Good Samaritan Society Shakamak Retirement Comm</v>
      </c>
      <c r="B88" s="135" t="str">
        <f ca="1">IFERROR(__xludf.DUMMYFUNCTION("""COMPUTED_VALUE"""),"")</f>
        <v/>
      </c>
      <c r="C88" s="135" t="str">
        <f ca="1">IFERROR(__xludf.DUMMYFUNCTION("""COMPUTED_VALUE"""),"   Tel: (812)665-2226")</f>
        <v xml:space="preserve">   Tel: (812)665-2226</v>
      </c>
      <c r="D88" s="135" t="str">
        <f ca="1">IFERROR(__xludf.DUMMYFUNCTION("""COMPUTED_VALUE"""),"   800 E Ohio St")</f>
        <v xml:space="preserve">   800 E Ohio St</v>
      </c>
      <c r="E88" s="135" t="str">
        <f ca="1">IFERROR(__xludf.DUMMYFUNCTION("""COMPUTED_VALUE"""),"   Jasonville, In 47438")</f>
        <v xml:space="preserve">   Jasonville, In 47438</v>
      </c>
      <c r="F88" s="135" t="str">
        <f ca="1">IFERROR(__xludf.DUMMYFUNCTION("""COMPUTED_VALUE"""),"")</f>
        <v/>
      </c>
      <c r="G88" s="135">
        <f ca="1">IFERROR(__xludf.DUMMYFUNCTION("""COMPUTED_VALUE"""),65)</f>
        <v>65</v>
      </c>
      <c r="H88" s="135" t="str">
        <f ca="1">IFERROR(__xludf.DUMMYFUNCTION("""COMPUTED_VALUE"""),"Local Hospital")</f>
        <v>Local Hospital</v>
      </c>
      <c r="I88" s="135" t="str">
        <f ca="1">IFERROR(__xludf.DUMMYFUNCTION("""COMPUTED_VALUE"""),"KITS")</f>
        <v>KITS</v>
      </c>
      <c r="J88" s="135" t="str">
        <f ca="1">IFERROR(__xludf.DUMMYFUNCTION("""COMPUTED_VALUE"""),"")</f>
        <v/>
      </c>
      <c r="K88" s="135"/>
      <c r="L88" s="135"/>
      <c r="M88" s="135"/>
      <c r="N88" s="135"/>
      <c r="O88" s="135"/>
      <c r="P88" s="135"/>
      <c r="Q88" s="135"/>
      <c r="R88" s="135"/>
      <c r="S88" s="135"/>
      <c r="T88" s="135"/>
      <c r="U88" s="135"/>
      <c r="V88" s="135"/>
      <c r="W88" s="135"/>
      <c r="X88" s="135"/>
      <c r="Y88" s="135"/>
      <c r="Z88" s="135"/>
    </row>
    <row r="89" spans="1:26">
      <c r="A89" s="135" t="str">
        <f ca="1">IFERROR(__xludf.DUMMYFUNCTION("""COMPUTED_VALUE"""),"Grace Village Health Care Facility")</f>
        <v>Grace Village Health Care Facility</v>
      </c>
      <c r="B89" s="135" t="str">
        <f ca="1">IFERROR(__xludf.DUMMYFUNCTION("""COMPUTED_VALUE"""),"")</f>
        <v/>
      </c>
      <c r="C89" s="135" t="str">
        <f ca="1">IFERROR(__xludf.DUMMYFUNCTION("""COMPUTED_VALUE"""),"   Tel: (574)372-6100")</f>
        <v xml:space="preserve">   Tel: (574)372-6100</v>
      </c>
      <c r="D89" s="135" t="str">
        <f ca="1">IFERROR(__xludf.DUMMYFUNCTION("""COMPUTED_VALUE"""),"   337 Grace Village Dr")</f>
        <v xml:space="preserve">   337 Grace Village Dr</v>
      </c>
      <c r="E89" s="135" t="str">
        <f ca="1">IFERROR(__xludf.DUMMYFUNCTION("""COMPUTED_VALUE"""),"   Winona Lake, In 46590")</f>
        <v xml:space="preserve">   Winona Lake, In 46590</v>
      </c>
      <c r="F89" s="135" t="str">
        <f ca="1">IFERROR(__xludf.DUMMYFUNCTION("""COMPUTED_VALUE"""),"")</f>
        <v/>
      </c>
      <c r="G89" s="135">
        <f ca="1">IFERROR(__xludf.DUMMYFUNCTION("""COMPUTED_VALUE"""),197)</f>
        <v>197</v>
      </c>
      <c r="H89" s="135" t="str">
        <f ca="1">IFERROR(__xludf.DUMMYFUNCTION("""COMPUTED_VALUE"""),"Optum Testing")</f>
        <v>Optum Testing</v>
      </c>
      <c r="I89" s="135" t="str">
        <f ca="1">IFERROR(__xludf.DUMMYFUNCTION("""COMPUTED_VALUE"""),"KITS")</f>
        <v>KITS</v>
      </c>
      <c r="J89" s="135" t="str">
        <f ca="1">IFERROR(__xludf.DUMMYFUNCTION("""COMPUTED_VALUE"""),"")</f>
        <v/>
      </c>
      <c r="K89" s="135"/>
      <c r="L89" s="135"/>
      <c r="M89" s="135"/>
      <c r="N89" s="135"/>
      <c r="O89" s="135"/>
      <c r="P89" s="135"/>
      <c r="Q89" s="135"/>
      <c r="R89" s="135"/>
      <c r="S89" s="135"/>
      <c r="T89" s="135"/>
      <c r="U89" s="135"/>
      <c r="V89" s="135"/>
      <c r="W89" s="135"/>
      <c r="X89" s="135"/>
      <c r="Y89" s="135"/>
      <c r="Z89" s="135"/>
    </row>
    <row r="90" spans="1:26">
      <c r="A90" s="135" t="str">
        <f ca="1">IFERROR(__xludf.DUMMYFUNCTION("""COMPUTED_VALUE"""),"Grand Valley Health &amp; Rehab")</f>
        <v>Grand Valley Health &amp; Rehab</v>
      </c>
      <c r="B90" s="135" t="str">
        <f ca="1">IFERROR(__xludf.DUMMYFUNCTION("""COMPUTED_VALUE"""),"")</f>
        <v/>
      </c>
      <c r="C90" s="135" t="str">
        <f ca="1">IFERROR(__xludf.DUMMYFUNCTION("""COMPUTED_VALUE"""),"   Tel: (765)342-7114")</f>
        <v xml:space="preserve">   Tel: (765)342-7114</v>
      </c>
      <c r="D90" s="135" t="str">
        <f ca="1">IFERROR(__xludf.DUMMYFUNCTION("""COMPUTED_VALUE"""),"   621 Grand Valley Boulevard")</f>
        <v xml:space="preserve">   621 Grand Valley Boulevard</v>
      </c>
      <c r="E90" s="135" t="str">
        <f ca="1">IFERROR(__xludf.DUMMYFUNCTION("""COMPUTED_VALUE"""),"   Martinsville, In 46151")</f>
        <v xml:space="preserve">   Martinsville, In 46151</v>
      </c>
      <c r="F90" s="135" t="str">
        <f ca="1">IFERROR(__xludf.DUMMYFUNCTION("""COMPUTED_VALUE"""),"")</f>
        <v/>
      </c>
      <c r="G90" s="135">
        <f ca="1">IFERROR(__xludf.DUMMYFUNCTION("""COMPUTED_VALUE"""),85)</f>
        <v>85</v>
      </c>
      <c r="H90" s="135" t="str">
        <f ca="1">IFERROR(__xludf.DUMMYFUNCTION("""COMPUTED_VALUE"""),"Optum Testing")</f>
        <v>Optum Testing</v>
      </c>
      <c r="I90" s="135" t="str">
        <f ca="1">IFERROR(__xludf.DUMMYFUNCTION("""COMPUTED_VALUE"""),"KITS")</f>
        <v>KITS</v>
      </c>
      <c r="J90" s="135" t="str">
        <f ca="1">IFERROR(__xludf.DUMMYFUNCTION("""COMPUTED_VALUE"""),"")</f>
        <v/>
      </c>
      <c r="K90" s="135"/>
      <c r="L90" s="135"/>
      <c r="M90" s="135"/>
      <c r="N90" s="135"/>
      <c r="O90" s="135"/>
      <c r="P90" s="135"/>
      <c r="Q90" s="135"/>
      <c r="R90" s="135"/>
      <c r="S90" s="135"/>
      <c r="T90" s="135"/>
      <c r="U90" s="135"/>
      <c r="V90" s="135"/>
      <c r="W90" s="135"/>
      <c r="X90" s="135"/>
      <c r="Y90" s="135"/>
      <c r="Z90" s="135"/>
    </row>
    <row r="91" spans="1:26">
      <c r="A91" s="135" t="str">
        <f ca="1">IFERROR(__xludf.DUMMYFUNCTION("""COMPUTED_VALUE"""),"Green Valley Care Center")</f>
        <v>Green Valley Care Center</v>
      </c>
      <c r="B91" s="135" t="str">
        <f ca="1">IFERROR(__xludf.DUMMYFUNCTION("""COMPUTED_VALUE"""),"Life Care Center")</f>
        <v>Life Care Center</v>
      </c>
      <c r="C91" s="135" t="str">
        <f ca="1">IFERROR(__xludf.DUMMYFUNCTION("""COMPUTED_VALUE"""),"   Tel: (812)945-2341")</f>
        <v xml:space="preserve">   Tel: (812)945-2341</v>
      </c>
      <c r="D91" s="135" t="str">
        <f ca="1">IFERROR(__xludf.DUMMYFUNCTION("""COMPUTED_VALUE"""),"   3118 Green Valley Rd")</f>
        <v xml:space="preserve">   3118 Green Valley Rd</v>
      </c>
      <c r="E91" s="135" t="str">
        <f ca="1">IFERROR(__xludf.DUMMYFUNCTION("""COMPUTED_VALUE"""),"   New Albany, In 47150")</f>
        <v xml:space="preserve">   New Albany, In 47150</v>
      </c>
      <c r="F91" s="135" t="str">
        <f ca="1">IFERROR(__xludf.DUMMYFUNCTION("""COMPUTED_VALUE"""),"")</f>
        <v/>
      </c>
      <c r="G91" s="135">
        <f ca="1">IFERROR(__xludf.DUMMYFUNCTION("""COMPUTED_VALUE"""),134)</f>
        <v>134</v>
      </c>
      <c r="H91" s="135" t="str">
        <f ca="1">IFERROR(__xludf.DUMMYFUNCTION("""COMPUTED_VALUE"""),"Optum Testing")</f>
        <v>Optum Testing</v>
      </c>
      <c r="I91" s="135" t="str">
        <f ca="1">IFERROR(__xludf.DUMMYFUNCTION("""COMPUTED_VALUE"""),"KITS")</f>
        <v>KITS</v>
      </c>
      <c r="J91" s="135" t="str">
        <f ca="1">IFERROR(__xludf.DUMMYFUNCTION("""COMPUTED_VALUE"""),"")</f>
        <v/>
      </c>
      <c r="K91" s="135"/>
      <c r="L91" s="135"/>
      <c r="M91" s="135"/>
      <c r="N91" s="135"/>
      <c r="O91" s="135"/>
      <c r="P91" s="135"/>
      <c r="Q91" s="135"/>
      <c r="R91" s="135"/>
      <c r="S91" s="135"/>
      <c r="T91" s="135"/>
      <c r="U91" s="135"/>
      <c r="V91" s="135"/>
      <c r="W91" s="135"/>
      <c r="X91" s="135"/>
      <c r="Y91" s="135"/>
      <c r="Z91" s="135"/>
    </row>
    <row r="92" spans="1:26">
      <c r="A92" s="135" t="str">
        <f ca="1">IFERROR(__xludf.DUMMYFUNCTION("""COMPUTED_VALUE"""),"Green-Hill Manor")</f>
        <v>Green-Hill Manor</v>
      </c>
      <c r="B92" s="135" t="str">
        <f ca="1">IFERROR(__xludf.DUMMYFUNCTION("""COMPUTED_VALUE"""),"Chosen")</f>
        <v>Chosen</v>
      </c>
      <c r="C92" s="135" t="str">
        <f ca="1">IFERROR(__xludf.DUMMYFUNCTION("""COMPUTED_VALUE"""),"#N/A")</f>
        <v>#N/A</v>
      </c>
      <c r="D92" s="135" t="str">
        <f ca="1">IFERROR(__xludf.DUMMYFUNCTION("""COMPUTED_VALUE"""),"#N/A")</f>
        <v>#N/A</v>
      </c>
      <c r="E92" s="135" t="str">
        <f ca="1">IFERROR(__xludf.DUMMYFUNCTION("""COMPUTED_VALUE"""),"#N/A")</f>
        <v>#N/A</v>
      </c>
      <c r="F92" s="135" t="str">
        <f ca="1">IFERROR(__xludf.DUMMYFUNCTION("""COMPUTED_VALUE"""),"No")</f>
        <v>No</v>
      </c>
      <c r="G92" s="135">
        <f ca="1">IFERROR(__xludf.DUMMYFUNCTION("""COMPUTED_VALUE"""),50)</f>
        <v>50</v>
      </c>
      <c r="H92" s="135" t="str">
        <f ca="1">IFERROR(__xludf.DUMMYFUNCTION("""COMPUTED_VALUE"""),"Optum Testing")</f>
        <v>Optum Testing</v>
      </c>
      <c r="I92" s="135" t="str">
        <f ca="1">IFERROR(__xludf.DUMMYFUNCTION("""COMPUTED_VALUE"""),"KITS")</f>
        <v>KITS</v>
      </c>
      <c r="J92" s="135" t="str">
        <f ca="1">IFERROR(__xludf.DUMMYFUNCTION("""COMPUTED_VALUE"""),"")</f>
        <v/>
      </c>
      <c r="K92" s="135"/>
      <c r="L92" s="135"/>
      <c r="M92" s="135"/>
      <c r="N92" s="135"/>
      <c r="O92" s="135"/>
      <c r="P92" s="135"/>
      <c r="Q92" s="135"/>
      <c r="R92" s="135"/>
      <c r="S92" s="135"/>
      <c r="T92" s="135"/>
      <c r="U92" s="135"/>
      <c r="V92" s="135"/>
      <c r="W92" s="135"/>
      <c r="X92" s="135"/>
      <c r="Y92" s="135"/>
      <c r="Z92" s="135"/>
    </row>
    <row r="93" spans="1:26">
      <c r="A93" s="135" t="str">
        <f ca="1">IFERROR(__xludf.DUMMYFUNCTION("""COMPUTED_VALUE"""),"Greenwood Health And Living Community")</f>
        <v>Greenwood Health And Living Community</v>
      </c>
      <c r="B93" s="135" t="str">
        <f ca="1">IFERROR(__xludf.DUMMYFUNCTION("""COMPUTED_VALUE"""),"CarDon")</f>
        <v>CarDon</v>
      </c>
      <c r="C93" s="135" t="str">
        <f ca="1">IFERROR(__xludf.DUMMYFUNCTION("""COMPUTED_VALUE"""),"   Tel: (317)881-3535")</f>
        <v xml:space="preserve">   Tel: (317)881-3535</v>
      </c>
      <c r="D93" s="135" t="str">
        <f ca="1">IFERROR(__xludf.DUMMYFUNCTION("""COMPUTED_VALUE"""),"   937 Fry Rd")</f>
        <v xml:space="preserve">   937 Fry Rd</v>
      </c>
      <c r="E93" s="135" t="str">
        <f ca="1">IFERROR(__xludf.DUMMYFUNCTION("""COMPUTED_VALUE"""),"   Greenwood, In 46142")</f>
        <v xml:space="preserve">   Greenwood, In 46142</v>
      </c>
      <c r="F93" s="135" t="str">
        <f ca="1">IFERROR(__xludf.DUMMYFUNCTION("""COMPUTED_VALUE"""),"")</f>
        <v/>
      </c>
      <c r="G93" s="135">
        <f ca="1">IFERROR(__xludf.DUMMYFUNCTION("""COMPUTED_VALUE"""),110)</f>
        <v>110</v>
      </c>
      <c r="H93" s="135" t="str">
        <f ca="1">IFERROR(__xludf.DUMMYFUNCTION("""COMPUTED_VALUE"""),"Optum Testing")</f>
        <v>Optum Testing</v>
      </c>
      <c r="I93" s="135" t="str">
        <f ca="1">IFERROR(__xludf.DUMMYFUNCTION("""COMPUTED_VALUE"""),"KITS")</f>
        <v>KITS</v>
      </c>
      <c r="J93" s="135" t="str">
        <f ca="1">IFERROR(__xludf.DUMMYFUNCTION("""COMPUTED_VALUE"""),"")</f>
        <v/>
      </c>
      <c r="K93" s="135"/>
      <c r="L93" s="135"/>
      <c r="M93" s="135"/>
      <c r="N93" s="135"/>
      <c r="O93" s="135"/>
      <c r="P93" s="135"/>
      <c r="Q93" s="135"/>
      <c r="R93" s="135"/>
      <c r="S93" s="135"/>
      <c r="T93" s="135"/>
      <c r="U93" s="135"/>
      <c r="V93" s="135"/>
      <c r="W93" s="135"/>
      <c r="X93" s="135"/>
      <c r="Y93" s="135"/>
      <c r="Z93" s="135"/>
    </row>
    <row r="94" spans="1:26">
      <c r="A94" s="135" t="str">
        <f ca="1">IFERROR(__xludf.DUMMYFUNCTION("""COMPUTED_VALUE"""),"Greenwood Meadows")</f>
        <v>Greenwood Meadows</v>
      </c>
      <c r="B94" s="135" t="str">
        <f ca="1">IFERROR(__xludf.DUMMYFUNCTION("""COMPUTED_VALUE"""),"ASC")</f>
        <v>ASC</v>
      </c>
      <c r="C94" s="135" t="str">
        <f ca="1">IFERROR(__xludf.DUMMYFUNCTION("""COMPUTED_VALUE"""),"   Tel: (317)300-2200")</f>
        <v xml:space="preserve">   Tel: (317)300-2200</v>
      </c>
      <c r="D94" s="135" t="str">
        <f ca="1">IFERROR(__xludf.DUMMYFUNCTION("""COMPUTED_VALUE"""),"   1200 N State Road 135")</f>
        <v xml:space="preserve">   1200 N State Road 135</v>
      </c>
      <c r="E94" s="135" t="str">
        <f ca="1">IFERROR(__xludf.DUMMYFUNCTION("""COMPUTED_VALUE"""),"   Greenwood, In 46142")</f>
        <v xml:space="preserve">   Greenwood, In 46142</v>
      </c>
      <c r="F94" s="135" t="str">
        <f ca="1">IFERROR(__xludf.DUMMYFUNCTION("""COMPUTED_VALUE"""),"")</f>
        <v/>
      </c>
      <c r="G94" s="135">
        <f ca="1">IFERROR(__xludf.DUMMYFUNCTION("""COMPUTED_VALUE"""),125)</f>
        <v>125</v>
      </c>
      <c r="H94" s="135" t="str">
        <f ca="1">IFERROR(__xludf.DUMMYFUNCTION("""COMPUTED_VALUE"""),"Optum Testing")</f>
        <v>Optum Testing</v>
      </c>
      <c r="I94" s="135" t="str">
        <f ca="1">IFERROR(__xludf.DUMMYFUNCTION("""COMPUTED_VALUE"""),"KITS")</f>
        <v>KITS</v>
      </c>
      <c r="J94" s="135" t="str">
        <f ca="1">IFERROR(__xludf.DUMMYFUNCTION("""COMPUTED_VALUE"""),"")</f>
        <v/>
      </c>
      <c r="K94" s="135"/>
      <c r="L94" s="135"/>
      <c r="M94" s="135"/>
      <c r="N94" s="135"/>
      <c r="O94" s="135"/>
      <c r="P94" s="135"/>
      <c r="Q94" s="135"/>
      <c r="R94" s="135"/>
      <c r="S94" s="135"/>
      <c r="T94" s="135"/>
      <c r="U94" s="135"/>
      <c r="V94" s="135"/>
      <c r="W94" s="135"/>
      <c r="X94" s="135"/>
      <c r="Y94" s="135"/>
      <c r="Z94" s="135"/>
    </row>
    <row r="95" spans="1:26">
      <c r="A95" s="135" t="str">
        <f ca="1">IFERROR(__xludf.DUMMYFUNCTION("""COMPUTED_VALUE"""),"Hanover Nursing Center")</f>
        <v>Hanover Nursing Center</v>
      </c>
      <c r="B95" s="135" t="str">
        <f ca="1">IFERROR(__xludf.DUMMYFUNCTION("""COMPUTED_VALUE"""),"Chosen")</f>
        <v>Chosen</v>
      </c>
      <c r="C95" s="135" t="str">
        <f ca="1">IFERROR(__xludf.DUMMYFUNCTION("""COMPUTED_VALUE"""),"   Tel: (812)866-2625")</f>
        <v xml:space="preserve">   Tel: (812)866-2625</v>
      </c>
      <c r="D95" s="135" t="str">
        <f ca="1">IFERROR(__xludf.DUMMYFUNCTION("""COMPUTED_VALUE"""),"   410 W Lagrange Rd")</f>
        <v xml:space="preserve">   410 W Lagrange Rd</v>
      </c>
      <c r="E95" s="135" t="str">
        <f ca="1">IFERROR(__xludf.DUMMYFUNCTION("""COMPUTED_VALUE"""),"   Hanover, In 47243")</f>
        <v xml:space="preserve">   Hanover, In 47243</v>
      </c>
      <c r="F95" s="135" t="str">
        <f ca="1">IFERROR(__xludf.DUMMYFUNCTION("""COMPUTED_VALUE"""),"")</f>
        <v/>
      </c>
      <c r="G95" s="135">
        <f ca="1">IFERROR(__xludf.DUMMYFUNCTION("""COMPUTED_VALUE"""),100)</f>
        <v>100</v>
      </c>
      <c r="H95" s="135" t="str">
        <f ca="1">IFERROR(__xludf.DUMMYFUNCTION("""COMPUTED_VALUE"""),"Optum Testing")</f>
        <v>Optum Testing</v>
      </c>
      <c r="I95" s="135" t="str">
        <f ca="1">IFERROR(__xludf.DUMMYFUNCTION("""COMPUTED_VALUE"""),"KITS")</f>
        <v>KITS</v>
      </c>
      <c r="J95" s="135" t="str">
        <f ca="1">IFERROR(__xludf.DUMMYFUNCTION("""COMPUTED_VALUE"""),"")</f>
        <v/>
      </c>
      <c r="K95" s="135"/>
      <c r="L95" s="135"/>
      <c r="M95" s="135"/>
      <c r="N95" s="135"/>
      <c r="O95" s="135"/>
      <c r="P95" s="135"/>
      <c r="Q95" s="135"/>
      <c r="R95" s="135"/>
      <c r="S95" s="135"/>
      <c r="T95" s="135"/>
      <c r="U95" s="135"/>
      <c r="V95" s="135"/>
      <c r="W95" s="135"/>
      <c r="X95" s="135"/>
      <c r="Y95" s="135"/>
      <c r="Z95" s="135"/>
    </row>
    <row r="96" spans="1:26">
      <c r="A96" s="135" t="str">
        <f ca="1">IFERROR(__xludf.DUMMYFUNCTION("""COMPUTED_VALUE"""),"Harcourt Terrace Nursing And Rehabilitation")</f>
        <v>Harcourt Terrace Nursing And Rehabilitation</v>
      </c>
      <c r="B96" s="135" t="str">
        <f ca="1">IFERROR(__xludf.DUMMYFUNCTION("""COMPUTED_VALUE"""),"ASC")</f>
        <v>ASC</v>
      </c>
      <c r="C96" s="135" t="str">
        <f ca="1">IFERROR(__xludf.DUMMYFUNCTION("""COMPUTED_VALUE"""),"   Tel: (317)872-7261")</f>
        <v xml:space="preserve">   Tel: (317)872-7261</v>
      </c>
      <c r="D96" s="135" t="str">
        <f ca="1">IFERROR(__xludf.DUMMYFUNCTION("""COMPUTED_VALUE"""),"   8181 Harcourt Rd")</f>
        <v xml:space="preserve">   8181 Harcourt Rd</v>
      </c>
      <c r="E96" s="135" t="str">
        <f ca="1">IFERROR(__xludf.DUMMYFUNCTION("""COMPUTED_VALUE"""),"   Indianapolis, In 46260")</f>
        <v xml:space="preserve">   Indianapolis, In 46260</v>
      </c>
      <c r="F96" s="135" t="str">
        <f ca="1">IFERROR(__xludf.DUMMYFUNCTION("""COMPUTED_VALUE"""),"")</f>
        <v/>
      </c>
      <c r="G96" s="135">
        <f ca="1">IFERROR(__xludf.DUMMYFUNCTION("""COMPUTED_VALUE"""),107)</f>
        <v>107</v>
      </c>
      <c r="H96" s="135" t="str">
        <f ca="1">IFERROR(__xludf.DUMMYFUNCTION("""COMPUTED_VALUE"""),"Optum Testing")</f>
        <v>Optum Testing</v>
      </c>
      <c r="I96" s="135" t="str">
        <f ca="1">IFERROR(__xludf.DUMMYFUNCTION("""COMPUTED_VALUE"""),"KITS")</f>
        <v>KITS</v>
      </c>
      <c r="J96" s="135" t="str">
        <f ca="1">IFERROR(__xludf.DUMMYFUNCTION("""COMPUTED_VALUE"""),"")</f>
        <v/>
      </c>
      <c r="K96" s="135"/>
      <c r="L96" s="135"/>
      <c r="M96" s="135"/>
      <c r="N96" s="135"/>
      <c r="O96" s="135"/>
      <c r="P96" s="135"/>
      <c r="Q96" s="135"/>
      <c r="R96" s="135"/>
      <c r="S96" s="135"/>
      <c r="T96" s="135"/>
      <c r="U96" s="135"/>
      <c r="V96" s="135"/>
      <c r="W96" s="135"/>
      <c r="X96" s="135"/>
      <c r="Y96" s="135"/>
      <c r="Z96" s="135"/>
    </row>
    <row r="97" spans="1:26">
      <c r="A97" s="135" t="str">
        <f ca="1">IFERROR(__xludf.DUMMYFUNCTION("""COMPUTED_VALUE"""),"Harrison Healthcare Center")</f>
        <v>Harrison Healthcare Center</v>
      </c>
      <c r="B97" s="135" t="str">
        <f ca="1">IFERROR(__xludf.DUMMYFUNCTION("""COMPUTED_VALUE"""),"CommuniCare")</f>
        <v>CommuniCare</v>
      </c>
      <c r="C97" s="135" t="str">
        <f ca="1">IFERROR(__xludf.DUMMYFUNCTION("""COMPUTED_VALUE"""),"   Tel: (812)738-0550")</f>
        <v xml:space="preserve">   Tel: (812)738-0550</v>
      </c>
      <c r="D97" s="135" t="str">
        <f ca="1">IFERROR(__xludf.DUMMYFUNCTION("""COMPUTED_VALUE"""),"   150 Beechmont Dr")</f>
        <v xml:space="preserve">   150 Beechmont Dr</v>
      </c>
      <c r="E97" s="135" t="str">
        <f ca="1">IFERROR(__xludf.DUMMYFUNCTION("""COMPUTED_VALUE"""),"   Corydon, In 47112")</f>
        <v xml:space="preserve">   Corydon, In 47112</v>
      </c>
      <c r="F97" s="135" t="str">
        <f ca="1">IFERROR(__xludf.DUMMYFUNCTION("""COMPUTED_VALUE"""),"")</f>
        <v/>
      </c>
      <c r="G97" s="135">
        <f ca="1">IFERROR(__xludf.DUMMYFUNCTION("""COMPUTED_VALUE"""),95)</f>
        <v>95</v>
      </c>
      <c r="H97" s="135" t="str">
        <f ca="1">IFERROR(__xludf.DUMMYFUNCTION("""COMPUTED_VALUE"""),"Non-Specific Plan/Hypothetical/Local Sites")</f>
        <v>Non-Specific Plan/Hypothetical/Local Sites</v>
      </c>
      <c r="I97" s="135" t="str">
        <f ca="1">IFERROR(__xludf.DUMMYFUNCTION("""COMPUTED_VALUE"""),"KITS")</f>
        <v>KITS</v>
      </c>
      <c r="J97" s="135" t="str">
        <f ca="1">IFERROR(__xludf.DUMMYFUNCTION("""COMPUTED_VALUE"""),"")</f>
        <v/>
      </c>
      <c r="K97" s="135"/>
      <c r="L97" s="135"/>
      <c r="M97" s="135"/>
      <c r="N97" s="135"/>
      <c r="O97" s="135"/>
      <c r="P97" s="135"/>
      <c r="Q97" s="135"/>
      <c r="R97" s="135"/>
      <c r="S97" s="135"/>
      <c r="T97" s="135"/>
      <c r="U97" s="135"/>
      <c r="V97" s="135"/>
      <c r="W97" s="135"/>
      <c r="X97" s="135"/>
      <c r="Y97" s="135"/>
      <c r="Z97" s="135"/>
    </row>
    <row r="98" spans="1:26">
      <c r="A98" s="135" t="str">
        <f ca="1">IFERROR(__xludf.DUMMYFUNCTION("""COMPUTED_VALUE"""),"Harrison Terrace")</f>
        <v>Harrison Terrace</v>
      </c>
      <c r="B98" s="135" t="str">
        <f ca="1">IFERROR(__xludf.DUMMYFUNCTION("""COMPUTED_VALUE"""),"ASC")</f>
        <v>ASC</v>
      </c>
      <c r="C98" s="135" t="str">
        <f ca="1">IFERROR(__xludf.DUMMYFUNCTION("""COMPUTED_VALUE"""),"   Tel: (317)353-6270")</f>
        <v xml:space="preserve">   Tel: (317)353-6270</v>
      </c>
      <c r="D98" s="135" t="str">
        <f ca="1">IFERROR(__xludf.DUMMYFUNCTION("""COMPUTED_VALUE"""),"   1924 Wellesley Blvd")</f>
        <v xml:space="preserve">   1924 Wellesley Blvd</v>
      </c>
      <c r="E98" s="135" t="str">
        <f ca="1">IFERROR(__xludf.DUMMYFUNCTION("""COMPUTED_VALUE"""),"   Indianapolis, In 46219")</f>
        <v xml:space="preserve">   Indianapolis, In 46219</v>
      </c>
      <c r="F98" s="135" t="str">
        <f ca="1">IFERROR(__xludf.DUMMYFUNCTION("""COMPUTED_VALUE"""),"")</f>
        <v/>
      </c>
      <c r="G98" s="135">
        <f ca="1">IFERROR(__xludf.DUMMYFUNCTION("""COMPUTED_VALUE"""),125)</f>
        <v>125</v>
      </c>
      <c r="H98" s="135" t="str">
        <f ca="1">IFERROR(__xludf.DUMMYFUNCTION("""COMPUTED_VALUE"""),"Optum Testing")</f>
        <v>Optum Testing</v>
      </c>
      <c r="I98" s="135" t="str">
        <f ca="1">IFERROR(__xludf.DUMMYFUNCTION("""COMPUTED_VALUE"""),"KITS")</f>
        <v>KITS</v>
      </c>
      <c r="J98" s="135" t="str">
        <f ca="1">IFERROR(__xludf.DUMMYFUNCTION("""COMPUTED_VALUE"""),"")</f>
        <v/>
      </c>
      <c r="K98" s="135"/>
      <c r="L98" s="135"/>
      <c r="M98" s="135"/>
      <c r="N98" s="135"/>
      <c r="O98" s="135"/>
      <c r="P98" s="135"/>
      <c r="Q98" s="135"/>
      <c r="R98" s="135"/>
      <c r="S98" s="135"/>
      <c r="T98" s="135"/>
      <c r="U98" s="135"/>
      <c r="V98" s="135"/>
      <c r="W98" s="135"/>
      <c r="X98" s="135"/>
      <c r="Y98" s="135"/>
      <c r="Z98" s="135"/>
    </row>
    <row r="99" spans="1:26">
      <c r="A99" s="135" t="str">
        <f ca="1">IFERROR(__xludf.DUMMYFUNCTION("""COMPUTED_VALUE"""),"Heritage Center")</f>
        <v>Heritage Center</v>
      </c>
      <c r="B99" s="135" t="str">
        <f ca="1">IFERROR(__xludf.DUMMYFUNCTION("""COMPUTED_VALUE"""),"")</f>
        <v/>
      </c>
      <c r="C99" s="135" t="str">
        <f ca="1">IFERROR(__xludf.DUMMYFUNCTION("""COMPUTED_VALUE"""),"   Tel: (812)429-0700")</f>
        <v xml:space="preserve">   Tel: (812)429-0700</v>
      </c>
      <c r="D99" s="135" t="str">
        <f ca="1">IFERROR(__xludf.DUMMYFUNCTION("""COMPUTED_VALUE"""),"   1201 W Buena Vista Rd")</f>
        <v xml:space="preserve">   1201 W Buena Vista Rd</v>
      </c>
      <c r="E99" s="135" t="str">
        <f ca="1">IFERROR(__xludf.DUMMYFUNCTION("""COMPUTED_VALUE"""),"   Evansville, In 47710")</f>
        <v xml:space="preserve">   Evansville, In 47710</v>
      </c>
      <c r="F99" s="135" t="str">
        <f ca="1">IFERROR(__xludf.DUMMYFUNCTION("""COMPUTED_VALUE"""),"")</f>
        <v/>
      </c>
      <c r="G99" s="135">
        <f ca="1">IFERROR(__xludf.DUMMYFUNCTION("""COMPUTED_VALUE"""),200)</f>
        <v>200</v>
      </c>
      <c r="H99" s="135" t="str">
        <f ca="1">IFERROR(__xludf.DUMMYFUNCTION("""COMPUTED_VALUE"""),"Optum Testing")</f>
        <v>Optum Testing</v>
      </c>
      <c r="I99" s="135" t="str">
        <f ca="1">IFERROR(__xludf.DUMMYFUNCTION("""COMPUTED_VALUE"""),"KITS")</f>
        <v>KITS</v>
      </c>
      <c r="J99" s="135" t="str">
        <f ca="1">IFERROR(__xludf.DUMMYFUNCTION("""COMPUTED_VALUE"""),"")</f>
        <v/>
      </c>
      <c r="K99" s="135"/>
      <c r="L99" s="135"/>
      <c r="M99" s="135"/>
      <c r="N99" s="135"/>
      <c r="O99" s="135"/>
      <c r="P99" s="135"/>
      <c r="Q99" s="135"/>
      <c r="R99" s="135"/>
      <c r="S99" s="135"/>
      <c r="T99" s="135"/>
      <c r="U99" s="135"/>
      <c r="V99" s="135"/>
      <c r="W99" s="135"/>
      <c r="X99" s="135"/>
      <c r="Y99" s="135"/>
      <c r="Z99" s="135"/>
    </row>
    <row r="100" spans="1:26">
      <c r="A100" s="135" t="str">
        <f ca="1">IFERROR(__xludf.DUMMYFUNCTION("""COMPUTED_VALUE"""),"Heritage House Rehabilitation &amp; Health Care Center")</f>
        <v>Heritage House Rehabilitation &amp; Health Care Center</v>
      </c>
      <c r="B100" s="135" t="str">
        <f ca="1">IFERROR(__xludf.DUMMYFUNCTION("""COMPUTED_VALUE"""),"ASC")</f>
        <v>ASC</v>
      </c>
      <c r="C100" s="135" t="str">
        <f ca="1">IFERROR(__xludf.DUMMYFUNCTION("""COMPUTED_VALUE"""),"   Tel: (765)825-2148")</f>
        <v xml:space="preserve">   Tel: (765)825-2148</v>
      </c>
      <c r="D100" s="135" t="str">
        <f ca="1">IFERROR(__xludf.DUMMYFUNCTION("""COMPUTED_VALUE"""),"   281 S County Road 200 East")</f>
        <v xml:space="preserve">   281 S County Road 200 East</v>
      </c>
      <c r="E100" s="135" t="str">
        <f ca="1">IFERROR(__xludf.DUMMYFUNCTION("""COMPUTED_VALUE"""),"   Connersville, In 47331")</f>
        <v xml:space="preserve">   Connersville, In 47331</v>
      </c>
      <c r="F100" s="135" t="str">
        <f ca="1">IFERROR(__xludf.DUMMYFUNCTION("""COMPUTED_VALUE"""),"")</f>
        <v/>
      </c>
      <c r="G100" s="135">
        <f ca="1">IFERROR(__xludf.DUMMYFUNCTION("""COMPUTED_VALUE"""),131)</f>
        <v>131</v>
      </c>
      <c r="H100" s="135" t="str">
        <f ca="1">IFERROR(__xludf.DUMMYFUNCTION("""COMPUTED_VALUE"""),"Optum Testing")</f>
        <v>Optum Testing</v>
      </c>
      <c r="I100" s="135" t="str">
        <f ca="1">IFERROR(__xludf.DUMMYFUNCTION("""COMPUTED_VALUE"""),"KITS")</f>
        <v>KITS</v>
      </c>
      <c r="J100" s="135" t="str">
        <f ca="1">IFERROR(__xludf.DUMMYFUNCTION("""COMPUTED_VALUE"""),"")</f>
        <v/>
      </c>
      <c r="K100" s="135"/>
      <c r="L100" s="135"/>
      <c r="M100" s="135"/>
      <c r="N100" s="135"/>
      <c r="O100" s="135"/>
      <c r="P100" s="135"/>
      <c r="Q100" s="135"/>
      <c r="R100" s="135"/>
      <c r="S100" s="135"/>
      <c r="T100" s="135"/>
      <c r="U100" s="135"/>
      <c r="V100" s="135"/>
      <c r="W100" s="135"/>
      <c r="X100" s="135"/>
      <c r="Y100" s="135"/>
      <c r="Z100" s="135"/>
    </row>
    <row r="101" spans="1:26">
      <c r="A101" s="135" t="str">
        <f ca="1">IFERROR(__xludf.DUMMYFUNCTION("""COMPUTED_VALUE"""),"Heritage Of Fort Wayne, The")</f>
        <v>Heritage Of Fort Wayne, The</v>
      </c>
      <c r="B101" s="135" t="str">
        <f ca="1">IFERROR(__xludf.DUMMYFUNCTION("""COMPUTED_VALUE"""),"")</f>
        <v/>
      </c>
      <c r="C101" s="135" t="str">
        <f ca="1">IFERROR(__xludf.DUMMYFUNCTION("""COMPUTED_VALUE"""),"   Tel: (260)209-6279")</f>
        <v xml:space="preserve">   Tel: (260)209-6279</v>
      </c>
      <c r="D101" s="135" t="str">
        <f ca="1">IFERROR(__xludf.DUMMYFUNCTION("""COMPUTED_VALUE"""),"   5250 Heritage Parkway")</f>
        <v xml:space="preserve">   5250 Heritage Parkway</v>
      </c>
      <c r="E101" s="135" t="str">
        <f ca="1">IFERROR(__xludf.DUMMYFUNCTION("""COMPUTED_VALUE"""),"   Fort Wayne, In 46835")</f>
        <v xml:space="preserve">   Fort Wayne, In 46835</v>
      </c>
      <c r="F101" s="135" t="str">
        <f ca="1">IFERROR(__xludf.DUMMYFUNCTION("""COMPUTED_VALUE"""),"")</f>
        <v/>
      </c>
      <c r="G101" s="135">
        <f ca="1">IFERROR(__xludf.DUMMYFUNCTION("""COMPUTED_VALUE"""),135)</f>
        <v>135</v>
      </c>
      <c r="H101" s="135" t="str">
        <f ca="1">IFERROR(__xludf.DUMMYFUNCTION("""COMPUTED_VALUE"""),"Optum Testing")</f>
        <v>Optum Testing</v>
      </c>
      <c r="I101" s="135" t="str">
        <f ca="1">IFERROR(__xludf.DUMMYFUNCTION("""COMPUTED_VALUE"""),"KITS")</f>
        <v>KITS</v>
      </c>
      <c r="J101" s="135" t="str">
        <f ca="1">IFERROR(__xludf.DUMMYFUNCTION("""COMPUTED_VALUE"""),"")</f>
        <v/>
      </c>
      <c r="K101" s="135"/>
      <c r="L101" s="135"/>
      <c r="M101" s="135"/>
      <c r="N101" s="135"/>
      <c r="O101" s="135"/>
      <c r="P101" s="135"/>
      <c r="Q101" s="135"/>
      <c r="R101" s="135"/>
      <c r="S101" s="135"/>
      <c r="T101" s="135"/>
      <c r="U101" s="135"/>
      <c r="V101" s="135"/>
      <c r="W101" s="135"/>
      <c r="X101" s="135"/>
      <c r="Y101" s="135"/>
      <c r="Z101" s="135"/>
    </row>
    <row r="102" spans="1:26">
      <c r="A102" s="135" t="str">
        <f ca="1">IFERROR(__xludf.DUMMYFUNCTION("""COMPUTED_VALUE"""),"Heritage Of Huntington")</f>
        <v>Heritage Of Huntington</v>
      </c>
      <c r="B102" s="135" t="str">
        <f ca="1">IFERROR(__xludf.DUMMYFUNCTION("""COMPUTED_VALUE"""),"")</f>
        <v/>
      </c>
      <c r="C102" s="135" t="str">
        <f ca="1">IFERROR(__xludf.DUMMYFUNCTION("""COMPUTED_VALUE"""),"   Tel: (260)355-2750")</f>
        <v xml:space="preserve">   Tel: (260)355-2750</v>
      </c>
      <c r="D102" s="135" t="str">
        <f ca="1">IFERROR(__xludf.DUMMYFUNCTION("""COMPUTED_VALUE"""),"   1180 West 500 North")</f>
        <v xml:space="preserve">   1180 West 500 North</v>
      </c>
      <c r="E102" s="135" t="str">
        <f ca="1">IFERROR(__xludf.DUMMYFUNCTION("""COMPUTED_VALUE"""),"   Huntington, In 46750")</f>
        <v xml:space="preserve">   Huntington, In 46750</v>
      </c>
      <c r="F102" s="135" t="str">
        <f ca="1">IFERROR(__xludf.DUMMYFUNCTION("""COMPUTED_VALUE"""),"No")</f>
        <v>No</v>
      </c>
      <c r="G102" s="135">
        <f ca="1">IFERROR(__xludf.DUMMYFUNCTION("""COMPUTED_VALUE"""),180)</f>
        <v>180</v>
      </c>
      <c r="H102" s="135" t="str">
        <f ca="1">IFERROR(__xludf.DUMMYFUNCTION("""COMPUTED_VALUE"""),"Optum Testing")</f>
        <v>Optum Testing</v>
      </c>
      <c r="I102" s="135" t="str">
        <f ca="1">IFERROR(__xludf.DUMMYFUNCTION("""COMPUTED_VALUE"""),"KITS")</f>
        <v>KITS</v>
      </c>
      <c r="J102" s="135" t="str">
        <f ca="1">IFERROR(__xludf.DUMMYFUNCTION("""COMPUTED_VALUE"""),"")</f>
        <v/>
      </c>
      <c r="K102" s="135"/>
      <c r="L102" s="135"/>
      <c r="M102" s="135"/>
      <c r="N102" s="135"/>
      <c r="O102" s="135"/>
      <c r="P102" s="135"/>
      <c r="Q102" s="135"/>
      <c r="R102" s="135"/>
      <c r="S102" s="135"/>
      <c r="T102" s="135"/>
      <c r="U102" s="135"/>
      <c r="V102" s="135"/>
      <c r="W102" s="135"/>
      <c r="X102" s="135"/>
      <c r="Y102" s="135"/>
      <c r="Z102" s="135"/>
    </row>
    <row r="103" spans="1:26">
      <c r="A103" s="135" t="str">
        <f ca="1">IFERROR(__xludf.DUMMYFUNCTION("""COMPUTED_VALUE"""),"Heritage Park")</f>
        <v>Heritage Park</v>
      </c>
      <c r="B103" s="135" t="str">
        <f ca="1">IFERROR(__xludf.DUMMYFUNCTION("""COMPUTED_VALUE"""),"ASC")</f>
        <v>ASC</v>
      </c>
      <c r="C103" s="135" t="str">
        <f ca="1">IFERROR(__xludf.DUMMYFUNCTION("""COMPUTED_VALUE"""),"   Tel: (260)484-9557")</f>
        <v xml:space="preserve">   Tel: (260)484-9557</v>
      </c>
      <c r="D103" s="135" t="str">
        <f ca="1">IFERROR(__xludf.DUMMYFUNCTION("""COMPUTED_VALUE"""),"   2001 Hobson Rd")</f>
        <v xml:space="preserve">   2001 Hobson Rd</v>
      </c>
      <c r="E103" s="135" t="str">
        <f ca="1">IFERROR(__xludf.DUMMYFUNCTION("""COMPUTED_VALUE"""),"   Fort Wayne, In 46805")</f>
        <v xml:space="preserve">   Fort Wayne, In 46805</v>
      </c>
      <c r="F103" s="135" t="str">
        <f ca="1">IFERROR(__xludf.DUMMYFUNCTION("""COMPUTED_VALUE"""),"")</f>
        <v/>
      </c>
      <c r="G103" s="135">
        <f ca="1">IFERROR(__xludf.DUMMYFUNCTION("""COMPUTED_VALUE"""),240)</f>
        <v>240</v>
      </c>
      <c r="H103" s="135" t="str">
        <f ca="1">IFERROR(__xludf.DUMMYFUNCTION("""COMPUTED_VALUE"""),"Optum Testing")</f>
        <v>Optum Testing</v>
      </c>
      <c r="I103" s="135" t="str">
        <f ca="1">IFERROR(__xludf.DUMMYFUNCTION("""COMPUTED_VALUE"""),"KITS")</f>
        <v>KITS</v>
      </c>
      <c r="J103" s="135" t="str">
        <f ca="1">IFERROR(__xludf.DUMMYFUNCTION("""COMPUTED_VALUE"""),"")</f>
        <v/>
      </c>
      <c r="K103" s="135"/>
      <c r="L103" s="135"/>
      <c r="M103" s="135"/>
      <c r="N103" s="135"/>
      <c r="O103" s="135"/>
      <c r="P103" s="135"/>
      <c r="Q103" s="135"/>
      <c r="R103" s="135"/>
      <c r="S103" s="135"/>
      <c r="T103" s="135"/>
      <c r="U103" s="135"/>
      <c r="V103" s="135"/>
      <c r="W103" s="135"/>
      <c r="X103" s="135"/>
      <c r="Y103" s="135"/>
      <c r="Z103" s="135"/>
    </row>
    <row r="104" spans="1:26">
      <c r="A104" s="135" t="str">
        <f ca="1">IFERROR(__xludf.DUMMYFUNCTION("""COMPUTED_VALUE"""),"Heritage Pointe")</f>
        <v>Heritage Pointe</v>
      </c>
      <c r="B104" s="135" t="str">
        <f ca="1">IFERROR(__xludf.DUMMYFUNCTION("""COMPUTED_VALUE"""),"")</f>
        <v/>
      </c>
      <c r="C104" s="135" t="str">
        <f ca="1">IFERROR(__xludf.DUMMYFUNCTION("""COMPUTED_VALUE"""),"   Tel: (260)375-2201")</f>
        <v xml:space="preserve">   Tel: (260)375-2201</v>
      </c>
      <c r="D104" s="135" t="str">
        <f ca="1">IFERROR(__xludf.DUMMYFUNCTION("""COMPUTED_VALUE"""),"   801 N Huntington Ave")</f>
        <v xml:space="preserve">   801 N Huntington Ave</v>
      </c>
      <c r="E104" s="135" t="str">
        <f ca="1">IFERROR(__xludf.DUMMYFUNCTION("""COMPUTED_VALUE"""),"   Warren, In 46792")</f>
        <v xml:space="preserve">   Warren, In 46792</v>
      </c>
      <c r="F104" s="135" t="str">
        <f ca="1">IFERROR(__xludf.DUMMYFUNCTION("""COMPUTED_VALUE"""),"No")</f>
        <v>No</v>
      </c>
      <c r="G104" s="135">
        <f ca="1">IFERROR(__xludf.DUMMYFUNCTION("""COMPUTED_VALUE"""),345)</f>
        <v>345</v>
      </c>
      <c r="H104" s="135" t="str">
        <f ca="1">IFERROR(__xludf.DUMMYFUNCTION("""COMPUTED_VALUE"""),"Need Kits and pickup")</f>
        <v>Need Kits and pickup</v>
      </c>
      <c r="I104" s="135" t="str">
        <f ca="1">IFERROR(__xludf.DUMMYFUNCTION("""COMPUTED_VALUE"""),"KITS")</f>
        <v>KITS</v>
      </c>
      <c r="J104" s="135" t="str">
        <f ca="1">IFERROR(__xludf.DUMMYFUNCTION("""COMPUTED_VALUE"""),"")</f>
        <v/>
      </c>
      <c r="K104" s="135"/>
      <c r="L104" s="135"/>
      <c r="M104" s="135"/>
      <c r="N104" s="135"/>
      <c r="O104" s="135"/>
      <c r="P104" s="135"/>
      <c r="Q104" s="135"/>
      <c r="R104" s="135"/>
      <c r="S104" s="135"/>
      <c r="T104" s="135"/>
      <c r="U104" s="135"/>
      <c r="V104" s="135"/>
      <c r="W104" s="135"/>
      <c r="X104" s="135"/>
      <c r="Y104" s="135"/>
      <c r="Z104" s="135"/>
    </row>
    <row r="105" spans="1:26">
      <c r="A105" s="135" t="str">
        <f ca="1">IFERROR(__xludf.DUMMYFUNCTION("""COMPUTED_VALUE"""),"Hickory Creek At Columbus")</f>
        <v>Hickory Creek At Columbus</v>
      </c>
      <c r="B105" s="135" t="str">
        <f ca="1">IFERROR(__xludf.DUMMYFUNCTION("""COMPUTED_VALUE"""),"Hickory Creek")</f>
        <v>Hickory Creek</v>
      </c>
      <c r="C105" s="135" t="str">
        <f ca="1">IFERROR(__xludf.DUMMYFUNCTION("""COMPUTED_VALUE"""),"   Tel: (812)372-6136")</f>
        <v xml:space="preserve">   Tel: (812)372-6136</v>
      </c>
      <c r="D105" s="135" t="str">
        <f ca="1">IFERROR(__xludf.DUMMYFUNCTION("""COMPUTED_VALUE"""),"   5480 E 25Th Street")</f>
        <v xml:space="preserve">   5480 E 25Th Street</v>
      </c>
      <c r="E105" s="135" t="str">
        <f ca="1">IFERROR(__xludf.DUMMYFUNCTION("""COMPUTED_VALUE"""),"   Columbus, In 47203")</f>
        <v xml:space="preserve">   Columbus, In 47203</v>
      </c>
      <c r="F105" s="135" t="str">
        <f ca="1">IFERROR(__xludf.DUMMYFUNCTION("""COMPUTED_VALUE"""),"")</f>
        <v/>
      </c>
      <c r="G105" s="135">
        <f ca="1">IFERROR(__xludf.DUMMYFUNCTION("""COMPUTED_VALUE"""),40)</f>
        <v>40</v>
      </c>
      <c r="H105" s="135" t="str">
        <f ca="1">IFERROR(__xludf.DUMMYFUNCTION("""COMPUTED_VALUE"""),"Optum Testing")</f>
        <v>Optum Testing</v>
      </c>
      <c r="I105" s="135" t="str">
        <f ca="1">IFERROR(__xludf.DUMMYFUNCTION("""COMPUTED_VALUE"""),"KITS")</f>
        <v>KITS</v>
      </c>
      <c r="J105" s="135" t="str">
        <f ca="1">IFERROR(__xludf.DUMMYFUNCTION("""COMPUTED_VALUE"""),"")</f>
        <v/>
      </c>
      <c r="K105" s="135"/>
      <c r="L105" s="135"/>
      <c r="M105" s="135"/>
      <c r="N105" s="135"/>
      <c r="O105" s="135"/>
      <c r="P105" s="135"/>
      <c r="Q105" s="135"/>
      <c r="R105" s="135"/>
      <c r="S105" s="135"/>
      <c r="T105" s="135"/>
      <c r="U105" s="135"/>
      <c r="V105" s="135"/>
      <c r="W105" s="135"/>
      <c r="X105" s="135"/>
      <c r="Y105" s="135"/>
      <c r="Z105" s="135"/>
    </row>
    <row r="106" spans="1:26">
      <c r="A106" s="135" t="str">
        <f ca="1">IFERROR(__xludf.DUMMYFUNCTION("""COMPUTED_VALUE"""),"Hickory Creek At Connersville")</f>
        <v>Hickory Creek At Connersville</v>
      </c>
      <c r="B106" s="135" t="str">
        <f ca="1">IFERROR(__xludf.DUMMYFUNCTION("""COMPUTED_VALUE"""),"Hickory Creek")</f>
        <v>Hickory Creek</v>
      </c>
      <c r="C106" s="135" t="str">
        <f ca="1">IFERROR(__xludf.DUMMYFUNCTION("""COMPUTED_VALUE"""),"   Tel: (765)825-9771")</f>
        <v xml:space="preserve">   Tel: (765)825-9771</v>
      </c>
      <c r="D106" s="135" t="str">
        <f ca="1">IFERROR(__xludf.DUMMYFUNCTION("""COMPUTED_VALUE"""),"   2600 N Grand Ave")</f>
        <v xml:space="preserve">   2600 N Grand Ave</v>
      </c>
      <c r="E106" s="135" t="str">
        <f ca="1">IFERROR(__xludf.DUMMYFUNCTION("""COMPUTED_VALUE"""),"   Connersville, In 47331")</f>
        <v xml:space="preserve">   Connersville, In 47331</v>
      </c>
      <c r="F106" s="135" t="str">
        <f ca="1">IFERROR(__xludf.DUMMYFUNCTION("""COMPUTED_VALUE"""),"")</f>
        <v/>
      </c>
      <c r="G106" s="135">
        <f ca="1">IFERROR(__xludf.DUMMYFUNCTION("""COMPUTED_VALUE"""),38)</f>
        <v>38</v>
      </c>
      <c r="H106" s="135" t="str">
        <f ca="1">IFERROR(__xludf.DUMMYFUNCTION("""COMPUTED_VALUE"""),"Optum Testing")</f>
        <v>Optum Testing</v>
      </c>
      <c r="I106" s="135" t="str">
        <f ca="1">IFERROR(__xludf.DUMMYFUNCTION("""COMPUTED_VALUE"""),"KITS")</f>
        <v>KITS</v>
      </c>
      <c r="J106" s="135" t="str">
        <f ca="1">IFERROR(__xludf.DUMMYFUNCTION("""COMPUTED_VALUE"""),"")</f>
        <v/>
      </c>
      <c r="K106" s="135"/>
      <c r="L106" s="135"/>
      <c r="M106" s="135"/>
      <c r="N106" s="135"/>
      <c r="O106" s="135"/>
      <c r="P106" s="135"/>
      <c r="Q106" s="135"/>
      <c r="R106" s="135"/>
      <c r="S106" s="135"/>
      <c r="T106" s="135"/>
      <c r="U106" s="135"/>
      <c r="V106" s="135"/>
      <c r="W106" s="135"/>
      <c r="X106" s="135"/>
      <c r="Y106" s="135"/>
      <c r="Z106" s="135"/>
    </row>
    <row r="107" spans="1:26">
      <c r="A107" s="135" t="str">
        <f ca="1">IFERROR(__xludf.DUMMYFUNCTION("""COMPUTED_VALUE"""),"Hickory Creek At Crawfordsville")</f>
        <v>Hickory Creek At Crawfordsville</v>
      </c>
      <c r="B107" s="135" t="str">
        <f ca="1">IFERROR(__xludf.DUMMYFUNCTION("""COMPUTED_VALUE"""),"Hickory Creek")</f>
        <v>Hickory Creek</v>
      </c>
      <c r="C107" s="135" t="str">
        <f ca="1">IFERROR(__xludf.DUMMYFUNCTION("""COMPUTED_VALUE"""),"   Tel: (765)362-8590")</f>
        <v xml:space="preserve">   Tel: (765)362-8590</v>
      </c>
      <c r="D107" s="135" t="str">
        <f ca="1">IFERROR(__xludf.DUMMYFUNCTION("""COMPUTED_VALUE"""),"   817 N Whitlock Ave")</f>
        <v xml:space="preserve">   817 N Whitlock Ave</v>
      </c>
      <c r="E107" s="135" t="str">
        <f ca="1">IFERROR(__xludf.DUMMYFUNCTION("""COMPUTED_VALUE"""),"   Crawfordsville, In 47933")</f>
        <v xml:space="preserve">   Crawfordsville, In 47933</v>
      </c>
      <c r="F107" s="135" t="str">
        <f ca="1">IFERROR(__xludf.DUMMYFUNCTION("""COMPUTED_VALUE"""),"")</f>
        <v/>
      </c>
      <c r="G107" s="135">
        <f ca="1">IFERROR(__xludf.DUMMYFUNCTION("""COMPUTED_VALUE"""),37)</f>
        <v>37</v>
      </c>
      <c r="H107" s="135" t="str">
        <f ca="1">IFERROR(__xludf.DUMMYFUNCTION("""COMPUTED_VALUE"""),"Non-Specific Plan/Hypothetical/Local Sites")</f>
        <v>Non-Specific Plan/Hypothetical/Local Sites</v>
      </c>
      <c r="I107" s="135" t="str">
        <f ca="1">IFERROR(__xludf.DUMMYFUNCTION("""COMPUTED_VALUE"""),"KITS")</f>
        <v>KITS</v>
      </c>
      <c r="J107" s="135" t="str">
        <f ca="1">IFERROR(__xludf.DUMMYFUNCTION("""COMPUTED_VALUE"""),"")</f>
        <v/>
      </c>
      <c r="K107" s="135"/>
      <c r="L107" s="135"/>
      <c r="M107" s="135"/>
      <c r="N107" s="135"/>
      <c r="O107" s="135"/>
      <c r="P107" s="135"/>
      <c r="Q107" s="135"/>
      <c r="R107" s="135"/>
      <c r="S107" s="135"/>
      <c r="T107" s="135"/>
      <c r="U107" s="135"/>
      <c r="V107" s="135"/>
      <c r="W107" s="135"/>
      <c r="X107" s="135"/>
      <c r="Y107" s="135"/>
      <c r="Z107" s="135"/>
    </row>
    <row r="108" spans="1:26">
      <c r="A108" s="135" t="str">
        <f ca="1">IFERROR(__xludf.DUMMYFUNCTION("""COMPUTED_VALUE"""),"Hickory Creek At Franklin")</f>
        <v>Hickory Creek At Franklin</v>
      </c>
      <c r="B108" s="135" t="str">
        <f ca="1">IFERROR(__xludf.DUMMYFUNCTION("""COMPUTED_VALUE"""),"Hickory Creek")</f>
        <v>Hickory Creek</v>
      </c>
      <c r="C108" s="135" t="str">
        <f ca="1">IFERROR(__xludf.DUMMYFUNCTION("""COMPUTED_VALUE"""),"   Tel: (317)736-8214")</f>
        <v xml:space="preserve">   Tel: (317)736-8214</v>
      </c>
      <c r="D108" s="135" t="str">
        <f ca="1">IFERROR(__xludf.DUMMYFUNCTION("""COMPUTED_VALUE"""),"   580 Lemley Street")</f>
        <v xml:space="preserve">   580 Lemley Street</v>
      </c>
      <c r="E108" s="135" t="str">
        <f ca="1">IFERROR(__xludf.DUMMYFUNCTION("""COMPUTED_VALUE"""),"   Franklin, In 46131")</f>
        <v xml:space="preserve">   Franklin, In 46131</v>
      </c>
      <c r="F108" s="135" t="str">
        <f ca="1">IFERROR(__xludf.DUMMYFUNCTION("""COMPUTED_VALUE"""),"")</f>
        <v/>
      </c>
      <c r="G108" s="135">
        <f ca="1">IFERROR(__xludf.DUMMYFUNCTION("""COMPUTED_VALUE"""),25)</f>
        <v>25</v>
      </c>
      <c r="H108" s="135" t="str">
        <f ca="1">IFERROR(__xludf.DUMMYFUNCTION("""COMPUTED_VALUE"""),"Optum Testing")</f>
        <v>Optum Testing</v>
      </c>
      <c r="I108" s="135" t="str">
        <f ca="1">IFERROR(__xludf.DUMMYFUNCTION("""COMPUTED_VALUE"""),"KITS")</f>
        <v>KITS</v>
      </c>
      <c r="J108" s="135" t="str">
        <f ca="1">IFERROR(__xludf.DUMMYFUNCTION("""COMPUTED_VALUE"""),"")</f>
        <v/>
      </c>
      <c r="K108" s="135"/>
      <c r="L108" s="135"/>
      <c r="M108" s="135"/>
      <c r="N108" s="135"/>
      <c r="O108" s="135"/>
      <c r="P108" s="135"/>
      <c r="Q108" s="135"/>
      <c r="R108" s="135"/>
      <c r="S108" s="135"/>
      <c r="T108" s="135"/>
      <c r="U108" s="135"/>
      <c r="V108" s="135"/>
      <c r="W108" s="135"/>
      <c r="X108" s="135"/>
      <c r="Y108" s="135"/>
      <c r="Z108" s="135"/>
    </row>
    <row r="109" spans="1:26">
      <c r="A109" s="135" t="str">
        <f ca="1">IFERROR(__xludf.DUMMYFUNCTION("""COMPUTED_VALUE"""),"Hickory Creek At Greensburg")</f>
        <v>Hickory Creek At Greensburg</v>
      </c>
      <c r="B109" s="135" t="str">
        <f ca="1">IFERROR(__xludf.DUMMYFUNCTION("""COMPUTED_VALUE"""),"Hickory Creek")</f>
        <v>Hickory Creek</v>
      </c>
      <c r="C109" s="135" t="str">
        <f ca="1">IFERROR(__xludf.DUMMYFUNCTION("""COMPUTED_VALUE"""),"   Tel: (812)663-7503")</f>
        <v xml:space="preserve">   Tel: (812)663-7503</v>
      </c>
      <c r="D109" s="135" t="str">
        <f ca="1">IFERROR(__xludf.DUMMYFUNCTION("""COMPUTED_VALUE"""),"   1620 N Lincoln St")</f>
        <v xml:space="preserve">   1620 N Lincoln St</v>
      </c>
      <c r="E109" s="135" t="str">
        <f ca="1">IFERROR(__xludf.DUMMYFUNCTION("""COMPUTED_VALUE"""),"   Greensburg, In 47240")</f>
        <v xml:space="preserve">   Greensburg, In 47240</v>
      </c>
      <c r="F109" s="135" t="str">
        <f ca="1">IFERROR(__xludf.DUMMYFUNCTION("""COMPUTED_VALUE"""),"")</f>
        <v/>
      </c>
      <c r="G109" s="135">
        <f ca="1">IFERROR(__xludf.DUMMYFUNCTION("""COMPUTED_VALUE"""),35)</f>
        <v>35</v>
      </c>
      <c r="H109" s="135" t="str">
        <f ca="1">IFERROR(__xludf.DUMMYFUNCTION("""COMPUTED_VALUE"""),"Optum Testing")</f>
        <v>Optum Testing</v>
      </c>
      <c r="I109" s="135" t="str">
        <f ca="1">IFERROR(__xludf.DUMMYFUNCTION("""COMPUTED_VALUE"""),"KITS")</f>
        <v>KITS</v>
      </c>
      <c r="J109" s="135" t="str">
        <f ca="1">IFERROR(__xludf.DUMMYFUNCTION("""COMPUTED_VALUE"""),"")</f>
        <v/>
      </c>
      <c r="K109" s="135"/>
      <c r="L109" s="135"/>
      <c r="M109" s="135"/>
      <c r="N109" s="135"/>
      <c r="O109" s="135"/>
      <c r="P109" s="135"/>
      <c r="Q109" s="135"/>
      <c r="R109" s="135"/>
      <c r="S109" s="135"/>
      <c r="T109" s="135"/>
      <c r="U109" s="135"/>
      <c r="V109" s="135"/>
      <c r="W109" s="135"/>
      <c r="X109" s="135"/>
      <c r="Y109" s="135"/>
      <c r="Z109" s="135"/>
    </row>
    <row r="110" spans="1:26">
      <c r="A110" s="135" t="str">
        <f ca="1">IFERROR(__xludf.DUMMYFUNCTION("""COMPUTED_VALUE"""),"Hickory Creek At Huntington")</f>
        <v>Hickory Creek At Huntington</v>
      </c>
      <c r="B110" s="135" t="str">
        <f ca="1">IFERROR(__xludf.DUMMYFUNCTION("""COMPUTED_VALUE"""),"Hickory Creek")</f>
        <v>Hickory Creek</v>
      </c>
      <c r="C110" s="135" t="str">
        <f ca="1">IFERROR(__xludf.DUMMYFUNCTION("""COMPUTED_VALUE"""),"   Tel: (260)356-4867")</f>
        <v xml:space="preserve">   Tel: (260)356-4867</v>
      </c>
      <c r="D110" s="135" t="str">
        <f ca="1">IFERROR(__xludf.DUMMYFUNCTION("""COMPUTED_VALUE"""),"   1425 Grant St")</f>
        <v xml:space="preserve">   1425 Grant St</v>
      </c>
      <c r="E110" s="135" t="str">
        <f ca="1">IFERROR(__xludf.DUMMYFUNCTION("""COMPUTED_VALUE"""),"   Huntington, In 46750")</f>
        <v xml:space="preserve">   Huntington, In 46750</v>
      </c>
      <c r="F110" s="135" t="str">
        <f ca="1">IFERROR(__xludf.DUMMYFUNCTION("""COMPUTED_VALUE"""),"")</f>
        <v/>
      </c>
      <c r="G110" s="135">
        <f ca="1">IFERROR(__xludf.DUMMYFUNCTION("""COMPUTED_VALUE"""),31)</f>
        <v>31</v>
      </c>
      <c r="H110" s="135" t="str">
        <f ca="1">IFERROR(__xludf.DUMMYFUNCTION("""COMPUTED_VALUE"""),"Optum Testing")</f>
        <v>Optum Testing</v>
      </c>
      <c r="I110" s="135" t="str">
        <f ca="1">IFERROR(__xludf.DUMMYFUNCTION("""COMPUTED_VALUE"""),"KITS")</f>
        <v>KITS</v>
      </c>
      <c r="J110" s="135" t="str">
        <f ca="1">IFERROR(__xludf.DUMMYFUNCTION("""COMPUTED_VALUE"""),"")</f>
        <v/>
      </c>
      <c r="K110" s="135"/>
      <c r="L110" s="135"/>
      <c r="M110" s="135"/>
      <c r="N110" s="135"/>
      <c r="O110" s="135"/>
      <c r="P110" s="135"/>
      <c r="Q110" s="135"/>
      <c r="R110" s="135"/>
      <c r="S110" s="135"/>
      <c r="T110" s="135"/>
      <c r="U110" s="135"/>
      <c r="V110" s="135"/>
      <c r="W110" s="135"/>
      <c r="X110" s="135"/>
      <c r="Y110" s="135"/>
      <c r="Z110" s="135"/>
    </row>
    <row r="111" spans="1:26">
      <c r="A111" s="135" t="str">
        <f ca="1">IFERROR(__xludf.DUMMYFUNCTION("""COMPUTED_VALUE"""),"Hickory Creek At Kendallville")</f>
        <v>Hickory Creek At Kendallville</v>
      </c>
      <c r="B111" s="135" t="str">
        <f ca="1">IFERROR(__xludf.DUMMYFUNCTION("""COMPUTED_VALUE"""),"Hickory Creek")</f>
        <v>Hickory Creek</v>
      </c>
      <c r="C111" s="135" t="str">
        <f ca="1">IFERROR(__xludf.DUMMYFUNCTION("""COMPUTED_VALUE"""),"   Tel: (260)347-3612")</f>
        <v xml:space="preserve">   Tel: (260)347-3612</v>
      </c>
      <c r="D111" s="135" t="str">
        <f ca="1">IFERROR(__xludf.DUMMYFUNCTION("""COMPUTED_VALUE"""),"   1433 S Main Street")</f>
        <v xml:space="preserve">   1433 S Main Street</v>
      </c>
      <c r="E111" s="135" t="str">
        <f ca="1">IFERROR(__xludf.DUMMYFUNCTION("""COMPUTED_VALUE"""),"   Kendallville, In 46755")</f>
        <v xml:space="preserve">   Kendallville, In 46755</v>
      </c>
      <c r="F111" s="135" t="str">
        <f ca="1">IFERROR(__xludf.DUMMYFUNCTION("""COMPUTED_VALUE"""),"")</f>
        <v/>
      </c>
      <c r="G111" s="135">
        <f ca="1">IFERROR(__xludf.DUMMYFUNCTION("""COMPUTED_VALUE"""),35)</f>
        <v>35</v>
      </c>
      <c r="H111" s="135" t="str">
        <f ca="1">IFERROR(__xludf.DUMMYFUNCTION("""COMPUTED_VALUE"""),"Optum Testing")</f>
        <v>Optum Testing</v>
      </c>
      <c r="I111" s="135" t="str">
        <f ca="1">IFERROR(__xludf.DUMMYFUNCTION("""COMPUTED_VALUE"""),"KITS")</f>
        <v>KITS</v>
      </c>
      <c r="J111" s="135" t="str">
        <f ca="1">IFERROR(__xludf.DUMMYFUNCTION("""COMPUTED_VALUE"""),"")</f>
        <v/>
      </c>
      <c r="K111" s="135"/>
      <c r="L111" s="135"/>
      <c r="M111" s="135"/>
      <c r="N111" s="135"/>
      <c r="O111" s="135"/>
      <c r="P111" s="135"/>
      <c r="Q111" s="135"/>
      <c r="R111" s="135"/>
      <c r="S111" s="135"/>
      <c r="T111" s="135"/>
      <c r="U111" s="135"/>
      <c r="V111" s="135"/>
      <c r="W111" s="135"/>
      <c r="X111" s="135"/>
      <c r="Y111" s="135"/>
      <c r="Z111" s="135"/>
    </row>
    <row r="112" spans="1:26">
      <c r="A112" s="135" t="str">
        <f ca="1">IFERROR(__xludf.DUMMYFUNCTION("""COMPUTED_VALUE"""),"Hickory Creek At Madison")</f>
        <v>Hickory Creek At Madison</v>
      </c>
      <c r="B112" s="135" t="str">
        <f ca="1">IFERROR(__xludf.DUMMYFUNCTION("""COMPUTED_VALUE"""),"Hickory Creek")</f>
        <v>Hickory Creek</v>
      </c>
      <c r="C112" s="135" t="str">
        <f ca="1">IFERROR(__xludf.DUMMYFUNCTION("""COMPUTED_VALUE"""),"   Tel: (812)273-4696")</f>
        <v xml:space="preserve">   Tel: (812)273-4696</v>
      </c>
      <c r="D112" s="135" t="str">
        <f ca="1">IFERROR(__xludf.DUMMYFUNCTION("""COMPUTED_VALUE"""),"   1945 Cragmont St")</f>
        <v xml:space="preserve">   1945 Cragmont St</v>
      </c>
      <c r="E112" s="135" t="str">
        <f ca="1">IFERROR(__xludf.DUMMYFUNCTION("""COMPUTED_VALUE"""),"   Madison, In 47250")</f>
        <v xml:space="preserve">   Madison, In 47250</v>
      </c>
      <c r="F112" s="135" t="str">
        <f ca="1">IFERROR(__xludf.DUMMYFUNCTION("""COMPUTED_VALUE"""),"")</f>
        <v/>
      </c>
      <c r="G112" s="135">
        <f ca="1">IFERROR(__xludf.DUMMYFUNCTION("""COMPUTED_VALUE"""),40)</f>
        <v>40</v>
      </c>
      <c r="H112" s="135" t="str">
        <f ca="1">IFERROR(__xludf.DUMMYFUNCTION("""COMPUTED_VALUE"""),"Non-Specific Plan/Hypothetical/Local Sites")</f>
        <v>Non-Specific Plan/Hypothetical/Local Sites</v>
      </c>
      <c r="I112" s="135" t="str">
        <f ca="1">IFERROR(__xludf.DUMMYFUNCTION("""COMPUTED_VALUE"""),"KITS")</f>
        <v>KITS</v>
      </c>
      <c r="J112" s="135" t="str">
        <f ca="1">IFERROR(__xludf.DUMMYFUNCTION("""COMPUTED_VALUE"""),"")</f>
        <v/>
      </c>
      <c r="K112" s="135"/>
      <c r="L112" s="135"/>
      <c r="M112" s="135"/>
      <c r="N112" s="135"/>
      <c r="O112" s="135"/>
      <c r="P112" s="135"/>
      <c r="Q112" s="135"/>
      <c r="R112" s="135"/>
      <c r="S112" s="135"/>
      <c r="T112" s="135"/>
      <c r="U112" s="135"/>
      <c r="V112" s="135"/>
      <c r="W112" s="135"/>
      <c r="X112" s="135"/>
      <c r="Y112" s="135"/>
      <c r="Z112" s="135"/>
    </row>
    <row r="113" spans="1:26">
      <c r="A113" s="135" t="str">
        <f ca="1">IFERROR(__xludf.DUMMYFUNCTION("""COMPUTED_VALUE"""),"Hickory Creek At New Castle")</f>
        <v>Hickory Creek At New Castle</v>
      </c>
      <c r="B113" s="135" t="str">
        <f ca="1">IFERROR(__xludf.DUMMYFUNCTION("""COMPUTED_VALUE"""),"Hickory Creek")</f>
        <v>Hickory Creek</v>
      </c>
      <c r="C113" s="135" t="str">
        <f ca="1">IFERROR(__xludf.DUMMYFUNCTION("""COMPUTED_VALUE"""),"   Tel: (765)529-4695")</f>
        <v xml:space="preserve">   Tel: (765)529-4695</v>
      </c>
      <c r="D113" s="135" t="str">
        <f ca="1">IFERROR(__xludf.DUMMYFUNCTION("""COMPUTED_VALUE"""),"   901 N 16Th Street")</f>
        <v xml:space="preserve">   901 N 16Th Street</v>
      </c>
      <c r="E113" s="135" t="str">
        <f ca="1">IFERROR(__xludf.DUMMYFUNCTION("""COMPUTED_VALUE"""),"   New Castle, In 47362")</f>
        <v xml:space="preserve">   New Castle, In 47362</v>
      </c>
      <c r="F113" s="135" t="str">
        <f ca="1">IFERROR(__xludf.DUMMYFUNCTION("""COMPUTED_VALUE"""),"")</f>
        <v/>
      </c>
      <c r="G113" s="135">
        <f ca="1">IFERROR(__xludf.DUMMYFUNCTION("""COMPUTED_VALUE"""),34)</f>
        <v>34</v>
      </c>
      <c r="H113" s="135" t="str">
        <f ca="1">IFERROR(__xludf.DUMMYFUNCTION("""COMPUTED_VALUE"""),"Non-Specific Plan/Hypothetical/Local Sites")</f>
        <v>Non-Specific Plan/Hypothetical/Local Sites</v>
      </c>
      <c r="I113" s="135" t="str">
        <f ca="1">IFERROR(__xludf.DUMMYFUNCTION("""COMPUTED_VALUE"""),"KITS")</f>
        <v>KITS</v>
      </c>
      <c r="J113" s="135" t="str">
        <f ca="1">IFERROR(__xludf.DUMMYFUNCTION("""COMPUTED_VALUE"""),"")</f>
        <v/>
      </c>
      <c r="K113" s="135"/>
      <c r="L113" s="135"/>
      <c r="M113" s="135"/>
      <c r="N113" s="135"/>
      <c r="O113" s="135"/>
      <c r="P113" s="135"/>
      <c r="Q113" s="135"/>
      <c r="R113" s="135"/>
      <c r="S113" s="135"/>
      <c r="T113" s="135"/>
      <c r="U113" s="135"/>
      <c r="V113" s="135"/>
      <c r="W113" s="135"/>
      <c r="X113" s="135"/>
      <c r="Y113" s="135"/>
      <c r="Z113" s="135"/>
    </row>
    <row r="114" spans="1:26">
      <c r="A114" s="135" t="str">
        <f ca="1">IFERROR(__xludf.DUMMYFUNCTION("""COMPUTED_VALUE"""),"Hickory Creek At Peru")</f>
        <v>Hickory Creek At Peru</v>
      </c>
      <c r="B114" s="135" t="str">
        <f ca="1">IFERROR(__xludf.DUMMYFUNCTION("""COMPUTED_VALUE"""),"Hickory Creek")</f>
        <v>Hickory Creek</v>
      </c>
      <c r="C114" s="135" t="str">
        <f ca="1">IFERROR(__xludf.DUMMYFUNCTION("""COMPUTED_VALUE"""),"   Tel: (765)473-4900")</f>
        <v xml:space="preserve">   Tel: (765)473-4900</v>
      </c>
      <c r="D114" s="135" t="str">
        <f ca="1">IFERROR(__xludf.DUMMYFUNCTION("""COMPUTED_VALUE"""),"   390 W Boulevard")</f>
        <v xml:space="preserve">   390 W Boulevard</v>
      </c>
      <c r="E114" s="135" t="str">
        <f ca="1">IFERROR(__xludf.DUMMYFUNCTION("""COMPUTED_VALUE"""),"   Peru, In 46970")</f>
        <v xml:space="preserve">   Peru, In 46970</v>
      </c>
      <c r="F114" s="135" t="str">
        <f ca="1">IFERROR(__xludf.DUMMYFUNCTION("""COMPUTED_VALUE"""),"")</f>
        <v/>
      </c>
      <c r="G114" s="135">
        <f ca="1">IFERROR(__xludf.DUMMYFUNCTION("""COMPUTED_VALUE"""),42)</f>
        <v>42</v>
      </c>
      <c r="H114" s="135" t="str">
        <f ca="1">IFERROR(__xludf.DUMMYFUNCTION("""COMPUTED_VALUE"""),"Optum Testing")</f>
        <v>Optum Testing</v>
      </c>
      <c r="I114" s="135" t="str">
        <f ca="1">IFERROR(__xludf.DUMMYFUNCTION("""COMPUTED_VALUE"""),"KITS")</f>
        <v>KITS</v>
      </c>
      <c r="J114" s="135" t="str">
        <f ca="1">IFERROR(__xludf.DUMMYFUNCTION("""COMPUTED_VALUE"""),"")</f>
        <v/>
      </c>
      <c r="K114" s="135"/>
      <c r="L114" s="135"/>
      <c r="M114" s="135"/>
      <c r="N114" s="135"/>
      <c r="O114" s="135"/>
      <c r="P114" s="135"/>
      <c r="Q114" s="135"/>
      <c r="R114" s="135"/>
      <c r="S114" s="135"/>
      <c r="T114" s="135"/>
      <c r="U114" s="135"/>
      <c r="V114" s="135"/>
      <c r="W114" s="135"/>
      <c r="X114" s="135"/>
      <c r="Y114" s="135"/>
      <c r="Z114" s="135"/>
    </row>
    <row r="115" spans="1:26">
      <c r="A115" s="135" t="str">
        <f ca="1">IFERROR(__xludf.DUMMYFUNCTION("""COMPUTED_VALUE"""),"Hickory Creek At Rochester")</f>
        <v>Hickory Creek At Rochester</v>
      </c>
      <c r="B115" s="135" t="str">
        <f ca="1">IFERROR(__xludf.DUMMYFUNCTION("""COMPUTED_VALUE"""),"Hickory Creek")</f>
        <v>Hickory Creek</v>
      </c>
      <c r="C115" s="135" t="str">
        <f ca="1">IFERROR(__xludf.DUMMYFUNCTION("""COMPUTED_VALUE"""),"   Tel: (574)223-5100")</f>
        <v xml:space="preserve">   Tel: (574)223-5100</v>
      </c>
      <c r="D115" s="135" t="str">
        <f ca="1">IFERROR(__xludf.DUMMYFUNCTION("""COMPUTED_VALUE"""),"   340 E 18Th Street")</f>
        <v xml:space="preserve">   340 E 18Th Street</v>
      </c>
      <c r="E115" s="135" t="str">
        <f ca="1">IFERROR(__xludf.DUMMYFUNCTION("""COMPUTED_VALUE"""),"   Rochester, In 46975")</f>
        <v xml:space="preserve">   Rochester, In 46975</v>
      </c>
      <c r="F115" s="135" t="str">
        <f ca="1">IFERROR(__xludf.DUMMYFUNCTION("""COMPUTED_VALUE"""),"")</f>
        <v/>
      </c>
      <c r="G115" s="135">
        <f ca="1">IFERROR(__xludf.DUMMYFUNCTION("""COMPUTED_VALUE"""),35)</f>
        <v>35</v>
      </c>
      <c r="H115" s="135" t="str">
        <f ca="1">IFERROR(__xludf.DUMMYFUNCTION("""COMPUTED_VALUE"""),"Non-Specific Plan/Hypothetical/Local Sites")</f>
        <v>Non-Specific Plan/Hypothetical/Local Sites</v>
      </c>
      <c r="I115" s="135" t="str">
        <f ca="1">IFERROR(__xludf.DUMMYFUNCTION("""COMPUTED_VALUE"""),"KITS")</f>
        <v>KITS</v>
      </c>
      <c r="J115" s="135" t="str">
        <f ca="1">IFERROR(__xludf.DUMMYFUNCTION("""COMPUTED_VALUE"""),"")</f>
        <v/>
      </c>
      <c r="K115" s="135"/>
      <c r="L115" s="135"/>
      <c r="M115" s="135"/>
      <c r="N115" s="135"/>
      <c r="O115" s="135"/>
      <c r="P115" s="135"/>
      <c r="Q115" s="135"/>
      <c r="R115" s="135"/>
      <c r="S115" s="135"/>
      <c r="T115" s="135"/>
      <c r="U115" s="135"/>
      <c r="V115" s="135"/>
      <c r="W115" s="135"/>
      <c r="X115" s="135"/>
      <c r="Y115" s="135"/>
      <c r="Z115" s="135"/>
    </row>
    <row r="116" spans="1:26">
      <c r="A116" s="135" t="str">
        <f ca="1">IFERROR(__xludf.DUMMYFUNCTION("""COMPUTED_VALUE"""),"Hickory Creek At Scottsburg")</f>
        <v>Hickory Creek At Scottsburg</v>
      </c>
      <c r="B116" s="135" t="str">
        <f ca="1">IFERROR(__xludf.DUMMYFUNCTION("""COMPUTED_VALUE"""),"Hickory Creek")</f>
        <v>Hickory Creek</v>
      </c>
      <c r="C116" s="135" t="str">
        <f ca="1">IFERROR(__xludf.DUMMYFUNCTION("""COMPUTED_VALUE"""),"   Tel: (812)752-5065")</f>
        <v xml:space="preserve">   Tel: (812)752-5065</v>
      </c>
      <c r="D116" s="135" t="str">
        <f ca="1">IFERROR(__xludf.DUMMYFUNCTION("""COMPUTED_VALUE"""),"   1100 N Gardner Ave")</f>
        <v xml:space="preserve">   1100 N Gardner Ave</v>
      </c>
      <c r="E116" s="135" t="str">
        <f ca="1">IFERROR(__xludf.DUMMYFUNCTION("""COMPUTED_VALUE"""),"   Scottsburg, In 47170")</f>
        <v xml:space="preserve">   Scottsburg, In 47170</v>
      </c>
      <c r="F116" s="135" t="str">
        <f ca="1">IFERROR(__xludf.DUMMYFUNCTION("""COMPUTED_VALUE"""),"")</f>
        <v/>
      </c>
      <c r="G116" s="135">
        <f ca="1">IFERROR(__xludf.DUMMYFUNCTION("""COMPUTED_VALUE"""),46)</f>
        <v>46</v>
      </c>
      <c r="H116" s="135" t="str">
        <f ca="1">IFERROR(__xludf.DUMMYFUNCTION("""COMPUTED_VALUE"""),"Non-Specific Plan/Hypothetical/Local Sites")</f>
        <v>Non-Specific Plan/Hypothetical/Local Sites</v>
      </c>
      <c r="I116" s="135" t="str">
        <f ca="1">IFERROR(__xludf.DUMMYFUNCTION("""COMPUTED_VALUE"""),"KITS")</f>
        <v>KITS</v>
      </c>
      <c r="J116" s="135" t="str">
        <f ca="1">IFERROR(__xludf.DUMMYFUNCTION("""COMPUTED_VALUE"""),"")</f>
        <v/>
      </c>
      <c r="K116" s="135"/>
      <c r="L116" s="135"/>
      <c r="M116" s="135"/>
      <c r="N116" s="135"/>
      <c r="O116" s="135"/>
      <c r="P116" s="135"/>
      <c r="Q116" s="135"/>
      <c r="R116" s="135"/>
      <c r="S116" s="135"/>
      <c r="T116" s="135"/>
      <c r="U116" s="135"/>
      <c r="V116" s="135"/>
      <c r="W116" s="135"/>
      <c r="X116" s="135"/>
      <c r="Y116" s="135"/>
      <c r="Z116" s="135"/>
    </row>
    <row r="117" spans="1:26">
      <c r="A117" s="135" t="str">
        <f ca="1">IFERROR(__xludf.DUMMYFUNCTION("""COMPUTED_VALUE"""),"Hickory Creek At Sunset")</f>
        <v>Hickory Creek At Sunset</v>
      </c>
      <c r="B117" s="135" t="str">
        <f ca="1">IFERROR(__xludf.DUMMYFUNCTION("""COMPUTED_VALUE"""),"Hickory Creek")</f>
        <v>Hickory Creek</v>
      </c>
      <c r="C117" s="135" t="str">
        <f ca="1">IFERROR(__xludf.DUMMYFUNCTION("""COMPUTED_VALUE"""),"   Tel: (765)653-3143")</f>
        <v xml:space="preserve">   Tel: (765)653-3143</v>
      </c>
      <c r="D117" s="135" t="str">
        <f ca="1">IFERROR(__xludf.DUMMYFUNCTION("""COMPUTED_VALUE"""),"   1109 S Indiana Street")</f>
        <v xml:space="preserve">   1109 S Indiana Street</v>
      </c>
      <c r="E117" s="135" t="str">
        <f ca="1">IFERROR(__xludf.DUMMYFUNCTION("""COMPUTED_VALUE"""),"   Greencastle, In 46135")</f>
        <v xml:space="preserve">   Greencastle, In 46135</v>
      </c>
      <c r="F117" s="135" t="str">
        <f ca="1">IFERROR(__xludf.DUMMYFUNCTION("""COMPUTED_VALUE"""),"")</f>
        <v/>
      </c>
      <c r="G117" s="135">
        <f ca="1">IFERROR(__xludf.DUMMYFUNCTION("""COMPUTED_VALUE"""),65)</f>
        <v>65</v>
      </c>
      <c r="H117" s="135" t="str">
        <f ca="1">IFERROR(__xludf.DUMMYFUNCTION("""COMPUTED_VALUE"""),"Optum Testing")</f>
        <v>Optum Testing</v>
      </c>
      <c r="I117" s="135" t="str">
        <f ca="1">IFERROR(__xludf.DUMMYFUNCTION("""COMPUTED_VALUE"""),"KITS")</f>
        <v>KITS</v>
      </c>
      <c r="J117" s="135" t="str">
        <f ca="1">IFERROR(__xludf.DUMMYFUNCTION("""COMPUTED_VALUE"""),"")</f>
        <v/>
      </c>
      <c r="K117" s="135"/>
      <c r="L117" s="135"/>
      <c r="M117" s="135"/>
      <c r="N117" s="135"/>
      <c r="O117" s="135"/>
      <c r="P117" s="135"/>
      <c r="Q117" s="135"/>
      <c r="R117" s="135"/>
      <c r="S117" s="135"/>
      <c r="T117" s="135"/>
      <c r="U117" s="135"/>
      <c r="V117" s="135"/>
      <c r="W117" s="135"/>
      <c r="X117" s="135"/>
      <c r="Y117" s="135"/>
      <c r="Z117" s="135"/>
    </row>
    <row r="118" spans="1:26">
      <c r="A118" s="135" t="str">
        <f ca="1">IFERROR(__xludf.DUMMYFUNCTION("""COMPUTED_VALUE"""),"Hickory Creek At Winamac")</f>
        <v>Hickory Creek At Winamac</v>
      </c>
      <c r="B118" s="135" t="str">
        <f ca="1">IFERROR(__xludf.DUMMYFUNCTION("""COMPUTED_VALUE"""),"Hickory Creek")</f>
        <v>Hickory Creek</v>
      </c>
      <c r="C118" s="135" t="str">
        <f ca="1">IFERROR(__xludf.DUMMYFUNCTION("""COMPUTED_VALUE"""),"   Tel: (574)946-6143")</f>
        <v xml:space="preserve">   Tel: (574)946-6143</v>
      </c>
      <c r="D118" s="135" t="str">
        <f ca="1">IFERROR(__xludf.DUMMYFUNCTION("""COMPUTED_VALUE"""),"   515 E 13Th St")</f>
        <v xml:space="preserve">   515 E 13Th St</v>
      </c>
      <c r="E118" s="135" t="str">
        <f ca="1">IFERROR(__xludf.DUMMYFUNCTION("""COMPUTED_VALUE"""),"   Winamac, In 46996")</f>
        <v xml:space="preserve">   Winamac, In 46996</v>
      </c>
      <c r="F118" s="135" t="str">
        <f ca="1">IFERROR(__xludf.DUMMYFUNCTION("""COMPUTED_VALUE"""),"No")</f>
        <v>No</v>
      </c>
      <c r="G118" s="135">
        <f ca="1">IFERROR(__xludf.DUMMYFUNCTION("""COMPUTED_VALUE"""),29)</f>
        <v>29</v>
      </c>
      <c r="H118" s="135" t="str">
        <f ca="1">IFERROR(__xludf.DUMMYFUNCTION("""COMPUTED_VALUE"""),"Optum Testing")</f>
        <v>Optum Testing</v>
      </c>
      <c r="I118" s="135" t="str">
        <f ca="1">IFERROR(__xludf.DUMMYFUNCTION("""COMPUTED_VALUE"""),"KITS")</f>
        <v>KITS</v>
      </c>
      <c r="J118" s="135" t="str">
        <f ca="1">IFERROR(__xludf.DUMMYFUNCTION("""COMPUTED_VALUE"""),"")</f>
        <v/>
      </c>
      <c r="K118" s="135"/>
      <c r="L118" s="135"/>
      <c r="M118" s="135"/>
      <c r="N118" s="135"/>
      <c r="O118" s="135"/>
      <c r="P118" s="135"/>
      <c r="Q118" s="135"/>
      <c r="R118" s="135"/>
      <c r="S118" s="135"/>
      <c r="T118" s="135"/>
      <c r="U118" s="135"/>
      <c r="V118" s="135"/>
      <c r="W118" s="135"/>
      <c r="X118" s="135"/>
      <c r="Y118" s="135"/>
      <c r="Z118" s="135"/>
    </row>
    <row r="119" spans="1:26">
      <c r="A119" s="135" t="str">
        <f ca="1">IFERROR(__xludf.DUMMYFUNCTION("""COMPUTED_VALUE"""),"Hildegard Health Center Inc")</f>
        <v>Hildegard Health Center Inc</v>
      </c>
      <c r="B119" s="135" t="str">
        <f ca="1">IFERROR(__xludf.DUMMYFUNCTION("""COMPUTED_VALUE"""),"Hickory Creek")</f>
        <v>Hickory Creek</v>
      </c>
      <c r="C119" s="135" t="str">
        <f ca="1">IFERROR(__xludf.DUMMYFUNCTION("""COMPUTED_VALUE"""),"   Tel: (812)367-2022")</f>
        <v xml:space="preserve">   Tel: (812)367-2022</v>
      </c>
      <c r="D119" s="135" t="str">
        <f ca="1">IFERROR(__xludf.DUMMYFUNCTION("""COMPUTED_VALUE"""),"   802 E 10Th St")</f>
        <v xml:space="preserve">   802 E 10Th St</v>
      </c>
      <c r="E119" s="135" t="str">
        <f ca="1">IFERROR(__xludf.DUMMYFUNCTION("""COMPUTED_VALUE"""),"   Ferdinand, In 47532")</f>
        <v xml:space="preserve">   Ferdinand, In 47532</v>
      </c>
      <c r="F119" s="135" t="str">
        <f ca="1">IFERROR(__xludf.DUMMYFUNCTION("""COMPUTED_VALUE"""),"No")</f>
        <v>No</v>
      </c>
      <c r="G119" s="135">
        <f ca="1">IFERROR(__xludf.DUMMYFUNCTION("""COMPUTED_VALUE"""),38)</f>
        <v>38</v>
      </c>
      <c r="H119" s="135" t="str">
        <f ca="1">IFERROR(__xludf.DUMMYFUNCTION("""COMPUTED_VALUE"""),"Local Hospital")</f>
        <v>Local Hospital</v>
      </c>
      <c r="I119" s="135" t="str">
        <f ca="1">IFERROR(__xludf.DUMMYFUNCTION("""COMPUTED_VALUE"""),"KITS")</f>
        <v>KITS</v>
      </c>
      <c r="J119" s="135" t="str">
        <f ca="1">IFERROR(__xludf.DUMMYFUNCTION("""COMPUTED_VALUE"""),"")</f>
        <v/>
      </c>
      <c r="K119" s="135"/>
      <c r="L119" s="135"/>
      <c r="M119" s="135"/>
      <c r="N119" s="135"/>
      <c r="O119" s="135"/>
      <c r="P119" s="135"/>
      <c r="Q119" s="135"/>
      <c r="R119" s="135"/>
      <c r="S119" s="135"/>
      <c r="T119" s="135"/>
      <c r="U119" s="135"/>
      <c r="V119" s="135"/>
      <c r="W119" s="135"/>
      <c r="X119" s="135"/>
      <c r="Y119" s="135"/>
      <c r="Z119" s="135"/>
    </row>
    <row r="120" spans="1:26">
      <c r="A120" s="135" t="str">
        <f ca="1">IFERROR(__xludf.DUMMYFUNCTION("""COMPUTED_VALUE"""),"Homeview Center Of Franklin")</f>
        <v>Homeview Center Of Franklin</v>
      </c>
      <c r="B120" s="135" t="str">
        <f ca="1">IFERROR(__xludf.DUMMYFUNCTION("""COMPUTED_VALUE"""),"TLC")</f>
        <v>TLC</v>
      </c>
      <c r="C120" s="135" t="str">
        <f ca="1">IFERROR(__xludf.DUMMYFUNCTION("""COMPUTED_VALUE"""),"   Tel: (317)736-6414")</f>
        <v xml:space="preserve">   Tel: (317)736-6414</v>
      </c>
      <c r="D120" s="135" t="str">
        <f ca="1">IFERROR(__xludf.DUMMYFUNCTION("""COMPUTED_VALUE"""),"   651 South State Street")</f>
        <v xml:space="preserve">   651 South State Street</v>
      </c>
      <c r="E120" s="135" t="str">
        <f ca="1">IFERROR(__xludf.DUMMYFUNCTION("""COMPUTED_VALUE"""),"   Franklin, In 46131")</f>
        <v xml:space="preserve">   Franklin, In 46131</v>
      </c>
      <c r="F120" s="135" t="str">
        <f ca="1">IFERROR(__xludf.DUMMYFUNCTION("""COMPUTED_VALUE"""),"")</f>
        <v/>
      </c>
      <c r="G120" s="135">
        <f ca="1">IFERROR(__xludf.DUMMYFUNCTION("""COMPUTED_VALUE"""),145)</f>
        <v>145</v>
      </c>
      <c r="H120" s="135" t="str">
        <f ca="1">IFERROR(__xludf.DUMMYFUNCTION("""COMPUTED_VALUE"""),"Local Hospital")</f>
        <v>Local Hospital</v>
      </c>
      <c r="I120" s="135" t="str">
        <f ca="1">IFERROR(__xludf.DUMMYFUNCTION("""COMPUTED_VALUE"""),"KITS")</f>
        <v>KITS</v>
      </c>
      <c r="J120" s="135" t="str">
        <f ca="1">IFERROR(__xludf.DUMMYFUNCTION("""COMPUTED_VALUE"""),"")</f>
        <v/>
      </c>
      <c r="K120" s="135"/>
      <c r="L120" s="135"/>
      <c r="M120" s="135"/>
      <c r="N120" s="135"/>
      <c r="O120" s="135"/>
      <c r="P120" s="135"/>
      <c r="Q120" s="135"/>
      <c r="R120" s="135"/>
      <c r="S120" s="135"/>
      <c r="T120" s="135"/>
      <c r="U120" s="135"/>
      <c r="V120" s="135"/>
      <c r="W120" s="135"/>
      <c r="X120" s="135"/>
      <c r="Y120" s="135"/>
      <c r="Z120" s="135"/>
    </row>
    <row r="121" spans="1:26">
      <c r="A121" s="135" t="str">
        <f ca="1">IFERROR(__xludf.DUMMYFUNCTION("""COMPUTED_VALUE"""),"Hoosier Christian Village")</f>
        <v>Hoosier Christian Village</v>
      </c>
      <c r="B121" s="135" t="str">
        <f ca="1">IFERROR(__xludf.DUMMYFUNCTION("""COMPUTED_VALUE"""),"")</f>
        <v/>
      </c>
      <c r="C121" s="135" t="str">
        <f ca="1">IFERROR(__xludf.DUMMYFUNCTION("""COMPUTED_VALUE"""),"   Tel: (812)358-2504")</f>
        <v xml:space="preserve">   Tel: (812)358-2504</v>
      </c>
      <c r="D121" s="135" t="str">
        <f ca="1">IFERROR(__xludf.DUMMYFUNCTION("""COMPUTED_VALUE"""),"   621 S Sugar St")</f>
        <v xml:space="preserve">   621 S Sugar St</v>
      </c>
      <c r="E121" s="135" t="str">
        <f ca="1">IFERROR(__xludf.DUMMYFUNCTION("""COMPUTED_VALUE"""),"   Brownstown, In 47220")</f>
        <v xml:space="preserve">   Brownstown, In 47220</v>
      </c>
      <c r="F121" s="135" t="str">
        <f ca="1">IFERROR(__xludf.DUMMYFUNCTION("""COMPUTED_VALUE"""),"No")</f>
        <v>No</v>
      </c>
      <c r="G121" s="135">
        <f ca="1">IFERROR(__xludf.DUMMYFUNCTION("""COMPUTED_VALUE"""),123)</f>
        <v>123</v>
      </c>
      <c r="H121" s="135" t="str">
        <f ca="1">IFERROR(__xludf.DUMMYFUNCTION("""COMPUTED_VALUE"""),"Local Hospital")</f>
        <v>Local Hospital</v>
      </c>
      <c r="I121" s="135" t="str">
        <f ca="1">IFERROR(__xludf.DUMMYFUNCTION("""COMPUTED_VALUE"""),"KITS")</f>
        <v>KITS</v>
      </c>
      <c r="J121" s="135" t="str">
        <f ca="1">IFERROR(__xludf.DUMMYFUNCTION("""COMPUTED_VALUE"""),"")</f>
        <v/>
      </c>
      <c r="K121" s="135"/>
      <c r="L121" s="135"/>
      <c r="M121" s="135"/>
      <c r="N121" s="135"/>
      <c r="O121" s="135"/>
      <c r="P121" s="135"/>
      <c r="Q121" s="135"/>
      <c r="R121" s="135"/>
      <c r="S121" s="135"/>
      <c r="T121" s="135"/>
      <c r="U121" s="135"/>
      <c r="V121" s="135"/>
      <c r="W121" s="135"/>
      <c r="X121" s="135"/>
      <c r="Y121" s="135"/>
      <c r="Z121" s="135"/>
    </row>
    <row r="122" spans="1:26">
      <c r="A122" s="135" t="str">
        <f ca="1">IFERROR(__xludf.DUMMYFUNCTION("""COMPUTED_VALUE"""),"Hoosier Village")</f>
        <v>Hoosier Village</v>
      </c>
      <c r="B122" s="135" t="str">
        <f ca="1">IFERROR(__xludf.DUMMYFUNCTION("""COMPUTED_VALUE"""),"BHI")</f>
        <v>BHI</v>
      </c>
      <c r="C122" s="135" t="str">
        <f ca="1">IFERROR(__xludf.DUMMYFUNCTION("""COMPUTED_VALUE"""),"   Tel: (317)873-3349")</f>
        <v xml:space="preserve">   Tel: (317)873-3349</v>
      </c>
      <c r="D122" s="135" t="str">
        <f ca="1">IFERROR(__xludf.DUMMYFUNCTION("""COMPUTED_VALUE"""),"   9875 Cherryleaf Dr")</f>
        <v xml:space="preserve">   9875 Cherryleaf Dr</v>
      </c>
      <c r="E122" s="135" t="str">
        <f ca="1">IFERROR(__xludf.DUMMYFUNCTION("""COMPUTED_VALUE"""),"   Indianapolis, In 46268")</f>
        <v xml:space="preserve">   Indianapolis, In 46268</v>
      </c>
      <c r="F122" s="135" t="str">
        <f ca="1">IFERROR(__xludf.DUMMYFUNCTION("""COMPUTED_VALUE"""),"")</f>
        <v/>
      </c>
      <c r="G122" s="135">
        <f ca="1">IFERROR(__xludf.DUMMYFUNCTION("""COMPUTED_VALUE"""),207)</f>
        <v>207</v>
      </c>
      <c r="H122" s="135" t="str">
        <f ca="1">IFERROR(__xludf.DUMMYFUNCTION("""COMPUTED_VALUE"""),"Non-Specific Plan/Hypothetical/Local Sites")</f>
        <v>Non-Specific Plan/Hypothetical/Local Sites</v>
      </c>
      <c r="I122" s="135" t="str">
        <f ca="1">IFERROR(__xludf.DUMMYFUNCTION("""COMPUTED_VALUE"""),"KITS")</f>
        <v>KITS</v>
      </c>
      <c r="J122" s="135" t="str">
        <f ca="1">IFERROR(__xludf.DUMMYFUNCTION("""COMPUTED_VALUE"""),"")</f>
        <v/>
      </c>
      <c r="K122" s="135"/>
      <c r="L122" s="135"/>
      <c r="M122" s="135"/>
      <c r="N122" s="135"/>
      <c r="O122" s="135"/>
      <c r="P122" s="135"/>
      <c r="Q122" s="135"/>
      <c r="R122" s="135"/>
      <c r="S122" s="135"/>
      <c r="T122" s="135"/>
      <c r="U122" s="135"/>
      <c r="V122" s="135"/>
      <c r="W122" s="135"/>
      <c r="X122" s="135"/>
      <c r="Y122" s="135"/>
      <c r="Z122" s="135"/>
    </row>
    <row r="123" spans="1:26">
      <c r="A123" s="135" t="str">
        <f ca="1">IFERROR(__xludf.DUMMYFUNCTION("""COMPUTED_VALUE"""),"Indiana Veterans Home")</f>
        <v>Indiana Veterans Home</v>
      </c>
      <c r="B123" s="135" t="str">
        <f ca="1">IFERROR(__xludf.DUMMYFUNCTION("""COMPUTED_VALUE"""),"")</f>
        <v/>
      </c>
      <c r="C123" s="135" t="str">
        <f ca="1">IFERROR(__xludf.DUMMYFUNCTION("""COMPUTED_VALUE"""),"   Tel: (765)463-1502")</f>
        <v xml:space="preserve">   Tel: (765)463-1502</v>
      </c>
      <c r="D123" s="135" t="str">
        <f ca="1">IFERROR(__xludf.DUMMYFUNCTION("""COMPUTED_VALUE"""),"   3851 N River Rd")</f>
        <v xml:space="preserve">   3851 N River Rd</v>
      </c>
      <c r="E123" s="135" t="str">
        <f ca="1">IFERROR(__xludf.DUMMYFUNCTION("""COMPUTED_VALUE"""),"   West Lafayette, In 47906")</f>
        <v xml:space="preserve">   West Lafayette, In 47906</v>
      </c>
      <c r="F123" s="135" t="str">
        <f ca="1">IFERROR(__xludf.DUMMYFUNCTION("""COMPUTED_VALUE"""),"")</f>
        <v/>
      </c>
      <c r="G123" s="135">
        <f ca="1">IFERROR(__xludf.DUMMYFUNCTION("""COMPUTED_VALUE"""),275)</f>
        <v>275</v>
      </c>
      <c r="H123" s="135" t="str">
        <f ca="1">IFERROR(__xludf.DUMMYFUNCTION("""COMPUTED_VALUE"""),"Optum Testing")</f>
        <v>Optum Testing</v>
      </c>
      <c r="I123" s="135" t="str">
        <f ca="1">IFERROR(__xludf.DUMMYFUNCTION("""COMPUTED_VALUE"""),"KITS")</f>
        <v>KITS</v>
      </c>
      <c r="J123" s="135" t="str">
        <f ca="1">IFERROR(__xludf.DUMMYFUNCTION("""COMPUTED_VALUE"""),"")</f>
        <v/>
      </c>
      <c r="K123" s="135"/>
      <c r="L123" s="135"/>
      <c r="M123" s="135"/>
      <c r="N123" s="135"/>
      <c r="O123" s="135"/>
      <c r="P123" s="135"/>
      <c r="Q123" s="135"/>
      <c r="R123" s="135"/>
      <c r="S123" s="135"/>
      <c r="T123" s="135"/>
      <c r="U123" s="135"/>
      <c r="V123" s="135"/>
      <c r="W123" s="135"/>
      <c r="X123" s="135"/>
      <c r="Y123" s="135"/>
      <c r="Z123" s="135"/>
    </row>
    <row r="124" spans="1:26">
      <c r="A124" s="135" t="str">
        <f ca="1">IFERROR(__xludf.DUMMYFUNCTION("""COMPUTED_VALUE"""),"Kendallville Manor")</f>
        <v>Kendallville Manor</v>
      </c>
      <c r="B124" s="135" t="str">
        <f ca="1">IFERROR(__xludf.DUMMYFUNCTION("""COMPUTED_VALUE"""),"IMG")</f>
        <v>IMG</v>
      </c>
      <c r="C124" s="135" t="str">
        <f ca="1">IFERROR(__xludf.DUMMYFUNCTION("""COMPUTED_VALUE"""),"   Tel: (260)347-4374")</f>
        <v xml:space="preserve">   Tel: (260)347-4374</v>
      </c>
      <c r="D124" s="135" t="str">
        <f ca="1">IFERROR(__xludf.DUMMYFUNCTION("""COMPUTED_VALUE"""),"   1802 E Dowling St")</f>
        <v xml:space="preserve">   1802 E Dowling St</v>
      </c>
      <c r="E124" s="135" t="str">
        <f ca="1">IFERROR(__xludf.DUMMYFUNCTION("""COMPUTED_VALUE"""),"   Kendallville, In 46755")</f>
        <v xml:space="preserve">   Kendallville, In 46755</v>
      </c>
      <c r="F124" s="135" t="str">
        <f ca="1">IFERROR(__xludf.DUMMYFUNCTION("""COMPUTED_VALUE"""),"")</f>
        <v/>
      </c>
      <c r="G124" s="135">
        <f ca="1">IFERROR(__xludf.DUMMYFUNCTION("""COMPUTED_VALUE"""),49)</f>
        <v>49</v>
      </c>
      <c r="H124" s="135" t="str">
        <f ca="1">IFERROR(__xludf.DUMMYFUNCTION("""COMPUTED_VALUE"""),"Optum Testing")</f>
        <v>Optum Testing</v>
      </c>
      <c r="I124" s="135" t="str">
        <f ca="1">IFERROR(__xludf.DUMMYFUNCTION("""COMPUTED_VALUE"""),"KITS")</f>
        <v>KITS</v>
      </c>
      <c r="J124" s="135" t="str">
        <f ca="1">IFERROR(__xludf.DUMMYFUNCTION("""COMPUTED_VALUE"""),"")</f>
        <v/>
      </c>
      <c r="K124" s="135"/>
      <c r="L124" s="135"/>
      <c r="M124" s="135"/>
      <c r="N124" s="135"/>
      <c r="O124" s="135"/>
      <c r="P124" s="135"/>
      <c r="Q124" s="135"/>
      <c r="R124" s="135"/>
      <c r="S124" s="135"/>
      <c r="T124" s="135"/>
      <c r="U124" s="135"/>
      <c r="V124" s="135"/>
      <c r="W124" s="135"/>
      <c r="X124" s="135"/>
      <c r="Y124" s="135"/>
      <c r="Z124" s="135"/>
    </row>
    <row r="125" spans="1:26">
      <c r="A125" s="135" t="str">
        <f ca="1">IFERROR(__xludf.DUMMYFUNCTION("""COMPUTED_VALUE"""),"Kingston Care Center Of Fort Wayne")</f>
        <v>Kingston Care Center Of Fort Wayne</v>
      </c>
      <c r="B125" s="135" t="str">
        <f ca="1">IFERROR(__xludf.DUMMYFUNCTION("""COMPUTED_VALUE"""),"Kingston Care")</f>
        <v>Kingston Care</v>
      </c>
      <c r="C125" s="135" t="str">
        <f ca="1">IFERROR(__xludf.DUMMYFUNCTION("""COMPUTED_VALUE"""),"   Tel: (260)489-2552")</f>
        <v xml:space="preserve">   Tel: (260)489-2552</v>
      </c>
      <c r="D125" s="135" t="str">
        <f ca="1">IFERROR(__xludf.DUMMYFUNCTION("""COMPUTED_VALUE"""),"   1010 W Washington Center Rd")</f>
        <v xml:space="preserve">   1010 W Washington Center Rd</v>
      </c>
      <c r="E125" s="135" t="str">
        <f ca="1">IFERROR(__xludf.DUMMYFUNCTION("""COMPUTED_VALUE"""),"   Fort Wayne, In 46825")</f>
        <v xml:space="preserve">   Fort Wayne, In 46825</v>
      </c>
      <c r="F125" s="135" t="str">
        <f ca="1">IFERROR(__xludf.DUMMYFUNCTION("""COMPUTED_VALUE"""),"")</f>
        <v/>
      </c>
      <c r="G125" s="135">
        <f ca="1">IFERROR(__xludf.DUMMYFUNCTION("""COMPUTED_VALUE"""),230)</f>
        <v>230</v>
      </c>
      <c r="H125" s="135" t="str">
        <f ca="1">IFERROR(__xludf.DUMMYFUNCTION("""COMPUTED_VALUE"""),"Optum Testing")</f>
        <v>Optum Testing</v>
      </c>
      <c r="I125" s="135" t="str">
        <f ca="1">IFERROR(__xludf.DUMMYFUNCTION("""COMPUTED_VALUE"""),"KITS")</f>
        <v>KITS</v>
      </c>
      <c r="J125" s="135" t="str">
        <f ca="1">IFERROR(__xludf.DUMMYFUNCTION("""COMPUTED_VALUE"""),"")</f>
        <v/>
      </c>
      <c r="K125" s="135"/>
      <c r="L125" s="135"/>
      <c r="M125" s="135"/>
      <c r="N125" s="135"/>
      <c r="O125" s="135"/>
      <c r="P125" s="135"/>
      <c r="Q125" s="135"/>
      <c r="R125" s="135"/>
      <c r="S125" s="135"/>
      <c r="T125" s="135"/>
      <c r="U125" s="135"/>
      <c r="V125" s="135"/>
      <c r="W125" s="135"/>
      <c r="X125" s="135"/>
      <c r="Y125" s="135"/>
      <c r="Z125" s="135"/>
    </row>
    <row r="126" spans="1:26">
      <c r="A126" s="135" t="str">
        <f ca="1">IFERROR(__xludf.DUMMYFUNCTION("""COMPUTED_VALUE"""),"Lake County Nursing And Rehabilitation Center")</f>
        <v>Lake County Nursing And Rehabilitation Center</v>
      </c>
      <c r="B126" s="135" t="str">
        <f ca="1">IFERROR(__xludf.DUMMYFUNCTION("""COMPUTED_VALUE"""),"")</f>
        <v/>
      </c>
      <c r="C126" s="135" t="str">
        <f ca="1">IFERROR(__xludf.DUMMYFUNCTION("""COMPUTED_VALUE"""),"   Tel: (219)397-0380")</f>
        <v xml:space="preserve">   Tel: (219)397-0380</v>
      </c>
      <c r="D126" s="135" t="str">
        <f ca="1">IFERROR(__xludf.DUMMYFUNCTION("""COMPUTED_VALUE"""),"   5025 Mccook Ave")</f>
        <v xml:space="preserve">   5025 Mccook Ave</v>
      </c>
      <c r="E126" s="135" t="str">
        <f ca="1">IFERROR(__xludf.DUMMYFUNCTION("""COMPUTED_VALUE"""),"   East Chicago, In 46312")</f>
        <v xml:space="preserve">   East Chicago, In 46312</v>
      </c>
      <c r="F126" s="135" t="str">
        <f ca="1">IFERROR(__xludf.DUMMYFUNCTION("""COMPUTED_VALUE"""),"")</f>
        <v/>
      </c>
      <c r="G126" s="135">
        <f ca="1">IFERROR(__xludf.DUMMYFUNCTION("""COMPUTED_VALUE"""),85)</f>
        <v>85</v>
      </c>
      <c r="H126" s="135" t="str">
        <f ca="1">IFERROR(__xludf.DUMMYFUNCTION("""COMPUTED_VALUE"""),"Optum Testing")</f>
        <v>Optum Testing</v>
      </c>
      <c r="I126" s="135" t="str">
        <f ca="1">IFERROR(__xludf.DUMMYFUNCTION("""COMPUTED_VALUE"""),"KITS")</f>
        <v>KITS</v>
      </c>
      <c r="J126" s="135" t="str">
        <f ca="1">IFERROR(__xludf.DUMMYFUNCTION("""COMPUTED_VALUE"""),"")</f>
        <v/>
      </c>
      <c r="K126" s="135"/>
      <c r="L126" s="135"/>
      <c r="M126" s="135"/>
      <c r="N126" s="135"/>
      <c r="O126" s="135"/>
      <c r="P126" s="135"/>
      <c r="Q126" s="135"/>
      <c r="R126" s="135"/>
      <c r="S126" s="135"/>
      <c r="T126" s="135"/>
      <c r="U126" s="135"/>
      <c r="V126" s="135"/>
      <c r="W126" s="135"/>
      <c r="X126" s="135"/>
      <c r="Y126" s="135"/>
      <c r="Z126" s="135"/>
    </row>
    <row r="127" spans="1:26">
      <c r="A127" s="135" t="str">
        <f ca="1">IFERROR(__xludf.DUMMYFUNCTION("""COMPUTED_VALUE"""),"Lake Pointe Village")</f>
        <v>Lake Pointe Village</v>
      </c>
      <c r="B127" s="135" t="str">
        <f ca="1">IFERROR(__xludf.DUMMYFUNCTION("""COMPUTED_VALUE"""),"ASC")</f>
        <v>ASC</v>
      </c>
      <c r="C127" s="135" t="str">
        <f ca="1">IFERROR(__xludf.DUMMYFUNCTION("""COMPUTED_VALUE"""),"   Tel: (812)752-3499")</f>
        <v xml:space="preserve">   Tel: (812)752-3499</v>
      </c>
      <c r="D127" s="135" t="str">
        <f ca="1">IFERROR(__xludf.DUMMYFUNCTION("""COMPUTED_VALUE"""),"   545 W Moonglo Rd")</f>
        <v xml:space="preserve">   545 W Moonglo Rd</v>
      </c>
      <c r="E127" s="135" t="str">
        <f ca="1">IFERROR(__xludf.DUMMYFUNCTION("""COMPUTED_VALUE"""),"   Scottsburg, In 47170")</f>
        <v xml:space="preserve">   Scottsburg, In 47170</v>
      </c>
      <c r="F127" s="135" t="str">
        <f ca="1">IFERROR(__xludf.DUMMYFUNCTION("""COMPUTED_VALUE"""),"")</f>
        <v/>
      </c>
      <c r="G127" s="135">
        <f ca="1">IFERROR(__xludf.DUMMYFUNCTION("""COMPUTED_VALUE"""),79)</f>
        <v>79</v>
      </c>
      <c r="H127" s="135" t="str">
        <f ca="1">IFERROR(__xludf.DUMMYFUNCTION("""COMPUTED_VALUE"""),"Optum Testing")</f>
        <v>Optum Testing</v>
      </c>
      <c r="I127" s="135" t="str">
        <f ca="1">IFERROR(__xludf.DUMMYFUNCTION("""COMPUTED_VALUE"""),"KITS")</f>
        <v>KITS</v>
      </c>
      <c r="J127" s="135" t="str">
        <f ca="1">IFERROR(__xludf.DUMMYFUNCTION("""COMPUTED_VALUE"""),"")</f>
        <v/>
      </c>
      <c r="K127" s="135"/>
      <c r="L127" s="135"/>
      <c r="M127" s="135"/>
      <c r="N127" s="135"/>
      <c r="O127" s="135"/>
      <c r="P127" s="135"/>
      <c r="Q127" s="135"/>
      <c r="R127" s="135"/>
      <c r="S127" s="135"/>
      <c r="T127" s="135"/>
      <c r="U127" s="135"/>
      <c r="V127" s="135"/>
      <c r="W127" s="135"/>
      <c r="X127" s="135"/>
      <c r="Y127" s="135"/>
      <c r="Z127" s="135"/>
    </row>
    <row r="128" spans="1:26">
      <c r="A128" s="135" t="str">
        <f ca="1">IFERROR(__xludf.DUMMYFUNCTION("""COMPUTED_VALUE"""),"Lakeview Manor")</f>
        <v>Lakeview Manor</v>
      </c>
      <c r="B128" s="135" t="str">
        <f ca="1">IFERROR(__xludf.DUMMYFUNCTION("""COMPUTED_VALUE"""),"")</f>
        <v/>
      </c>
      <c r="C128" s="135" t="str">
        <f ca="1">IFERROR(__xludf.DUMMYFUNCTION("""COMPUTED_VALUE"""),"   Tel: (317)243-3721")</f>
        <v xml:space="preserve">   Tel: (317)243-3721</v>
      </c>
      <c r="D128" s="135" t="str">
        <f ca="1">IFERROR(__xludf.DUMMYFUNCTION("""COMPUTED_VALUE"""),"   45 Beachway Dr")</f>
        <v xml:space="preserve">   45 Beachway Dr</v>
      </c>
      <c r="E128" s="135" t="str">
        <f ca="1">IFERROR(__xludf.DUMMYFUNCTION("""COMPUTED_VALUE"""),"   Indianapolis, In 46224")</f>
        <v xml:space="preserve">   Indianapolis, In 46224</v>
      </c>
      <c r="F128" s="135" t="str">
        <f ca="1">IFERROR(__xludf.DUMMYFUNCTION("""COMPUTED_VALUE"""),"")</f>
        <v/>
      </c>
      <c r="G128" s="135">
        <f ca="1">IFERROR(__xludf.DUMMYFUNCTION("""COMPUTED_VALUE"""),94)</f>
        <v>94</v>
      </c>
      <c r="H128" s="135" t="str">
        <f ca="1">IFERROR(__xludf.DUMMYFUNCTION("""COMPUTED_VALUE"""),"Optum Testing")</f>
        <v>Optum Testing</v>
      </c>
      <c r="I128" s="135" t="str">
        <f ca="1">IFERROR(__xludf.DUMMYFUNCTION("""COMPUTED_VALUE"""),"KITS")</f>
        <v>KITS</v>
      </c>
      <c r="J128" s="135" t="str">
        <f ca="1">IFERROR(__xludf.DUMMYFUNCTION("""COMPUTED_VALUE"""),"")</f>
        <v/>
      </c>
      <c r="K128" s="135"/>
      <c r="L128" s="135"/>
      <c r="M128" s="135"/>
      <c r="N128" s="135"/>
      <c r="O128" s="135"/>
      <c r="P128" s="135"/>
      <c r="Q128" s="135"/>
      <c r="R128" s="135"/>
      <c r="S128" s="135"/>
      <c r="T128" s="135"/>
      <c r="U128" s="135"/>
      <c r="V128" s="135"/>
      <c r="W128" s="135"/>
      <c r="X128" s="135"/>
      <c r="Y128" s="135"/>
      <c r="Z128" s="135"/>
    </row>
    <row r="129" spans="1:26">
      <c r="A129" s="135" t="str">
        <f ca="1">IFERROR(__xludf.DUMMYFUNCTION("""COMPUTED_VALUE"""),"Lane House, The")</f>
        <v>Lane House, The</v>
      </c>
      <c r="B129" s="135" t="str">
        <f ca="1">IFERROR(__xludf.DUMMYFUNCTION("""COMPUTED_VALUE"""),"Life Care")</f>
        <v>Life Care</v>
      </c>
      <c r="C129" s="135" t="str">
        <f ca="1">IFERROR(__xludf.DUMMYFUNCTION("""COMPUTED_VALUE"""),"   Tel: (765)362-0007")</f>
        <v xml:space="preserve">   Tel: (765)362-0007</v>
      </c>
      <c r="D129" s="135" t="str">
        <f ca="1">IFERROR(__xludf.DUMMYFUNCTION("""COMPUTED_VALUE"""),"   1000 Lane Ave")</f>
        <v xml:space="preserve">   1000 Lane Ave</v>
      </c>
      <c r="E129" s="135" t="str">
        <f ca="1">IFERROR(__xludf.DUMMYFUNCTION("""COMPUTED_VALUE"""),"   Crawfordsville, In 47933")</f>
        <v xml:space="preserve">   Crawfordsville, In 47933</v>
      </c>
      <c r="F129" s="135" t="str">
        <f ca="1">IFERROR(__xludf.DUMMYFUNCTION("""COMPUTED_VALUE"""),"")</f>
        <v/>
      </c>
      <c r="G129" s="135">
        <f ca="1">IFERROR(__xludf.DUMMYFUNCTION("""COMPUTED_VALUE"""),60)</f>
        <v>60</v>
      </c>
      <c r="H129" s="135" t="str">
        <f ca="1">IFERROR(__xludf.DUMMYFUNCTION("""COMPUTED_VALUE"""),"Optum Testing")</f>
        <v>Optum Testing</v>
      </c>
      <c r="I129" s="135" t="str">
        <f ca="1">IFERROR(__xludf.DUMMYFUNCTION("""COMPUTED_VALUE"""),"KITS")</f>
        <v>KITS</v>
      </c>
      <c r="J129" s="135" t="str">
        <f ca="1">IFERROR(__xludf.DUMMYFUNCTION("""COMPUTED_VALUE"""),"")</f>
        <v/>
      </c>
      <c r="K129" s="135"/>
      <c r="L129" s="135"/>
      <c r="M129" s="135"/>
      <c r="N129" s="135"/>
      <c r="O129" s="135"/>
      <c r="P129" s="135"/>
      <c r="Q129" s="135"/>
      <c r="R129" s="135"/>
      <c r="S129" s="135"/>
      <c r="T129" s="135"/>
      <c r="U129" s="135"/>
      <c r="V129" s="135"/>
      <c r="W129" s="135"/>
      <c r="X129" s="135"/>
      <c r="Y129" s="135"/>
      <c r="Z129" s="135"/>
    </row>
    <row r="130" spans="1:26">
      <c r="A130" s="135" t="str">
        <f ca="1">IFERROR(__xludf.DUMMYFUNCTION("""COMPUTED_VALUE"""),"Liberty Village")</f>
        <v>Liberty Village</v>
      </c>
      <c r="B130" s="135" t="str">
        <f ca="1">IFERROR(__xludf.DUMMYFUNCTION("""COMPUTED_VALUE"""),"")</f>
        <v/>
      </c>
      <c r="C130" s="135" t="str">
        <f ca="1">IFERROR(__xludf.DUMMYFUNCTION("""COMPUTED_VALUE"""),"   Tel: (765)282-1416")</f>
        <v xml:space="preserve">   Tel: (765)282-1416</v>
      </c>
      <c r="D130" s="135" t="str">
        <f ca="1">IFERROR(__xludf.DUMMYFUNCTION("""COMPUTED_VALUE"""),"   4600 E Jackson St")</f>
        <v xml:space="preserve">   4600 E Jackson St</v>
      </c>
      <c r="E130" s="135" t="str">
        <f ca="1">IFERROR(__xludf.DUMMYFUNCTION("""COMPUTED_VALUE"""),"   Muncie, In 47303")</f>
        <v xml:space="preserve">   Muncie, In 47303</v>
      </c>
      <c r="F130" s="135" t="str">
        <f ca="1">IFERROR(__xludf.DUMMYFUNCTION("""COMPUTED_VALUE"""),"")</f>
        <v/>
      </c>
      <c r="G130" s="135">
        <f ca="1">IFERROR(__xludf.DUMMYFUNCTION("""COMPUTED_VALUE"""),69)</f>
        <v>69</v>
      </c>
      <c r="H130" s="135" t="str">
        <f ca="1">IFERROR(__xludf.DUMMYFUNCTION("""COMPUTED_VALUE"""),"Optum Testing")</f>
        <v>Optum Testing</v>
      </c>
      <c r="I130" s="135" t="str">
        <f ca="1">IFERROR(__xludf.DUMMYFUNCTION("""COMPUTED_VALUE"""),"KITS")</f>
        <v>KITS</v>
      </c>
      <c r="J130" s="135" t="str">
        <f ca="1">IFERROR(__xludf.DUMMYFUNCTION("""COMPUTED_VALUE"""),"")</f>
        <v/>
      </c>
      <c r="K130" s="135"/>
      <c r="L130" s="135"/>
      <c r="M130" s="135"/>
      <c r="N130" s="135"/>
      <c r="O130" s="135"/>
      <c r="P130" s="135"/>
      <c r="Q130" s="135"/>
      <c r="R130" s="135"/>
      <c r="S130" s="135"/>
      <c r="T130" s="135"/>
      <c r="U130" s="135"/>
      <c r="V130" s="135"/>
      <c r="W130" s="135"/>
      <c r="X130" s="135"/>
      <c r="Y130" s="135"/>
      <c r="Z130" s="135"/>
    </row>
    <row r="131" spans="1:26">
      <c r="A131" s="135" t="str">
        <f ca="1">IFERROR(__xludf.DUMMYFUNCTION("""COMPUTED_VALUE"""),"Life Care Center Of Lagrange")</f>
        <v>Life Care Center Of Lagrange</v>
      </c>
      <c r="B131" s="135" t="str">
        <f ca="1">IFERROR(__xludf.DUMMYFUNCTION("""COMPUTED_VALUE"""),"Life Care ")</f>
        <v xml:space="preserve">Life Care </v>
      </c>
      <c r="C131" s="135" t="str">
        <f ca="1">IFERROR(__xludf.DUMMYFUNCTION("""COMPUTED_VALUE"""),"   Tel: (260)463-7445")</f>
        <v xml:space="preserve">   Tel: (260)463-7445</v>
      </c>
      <c r="D131" s="135" t="str">
        <f ca="1">IFERROR(__xludf.DUMMYFUNCTION("""COMPUTED_VALUE"""),"   0770 North 075 East")</f>
        <v xml:space="preserve">   0770 North 075 East</v>
      </c>
      <c r="E131" s="135" t="str">
        <f ca="1">IFERROR(__xludf.DUMMYFUNCTION("""COMPUTED_VALUE"""),"   Lagrange, In 46761")</f>
        <v xml:space="preserve">   Lagrange, In 46761</v>
      </c>
      <c r="F131" s="135" t="str">
        <f ca="1">IFERROR(__xludf.DUMMYFUNCTION("""COMPUTED_VALUE"""),"")</f>
        <v/>
      </c>
      <c r="G131" s="135">
        <f ca="1">IFERROR(__xludf.DUMMYFUNCTION("""COMPUTED_VALUE"""),71)</f>
        <v>71</v>
      </c>
      <c r="H131" s="135" t="str">
        <f ca="1">IFERROR(__xludf.DUMMYFUNCTION("""COMPUTED_VALUE"""),"Non-Specific Plan/Hypothetical/Local Sites")</f>
        <v>Non-Specific Plan/Hypothetical/Local Sites</v>
      </c>
      <c r="I131" s="135" t="str">
        <f ca="1">IFERROR(__xludf.DUMMYFUNCTION("""COMPUTED_VALUE"""),"KITS")</f>
        <v>KITS</v>
      </c>
      <c r="J131" s="135" t="str">
        <f ca="1">IFERROR(__xludf.DUMMYFUNCTION("""COMPUTED_VALUE"""),"")</f>
        <v/>
      </c>
      <c r="K131" s="135"/>
      <c r="L131" s="135"/>
      <c r="M131" s="135"/>
      <c r="N131" s="135"/>
      <c r="O131" s="135"/>
      <c r="P131" s="135"/>
      <c r="Q131" s="135"/>
      <c r="R131" s="135"/>
      <c r="S131" s="135"/>
      <c r="T131" s="135"/>
      <c r="U131" s="135"/>
      <c r="V131" s="135"/>
      <c r="W131" s="135"/>
      <c r="X131" s="135"/>
      <c r="Y131" s="135"/>
      <c r="Z131" s="135"/>
    </row>
    <row r="132" spans="1:26">
      <c r="A132" s="135" t="str">
        <f ca="1">IFERROR(__xludf.DUMMYFUNCTION("""COMPUTED_VALUE"""),"Life Care Center Of Michigan City")</f>
        <v>Life Care Center Of Michigan City</v>
      </c>
      <c r="B132" s="135" t="str">
        <f ca="1">IFERROR(__xludf.DUMMYFUNCTION("""COMPUTED_VALUE"""),"Life Care ")</f>
        <v xml:space="preserve">Life Care </v>
      </c>
      <c r="C132" s="135" t="str">
        <f ca="1">IFERROR(__xludf.DUMMYFUNCTION("""COMPUTED_VALUE"""),"   Tel: (219)872-7251")</f>
        <v xml:space="preserve">   Tel: (219)872-7251</v>
      </c>
      <c r="D132" s="135" t="str">
        <f ca="1">IFERROR(__xludf.DUMMYFUNCTION("""COMPUTED_VALUE"""),"   802 Us Highway 20 East")</f>
        <v xml:space="preserve">   802 Us Highway 20 East</v>
      </c>
      <c r="E132" s="135" t="str">
        <f ca="1">IFERROR(__xludf.DUMMYFUNCTION("""COMPUTED_VALUE"""),"   Michigan City, In 46360")</f>
        <v xml:space="preserve">   Michigan City, In 46360</v>
      </c>
      <c r="F132" s="135" t="str">
        <f ca="1">IFERROR(__xludf.DUMMYFUNCTION("""COMPUTED_VALUE"""),"No")</f>
        <v>No</v>
      </c>
      <c r="G132" s="135">
        <f ca="1">IFERROR(__xludf.DUMMYFUNCTION("""COMPUTED_VALUE"""),115)</f>
        <v>115</v>
      </c>
      <c r="H132" s="135" t="str">
        <f ca="1">IFERROR(__xludf.DUMMYFUNCTION("""COMPUTED_VALUE"""),"Optum Testing")</f>
        <v>Optum Testing</v>
      </c>
      <c r="I132" s="135" t="str">
        <f ca="1">IFERROR(__xludf.DUMMYFUNCTION("""COMPUTED_VALUE"""),"KITS")</f>
        <v>KITS</v>
      </c>
      <c r="J132" s="135" t="str">
        <f ca="1">IFERROR(__xludf.DUMMYFUNCTION("""COMPUTED_VALUE"""),"")</f>
        <v/>
      </c>
      <c r="K132" s="135"/>
      <c r="L132" s="135"/>
      <c r="M132" s="135"/>
      <c r="N132" s="135"/>
      <c r="O132" s="135"/>
      <c r="P132" s="135"/>
      <c r="Q132" s="135"/>
      <c r="R132" s="135"/>
      <c r="S132" s="135"/>
      <c r="T132" s="135"/>
      <c r="U132" s="135"/>
      <c r="V132" s="135"/>
      <c r="W132" s="135"/>
      <c r="X132" s="135"/>
      <c r="Y132" s="135"/>
      <c r="Z132" s="135"/>
    </row>
    <row r="133" spans="1:26">
      <c r="A133" s="135" t="str">
        <f ca="1">IFERROR(__xludf.DUMMYFUNCTION("""COMPUTED_VALUE"""),"Life Care Center Of Rochester")</f>
        <v>Life Care Center Of Rochester</v>
      </c>
      <c r="B133" s="135" t="str">
        <f ca="1">IFERROR(__xludf.DUMMYFUNCTION("""COMPUTED_VALUE"""),"Life Care ")</f>
        <v xml:space="preserve">Life Care </v>
      </c>
      <c r="C133" s="135" t="str">
        <f ca="1">IFERROR(__xludf.DUMMYFUNCTION("""COMPUTED_VALUE"""),"   Tel: (574)223-4331")</f>
        <v xml:space="preserve">   Tel: (574)223-4331</v>
      </c>
      <c r="D133" s="135" t="str">
        <f ca="1">IFERROR(__xludf.DUMMYFUNCTION("""COMPUTED_VALUE"""),"   827 W 13Th St")</f>
        <v xml:space="preserve">   827 W 13Th St</v>
      </c>
      <c r="E133" s="135" t="str">
        <f ca="1">IFERROR(__xludf.DUMMYFUNCTION("""COMPUTED_VALUE"""),"   Rochester, In 46975")</f>
        <v xml:space="preserve">   Rochester, In 46975</v>
      </c>
      <c r="F133" s="135" t="str">
        <f ca="1">IFERROR(__xludf.DUMMYFUNCTION("""COMPUTED_VALUE"""),"")</f>
        <v/>
      </c>
      <c r="G133" s="135">
        <f ca="1">IFERROR(__xludf.DUMMYFUNCTION("""COMPUTED_VALUE"""),80)</f>
        <v>80</v>
      </c>
      <c r="H133" s="135" t="str">
        <f ca="1">IFERROR(__xludf.DUMMYFUNCTION("""COMPUTED_VALUE"""),"Local Hospital")</f>
        <v>Local Hospital</v>
      </c>
      <c r="I133" s="135" t="str">
        <f ca="1">IFERROR(__xludf.DUMMYFUNCTION("""COMPUTED_VALUE"""),"KITS")</f>
        <v>KITS</v>
      </c>
      <c r="J133" s="135" t="str">
        <f ca="1">IFERROR(__xludf.DUMMYFUNCTION("""COMPUTED_VALUE"""),"")</f>
        <v/>
      </c>
      <c r="K133" s="135"/>
      <c r="L133" s="135"/>
      <c r="M133" s="135"/>
      <c r="N133" s="135"/>
      <c r="O133" s="135"/>
      <c r="P133" s="135"/>
      <c r="Q133" s="135"/>
      <c r="R133" s="135"/>
      <c r="S133" s="135"/>
      <c r="T133" s="135"/>
      <c r="U133" s="135"/>
      <c r="V133" s="135"/>
      <c r="W133" s="135"/>
      <c r="X133" s="135"/>
      <c r="Y133" s="135"/>
      <c r="Z133" s="135"/>
    </row>
    <row r="134" spans="1:26">
      <c r="A134" s="135" t="str">
        <f ca="1">IFERROR(__xludf.DUMMYFUNCTION("""COMPUTED_VALUE"""),"Life Care Center Of The Willows")</f>
        <v>Life Care Center Of The Willows</v>
      </c>
      <c r="B134" s="135" t="str">
        <f ca="1">IFERROR(__xludf.DUMMYFUNCTION("""COMPUTED_VALUE"""),"Life Care ")</f>
        <v xml:space="preserve">Life Care </v>
      </c>
      <c r="C134" s="135" t="str">
        <f ca="1">IFERROR(__xludf.DUMMYFUNCTION("""COMPUTED_VALUE"""),"   Tel: (219)464-4858")</f>
        <v xml:space="preserve">   Tel: (219)464-4858</v>
      </c>
      <c r="D134" s="135" t="str">
        <f ca="1">IFERROR(__xludf.DUMMYFUNCTION("""COMPUTED_VALUE"""),"   1000 Elizabeth Dr")</f>
        <v xml:space="preserve">   1000 Elizabeth Dr</v>
      </c>
      <c r="E134" s="135" t="str">
        <f ca="1">IFERROR(__xludf.DUMMYFUNCTION("""COMPUTED_VALUE"""),"   Valparaiso, In 46383")</f>
        <v xml:space="preserve">   Valparaiso, In 46383</v>
      </c>
      <c r="F134" s="135" t="str">
        <f ca="1">IFERROR(__xludf.DUMMYFUNCTION("""COMPUTED_VALUE"""),"")</f>
        <v/>
      </c>
      <c r="G134" s="135">
        <f ca="1">IFERROR(__xludf.DUMMYFUNCTION("""COMPUTED_VALUE"""),94)</f>
        <v>94</v>
      </c>
      <c r="H134" s="135" t="str">
        <f ca="1">IFERROR(__xludf.DUMMYFUNCTION("""COMPUTED_VALUE"""),"Optum Testing")</f>
        <v>Optum Testing</v>
      </c>
      <c r="I134" s="135" t="str">
        <f ca="1">IFERROR(__xludf.DUMMYFUNCTION("""COMPUTED_VALUE"""),"KITS")</f>
        <v>KITS</v>
      </c>
      <c r="J134" s="135" t="str">
        <f ca="1">IFERROR(__xludf.DUMMYFUNCTION("""COMPUTED_VALUE"""),"")</f>
        <v/>
      </c>
      <c r="K134" s="135"/>
      <c r="L134" s="135"/>
      <c r="M134" s="135"/>
      <c r="N134" s="135"/>
      <c r="O134" s="135"/>
      <c r="P134" s="135"/>
      <c r="Q134" s="135"/>
      <c r="R134" s="135"/>
      <c r="S134" s="135"/>
      <c r="T134" s="135"/>
      <c r="U134" s="135"/>
      <c r="V134" s="135"/>
      <c r="W134" s="135"/>
      <c r="X134" s="135"/>
      <c r="Y134" s="135"/>
      <c r="Z134" s="135"/>
    </row>
    <row r="135" spans="1:26">
      <c r="A135" s="135" t="str">
        <f ca="1">IFERROR(__xludf.DUMMYFUNCTION("""COMPUTED_VALUE"""),"Life Care Center Of Valparaiso")</f>
        <v>Life Care Center Of Valparaiso</v>
      </c>
      <c r="B135" s="135" t="str">
        <f ca="1">IFERROR(__xludf.DUMMYFUNCTION("""COMPUTED_VALUE"""),"Life Care ")</f>
        <v xml:space="preserve">Life Care </v>
      </c>
      <c r="C135" s="135" t="str">
        <f ca="1">IFERROR(__xludf.DUMMYFUNCTION("""COMPUTED_VALUE"""),"   Tel: (219)462-1023")</f>
        <v xml:space="preserve">   Tel: (219)462-1023</v>
      </c>
      <c r="D135" s="135" t="str">
        <f ca="1">IFERROR(__xludf.DUMMYFUNCTION("""COMPUTED_VALUE"""),"   3405 N Campbell Rd")</f>
        <v xml:space="preserve">   3405 N Campbell Rd</v>
      </c>
      <c r="E135" s="135" t="str">
        <f ca="1">IFERROR(__xludf.DUMMYFUNCTION("""COMPUTED_VALUE"""),"   Valparaiso, In 46385")</f>
        <v xml:space="preserve">   Valparaiso, In 46385</v>
      </c>
      <c r="F135" s="135" t="str">
        <f ca="1">IFERROR(__xludf.DUMMYFUNCTION("""COMPUTED_VALUE"""),"")</f>
        <v/>
      </c>
      <c r="G135" s="135">
        <f ca="1">IFERROR(__xludf.DUMMYFUNCTION("""COMPUTED_VALUE"""),150)</f>
        <v>150</v>
      </c>
      <c r="H135" s="135" t="str">
        <f ca="1">IFERROR(__xludf.DUMMYFUNCTION("""COMPUTED_VALUE"""),"Local Hospital")</f>
        <v>Local Hospital</v>
      </c>
      <c r="I135" s="135" t="str">
        <f ca="1">IFERROR(__xludf.DUMMYFUNCTION("""COMPUTED_VALUE"""),"KITS")</f>
        <v>KITS</v>
      </c>
      <c r="J135" s="135" t="str">
        <f ca="1">IFERROR(__xludf.DUMMYFUNCTION("""COMPUTED_VALUE"""),"")</f>
        <v/>
      </c>
      <c r="K135" s="135"/>
      <c r="L135" s="135"/>
      <c r="M135" s="135"/>
      <c r="N135" s="135"/>
      <c r="O135" s="135"/>
      <c r="P135" s="135"/>
      <c r="Q135" s="135"/>
      <c r="R135" s="135"/>
      <c r="S135" s="135"/>
      <c r="T135" s="135"/>
      <c r="U135" s="135"/>
      <c r="V135" s="135"/>
      <c r="W135" s="135"/>
      <c r="X135" s="135"/>
      <c r="Y135" s="135"/>
      <c r="Z135" s="135"/>
    </row>
    <row r="136" spans="1:26">
      <c r="A136" s="135" t="str">
        <f ca="1">IFERROR(__xludf.DUMMYFUNCTION("""COMPUTED_VALUE"""),"Lindberg Crossing Senior Living")</f>
        <v>Lindberg Crossing Senior Living</v>
      </c>
      <c r="B136" s="135" t="str">
        <f ca="1">IFERROR(__xludf.DUMMYFUNCTION("""COMPUTED_VALUE"""),"")</f>
        <v/>
      </c>
      <c r="C136" s="135" t="str">
        <f ca="1">IFERROR(__xludf.DUMMYFUNCTION("""COMPUTED_VALUE"""),"   Tel: (765)649-2532")</f>
        <v xml:space="preserve">   Tel: (765)649-2532</v>
      </c>
      <c r="D136" s="135" t="str">
        <f ca="1">IFERROR(__xludf.DUMMYFUNCTION("""COMPUTED_VALUE"""),"   1821 Lindberg Rd")</f>
        <v xml:space="preserve">   1821 Lindberg Rd</v>
      </c>
      <c r="E136" s="135" t="str">
        <f ca="1">IFERROR(__xludf.DUMMYFUNCTION("""COMPUTED_VALUE"""),"   Anderson, In 46012")</f>
        <v xml:space="preserve">   Anderson, In 46012</v>
      </c>
      <c r="F136" s="135" t="str">
        <f ca="1">IFERROR(__xludf.DUMMYFUNCTION("""COMPUTED_VALUE"""),"")</f>
        <v/>
      </c>
      <c r="G136" s="135">
        <f ca="1">IFERROR(__xludf.DUMMYFUNCTION("""COMPUTED_VALUE"""),69)</f>
        <v>69</v>
      </c>
      <c r="H136" s="135" t="str">
        <f ca="1">IFERROR(__xludf.DUMMYFUNCTION("""COMPUTED_VALUE"""),"Optum Testing")</f>
        <v>Optum Testing</v>
      </c>
      <c r="I136" s="135" t="str">
        <f ca="1">IFERROR(__xludf.DUMMYFUNCTION("""COMPUTED_VALUE"""),"KITS")</f>
        <v>KITS</v>
      </c>
      <c r="J136" s="135" t="str">
        <f ca="1">IFERROR(__xludf.DUMMYFUNCTION("""COMPUTED_VALUE"""),"")</f>
        <v/>
      </c>
      <c r="K136" s="135"/>
      <c r="L136" s="135"/>
      <c r="M136" s="135"/>
      <c r="N136" s="135"/>
      <c r="O136" s="135"/>
      <c r="P136" s="135"/>
      <c r="Q136" s="135"/>
      <c r="R136" s="135"/>
      <c r="S136" s="135"/>
      <c r="T136" s="135"/>
      <c r="U136" s="135"/>
      <c r="V136" s="135"/>
      <c r="W136" s="135"/>
      <c r="X136" s="135"/>
      <c r="Y136" s="135"/>
      <c r="Z136" s="135"/>
    </row>
    <row r="137" spans="1:26">
      <c r="A137" s="135" t="str">
        <f ca="1">IFERROR(__xludf.DUMMYFUNCTION("""COMPUTED_VALUE"""),"Lodge Of The Wabash")</f>
        <v>Lodge Of The Wabash</v>
      </c>
      <c r="B137" s="135" t="str">
        <f ca="1">IFERROR(__xludf.DUMMYFUNCTION("""COMPUTED_VALUE"""),"")</f>
        <v/>
      </c>
      <c r="C137" s="135" t="str">
        <f ca="1">IFERROR(__xludf.DUMMYFUNCTION("""COMPUTED_VALUE"""),"   Tel: (812)882-8787")</f>
        <v xml:space="preserve">   Tel: (812)882-8787</v>
      </c>
      <c r="D137" s="135" t="str">
        <f ca="1">IFERROR(__xludf.DUMMYFUNCTION("""COMPUTED_VALUE"""),"   723 E Ramsey Rd")</f>
        <v xml:space="preserve">   723 E Ramsey Rd</v>
      </c>
      <c r="E137" s="135" t="str">
        <f ca="1">IFERROR(__xludf.DUMMYFUNCTION("""COMPUTED_VALUE"""),"   Vincennes, In 47591")</f>
        <v xml:space="preserve">   Vincennes, In 47591</v>
      </c>
      <c r="F137" s="135" t="str">
        <f ca="1">IFERROR(__xludf.DUMMYFUNCTION("""COMPUTED_VALUE"""),"")</f>
        <v/>
      </c>
      <c r="G137" s="135">
        <f ca="1">IFERROR(__xludf.DUMMYFUNCTION("""COMPUTED_VALUE"""),65)</f>
        <v>65</v>
      </c>
      <c r="H137" s="135" t="str">
        <f ca="1">IFERROR(__xludf.DUMMYFUNCTION("""COMPUTED_VALUE"""),"Optum Testing")</f>
        <v>Optum Testing</v>
      </c>
      <c r="I137" s="135" t="str">
        <f ca="1">IFERROR(__xludf.DUMMYFUNCTION("""COMPUTED_VALUE"""),"KITS")</f>
        <v>KITS</v>
      </c>
      <c r="J137" s="135" t="str">
        <f ca="1">IFERROR(__xludf.DUMMYFUNCTION("""COMPUTED_VALUE"""),"")</f>
        <v/>
      </c>
      <c r="K137" s="135"/>
      <c r="L137" s="135"/>
      <c r="M137" s="135"/>
      <c r="N137" s="135"/>
      <c r="O137" s="135"/>
      <c r="P137" s="135"/>
      <c r="Q137" s="135"/>
      <c r="R137" s="135"/>
      <c r="S137" s="135"/>
      <c r="T137" s="135"/>
      <c r="U137" s="135"/>
      <c r="V137" s="135"/>
      <c r="W137" s="135"/>
      <c r="X137" s="135"/>
      <c r="Y137" s="135"/>
      <c r="Z137" s="135"/>
    </row>
    <row r="138" spans="1:26">
      <c r="A138" s="135" t="str">
        <f ca="1">IFERROR(__xludf.DUMMYFUNCTION("""COMPUTED_VALUE"""),"Loogootee Healthcare &amp; Rehabilitation Center")</f>
        <v>Loogootee Healthcare &amp; Rehabilitation Center</v>
      </c>
      <c r="B138" s="135" t="str">
        <f ca="1">IFERROR(__xludf.DUMMYFUNCTION("""COMPUTED_VALUE"""),"")</f>
        <v/>
      </c>
      <c r="C138" s="135" t="str">
        <f ca="1">IFERROR(__xludf.DUMMYFUNCTION("""COMPUTED_VALUE"""),"   Tel: (812)295-4433")</f>
        <v xml:space="preserve">   Tel: (812)295-4433</v>
      </c>
      <c r="D138" s="135" t="str">
        <f ca="1">IFERROR(__xludf.DUMMYFUNCTION("""COMPUTED_VALUE"""),"   313 Poplar St")</f>
        <v xml:space="preserve">   313 Poplar St</v>
      </c>
      <c r="E138" s="135" t="str">
        <f ca="1">IFERROR(__xludf.DUMMYFUNCTION("""COMPUTED_VALUE"""),"   Loogootee, In 47553")</f>
        <v xml:space="preserve">   Loogootee, In 47553</v>
      </c>
      <c r="F138" s="135" t="str">
        <f ca="1">IFERROR(__xludf.DUMMYFUNCTION("""COMPUTED_VALUE"""),"")</f>
        <v/>
      </c>
      <c r="G138" s="135">
        <f ca="1">IFERROR(__xludf.DUMMYFUNCTION("""COMPUTED_VALUE"""),40)</f>
        <v>40</v>
      </c>
      <c r="H138" s="135" t="str">
        <f ca="1">IFERROR(__xludf.DUMMYFUNCTION("""COMPUTED_VALUE"""),"Optum Testing")</f>
        <v>Optum Testing</v>
      </c>
      <c r="I138" s="135" t="str">
        <f ca="1">IFERROR(__xludf.DUMMYFUNCTION("""COMPUTED_VALUE"""),"KITS")</f>
        <v>KITS</v>
      </c>
      <c r="J138" s="135" t="str">
        <f ca="1">IFERROR(__xludf.DUMMYFUNCTION("""COMPUTED_VALUE"""),"")</f>
        <v/>
      </c>
      <c r="K138" s="135"/>
      <c r="L138" s="135"/>
      <c r="M138" s="135"/>
      <c r="N138" s="135"/>
      <c r="O138" s="135"/>
      <c r="P138" s="135"/>
      <c r="Q138" s="135"/>
      <c r="R138" s="135"/>
      <c r="S138" s="135"/>
      <c r="T138" s="135"/>
      <c r="U138" s="135"/>
      <c r="V138" s="135"/>
      <c r="W138" s="135"/>
      <c r="X138" s="135"/>
      <c r="Y138" s="135"/>
      <c r="Z138" s="135"/>
    </row>
    <row r="139" spans="1:26">
      <c r="A139" s="135" t="str">
        <f ca="1">IFERROR(__xludf.DUMMYFUNCTION("""COMPUTED_VALUE"""),"Lowell Healthcare")</f>
        <v>Lowell Healthcare</v>
      </c>
      <c r="B139" s="135" t="str">
        <f ca="1">IFERROR(__xludf.DUMMYFUNCTION("""COMPUTED_VALUE"""),"ASC")</f>
        <v>ASC</v>
      </c>
      <c r="C139" s="135" t="str">
        <f ca="1">IFERROR(__xludf.DUMMYFUNCTION("""COMPUTED_VALUE"""),"   Tel: (219)696-7791")</f>
        <v xml:space="preserve">   Tel: (219)696-7791</v>
      </c>
      <c r="D139" s="135" t="str">
        <f ca="1">IFERROR(__xludf.DUMMYFUNCTION("""COMPUTED_VALUE"""),"   710 Michigan St")</f>
        <v xml:space="preserve">   710 Michigan St</v>
      </c>
      <c r="E139" s="135" t="str">
        <f ca="1">IFERROR(__xludf.DUMMYFUNCTION("""COMPUTED_VALUE"""),"   Lowell, In 46356")</f>
        <v xml:space="preserve">   Lowell, In 46356</v>
      </c>
      <c r="F139" s="135" t="str">
        <f ca="1">IFERROR(__xludf.DUMMYFUNCTION("""COMPUTED_VALUE"""),"No")</f>
        <v>No</v>
      </c>
      <c r="G139" s="135">
        <f ca="1">IFERROR(__xludf.DUMMYFUNCTION("""COMPUTED_VALUE"""),122)</f>
        <v>122</v>
      </c>
      <c r="H139" s="135" t="str">
        <f ca="1">IFERROR(__xludf.DUMMYFUNCTION("""COMPUTED_VALUE"""),"Optum Testing")</f>
        <v>Optum Testing</v>
      </c>
      <c r="I139" s="135" t="str">
        <f ca="1">IFERROR(__xludf.DUMMYFUNCTION("""COMPUTED_VALUE"""),"KITS")</f>
        <v>KITS</v>
      </c>
      <c r="J139" s="135" t="str">
        <f ca="1">IFERROR(__xludf.DUMMYFUNCTION("""COMPUTED_VALUE"""),"")</f>
        <v/>
      </c>
      <c r="K139" s="135"/>
      <c r="L139" s="135"/>
      <c r="M139" s="135"/>
      <c r="N139" s="135"/>
      <c r="O139" s="135"/>
      <c r="P139" s="135"/>
      <c r="Q139" s="135"/>
      <c r="R139" s="135"/>
      <c r="S139" s="135"/>
      <c r="T139" s="135"/>
      <c r="U139" s="135"/>
      <c r="V139" s="135"/>
      <c r="W139" s="135"/>
      <c r="X139" s="135"/>
      <c r="Y139" s="135"/>
      <c r="Z139" s="135"/>
    </row>
    <row r="140" spans="1:26">
      <c r="A140" s="135" t="str">
        <f ca="1">IFERROR(__xludf.DUMMYFUNCTION("""COMPUTED_VALUE"""),"Lutheran Community Home")</f>
        <v>Lutheran Community Home</v>
      </c>
      <c r="B140" s="135" t="str">
        <f ca="1">IFERROR(__xludf.DUMMYFUNCTION("""COMPUTED_VALUE"""),"")</f>
        <v/>
      </c>
      <c r="C140" s="135" t="str">
        <f ca="1">IFERROR(__xludf.DUMMYFUNCTION("""COMPUTED_VALUE"""),"   Tel: (812)522-5927")</f>
        <v xml:space="preserve">   Tel: (812)522-5927</v>
      </c>
      <c r="D140" s="135" t="str">
        <f ca="1">IFERROR(__xludf.DUMMYFUNCTION("""COMPUTED_VALUE"""),"   111 W Church Ave")</f>
        <v xml:space="preserve">   111 W Church Ave</v>
      </c>
      <c r="E140" s="135" t="str">
        <f ca="1">IFERROR(__xludf.DUMMYFUNCTION("""COMPUTED_VALUE"""),"   Seymour, In 47274")</f>
        <v xml:space="preserve">   Seymour, In 47274</v>
      </c>
      <c r="F140" s="135" t="str">
        <f ca="1">IFERROR(__xludf.DUMMYFUNCTION("""COMPUTED_VALUE"""),"")</f>
        <v/>
      </c>
      <c r="G140" s="135">
        <f ca="1">IFERROR(__xludf.DUMMYFUNCTION("""COMPUTED_VALUE"""),175)</f>
        <v>175</v>
      </c>
      <c r="H140" s="135" t="str">
        <f ca="1">IFERROR(__xludf.DUMMYFUNCTION("""COMPUTED_VALUE"""),"Local Hospital")</f>
        <v>Local Hospital</v>
      </c>
      <c r="I140" s="135" t="str">
        <f ca="1">IFERROR(__xludf.DUMMYFUNCTION("""COMPUTED_VALUE"""),"KITS")</f>
        <v>KITS</v>
      </c>
      <c r="J140" s="135" t="str">
        <f ca="1">IFERROR(__xludf.DUMMYFUNCTION("""COMPUTED_VALUE"""),"")</f>
        <v/>
      </c>
      <c r="K140" s="135"/>
      <c r="L140" s="135"/>
      <c r="M140" s="135"/>
      <c r="N140" s="135"/>
      <c r="O140" s="135"/>
      <c r="P140" s="135"/>
      <c r="Q140" s="135"/>
      <c r="R140" s="135"/>
      <c r="S140" s="135"/>
      <c r="T140" s="135"/>
      <c r="U140" s="135"/>
      <c r="V140" s="135"/>
      <c r="W140" s="135"/>
      <c r="X140" s="135"/>
      <c r="Y140" s="135"/>
      <c r="Z140" s="135"/>
    </row>
    <row r="141" spans="1:26">
      <c r="A141" s="135" t="str">
        <f ca="1">IFERROR(__xludf.DUMMYFUNCTION("""COMPUTED_VALUE"""),"Lutheran Life Villages")</f>
        <v>Lutheran Life Villages</v>
      </c>
      <c r="B141" s="135" t="str">
        <f ca="1">IFERROR(__xludf.DUMMYFUNCTION("""COMPUTED_VALUE"""),"")</f>
        <v/>
      </c>
      <c r="C141" s="135" t="str">
        <f ca="1">IFERROR(__xludf.DUMMYFUNCTION("""COMPUTED_VALUE"""),"   Tel: (260)447-1591")</f>
        <v xml:space="preserve">   Tel: (260)447-1591</v>
      </c>
      <c r="D141" s="135" t="str">
        <f ca="1">IFERROR(__xludf.DUMMYFUNCTION("""COMPUTED_VALUE"""),"   6701 S Anthony Blvd")</f>
        <v xml:space="preserve">   6701 S Anthony Blvd</v>
      </c>
      <c r="E141" s="135" t="str">
        <f ca="1">IFERROR(__xludf.DUMMYFUNCTION("""COMPUTED_VALUE"""),"   Fort Wayne, In 46816")</f>
        <v xml:space="preserve">   Fort Wayne, In 46816</v>
      </c>
      <c r="F141" s="135" t="str">
        <f ca="1">IFERROR(__xludf.DUMMYFUNCTION("""COMPUTED_VALUE"""),"")</f>
        <v/>
      </c>
      <c r="G141" s="135">
        <f ca="1">IFERROR(__xludf.DUMMYFUNCTION("""COMPUTED_VALUE"""),260)</f>
        <v>260</v>
      </c>
      <c r="H141" s="135" t="str">
        <f ca="1">IFERROR(__xludf.DUMMYFUNCTION("""COMPUTED_VALUE"""),"Local Hospital")</f>
        <v>Local Hospital</v>
      </c>
      <c r="I141" s="135" t="str">
        <f ca="1">IFERROR(__xludf.DUMMYFUNCTION("""COMPUTED_VALUE"""),"KITS")</f>
        <v>KITS</v>
      </c>
      <c r="J141" s="135" t="str">
        <f ca="1">IFERROR(__xludf.DUMMYFUNCTION("""COMPUTED_VALUE"""),"")</f>
        <v/>
      </c>
      <c r="K141" s="135"/>
      <c r="L141" s="135"/>
      <c r="M141" s="135"/>
      <c r="N141" s="135"/>
      <c r="O141" s="135"/>
      <c r="P141" s="135"/>
      <c r="Q141" s="135"/>
      <c r="R141" s="135"/>
      <c r="S141" s="135"/>
      <c r="T141" s="135"/>
      <c r="U141" s="135"/>
      <c r="V141" s="135"/>
      <c r="W141" s="135"/>
      <c r="X141" s="135"/>
      <c r="Y141" s="135"/>
      <c r="Z141" s="135"/>
    </row>
    <row r="142" spans="1:26">
      <c r="A142" s="135" t="str">
        <f ca="1">IFERROR(__xludf.DUMMYFUNCTION("""COMPUTED_VALUE"""),"Lutheran Life Villages - Village At Kendallville")</f>
        <v>Lutheran Life Villages - Village At Kendallville</v>
      </c>
      <c r="B142" s="135" t="str">
        <f ca="1">IFERROR(__xludf.DUMMYFUNCTION("""COMPUTED_VALUE"""),"Lutheran Life")</f>
        <v>Lutheran Life</v>
      </c>
      <c r="C142" s="135" t="str">
        <f ca="1">IFERROR(__xludf.DUMMYFUNCTION("""COMPUTED_VALUE"""),"(260) 205-8557")</f>
        <v>(260) 205-8557</v>
      </c>
      <c r="D142" s="135" t="str">
        <f ca="1">IFERROR(__xludf.DUMMYFUNCTION("""COMPUTED_VALUE"""),"351 N Allen Chapel Road")</f>
        <v>351 N Allen Chapel Road</v>
      </c>
      <c r="E142" s="135" t="str">
        <f ca="1">IFERROR(__xludf.DUMMYFUNCTION("""COMPUTED_VALUE"""),"Kendallville, In  46755")</f>
        <v>Kendallville, In  46755</v>
      </c>
      <c r="F142" s="135" t="str">
        <f ca="1">IFERROR(__xludf.DUMMYFUNCTION("""COMPUTED_VALUE"""),"")</f>
        <v/>
      </c>
      <c r="G142" s="135">
        <f ca="1">IFERROR(__xludf.DUMMYFUNCTION("""COMPUTED_VALUE"""),152)</f>
        <v>152</v>
      </c>
      <c r="H142" s="135" t="str">
        <f ca="1">IFERROR(__xludf.DUMMYFUNCTION("""COMPUTED_VALUE"""),"Optum Testing")</f>
        <v>Optum Testing</v>
      </c>
      <c r="I142" s="135" t="str">
        <f ca="1">IFERROR(__xludf.DUMMYFUNCTION("""COMPUTED_VALUE"""),"KITS")</f>
        <v>KITS</v>
      </c>
      <c r="J142" s="135" t="str">
        <f ca="1">IFERROR(__xludf.DUMMYFUNCTION("""COMPUTED_VALUE"""),"")</f>
        <v/>
      </c>
      <c r="K142" s="135"/>
      <c r="L142" s="135"/>
      <c r="M142" s="135"/>
      <c r="N142" s="135"/>
      <c r="O142" s="135"/>
      <c r="P142" s="135"/>
      <c r="Q142" s="135"/>
      <c r="R142" s="135"/>
      <c r="S142" s="135"/>
      <c r="T142" s="135"/>
      <c r="U142" s="135"/>
      <c r="V142" s="135"/>
      <c r="W142" s="135"/>
      <c r="X142" s="135"/>
      <c r="Y142" s="135"/>
      <c r="Z142" s="135"/>
    </row>
    <row r="143" spans="1:26">
      <c r="A143" s="135" t="str">
        <f ca="1">IFERROR(__xludf.DUMMYFUNCTION("""COMPUTED_VALUE"""),"Lutheran Life Villages At Pine Valley")</f>
        <v>Lutheran Life Villages At Pine Valley</v>
      </c>
      <c r="B143" s="135" t="str">
        <f ca="1">IFERROR(__xludf.DUMMYFUNCTION("""COMPUTED_VALUE"""),"Lutheran Life")</f>
        <v>Lutheran Life</v>
      </c>
      <c r="C143" s="135" t="str">
        <f ca="1">IFERROR(__xludf.DUMMYFUNCTION("""COMPUTED_VALUE"""),"(260) 469-0600")</f>
        <v>(260) 469-0600</v>
      </c>
      <c r="D143" s="135" t="str">
        <f ca="1">IFERROR(__xludf.DUMMYFUNCTION("""COMPUTED_VALUE"""),"9802 Coldwater Road")</f>
        <v>9802 Coldwater Road</v>
      </c>
      <c r="E143" s="135" t="str">
        <f ca="1">IFERROR(__xludf.DUMMYFUNCTION("""COMPUTED_VALUE"""),"Fort Wayne, In  46825")</f>
        <v>Fort Wayne, In  46825</v>
      </c>
      <c r="F143" s="135" t="str">
        <f ca="1">IFERROR(__xludf.DUMMYFUNCTION("""COMPUTED_VALUE"""),"")</f>
        <v/>
      </c>
      <c r="G143" s="135">
        <f ca="1">IFERROR(__xludf.DUMMYFUNCTION("""COMPUTED_VALUE"""),140)</f>
        <v>140</v>
      </c>
      <c r="H143" s="135" t="str">
        <f ca="1">IFERROR(__xludf.DUMMYFUNCTION("""COMPUTED_VALUE"""),"Optum Testing")</f>
        <v>Optum Testing</v>
      </c>
      <c r="I143" s="135" t="str">
        <f ca="1">IFERROR(__xludf.DUMMYFUNCTION("""COMPUTED_VALUE"""),"KITS")</f>
        <v>KITS</v>
      </c>
      <c r="J143" s="135" t="str">
        <f ca="1">IFERROR(__xludf.DUMMYFUNCTION("""COMPUTED_VALUE"""),"")</f>
        <v/>
      </c>
      <c r="K143" s="135"/>
      <c r="L143" s="135"/>
      <c r="M143" s="135"/>
      <c r="N143" s="135"/>
      <c r="O143" s="135"/>
      <c r="P143" s="135"/>
      <c r="Q143" s="135"/>
      <c r="R143" s="135"/>
      <c r="S143" s="135"/>
      <c r="T143" s="135"/>
      <c r="U143" s="135"/>
      <c r="V143" s="135"/>
      <c r="W143" s="135"/>
      <c r="X143" s="135"/>
      <c r="Y143" s="135"/>
      <c r="Z143" s="135"/>
    </row>
    <row r="144" spans="1:26">
      <c r="A144" s="135" t="str">
        <f ca="1">IFERROR(__xludf.DUMMYFUNCTION("""COMPUTED_VALUE"""),"Majestic Care Of Fort Wayne")</f>
        <v>Majestic Care Of Fort Wayne</v>
      </c>
      <c r="B144" s="135" t="str">
        <f ca="1">IFERROR(__xludf.DUMMYFUNCTION("""COMPUTED_VALUE"""),"Majestic")</f>
        <v>Majestic</v>
      </c>
      <c r="C144" s="135" t="str">
        <f ca="1">IFERROR(__xludf.DUMMYFUNCTION("""COMPUTED_VALUE"""),"   Tel: (260)747-7435")</f>
        <v xml:space="preserve">   Tel: (260)747-7435</v>
      </c>
      <c r="D144" s="135" t="str">
        <f ca="1">IFERROR(__xludf.DUMMYFUNCTION("""COMPUTED_VALUE"""),"   7519 Winchester Rd")</f>
        <v xml:space="preserve">   7519 Winchester Rd</v>
      </c>
      <c r="E144" s="135" t="str">
        <f ca="1">IFERROR(__xludf.DUMMYFUNCTION("""COMPUTED_VALUE"""),"   Fort Wayne, In 46819")</f>
        <v xml:space="preserve">   Fort Wayne, In 46819</v>
      </c>
      <c r="F144" s="135" t="str">
        <f ca="1">IFERROR(__xludf.DUMMYFUNCTION("""COMPUTED_VALUE"""),"")</f>
        <v/>
      </c>
      <c r="G144" s="135">
        <f ca="1">IFERROR(__xludf.DUMMYFUNCTION("""COMPUTED_VALUE"""),86)</f>
        <v>86</v>
      </c>
      <c r="H144" s="135" t="str">
        <f ca="1">IFERROR(__xludf.DUMMYFUNCTION("""COMPUTED_VALUE"""),"Local Hospital")</f>
        <v>Local Hospital</v>
      </c>
      <c r="I144" s="135" t="str">
        <f ca="1">IFERROR(__xludf.DUMMYFUNCTION("""COMPUTED_VALUE"""),"KITS")</f>
        <v>KITS</v>
      </c>
      <c r="J144" s="135" t="str">
        <f ca="1">IFERROR(__xludf.DUMMYFUNCTION("""COMPUTED_VALUE"""),"")</f>
        <v/>
      </c>
      <c r="K144" s="135"/>
      <c r="L144" s="135"/>
      <c r="M144" s="135"/>
      <c r="N144" s="135"/>
      <c r="O144" s="135"/>
      <c r="P144" s="135"/>
      <c r="Q144" s="135"/>
      <c r="R144" s="135"/>
      <c r="S144" s="135"/>
      <c r="T144" s="135"/>
      <c r="U144" s="135"/>
      <c r="V144" s="135"/>
      <c r="W144" s="135"/>
      <c r="X144" s="135"/>
      <c r="Y144" s="135"/>
      <c r="Z144" s="135"/>
    </row>
    <row r="145" spans="1:26">
      <c r="A145" s="135" t="str">
        <f ca="1">IFERROR(__xludf.DUMMYFUNCTION("""COMPUTED_VALUE"""),"Majestic Care Of New Haven")</f>
        <v>Majestic Care Of New Haven</v>
      </c>
      <c r="B145" s="135" t="str">
        <f ca="1">IFERROR(__xludf.DUMMYFUNCTION("""COMPUTED_VALUE"""),"Majestic")</f>
        <v>Majestic</v>
      </c>
      <c r="C145" s="135" t="str">
        <f ca="1">IFERROR(__xludf.DUMMYFUNCTION("""COMPUTED_VALUE"""),"   Tel: (260)749-0413")</f>
        <v xml:space="preserve">   Tel: (260)749-0413</v>
      </c>
      <c r="D145" s="135" t="str">
        <f ca="1">IFERROR(__xludf.DUMMYFUNCTION("""COMPUTED_VALUE"""),"   1201 Daly Drive")</f>
        <v xml:space="preserve">   1201 Daly Drive</v>
      </c>
      <c r="E145" s="135" t="str">
        <f ca="1">IFERROR(__xludf.DUMMYFUNCTION("""COMPUTED_VALUE"""),"   New Haven, In 46774")</f>
        <v xml:space="preserve">   New Haven, In 46774</v>
      </c>
      <c r="F145" s="135" t="str">
        <f ca="1">IFERROR(__xludf.DUMMYFUNCTION("""COMPUTED_VALUE"""),"")</f>
        <v/>
      </c>
      <c r="G145" s="135">
        <f ca="1">IFERROR(__xludf.DUMMYFUNCTION("""COMPUTED_VALUE"""),126)</f>
        <v>126</v>
      </c>
      <c r="H145" s="135" t="str">
        <f ca="1">IFERROR(__xludf.DUMMYFUNCTION("""COMPUTED_VALUE"""),"Optum Testing")</f>
        <v>Optum Testing</v>
      </c>
      <c r="I145" s="135" t="str">
        <f ca="1">IFERROR(__xludf.DUMMYFUNCTION("""COMPUTED_VALUE"""),"KITS")</f>
        <v>KITS</v>
      </c>
      <c r="J145" s="135" t="str">
        <f ca="1">IFERROR(__xludf.DUMMYFUNCTION("""COMPUTED_VALUE"""),"")</f>
        <v/>
      </c>
      <c r="K145" s="135"/>
      <c r="L145" s="135"/>
      <c r="M145" s="135"/>
      <c r="N145" s="135"/>
      <c r="O145" s="135"/>
      <c r="P145" s="135"/>
      <c r="Q145" s="135"/>
      <c r="R145" s="135"/>
      <c r="S145" s="135"/>
      <c r="T145" s="135"/>
      <c r="U145" s="135"/>
      <c r="V145" s="135"/>
      <c r="W145" s="135"/>
      <c r="X145" s="135"/>
      <c r="Y145" s="135"/>
      <c r="Z145" s="135"/>
    </row>
    <row r="146" spans="1:26">
      <c r="A146" s="135" t="str">
        <f ca="1">IFERROR(__xludf.DUMMYFUNCTION("""COMPUTED_VALUE"""),"Majestic Care Of North Vernon")</f>
        <v>Majestic Care Of North Vernon</v>
      </c>
      <c r="B146" s="135" t="str">
        <f ca="1">IFERROR(__xludf.DUMMYFUNCTION("""COMPUTED_VALUE"""),"Majestic")</f>
        <v>Majestic</v>
      </c>
      <c r="C146" s="135" t="str">
        <f ca="1">IFERROR(__xludf.DUMMYFUNCTION("""COMPUTED_VALUE"""),"   Tel: (812)346-9333")</f>
        <v xml:space="preserve">   Tel: (812)346-9333</v>
      </c>
      <c r="D146" s="135" t="str">
        <f ca="1">IFERROR(__xludf.DUMMYFUNCTION("""COMPUTED_VALUE"""),"   701 Henry Street")</f>
        <v xml:space="preserve">   701 Henry Street</v>
      </c>
      <c r="E146" s="135" t="str">
        <f ca="1">IFERROR(__xludf.DUMMYFUNCTION("""COMPUTED_VALUE"""),"   North Vernon, In 47265")</f>
        <v xml:space="preserve">   North Vernon, In 47265</v>
      </c>
      <c r="F146" s="135" t="str">
        <f ca="1">IFERROR(__xludf.DUMMYFUNCTION("""COMPUTED_VALUE"""),"")</f>
        <v/>
      </c>
      <c r="G146" s="135">
        <f ca="1">IFERROR(__xludf.DUMMYFUNCTION("""COMPUTED_VALUE"""),100)</f>
        <v>100</v>
      </c>
      <c r="H146" s="135" t="str">
        <f ca="1">IFERROR(__xludf.DUMMYFUNCTION("""COMPUTED_VALUE"""),"Local Hospital")</f>
        <v>Local Hospital</v>
      </c>
      <c r="I146" s="135" t="str">
        <f ca="1">IFERROR(__xludf.DUMMYFUNCTION("""COMPUTED_VALUE"""),"KITS")</f>
        <v>KITS</v>
      </c>
      <c r="J146" s="135" t="str">
        <f ca="1">IFERROR(__xludf.DUMMYFUNCTION("""COMPUTED_VALUE"""),"")</f>
        <v/>
      </c>
      <c r="K146" s="135"/>
      <c r="L146" s="135"/>
      <c r="M146" s="135"/>
      <c r="N146" s="135"/>
      <c r="O146" s="135"/>
      <c r="P146" s="135"/>
      <c r="Q146" s="135"/>
      <c r="R146" s="135"/>
      <c r="S146" s="135"/>
      <c r="T146" s="135"/>
      <c r="U146" s="135"/>
      <c r="V146" s="135"/>
      <c r="W146" s="135"/>
      <c r="X146" s="135"/>
      <c r="Y146" s="135"/>
      <c r="Z146" s="135"/>
    </row>
    <row r="147" spans="1:26">
      <c r="A147" s="135" t="str">
        <f ca="1">IFERROR(__xludf.DUMMYFUNCTION("""COMPUTED_VALUE"""),"Majestic Care Of Sheridan")</f>
        <v>Majestic Care Of Sheridan</v>
      </c>
      <c r="B147" s="135" t="str">
        <f ca="1">IFERROR(__xludf.DUMMYFUNCTION("""COMPUTED_VALUE"""),"Majestic")</f>
        <v>Majestic</v>
      </c>
      <c r="C147" s="135" t="str">
        <f ca="1">IFERROR(__xludf.DUMMYFUNCTION("""COMPUTED_VALUE"""),"   Tel: (317)758-4426")</f>
        <v xml:space="preserve">   Tel: (317)758-4426</v>
      </c>
      <c r="D147" s="135" t="str">
        <f ca="1">IFERROR(__xludf.DUMMYFUNCTION("""COMPUTED_VALUE"""),"   803 S Hamilton St")</f>
        <v xml:space="preserve">   803 S Hamilton St</v>
      </c>
      <c r="E147" s="135" t="str">
        <f ca="1">IFERROR(__xludf.DUMMYFUNCTION("""COMPUTED_VALUE"""),"   Sheridan, In 46069")</f>
        <v xml:space="preserve">   Sheridan, In 46069</v>
      </c>
      <c r="F147" s="135" t="str">
        <f ca="1">IFERROR(__xludf.DUMMYFUNCTION("""COMPUTED_VALUE"""),"")</f>
        <v/>
      </c>
      <c r="G147" s="135">
        <f ca="1">IFERROR(__xludf.DUMMYFUNCTION("""COMPUTED_VALUE"""),100)</f>
        <v>100</v>
      </c>
      <c r="H147" s="135" t="str">
        <f ca="1">IFERROR(__xludf.DUMMYFUNCTION("""COMPUTED_VALUE"""),"Optum Testing")</f>
        <v>Optum Testing</v>
      </c>
      <c r="I147" s="135" t="str">
        <f ca="1">IFERROR(__xludf.DUMMYFUNCTION("""COMPUTED_VALUE"""),"KITS")</f>
        <v>KITS</v>
      </c>
      <c r="J147" s="135" t="str">
        <f ca="1">IFERROR(__xludf.DUMMYFUNCTION("""COMPUTED_VALUE"""),"")</f>
        <v/>
      </c>
      <c r="K147" s="135"/>
      <c r="L147" s="135"/>
      <c r="M147" s="135"/>
      <c r="N147" s="135"/>
      <c r="O147" s="135"/>
      <c r="P147" s="135"/>
      <c r="Q147" s="135"/>
      <c r="R147" s="135"/>
      <c r="S147" s="135"/>
      <c r="T147" s="135"/>
      <c r="U147" s="135"/>
      <c r="V147" s="135"/>
      <c r="W147" s="135"/>
      <c r="X147" s="135"/>
      <c r="Y147" s="135"/>
      <c r="Z147" s="135"/>
    </row>
    <row r="148" spans="1:26">
      <c r="A148" s="135" t="str">
        <f ca="1">IFERROR(__xludf.DUMMYFUNCTION("""COMPUTED_VALUE"""),"Manderley Health Care Center")</f>
        <v>Manderley Health Care Center</v>
      </c>
      <c r="B148" s="135" t="str">
        <f ca="1">IFERROR(__xludf.DUMMYFUNCTION("""COMPUTED_VALUE"""),"")</f>
        <v/>
      </c>
      <c r="C148" s="135" t="str">
        <f ca="1">IFERROR(__xludf.DUMMYFUNCTION("""COMPUTED_VALUE"""),"   Tel: (812)689-4143")</f>
        <v xml:space="preserve">   Tel: (812)689-4143</v>
      </c>
      <c r="D148" s="135" t="str">
        <f ca="1">IFERROR(__xludf.DUMMYFUNCTION("""COMPUTED_VALUE"""),"   806 S Buckeye St")</f>
        <v xml:space="preserve">   806 S Buckeye St</v>
      </c>
      <c r="E148" s="135" t="str">
        <f ca="1">IFERROR(__xludf.DUMMYFUNCTION("""COMPUTED_VALUE"""),"   Osgood, In 47037")</f>
        <v xml:space="preserve">   Osgood, In 47037</v>
      </c>
      <c r="F148" s="135" t="str">
        <f ca="1">IFERROR(__xludf.DUMMYFUNCTION("""COMPUTED_VALUE"""),"")</f>
        <v/>
      </c>
      <c r="G148" s="135">
        <f ca="1">IFERROR(__xludf.DUMMYFUNCTION("""COMPUTED_VALUE"""),80)</f>
        <v>80</v>
      </c>
      <c r="H148" s="135" t="str">
        <f ca="1">IFERROR(__xludf.DUMMYFUNCTION("""COMPUTED_VALUE"""),"Optum Testing")</f>
        <v>Optum Testing</v>
      </c>
      <c r="I148" s="135" t="str">
        <f ca="1">IFERROR(__xludf.DUMMYFUNCTION("""COMPUTED_VALUE"""),"KITS")</f>
        <v>KITS</v>
      </c>
      <c r="J148" s="135" t="str">
        <f ca="1">IFERROR(__xludf.DUMMYFUNCTION("""COMPUTED_VALUE"""),"")</f>
        <v/>
      </c>
      <c r="K148" s="135"/>
      <c r="L148" s="135"/>
      <c r="M148" s="135"/>
      <c r="N148" s="135"/>
      <c r="O148" s="135"/>
      <c r="P148" s="135"/>
      <c r="Q148" s="135"/>
      <c r="R148" s="135"/>
      <c r="S148" s="135"/>
      <c r="T148" s="135"/>
      <c r="U148" s="135"/>
      <c r="V148" s="135"/>
      <c r="W148" s="135"/>
      <c r="X148" s="135"/>
      <c r="Y148" s="135"/>
      <c r="Z148" s="135"/>
    </row>
    <row r="149" spans="1:26">
      <c r="A149" s="135" t="str">
        <f ca="1">IFERROR(__xludf.DUMMYFUNCTION("""COMPUTED_VALUE"""),"Manorcare Health Services")</f>
        <v>Manorcare Health Services</v>
      </c>
      <c r="B149" s="135" t="str">
        <f ca="1">IFERROR(__xludf.DUMMYFUNCTION("""COMPUTED_VALUE"""),"")</f>
        <v/>
      </c>
      <c r="C149" s="135" t="str">
        <f ca="1">IFERROR(__xludf.DUMMYFUNCTION("""COMPUTED_VALUE"""),"   Tel: (317)881-9164")</f>
        <v xml:space="preserve">   Tel: (317)881-9164</v>
      </c>
      <c r="D149" s="135" t="str">
        <f ca="1">IFERROR(__xludf.DUMMYFUNCTION("""COMPUTED_VALUE"""),"   8549 S Madison Ave")</f>
        <v xml:space="preserve">   8549 S Madison Ave</v>
      </c>
      <c r="E149" s="135" t="str">
        <f ca="1">IFERROR(__xludf.DUMMYFUNCTION("""COMPUTED_VALUE"""),"   Indianapolis, In 46227")</f>
        <v xml:space="preserve">   Indianapolis, In 46227</v>
      </c>
      <c r="F149" s="135" t="str">
        <f ca="1">IFERROR(__xludf.DUMMYFUNCTION("""COMPUTED_VALUE"""),"")</f>
        <v/>
      </c>
      <c r="G149" s="135">
        <f ca="1">IFERROR(__xludf.DUMMYFUNCTION("""COMPUTED_VALUE"""),180)</f>
        <v>180</v>
      </c>
      <c r="H149" s="135" t="str">
        <f ca="1">IFERROR(__xludf.DUMMYFUNCTION("""COMPUTED_VALUE"""),"Local Hospital")</f>
        <v>Local Hospital</v>
      </c>
      <c r="I149" s="135" t="str">
        <f ca="1">IFERROR(__xludf.DUMMYFUNCTION("""COMPUTED_VALUE"""),"KITS")</f>
        <v>KITS</v>
      </c>
      <c r="J149" s="135" t="str">
        <f ca="1">IFERROR(__xludf.DUMMYFUNCTION("""COMPUTED_VALUE"""),"")</f>
        <v/>
      </c>
      <c r="K149" s="135"/>
      <c r="L149" s="135"/>
      <c r="M149" s="135"/>
      <c r="N149" s="135"/>
      <c r="O149" s="135"/>
      <c r="P149" s="135"/>
      <c r="Q149" s="135"/>
      <c r="R149" s="135"/>
      <c r="S149" s="135"/>
      <c r="T149" s="135"/>
      <c r="U149" s="135"/>
      <c r="V149" s="135"/>
      <c r="W149" s="135"/>
      <c r="X149" s="135"/>
      <c r="Y149" s="135"/>
      <c r="Z149" s="135"/>
    </row>
    <row r="150" spans="1:26">
      <c r="A150" s="135" t="str">
        <f ca="1">IFERROR(__xludf.DUMMYFUNCTION("""COMPUTED_VALUE"""),"Maple Manor Christian Home Inc")</f>
        <v>Maple Manor Christian Home Inc</v>
      </c>
      <c r="B150" s="135" t="str">
        <f ca="1">IFERROR(__xludf.DUMMYFUNCTION("""COMPUTED_VALUE"""),"")</f>
        <v/>
      </c>
      <c r="C150" s="135" t="str">
        <f ca="1">IFERROR(__xludf.DUMMYFUNCTION("""COMPUTED_VALUE"""),"   Tel: (812)246-4866")</f>
        <v xml:space="preserve">   Tel: (812)246-4866</v>
      </c>
      <c r="D150" s="135" t="str">
        <f ca="1">IFERROR(__xludf.DUMMYFUNCTION("""COMPUTED_VALUE"""),"   643 W Utica St")</f>
        <v xml:space="preserve">   643 W Utica St</v>
      </c>
      <c r="E150" s="135" t="str">
        <f ca="1">IFERROR(__xludf.DUMMYFUNCTION("""COMPUTED_VALUE"""),"   Sellersburg, In 47172")</f>
        <v xml:space="preserve">   Sellersburg, In 47172</v>
      </c>
      <c r="F150" s="135" t="str">
        <f ca="1">IFERROR(__xludf.DUMMYFUNCTION("""COMPUTED_VALUE"""),"")</f>
        <v/>
      </c>
      <c r="G150" s="135">
        <f ca="1">IFERROR(__xludf.DUMMYFUNCTION("""COMPUTED_VALUE"""),60)</f>
        <v>60</v>
      </c>
      <c r="H150" s="135" t="str">
        <f ca="1">IFERROR(__xludf.DUMMYFUNCTION("""COMPUTED_VALUE"""),"Optum Testing")</f>
        <v>Optum Testing</v>
      </c>
      <c r="I150" s="135" t="str">
        <f ca="1">IFERROR(__xludf.DUMMYFUNCTION("""COMPUTED_VALUE"""),"KITS")</f>
        <v>KITS</v>
      </c>
      <c r="J150" s="135" t="str">
        <f ca="1">IFERROR(__xludf.DUMMYFUNCTION("""COMPUTED_VALUE"""),"")</f>
        <v/>
      </c>
      <c r="K150" s="135"/>
      <c r="L150" s="135"/>
      <c r="M150" s="135"/>
      <c r="N150" s="135"/>
      <c r="O150" s="135"/>
      <c r="P150" s="135"/>
      <c r="Q150" s="135"/>
      <c r="R150" s="135"/>
      <c r="S150" s="135"/>
      <c r="T150" s="135"/>
      <c r="U150" s="135"/>
      <c r="V150" s="135"/>
      <c r="W150" s="135"/>
      <c r="X150" s="135"/>
      <c r="Y150" s="135"/>
      <c r="Z150" s="135"/>
    </row>
    <row r="151" spans="1:26">
      <c r="A151" s="135" t="str">
        <f ca="1">IFERROR(__xludf.DUMMYFUNCTION("""COMPUTED_VALUE"""),"Maple Park Village")</f>
        <v>Maple Park Village</v>
      </c>
      <c r="B151" s="135" t="str">
        <f ca="1">IFERROR(__xludf.DUMMYFUNCTION("""COMPUTED_VALUE"""),"ASC")</f>
        <v>ASC</v>
      </c>
      <c r="C151" s="135" t="str">
        <f ca="1">IFERROR(__xludf.DUMMYFUNCTION("""COMPUTED_VALUE"""),"   Tel: (317)896-2515")</f>
        <v xml:space="preserve">   Tel: (317)896-2515</v>
      </c>
      <c r="D151" s="135" t="str">
        <f ca="1">IFERROR(__xludf.DUMMYFUNCTION("""COMPUTED_VALUE"""),"   776 N Union St")</f>
        <v xml:space="preserve">   776 N Union St</v>
      </c>
      <c r="E151" s="135" t="str">
        <f ca="1">IFERROR(__xludf.DUMMYFUNCTION("""COMPUTED_VALUE"""),"   Westfield, In 46074")</f>
        <v xml:space="preserve">   Westfield, In 46074</v>
      </c>
      <c r="F151" s="135" t="str">
        <f ca="1">IFERROR(__xludf.DUMMYFUNCTION("""COMPUTED_VALUE"""),"")</f>
        <v/>
      </c>
      <c r="G151" s="135">
        <f ca="1">IFERROR(__xludf.DUMMYFUNCTION("""COMPUTED_VALUE"""),85)</f>
        <v>85</v>
      </c>
      <c r="H151" s="135" t="str">
        <f ca="1">IFERROR(__xludf.DUMMYFUNCTION("""COMPUTED_VALUE"""),"Optum Testing")</f>
        <v>Optum Testing</v>
      </c>
      <c r="I151" s="135" t="str">
        <f ca="1">IFERROR(__xludf.DUMMYFUNCTION("""COMPUTED_VALUE"""),"KITS")</f>
        <v>KITS</v>
      </c>
      <c r="J151" s="135" t="str">
        <f ca="1">IFERROR(__xludf.DUMMYFUNCTION("""COMPUTED_VALUE"""),"")</f>
        <v/>
      </c>
      <c r="K151" s="135"/>
      <c r="L151" s="135"/>
      <c r="M151" s="135"/>
      <c r="N151" s="135"/>
      <c r="O151" s="135"/>
      <c r="P151" s="135"/>
      <c r="Q151" s="135"/>
      <c r="R151" s="135"/>
      <c r="S151" s="135"/>
      <c r="T151" s="135"/>
      <c r="U151" s="135"/>
      <c r="V151" s="135"/>
      <c r="W151" s="135"/>
      <c r="X151" s="135"/>
      <c r="Y151" s="135"/>
      <c r="Z151" s="135"/>
    </row>
    <row r="152" spans="1:26">
      <c r="A152" s="135" t="str">
        <f ca="1">IFERROR(__xludf.DUMMYFUNCTION("""COMPUTED_VALUE"""),"Markle Health &amp; Rehabilitation")</f>
        <v>Markle Health &amp; Rehabilitation</v>
      </c>
      <c r="B152" s="135" t="str">
        <f ca="1">IFERROR(__xludf.DUMMYFUNCTION("""COMPUTED_VALUE"""),"ASC")</f>
        <v>ASC</v>
      </c>
      <c r="C152" s="135" t="str">
        <f ca="1">IFERROR(__xludf.DUMMYFUNCTION("""COMPUTED_VALUE"""),"   Tel: (260)758-2131")</f>
        <v xml:space="preserve">   Tel: (260)758-2131</v>
      </c>
      <c r="D152" s="135" t="str">
        <f ca="1">IFERROR(__xludf.DUMMYFUNCTION("""COMPUTED_VALUE"""),"   170 N Tracy St")</f>
        <v xml:space="preserve">   170 N Tracy St</v>
      </c>
      <c r="E152" s="135" t="str">
        <f ca="1">IFERROR(__xludf.DUMMYFUNCTION("""COMPUTED_VALUE"""),"   Markle, In 46770")</f>
        <v xml:space="preserve">   Markle, In 46770</v>
      </c>
      <c r="F152" s="135" t="str">
        <f ca="1">IFERROR(__xludf.DUMMYFUNCTION("""COMPUTED_VALUE"""),"")</f>
        <v/>
      </c>
      <c r="G152" s="135">
        <f ca="1">IFERROR(__xludf.DUMMYFUNCTION("""COMPUTED_VALUE"""),115)</f>
        <v>115</v>
      </c>
      <c r="H152" s="135" t="str">
        <f ca="1">IFERROR(__xludf.DUMMYFUNCTION("""COMPUTED_VALUE"""),"Optum Testing")</f>
        <v>Optum Testing</v>
      </c>
      <c r="I152" s="135" t="str">
        <f ca="1">IFERROR(__xludf.DUMMYFUNCTION("""COMPUTED_VALUE"""),"KITS")</f>
        <v>KITS</v>
      </c>
      <c r="J152" s="135" t="str">
        <f ca="1">IFERROR(__xludf.DUMMYFUNCTION("""COMPUTED_VALUE"""),"")</f>
        <v/>
      </c>
      <c r="K152" s="135"/>
      <c r="L152" s="135"/>
      <c r="M152" s="135"/>
      <c r="N152" s="135"/>
      <c r="O152" s="135"/>
      <c r="P152" s="135"/>
      <c r="Q152" s="135"/>
      <c r="R152" s="135"/>
      <c r="S152" s="135"/>
      <c r="T152" s="135"/>
      <c r="U152" s="135"/>
      <c r="V152" s="135"/>
      <c r="W152" s="135"/>
      <c r="X152" s="135"/>
      <c r="Y152" s="135"/>
      <c r="Z152" s="135"/>
    </row>
    <row r="153" spans="1:26">
      <c r="A153" s="135" t="str">
        <f ca="1">IFERROR(__xludf.DUMMYFUNCTION("""COMPUTED_VALUE"""),"Marquette")</f>
        <v>Marquette</v>
      </c>
      <c r="B153" s="135" t="str">
        <f ca="1">IFERROR(__xludf.DUMMYFUNCTION("""COMPUTED_VALUE"""),"")</f>
        <v/>
      </c>
      <c r="C153" s="135" t="str">
        <f ca="1">IFERROR(__xludf.DUMMYFUNCTION("""COMPUTED_VALUE"""),"   Tel: (317)875-9700")</f>
        <v xml:space="preserve">   Tel: (317)875-9700</v>
      </c>
      <c r="D153" s="135" t="str">
        <f ca="1">IFERROR(__xludf.DUMMYFUNCTION("""COMPUTED_VALUE"""),"   8140 Township Line Rd")</f>
        <v xml:space="preserve">   8140 Township Line Rd</v>
      </c>
      <c r="E153" s="135" t="str">
        <f ca="1">IFERROR(__xludf.DUMMYFUNCTION("""COMPUTED_VALUE"""),"   Indianapolis, In 46260")</f>
        <v xml:space="preserve">   Indianapolis, In 46260</v>
      </c>
      <c r="F153" s="135" t="str">
        <f ca="1">IFERROR(__xludf.DUMMYFUNCTION("""COMPUTED_VALUE"""),"")</f>
        <v/>
      </c>
      <c r="G153" s="135">
        <f ca="1">IFERROR(__xludf.DUMMYFUNCTION("""COMPUTED_VALUE"""),330)</f>
        <v>330</v>
      </c>
      <c r="H153" s="135" t="str">
        <f ca="1">IFERROR(__xludf.DUMMYFUNCTION("""COMPUTED_VALUE"""),"Non-Specific Plan/Hypothetical/Local Sites")</f>
        <v>Non-Specific Plan/Hypothetical/Local Sites</v>
      </c>
      <c r="I153" s="135" t="str">
        <f ca="1">IFERROR(__xludf.DUMMYFUNCTION("""COMPUTED_VALUE"""),"KITS")</f>
        <v>KITS</v>
      </c>
      <c r="J153" s="135" t="str">
        <f ca="1">IFERROR(__xludf.DUMMYFUNCTION("""COMPUTED_VALUE"""),"")</f>
        <v/>
      </c>
      <c r="K153" s="135"/>
      <c r="L153" s="135"/>
      <c r="M153" s="135"/>
      <c r="N153" s="135"/>
      <c r="O153" s="135"/>
      <c r="P153" s="135"/>
      <c r="Q153" s="135"/>
      <c r="R153" s="135"/>
      <c r="S153" s="135"/>
      <c r="T153" s="135"/>
      <c r="U153" s="135"/>
      <c r="V153" s="135"/>
      <c r="W153" s="135"/>
      <c r="X153" s="135"/>
      <c r="Y153" s="135"/>
      <c r="Z153" s="135"/>
    </row>
    <row r="154" spans="1:26">
      <c r="A154" s="135" t="str">
        <f ca="1">IFERROR(__xludf.DUMMYFUNCTION("""COMPUTED_VALUE"""),"Mason Health Care Center")</f>
        <v>Mason Health Care Center</v>
      </c>
      <c r="B154" s="135" t="str">
        <f ca="1">IFERROR(__xludf.DUMMYFUNCTION("""COMPUTED_VALUE"""),"TLC")</f>
        <v>TLC</v>
      </c>
      <c r="C154" s="135" t="str">
        <f ca="1">IFERROR(__xludf.DUMMYFUNCTION("""COMPUTED_VALUE"""),"   Tel: (574)371-2500")</f>
        <v xml:space="preserve">   Tel: (574)371-2500</v>
      </c>
      <c r="D154" s="135" t="str">
        <f ca="1">IFERROR(__xludf.DUMMYFUNCTION("""COMPUTED_VALUE"""),"   900 Provident Drive")</f>
        <v xml:space="preserve">   900 Provident Drive</v>
      </c>
      <c r="E154" s="135" t="str">
        <f ca="1">IFERROR(__xludf.DUMMYFUNCTION("""COMPUTED_VALUE"""),"   Warsaw, In 46580")</f>
        <v xml:space="preserve">   Warsaw, In 46580</v>
      </c>
      <c r="F154" s="135" t="str">
        <f ca="1">IFERROR(__xludf.DUMMYFUNCTION("""COMPUTED_VALUE"""),"")</f>
        <v/>
      </c>
      <c r="G154" s="135">
        <f ca="1">IFERROR(__xludf.DUMMYFUNCTION("""COMPUTED_VALUE"""),115)</f>
        <v>115</v>
      </c>
      <c r="H154" s="135" t="str">
        <f ca="1">IFERROR(__xludf.DUMMYFUNCTION("""COMPUTED_VALUE"""),"Local Hospital")</f>
        <v>Local Hospital</v>
      </c>
      <c r="I154" s="135" t="str">
        <f ca="1">IFERROR(__xludf.DUMMYFUNCTION("""COMPUTED_VALUE"""),"KITS")</f>
        <v>KITS</v>
      </c>
      <c r="J154" s="135" t="str">
        <f ca="1">IFERROR(__xludf.DUMMYFUNCTION("""COMPUTED_VALUE"""),"")</f>
        <v/>
      </c>
      <c r="K154" s="135"/>
      <c r="L154" s="135"/>
      <c r="M154" s="135"/>
      <c r="N154" s="135"/>
      <c r="O154" s="135"/>
      <c r="P154" s="135"/>
      <c r="Q154" s="135"/>
      <c r="R154" s="135"/>
      <c r="S154" s="135"/>
      <c r="T154" s="135"/>
      <c r="U154" s="135"/>
      <c r="V154" s="135"/>
      <c r="W154" s="135"/>
      <c r="X154" s="135"/>
      <c r="Y154" s="135"/>
      <c r="Z154" s="135"/>
    </row>
    <row r="155" spans="1:26">
      <c r="A155" s="135" t="str">
        <f ca="1">IFERROR(__xludf.DUMMYFUNCTION("""COMPUTED_VALUE"""),"Mcgivney Health Care Center")</f>
        <v>Mcgivney Health Care Center</v>
      </c>
      <c r="B155" s="135" t="str">
        <f ca="1">IFERROR(__xludf.DUMMYFUNCTION("""COMPUTED_VALUE"""),"")</f>
        <v/>
      </c>
      <c r="C155" s="135" t="str">
        <f ca="1">IFERROR(__xludf.DUMMYFUNCTION("""COMPUTED_VALUE"""),"   Tel: (317)846-0265")</f>
        <v xml:space="preserve">   Tel: (317)846-0265</v>
      </c>
      <c r="D155" s="135" t="str">
        <f ca="1">IFERROR(__xludf.DUMMYFUNCTION("""COMPUTED_VALUE"""),"   2907 East 136Th St")</f>
        <v xml:space="preserve">   2907 East 136Th St</v>
      </c>
      <c r="E155" s="135" t="str">
        <f ca="1">IFERROR(__xludf.DUMMYFUNCTION("""COMPUTED_VALUE"""),"   Carmel, In 46033")</f>
        <v xml:space="preserve">   Carmel, In 46033</v>
      </c>
      <c r="F155" s="135" t="str">
        <f ca="1">IFERROR(__xludf.DUMMYFUNCTION("""COMPUTED_VALUE"""),"")</f>
        <v/>
      </c>
      <c r="G155" s="135">
        <f ca="1">IFERROR(__xludf.DUMMYFUNCTION("""COMPUTED_VALUE"""),45)</f>
        <v>45</v>
      </c>
      <c r="H155" s="135" t="str">
        <f ca="1">IFERROR(__xludf.DUMMYFUNCTION("""COMPUTED_VALUE"""),"Optum Testing")</f>
        <v>Optum Testing</v>
      </c>
      <c r="I155" s="135" t="str">
        <f ca="1">IFERROR(__xludf.DUMMYFUNCTION("""COMPUTED_VALUE"""),"KITS")</f>
        <v>KITS</v>
      </c>
      <c r="J155" s="135" t="str">
        <f ca="1">IFERROR(__xludf.DUMMYFUNCTION("""COMPUTED_VALUE"""),"")</f>
        <v/>
      </c>
      <c r="K155" s="135"/>
      <c r="L155" s="135"/>
      <c r="M155" s="135"/>
      <c r="N155" s="135"/>
      <c r="O155" s="135"/>
      <c r="P155" s="135"/>
      <c r="Q155" s="135"/>
      <c r="R155" s="135"/>
      <c r="S155" s="135"/>
      <c r="T155" s="135"/>
      <c r="U155" s="135"/>
      <c r="V155" s="135"/>
      <c r="W155" s="135"/>
      <c r="X155" s="135"/>
      <c r="Y155" s="135"/>
      <c r="Z155" s="135"/>
    </row>
    <row r="156" spans="1:26">
      <c r="A156" s="135" t="str">
        <f ca="1">IFERROR(__xludf.DUMMYFUNCTION("""COMPUTED_VALUE"""),"Meadow Lakes")</f>
        <v>Meadow Lakes</v>
      </c>
      <c r="B156" s="135" t="str">
        <f ca="1">IFERROR(__xludf.DUMMYFUNCTION("""COMPUTED_VALUE"""),"ASC")</f>
        <v>ASC</v>
      </c>
      <c r="C156" s="135" t="str">
        <f ca="1">IFERROR(__xludf.DUMMYFUNCTION("""COMPUTED_VALUE"""),"   Tel: (317)834-1791")</f>
        <v xml:space="preserve">   Tel: (317)834-1791</v>
      </c>
      <c r="D156" s="135" t="str">
        <f ca="1">IFERROR(__xludf.DUMMYFUNCTION("""COMPUTED_VALUE"""),"   200 Meadow Lake Dr")</f>
        <v xml:space="preserve">   200 Meadow Lake Dr</v>
      </c>
      <c r="E156" s="135" t="str">
        <f ca="1">IFERROR(__xludf.DUMMYFUNCTION("""COMPUTED_VALUE"""),"   Mooresville, In 46158")</f>
        <v xml:space="preserve">   Mooresville, In 46158</v>
      </c>
      <c r="F156" s="135" t="str">
        <f ca="1">IFERROR(__xludf.DUMMYFUNCTION("""COMPUTED_VALUE"""),"")</f>
        <v/>
      </c>
      <c r="G156" s="135">
        <f ca="1">IFERROR(__xludf.DUMMYFUNCTION("""COMPUTED_VALUE"""),180)</f>
        <v>180</v>
      </c>
      <c r="H156" s="135" t="str">
        <f ca="1">IFERROR(__xludf.DUMMYFUNCTION("""COMPUTED_VALUE"""),"Optum Testing")</f>
        <v>Optum Testing</v>
      </c>
      <c r="I156" s="135" t="str">
        <f ca="1">IFERROR(__xludf.DUMMYFUNCTION("""COMPUTED_VALUE"""),"KITS")</f>
        <v>KITS</v>
      </c>
      <c r="J156" s="135" t="str">
        <f ca="1">IFERROR(__xludf.DUMMYFUNCTION("""COMPUTED_VALUE"""),"")</f>
        <v/>
      </c>
      <c r="K156" s="135"/>
      <c r="L156" s="135"/>
      <c r="M156" s="135"/>
      <c r="N156" s="135"/>
      <c r="O156" s="135"/>
      <c r="P156" s="135"/>
      <c r="Q156" s="135"/>
      <c r="R156" s="135"/>
      <c r="S156" s="135"/>
      <c r="T156" s="135"/>
      <c r="U156" s="135"/>
      <c r="V156" s="135"/>
      <c r="W156" s="135"/>
      <c r="X156" s="135"/>
      <c r="Y156" s="135"/>
      <c r="Z156" s="135"/>
    </row>
    <row r="157" spans="1:26">
      <c r="A157" s="135" t="str">
        <f ca="1">IFERROR(__xludf.DUMMYFUNCTION("""COMPUTED_VALUE"""),"Meadow View Health And Rehabilitation")</f>
        <v>Meadow View Health And Rehabilitation</v>
      </c>
      <c r="B157" s="135" t="str">
        <f ca="1">IFERROR(__xludf.DUMMYFUNCTION("""COMPUTED_VALUE"""),"ASC")</f>
        <v>ASC</v>
      </c>
      <c r="C157" s="135" t="str">
        <f ca="1">IFERROR(__xludf.DUMMYFUNCTION("""COMPUTED_VALUE"""),"   Tel: (812)883-4681")</f>
        <v xml:space="preserve">   Tel: (812)883-4681</v>
      </c>
      <c r="D157" s="135" t="str">
        <f ca="1">IFERROR(__xludf.DUMMYFUNCTION("""COMPUTED_VALUE"""),"   900 Anson St")</f>
        <v xml:space="preserve">   900 Anson St</v>
      </c>
      <c r="E157" s="135" t="str">
        <f ca="1">IFERROR(__xludf.DUMMYFUNCTION("""COMPUTED_VALUE"""),"   Salem, In 47167")</f>
        <v xml:space="preserve">   Salem, In 47167</v>
      </c>
      <c r="F157" s="135" t="str">
        <f ca="1">IFERROR(__xludf.DUMMYFUNCTION("""COMPUTED_VALUE"""),"")</f>
        <v/>
      </c>
      <c r="G157" s="135">
        <f ca="1">IFERROR(__xludf.DUMMYFUNCTION("""COMPUTED_VALUE"""),102)</f>
        <v>102</v>
      </c>
      <c r="H157" s="135" t="str">
        <f ca="1">IFERROR(__xludf.DUMMYFUNCTION("""COMPUTED_VALUE"""),"Optum Testing")</f>
        <v>Optum Testing</v>
      </c>
      <c r="I157" s="135" t="str">
        <f ca="1">IFERROR(__xludf.DUMMYFUNCTION("""COMPUTED_VALUE"""),"KITS")</f>
        <v>KITS</v>
      </c>
      <c r="J157" s="135" t="str">
        <f ca="1">IFERROR(__xludf.DUMMYFUNCTION("""COMPUTED_VALUE"""),"")</f>
        <v/>
      </c>
      <c r="K157" s="135"/>
      <c r="L157" s="135"/>
      <c r="M157" s="135"/>
      <c r="N157" s="135"/>
      <c r="O157" s="135"/>
      <c r="P157" s="135"/>
      <c r="Q157" s="135"/>
      <c r="R157" s="135"/>
      <c r="S157" s="135"/>
      <c r="T157" s="135"/>
      <c r="U157" s="135"/>
      <c r="V157" s="135"/>
      <c r="W157" s="135"/>
      <c r="X157" s="135"/>
      <c r="Y157" s="135"/>
      <c r="Z157" s="135"/>
    </row>
    <row r="158" spans="1:26">
      <c r="A158" s="135" t="str">
        <f ca="1">IFERROR(__xludf.DUMMYFUNCTION("""COMPUTED_VALUE"""),"Meadows Manor East")</f>
        <v>Meadows Manor East</v>
      </c>
      <c r="B158" s="135" t="str">
        <f ca="1">IFERROR(__xludf.DUMMYFUNCTION("""COMPUTED_VALUE"""),"")</f>
        <v/>
      </c>
      <c r="C158" s="135" t="str">
        <f ca="1">IFERROR(__xludf.DUMMYFUNCTION("""COMPUTED_VALUE"""),"   Tel: (812)235-6281")</f>
        <v xml:space="preserve">   Tel: (812)235-6281</v>
      </c>
      <c r="D158" s="135" t="str">
        <f ca="1">IFERROR(__xludf.DUMMYFUNCTION("""COMPUTED_VALUE"""),"   3300 Poplar St")</f>
        <v xml:space="preserve">   3300 Poplar St</v>
      </c>
      <c r="E158" s="135" t="str">
        <f ca="1">IFERROR(__xludf.DUMMYFUNCTION("""COMPUTED_VALUE"""),"   Terre Haute, In 47803")</f>
        <v xml:space="preserve">   Terre Haute, In 47803</v>
      </c>
      <c r="F158" s="135" t="str">
        <f ca="1">IFERROR(__xludf.DUMMYFUNCTION("""COMPUTED_VALUE"""),"")</f>
        <v/>
      </c>
      <c r="G158" s="135">
        <f ca="1">IFERROR(__xludf.DUMMYFUNCTION("""COMPUTED_VALUE"""),95)</f>
        <v>95</v>
      </c>
      <c r="H158" s="135" t="str">
        <f ca="1">IFERROR(__xludf.DUMMYFUNCTION("""COMPUTED_VALUE"""),"Optum Testing")</f>
        <v>Optum Testing</v>
      </c>
      <c r="I158" s="135" t="str">
        <f ca="1">IFERROR(__xludf.DUMMYFUNCTION("""COMPUTED_VALUE"""),"KITS")</f>
        <v>KITS</v>
      </c>
      <c r="J158" s="135" t="str">
        <f ca="1">IFERROR(__xludf.DUMMYFUNCTION("""COMPUTED_VALUE"""),"")</f>
        <v/>
      </c>
      <c r="K158" s="135"/>
      <c r="L158" s="135"/>
      <c r="M158" s="135"/>
      <c r="N158" s="135"/>
      <c r="O158" s="135"/>
      <c r="P158" s="135"/>
      <c r="Q158" s="135"/>
      <c r="R158" s="135"/>
      <c r="S158" s="135"/>
      <c r="T158" s="135"/>
      <c r="U158" s="135"/>
      <c r="V158" s="135"/>
      <c r="W158" s="135"/>
      <c r="X158" s="135"/>
      <c r="Y158" s="135"/>
      <c r="Z158" s="135"/>
    </row>
    <row r="159" spans="1:26">
      <c r="A159" s="135" t="str">
        <f ca="1">IFERROR(__xludf.DUMMYFUNCTION("""COMPUTED_VALUE"""),"Meadows Manor North")</f>
        <v>Meadows Manor North</v>
      </c>
      <c r="B159" s="135" t="str">
        <f ca="1">IFERROR(__xludf.DUMMYFUNCTION("""COMPUTED_VALUE"""),"")</f>
        <v/>
      </c>
      <c r="C159" s="135" t="str">
        <f ca="1">IFERROR(__xludf.DUMMYFUNCTION("""COMPUTED_VALUE"""),"   Tel: (812)466-5217")</f>
        <v xml:space="preserve">   Tel: (812)466-5217</v>
      </c>
      <c r="D159" s="135" t="str">
        <f ca="1">IFERROR(__xludf.DUMMYFUNCTION("""COMPUTED_VALUE"""),"   3150 N Seventh St")</f>
        <v xml:space="preserve">   3150 N Seventh St</v>
      </c>
      <c r="E159" s="135" t="str">
        <f ca="1">IFERROR(__xludf.DUMMYFUNCTION("""COMPUTED_VALUE"""),"   Terre Haute, In 47804")</f>
        <v xml:space="preserve">   Terre Haute, In 47804</v>
      </c>
      <c r="F159" s="135" t="str">
        <f ca="1">IFERROR(__xludf.DUMMYFUNCTION("""COMPUTED_VALUE"""),"")</f>
        <v/>
      </c>
      <c r="G159" s="135">
        <f ca="1">IFERROR(__xludf.DUMMYFUNCTION("""COMPUTED_VALUE"""),120)</f>
        <v>120</v>
      </c>
      <c r="H159" s="135" t="str">
        <f ca="1">IFERROR(__xludf.DUMMYFUNCTION("""COMPUTED_VALUE"""),"Non-Specific Plan/Hypothetical/Local Sites")</f>
        <v>Non-Specific Plan/Hypothetical/Local Sites</v>
      </c>
      <c r="I159" s="135" t="str">
        <f ca="1">IFERROR(__xludf.DUMMYFUNCTION("""COMPUTED_VALUE"""),"KITS")</f>
        <v>KITS</v>
      </c>
      <c r="J159" s="135" t="str">
        <f ca="1">IFERROR(__xludf.DUMMYFUNCTION("""COMPUTED_VALUE"""),"")</f>
        <v/>
      </c>
      <c r="K159" s="135"/>
      <c r="L159" s="135"/>
      <c r="M159" s="135"/>
      <c r="N159" s="135"/>
      <c r="O159" s="135"/>
      <c r="P159" s="135"/>
      <c r="Q159" s="135"/>
      <c r="R159" s="135"/>
      <c r="S159" s="135"/>
      <c r="T159" s="135"/>
      <c r="U159" s="135"/>
      <c r="V159" s="135"/>
      <c r="W159" s="135"/>
      <c r="X159" s="135"/>
      <c r="Y159" s="135"/>
      <c r="Z159" s="135"/>
    </row>
    <row r="160" spans="1:26">
      <c r="A160" s="135" t="str">
        <f ca="1">IFERROR(__xludf.DUMMYFUNCTION("""COMPUTED_VALUE"""),"Meridian Nursing And Rehabilitation Center")</f>
        <v>Meridian Nursing And Rehabilitation Center</v>
      </c>
      <c r="B160" s="135" t="str">
        <f ca="1">IFERROR(__xludf.DUMMYFUNCTION("""COMPUTED_VALUE"""),"Chosen")</f>
        <v>Chosen</v>
      </c>
      <c r="C160" s="135" t="str">
        <f ca="1">IFERROR(__xludf.DUMMYFUNCTION("""COMPUTED_VALUE"""),"   Tel: (317)786-9426")</f>
        <v xml:space="preserve">   Tel: (317)786-9426</v>
      </c>
      <c r="D160" s="135" t="str">
        <f ca="1">IFERROR(__xludf.DUMMYFUNCTION("""COMPUTED_VALUE"""),"   2102 S Meridian St")</f>
        <v xml:space="preserve">   2102 S Meridian St</v>
      </c>
      <c r="E160" s="135" t="str">
        <f ca="1">IFERROR(__xludf.DUMMYFUNCTION("""COMPUTED_VALUE"""),"   Indianapolis, In 46225")</f>
        <v xml:space="preserve">   Indianapolis, In 46225</v>
      </c>
      <c r="F160" s="135" t="str">
        <f ca="1">IFERROR(__xludf.DUMMYFUNCTION("""COMPUTED_VALUE"""),"")</f>
        <v/>
      </c>
      <c r="G160" s="135">
        <f ca="1">IFERROR(__xludf.DUMMYFUNCTION("""COMPUTED_VALUE"""),38)</f>
        <v>38</v>
      </c>
      <c r="H160" s="135" t="str">
        <f ca="1">IFERROR(__xludf.DUMMYFUNCTION("""COMPUTED_VALUE"""),"Optum Testing")</f>
        <v>Optum Testing</v>
      </c>
      <c r="I160" s="135" t="str">
        <f ca="1">IFERROR(__xludf.DUMMYFUNCTION("""COMPUTED_VALUE"""),"KITS")</f>
        <v>KITS</v>
      </c>
      <c r="J160" s="135" t="str">
        <f ca="1">IFERROR(__xludf.DUMMYFUNCTION("""COMPUTED_VALUE"""),"")</f>
        <v/>
      </c>
      <c r="K160" s="135"/>
      <c r="L160" s="135"/>
      <c r="M160" s="135"/>
      <c r="N160" s="135"/>
      <c r="O160" s="135"/>
      <c r="P160" s="135"/>
      <c r="Q160" s="135"/>
      <c r="R160" s="135"/>
      <c r="S160" s="135"/>
      <c r="T160" s="135"/>
      <c r="U160" s="135"/>
      <c r="V160" s="135"/>
      <c r="W160" s="135"/>
      <c r="X160" s="135"/>
      <c r="Y160" s="135"/>
      <c r="Z160" s="135"/>
    </row>
    <row r="161" spans="1:26">
      <c r="A161" s="135" t="str">
        <f ca="1">IFERROR(__xludf.DUMMYFUNCTION("""COMPUTED_VALUE"""),"Middletown Nursing And Rehabilitation Center")</f>
        <v>Middletown Nursing And Rehabilitation Center</v>
      </c>
      <c r="B161" s="135" t="str">
        <f ca="1">IFERROR(__xludf.DUMMYFUNCTION("""COMPUTED_VALUE"""),"")</f>
        <v/>
      </c>
      <c r="C161" s="135" t="str">
        <f ca="1">IFERROR(__xludf.DUMMYFUNCTION("""COMPUTED_VALUE"""),"   Tel: (765)354-2223")</f>
        <v xml:space="preserve">   Tel: (765)354-2223</v>
      </c>
      <c r="D161" s="135" t="str">
        <f ca="1">IFERROR(__xludf.DUMMYFUNCTION("""COMPUTED_VALUE"""),"   131 S 10Th St")</f>
        <v xml:space="preserve">   131 S 10Th St</v>
      </c>
      <c r="E161" s="135" t="str">
        <f ca="1">IFERROR(__xludf.DUMMYFUNCTION("""COMPUTED_VALUE"""),"   Middletown, In 47356")</f>
        <v xml:space="preserve">   Middletown, In 47356</v>
      </c>
      <c r="F161" s="135" t="str">
        <f ca="1">IFERROR(__xludf.DUMMYFUNCTION("""COMPUTED_VALUE"""),"")</f>
        <v/>
      </c>
      <c r="G161" s="135">
        <f ca="1">IFERROR(__xludf.DUMMYFUNCTION("""COMPUTED_VALUE"""),38)</f>
        <v>38</v>
      </c>
      <c r="H161" s="135" t="str">
        <f ca="1">IFERROR(__xludf.DUMMYFUNCTION("""COMPUTED_VALUE"""),"Optum Testing")</f>
        <v>Optum Testing</v>
      </c>
      <c r="I161" s="135" t="str">
        <f ca="1">IFERROR(__xludf.DUMMYFUNCTION("""COMPUTED_VALUE"""),"KITS")</f>
        <v>KITS</v>
      </c>
      <c r="J161" s="135" t="str">
        <f ca="1">IFERROR(__xludf.DUMMYFUNCTION("""COMPUTED_VALUE"""),"")</f>
        <v/>
      </c>
      <c r="K161" s="135"/>
      <c r="L161" s="135"/>
      <c r="M161" s="135"/>
      <c r="N161" s="135"/>
      <c r="O161" s="135"/>
      <c r="P161" s="135"/>
      <c r="Q161" s="135"/>
      <c r="R161" s="135"/>
      <c r="S161" s="135"/>
      <c r="T161" s="135"/>
      <c r="U161" s="135"/>
      <c r="V161" s="135"/>
      <c r="W161" s="135"/>
      <c r="X161" s="135"/>
      <c r="Y161" s="135"/>
      <c r="Z161" s="135"/>
    </row>
    <row r="162" spans="1:26">
      <c r="A162" s="135" t="str">
        <f ca="1">IFERROR(__xludf.DUMMYFUNCTION("""COMPUTED_VALUE"""),"Miller'S At Oak Pointe")</f>
        <v>Miller'S At Oak Pointe</v>
      </c>
      <c r="B162" s="135" t="str">
        <f ca="1">IFERROR(__xludf.DUMMYFUNCTION("""COMPUTED_VALUE"""),"Millers")</f>
        <v>Millers</v>
      </c>
      <c r="C162" s="135" t="str">
        <f ca="1">IFERROR(__xludf.DUMMYFUNCTION("""COMPUTED_VALUE"""),"   Tel: (260)248-8141")</f>
        <v xml:space="preserve">   Tel: (260)248-8141</v>
      </c>
      <c r="D162" s="135" t="str">
        <f ca="1">IFERROR(__xludf.DUMMYFUNCTION("""COMPUTED_VALUE"""),"   411 N Wolf Rd")</f>
        <v xml:space="preserve">   411 N Wolf Rd</v>
      </c>
      <c r="E162" s="135" t="str">
        <f ca="1">IFERROR(__xludf.DUMMYFUNCTION("""COMPUTED_VALUE"""),"   Columbia City, In 46725")</f>
        <v xml:space="preserve">   Columbia City, In 46725</v>
      </c>
      <c r="F162" s="135" t="str">
        <f ca="1">IFERROR(__xludf.DUMMYFUNCTION("""COMPUTED_VALUE"""),"")</f>
        <v/>
      </c>
      <c r="G162" s="135">
        <f ca="1">IFERROR(__xludf.DUMMYFUNCTION("""COMPUTED_VALUE"""),93)</f>
        <v>93</v>
      </c>
      <c r="H162" s="135" t="str">
        <f ca="1">IFERROR(__xludf.DUMMYFUNCTION("""COMPUTED_VALUE"""),"Financial Burden")</f>
        <v>Financial Burden</v>
      </c>
      <c r="I162" s="135" t="str">
        <f ca="1">IFERROR(__xludf.DUMMYFUNCTION("""COMPUTED_VALUE"""),"KITS")</f>
        <v>KITS</v>
      </c>
      <c r="J162" s="135" t="str">
        <f ca="1">IFERROR(__xludf.DUMMYFUNCTION("""COMPUTED_VALUE"""),"")</f>
        <v/>
      </c>
      <c r="K162" s="135"/>
      <c r="L162" s="135"/>
      <c r="M162" s="135"/>
      <c r="N162" s="135"/>
      <c r="O162" s="135"/>
      <c r="P162" s="135"/>
      <c r="Q162" s="135"/>
      <c r="R162" s="135"/>
      <c r="S162" s="135"/>
      <c r="T162" s="135"/>
      <c r="U162" s="135"/>
      <c r="V162" s="135"/>
      <c r="W162" s="135"/>
      <c r="X162" s="135"/>
      <c r="Y162" s="135"/>
      <c r="Z162" s="135"/>
    </row>
    <row r="163" spans="1:26">
      <c r="A163" s="135" t="str">
        <f ca="1">IFERROR(__xludf.DUMMYFUNCTION("""COMPUTED_VALUE"""),"Miller'S Health &amp; Rehab")</f>
        <v>Miller'S Health &amp; Rehab</v>
      </c>
      <c r="B163" s="135" t="str">
        <f ca="1">IFERROR(__xludf.DUMMYFUNCTION("""COMPUTED_VALUE"""),"Millers")</f>
        <v>Millers</v>
      </c>
      <c r="C163" s="135" t="str">
        <f ca="1">IFERROR(__xludf.DUMMYFUNCTION("""COMPUTED_VALUE"""),"   Tel: (219)841-8020")</f>
        <v xml:space="preserve">   Tel: (219)841-8020</v>
      </c>
      <c r="D163" s="135" t="str">
        <f ca="1">IFERROR(__xludf.DUMMYFUNCTION("""COMPUTED_VALUE"""),"   3530 Monroe Street")</f>
        <v xml:space="preserve">   3530 Monroe Street</v>
      </c>
      <c r="E163" s="135" t="str">
        <f ca="1">IFERROR(__xludf.DUMMYFUNCTION("""COMPUTED_VALUE"""),"   La Porte, In 46350")</f>
        <v xml:space="preserve">   La Porte, In 46350</v>
      </c>
      <c r="F163" s="135" t="str">
        <f ca="1">IFERROR(__xludf.DUMMYFUNCTION("""COMPUTED_VALUE"""),"")</f>
        <v/>
      </c>
      <c r="G163" s="135">
        <f ca="1">IFERROR(__xludf.DUMMYFUNCTION("""COMPUTED_VALUE"""),109)</f>
        <v>109</v>
      </c>
      <c r="H163" s="135" t="str">
        <f ca="1">IFERROR(__xludf.DUMMYFUNCTION("""COMPUTED_VALUE"""),"Financial Burden")</f>
        <v>Financial Burden</v>
      </c>
      <c r="I163" s="135" t="str">
        <f ca="1">IFERROR(__xludf.DUMMYFUNCTION("""COMPUTED_VALUE"""),"KITS")</f>
        <v>KITS</v>
      </c>
      <c r="J163" s="135" t="str">
        <f ca="1">IFERROR(__xludf.DUMMYFUNCTION("""COMPUTED_VALUE"""),"")</f>
        <v/>
      </c>
      <c r="K163" s="135"/>
      <c r="L163" s="135"/>
      <c r="M163" s="135"/>
      <c r="N163" s="135"/>
      <c r="O163" s="135"/>
      <c r="P163" s="135"/>
      <c r="Q163" s="135"/>
      <c r="R163" s="135"/>
      <c r="S163" s="135"/>
      <c r="T163" s="135"/>
      <c r="U163" s="135"/>
      <c r="V163" s="135"/>
      <c r="W163" s="135"/>
      <c r="X163" s="135"/>
      <c r="Y163" s="135"/>
      <c r="Z163" s="135"/>
    </row>
    <row r="164" spans="1:26">
      <c r="A164" s="135" t="str">
        <f ca="1">IFERROR(__xludf.DUMMYFUNCTION("""COMPUTED_VALUE"""),"Miller'S Merry Manor (Chesterfield)")</f>
        <v>Miller'S Merry Manor (Chesterfield)</v>
      </c>
      <c r="B164" s="135" t="str">
        <f ca="1">IFERROR(__xludf.DUMMYFUNCTION("""COMPUTED_VALUE"""),"Millers")</f>
        <v>Millers</v>
      </c>
      <c r="C164" s="135" t="str">
        <f ca="1">IFERROR(__xludf.DUMMYFUNCTION("""COMPUTED_VALUE"""),"   Tel: (765)378-0213")</f>
        <v xml:space="preserve">   Tel: (765)378-0213</v>
      </c>
      <c r="D164" s="135" t="str">
        <f ca="1">IFERROR(__xludf.DUMMYFUNCTION("""COMPUTED_VALUE"""),"   524 Anderson Rd")</f>
        <v xml:space="preserve">   524 Anderson Rd</v>
      </c>
      <c r="E164" s="135" t="str">
        <f ca="1">IFERROR(__xludf.DUMMYFUNCTION("""COMPUTED_VALUE"""),"   Chesterfield, In 46017")</f>
        <v xml:space="preserve">   Chesterfield, In 46017</v>
      </c>
      <c r="F164" s="135" t="str">
        <f ca="1">IFERROR(__xludf.DUMMYFUNCTION("""COMPUTED_VALUE"""),"")</f>
        <v/>
      </c>
      <c r="G164" s="135">
        <f ca="1">IFERROR(__xludf.DUMMYFUNCTION("""COMPUTED_VALUE"""),72)</f>
        <v>72</v>
      </c>
      <c r="H164" s="135" t="str">
        <f ca="1">IFERROR(__xludf.DUMMYFUNCTION("""COMPUTED_VALUE"""),"Financial Burden")</f>
        <v>Financial Burden</v>
      </c>
      <c r="I164" s="135" t="str">
        <f ca="1">IFERROR(__xludf.DUMMYFUNCTION("""COMPUTED_VALUE"""),"KITS")</f>
        <v>KITS</v>
      </c>
      <c r="J164" s="135" t="str">
        <f ca="1">IFERROR(__xludf.DUMMYFUNCTION("""COMPUTED_VALUE"""),"")</f>
        <v/>
      </c>
      <c r="K164" s="135"/>
      <c r="L164" s="135"/>
      <c r="M164" s="135"/>
      <c r="N164" s="135"/>
      <c r="O164" s="135"/>
      <c r="P164" s="135"/>
      <c r="Q164" s="135"/>
      <c r="R164" s="135"/>
      <c r="S164" s="135"/>
      <c r="T164" s="135"/>
      <c r="U164" s="135"/>
      <c r="V164" s="135"/>
      <c r="W164" s="135"/>
      <c r="X164" s="135"/>
      <c r="Y164" s="135"/>
      <c r="Z164" s="135"/>
    </row>
    <row r="165" spans="1:26">
      <c r="A165" s="135" t="str">
        <f ca="1">IFERROR(__xludf.DUMMYFUNCTION("""COMPUTED_VALUE"""),"Miller'S Merry Manor (Columbia City)")</f>
        <v>Miller'S Merry Manor (Columbia City)</v>
      </c>
      <c r="B165" s="135" t="str">
        <f ca="1">IFERROR(__xludf.DUMMYFUNCTION("""COMPUTED_VALUE"""),"Millers")</f>
        <v>Millers</v>
      </c>
      <c r="C165" s="135" t="str">
        <f ca="1">IFERROR(__xludf.DUMMYFUNCTION("""COMPUTED_VALUE"""),"   Tel: (260)248-8101")</f>
        <v xml:space="preserve">   Tel: (260)248-8101</v>
      </c>
      <c r="D165" s="135" t="str">
        <f ca="1">IFERROR(__xludf.DUMMYFUNCTION("""COMPUTED_VALUE"""),"   640 W Ellsworth St")</f>
        <v xml:space="preserve">   640 W Ellsworth St</v>
      </c>
      <c r="E165" s="135" t="str">
        <f ca="1">IFERROR(__xludf.DUMMYFUNCTION("""COMPUTED_VALUE"""),"   Columbia City, In 46725")</f>
        <v xml:space="preserve">   Columbia City, In 46725</v>
      </c>
      <c r="F165" s="135" t="str">
        <f ca="1">IFERROR(__xludf.DUMMYFUNCTION("""COMPUTED_VALUE"""),"")</f>
        <v/>
      </c>
      <c r="G165" s="135">
        <f ca="1">IFERROR(__xludf.DUMMYFUNCTION("""COMPUTED_VALUE"""),54)</f>
        <v>54</v>
      </c>
      <c r="H165" s="135" t="str">
        <f ca="1">IFERROR(__xludf.DUMMYFUNCTION("""COMPUTED_VALUE"""),"Financial Burden")</f>
        <v>Financial Burden</v>
      </c>
      <c r="I165" s="135" t="str">
        <f ca="1">IFERROR(__xludf.DUMMYFUNCTION("""COMPUTED_VALUE"""),"KITS")</f>
        <v>KITS</v>
      </c>
      <c r="J165" s="135" t="str">
        <f ca="1">IFERROR(__xludf.DUMMYFUNCTION("""COMPUTED_VALUE"""),"")</f>
        <v/>
      </c>
      <c r="K165" s="135"/>
      <c r="L165" s="135"/>
      <c r="M165" s="135"/>
      <c r="N165" s="135"/>
      <c r="O165" s="135"/>
      <c r="P165" s="135"/>
      <c r="Q165" s="135"/>
      <c r="R165" s="135"/>
      <c r="S165" s="135"/>
      <c r="T165" s="135"/>
      <c r="U165" s="135"/>
      <c r="V165" s="135"/>
      <c r="W165" s="135"/>
      <c r="X165" s="135"/>
      <c r="Y165" s="135"/>
      <c r="Z165" s="135"/>
    </row>
    <row r="166" spans="1:26">
      <c r="A166" s="135" t="str">
        <f ca="1">IFERROR(__xludf.DUMMYFUNCTION("""COMPUTED_VALUE"""),"Miller'S Merry Manor (Culver)")</f>
        <v>Miller'S Merry Manor (Culver)</v>
      </c>
      <c r="B166" s="135" t="str">
        <f ca="1">IFERROR(__xludf.DUMMYFUNCTION("""COMPUTED_VALUE"""),"Millers")</f>
        <v>Millers</v>
      </c>
      <c r="C166" s="135" t="str">
        <f ca="1">IFERROR(__xludf.DUMMYFUNCTION("""COMPUTED_VALUE"""),"   Tel: (574)842-3337")</f>
        <v xml:space="preserve">   Tel: (574)842-3337</v>
      </c>
      <c r="D166" s="135" t="str">
        <f ca="1">IFERROR(__xludf.DUMMYFUNCTION("""COMPUTED_VALUE"""),"   730 School St")</f>
        <v xml:space="preserve">   730 School St</v>
      </c>
      <c r="E166" s="135" t="str">
        <f ca="1">IFERROR(__xludf.DUMMYFUNCTION("""COMPUTED_VALUE"""),"   Culver, In 46511")</f>
        <v xml:space="preserve">   Culver, In 46511</v>
      </c>
      <c r="F166" s="135" t="str">
        <f ca="1">IFERROR(__xludf.DUMMYFUNCTION("""COMPUTED_VALUE"""),"No")</f>
        <v>No</v>
      </c>
      <c r="G166" s="135">
        <f ca="1">IFERROR(__xludf.DUMMYFUNCTION("""COMPUTED_VALUE"""),67)</f>
        <v>67</v>
      </c>
      <c r="H166" s="135" t="str">
        <f ca="1">IFERROR(__xludf.DUMMYFUNCTION("""COMPUTED_VALUE"""),"Financial Burden")</f>
        <v>Financial Burden</v>
      </c>
      <c r="I166" s="135" t="str">
        <f ca="1">IFERROR(__xludf.DUMMYFUNCTION("""COMPUTED_VALUE"""),"KITS")</f>
        <v>KITS</v>
      </c>
      <c r="J166" s="135" t="str">
        <f ca="1">IFERROR(__xludf.DUMMYFUNCTION("""COMPUTED_VALUE"""),"")</f>
        <v/>
      </c>
      <c r="K166" s="135"/>
      <c r="L166" s="135"/>
      <c r="M166" s="135"/>
      <c r="N166" s="135"/>
      <c r="O166" s="135"/>
      <c r="P166" s="135"/>
      <c r="Q166" s="135"/>
      <c r="R166" s="135"/>
      <c r="S166" s="135"/>
      <c r="T166" s="135"/>
      <c r="U166" s="135"/>
      <c r="V166" s="135"/>
      <c r="W166" s="135"/>
      <c r="X166" s="135"/>
      <c r="Y166" s="135"/>
      <c r="Z166" s="135"/>
    </row>
    <row r="167" spans="1:26">
      <c r="A167" s="135" t="str">
        <f ca="1">IFERROR(__xludf.DUMMYFUNCTION("""COMPUTED_VALUE"""),"Miller'S Merry Manor (Dunkirk)")</f>
        <v>Miller'S Merry Manor (Dunkirk)</v>
      </c>
      <c r="B167" s="135" t="str">
        <f ca="1">IFERROR(__xludf.DUMMYFUNCTION("""COMPUTED_VALUE"""),"Millers")</f>
        <v>Millers</v>
      </c>
      <c r="C167" s="135" t="str">
        <f ca="1">IFERROR(__xludf.DUMMYFUNCTION("""COMPUTED_VALUE"""),"   Tel: (765)768-7537")</f>
        <v xml:space="preserve">   Tel: (765)768-7537</v>
      </c>
      <c r="D167" s="135" t="str">
        <f ca="1">IFERROR(__xludf.DUMMYFUNCTION("""COMPUTED_VALUE"""),"   11563 W 300 S")</f>
        <v xml:space="preserve">   11563 W 300 S</v>
      </c>
      <c r="E167" s="135" t="str">
        <f ca="1">IFERROR(__xludf.DUMMYFUNCTION("""COMPUTED_VALUE"""),"   Dunkirk, In 47336")</f>
        <v xml:space="preserve">   Dunkirk, In 47336</v>
      </c>
      <c r="F167" s="135" t="str">
        <f ca="1">IFERROR(__xludf.DUMMYFUNCTION("""COMPUTED_VALUE"""),"")</f>
        <v/>
      </c>
      <c r="G167" s="135">
        <f ca="1">IFERROR(__xludf.DUMMYFUNCTION("""COMPUTED_VALUE"""),54)</f>
        <v>54</v>
      </c>
      <c r="H167" s="135" t="str">
        <f ca="1">IFERROR(__xludf.DUMMYFUNCTION("""COMPUTED_VALUE"""),"Financial Burden")</f>
        <v>Financial Burden</v>
      </c>
      <c r="I167" s="135" t="str">
        <f ca="1">IFERROR(__xludf.DUMMYFUNCTION("""COMPUTED_VALUE"""),"KITS")</f>
        <v>KITS</v>
      </c>
      <c r="J167" s="135" t="str">
        <f ca="1">IFERROR(__xludf.DUMMYFUNCTION("""COMPUTED_VALUE"""),"")</f>
        <v/>
      </c>
      <c r="K167" s="135"/>
      <c r="L167" s="135"/>
      <c r="M167" s="135"/>
      <c r="N167" s="135"/>
      <c r="O167" s="135"/>
      <c r="P167" s="135"/>
      <c r="Q167" s="135"/>
      <c r="R167" s="135"/>
      <c r="S167" s="135"/>
      <c r="T167" s="135"/>
      <c r="U167" s="135"/>
      <c r="V167" s="135"/>
      <c r="W167" s="135"/>
      <c r="X167" s="135"/>
      <c r="Y167" s="135"/>
      <c r="Z167" s="135"/>
    </row>
    <row r="168" spans="1:26">
      <c r="A168" s="135" t="str">
        <f ca="1">IFERROR(__xludf.DUMMYFUNCTION("""COMPUTED_VALUE"""),"Miller'S Merry Manor (Fort Wayne)")</f>
        <v>Miller'S Merry Manor (Fort Wayne)</v>
      </c>
      <c r="B168" s="135" t="str">
        <f ca="1">IFERROR(__xludf.DUMMYFUNCTION("""COMPUTED_VALUE"""),"Millers")</f>
        <v>Millers</v>
      </c>
      <c r="C168" s="135" t="str">
        <f ca="1">IFERROR(__xludf.DUMMYFUNCTION("""COMPUTED_VALUE"""),"   Tel: (260)749-9506")</f>
        <v xml:space="preserve">   Tel: (260)749-9506</v>
      </c>
      <c r="D168" s="135" t="str">
        <f ca="1">IFERROR(__xludf.DUMMYFUNCTION("""COMPUTED_VALUE"""),"   5544 E State Blvd")</f>
        <v xml:space="preserve">   5544 E State Blvd</v>
      </c>
      <c r="E168" s="135" t="str">
        <f ca="1">IFERROR(__xludf.DUMMYFUNCTION("""COMPUTED_VALUE"""),"   Fort Wayne, In 46815")</f>
        <v xml:space="preserve">   Fort Wayne, In 46815</v>
      </c>
      <c r="F168" s="135" t="str">
        <f ca="1">IFERROR(__xludf.DUMMYFUNCTION("""COMPUTED_VALUE"""),"")</f>
        <v/>
      </c>
      <c r="G168" s="135">
        <f ca="1">IFERROR(__xludf.DUMMYFUNCTION("""COMPUTED_VALUE"""),80)</f>
        <v>80</v>
      </c>
      <c r="H168" s="135" t="str">
        <f ca="1">IFERROR(__xludf.DUMMYFUNCTION("""COMPUTED_VALUE"""),"Financial Burden")</f>
        <v>Financial Burden</v>
      </c>
      <c r="I168" s="135" t="str">
        <f ca="1">IFERROR(__xludf.DUMMYFUNCTION("""COMPUTED_VALUE"""),"KITS")</f>
        <v>KITS</v>
      </c>
      <c r="J168" s="135" t="str">
        <f ca="1">IFERROR(__xludf.DUMMYFUNCTION("""COMPUTED_VALUE"""),"")</f>
        <v/>
      </c>
      <c r="K168" s="135"/>
      <c r="L168" s="135"/>
      <c r="M168" s="135"/>
      <c r="N168" s="135"/>
      <c r="O168" s="135"/>
      <c r="P168" s="135"/>
      <c r="Q168" s="135"/>
      <c r="R168" s="135"/>
      <c r="S168" s="135"/>
      <c r="T168" s="135"/>
      <c r="U168" s="135"/>
      <c r="V168" s="135"/>
      <c r="W168" s="135"/>
      <c r="X168" s="135"/>
      <c r="Y168" s="135"/>
      <c r="Z168" s="135"/>
    </row>
    <row r="169" spans="1:26">
      <c r="A169" s="135" t="str">
        <f ca="1">IFERROR(__xludf.DUMMYFUNCTION("""COMPUTED_VALUE"""),"Miller'S Merry Manor (Garrett)")</f>
        <v>Miller'S Merry Manor (Garrett)</v>
      </c>
      <c r="B169" s="135" t="str">
        <f ca="1">IFERROR(__xludf.DUMMYFUNCTION("""COMPUTED_VALUE"""),"Millers")</f>
        <v>Millers</v>
      </c>
      <c r="C169" s="135" t="str">
        <f ca="1">IFERROR(__xludf.DUMMYFUNCTION("""COMPUTED_VALUE"""),"   Tel: (260)357-5174")</f>
        <v xml:space="preserve">   Tel: (260)357-5174</v>
      </c>
      <c r="D169" s="135" t="str">
        <f ca="1">IFERROR(__xludf.DUMMYFUNCTION("""COMPUTED_VALUE"""),"   1367 S Randolph St")</f>
        <v xml:space="preserve">   1367 S Randolph St</v>
      </c>
      <c r="E169" s="135" t="str">
        <f ca="1">IFERROR(__xludf.DUMMYFUNCTION("""COMPUTED_VALUE"""),"   Garrett, In 46738")</f>
        <v xml:space="preserve">   Garrett, In 46738</v>
      </c>
      <c r="F169" s="135" t="str">
        <f ca="1">IFERROR(__xludf.DUMMYFUNCTION("""COMPUTED_VALUE"""),"")</f>
        <v/>
      </c>
      <c r="G169" s="135">
        <f ca="1">IFERROR(__xludf.DUMMYFUNCTION("""COMPUTED_VALUE"""),87)</f>
        <v>87</v>
      </c>
      <c r="H169" s="135" t="str">
        <f ca="1">IFERROR(__xludf.DUMMYFUNCTION("""COMPUTED_VALUE"""),"Financial Burden")</f>
        <v>Financial Burden</v>
      </c>
      <c r="I169" s="135" t="str">
        <f ca="1">IFERROR(__xludf.DUMMYFUNCTION("""COMPUTED_VALUE"""),"KITS")</f>
        <v>KITS</v>
      </c>
      <c r="J169" s="135" t="str">
        <f ca="1">IFERROR(__xludf.DUMMYFUNCTION("""COMPUTED_VALUE"""),"")</f>
        <v/>
      </c>
      <c r="K169" s="135"/>
      <c r="L169" s="135"/>
      <c r="M169" s="135"/>
      <c r="N169" s="135"/>
      <c r="O169" s="135"/>
      <c r="P169" s="135"/>
      <c r="Q169" s="135"/>
      <c r="R169" s="135"/>
      <c r="S169" s="135"/>
      <c r="T169" s="135"/>
      <c r="U169" s="135"/>
      <c r="V169" s="135"/>
      <c r="W169" s="135"/>
      <c r="X169" s="135"/>
      <c r="Y169" s="135"/>
      <c r="Z169" s="135"/>
    </row>
    <row r="170" spans="1:26">
      <c r="A170" s="135" t="str">
        <f ca="1">IFERROR(__xludf.DUMMYFUNCTION("""COMPUTED_VALUE"""),"Miller'S Merry Manor (Hartford City)")</f>
        <v>Miller'S Merry Manor (Hartford City)</v>
      </c>
      <c r="B170" s="135" t="str">
        <f ca="1">IFERROR(__xludf.DUMMYFUNCTION("""COMPUTED_VALUE"""),"Millers")</f>
        <v>Millers</v>
      </c>
      <c r="C170" s="135" t="str">
        <f ca="1">IFERROR(__xludf.DUMMYFUNCTION("""COMPUTED_VALUE"""),"   Tel: (765)348-1072")</f>
        <v xml:space="preserve">   Tel: (765)348-1072</v>
      </c>
      <c r="D170" s="135" t="str">
        <f ca="1">IFERROR(__xludf.DUMMYFUNCTION("""COMPUTED_VALUE"""),"   0548 S 100 W")</f>
        <v xml:space="preserve">   0548 S 100 W</v>
      </c>
      <c r="E170" s="135" t="str">
        <f ca="1">IFERROR(__xludf.DUMMYFUNCTION("""COMPUTED_VALUE"""),"   Hartford City, In 47348")</f>
        <v xml:space="preserve">   Hartford City, In 47348</v>
      </c>
      <c r="F170" s="135" t="str">
        <f ca="1">IFERROR(__xludf.DUMMYFUNCTION("""COMPUTED_VALUE"""),"No")</f>
        <v>No</v>
      </c>
      <c r="G170" s="135">
        <f ca="1">IFERROR(__xludf.DUMMYFUNCTION("""COMPUTED_VALUE"""),65)</f>
        <v>65</v>
      </c>
      <c r="H170" s="135" t="str">
        <f ca="1">IFERROR(__xludf.DUMMYFUNCTION("""COMPUTED_VALUE"""),"Financial Burden")</f>
        <v>Financial Burden</v>
      </c>
      <c r="I170" s="135" t="str">
        <f ca="1">IFERROR(__xludf.DUMMYFUNCTION("""COMPUTED_VALUE"""),"KITS")</f>
        <v>KITS</v>
      </c>
      <c r="J170" s="135" t="str">
        <f ca="1">IFERROR(__xludf.DUMMYFUNCTION("""COMPUTED_VALUE"""),"")</f>
        <v/>
      </c>
      <c r="K170" s="135"/>
      <c r="L170" s="135"/>
      <c r="M170" s="135"/>
      <c r="N170" s="135"/>
      <c r="O170" s="135"/>
      <c r="P170" s="135"/>
      <c r="Q170" s="135"/>
      <c r="R170" s="135"/>
      <c r="S170" s="135"/>
      <c r="T170" s="135"/>
      <c r="U170" s="135"/>
      <c r="V170" s="135"/>
      <c r="W170" s="135"/>
      <c r="X170" s="135"/>
      <c r="Y170" s="135"/>
      <c r="Z170" s="135"/>
    </row>
    <row r="171" spans="1:26">
      <c r="A171" s="135" t="str">
        <f ca="1">IFERROR(__xludf.DUMMYFUNCTION("""COMPUTED_VALUE"""),"Miller'S Merry Manor (Hobart)")</f>
        <v>Miller'S Merry Manor (Hobart)</v>
      </c>
      <c r="B171" s="135" t="str">
        <f ca="1">IFERROR(__xludf.DUMMYFUNCTION("""COMPUTED_VALUE"""),"Millers")</f>
        <v>Millers</v>
      </c>
      <c r="C171" s="135" t="str">
        <f ca="1">IFERROR(__xludf.DUMMYFUNCTION("""COMPUTED_VALUE"""),"   Tel: (219)942-2170")</f>
        <v xml:space="preserve">   Tel: (219)942-2170</v>
      </c>
      <c r="D171" s="135" t="str">
        <f ca="1">IFERROR(__xludf.DUMMYFUNCTION("""COMPUTED_VALUE"""),"   2901 W 37Th Ave")</f>
        <v xml:space="preserve">   2901 W 37Th Ave</v>
      </c>
      <c r="E171" s="135" t="str">
        <f ca="1">IFERROR(__xludf.DUMMYFUNCTION("""COMPUTED_VALUE"""),"   Hobart, In 46342")</f>
        <v xml:space="preserve">   Hobart, In 46342</v>
      </c>
      <c r="F171" s="135" t="str">
        <f ca="1">IFERROR(__xludf.DUMMYFUNCTION("""COMPUTED_VALUE"""),"")</f>
        <v/>
      </c>
      <c r="G171" s="135">
        <f ca="1">IFERROR(__xludf.DUMMYFUNCTION("""COMPUTED_VALUE"""),75)</f>
        <v>75</v>
      </c>
      <c r="H171" s="135" t="str">
        <f ca="1">IFERROR(__xludf.DUMMYFUNCTION("""COMPUTED_VALUE"""),"Financial Burden")</f>
        <v>Financial Burden</v>
      </c>
      <c r="I171" s="135" t="str">
        <f ca="1">IFERROR(__xludf.DUMMYFUNCTION("""COMPUTED_VALUE"""),"KITS")</f>
        <v>KITS</v>
      </c>
      <c r="J171" s="135" t="str">
        <f ca="1">IFERROR(__xludf.DUMMYFUNCTION("""COMPUTED_VALUE"""),"")</f>
        <v/>
      </c>
      <c r="K171" s="135"/>
      <c r="L171" s="135"/>
      <c r="M171" s="135"/>
      <c r="N171" s="135"/>
      <c r="O171" s="135"/>
      <c r="P171" s="135"/>
      <c r="Q171" s="135"/>
      <c r="R171" s="135"/>
      <c r="S171" s="135"/>
      <c r="T171" s="135"/>
      <c r="U171" s="135"/>
      <c r="V171" s="135"/>
      <c r="W171" s="135"/>
      <c r="X171" s="135"/>
      <c r="Y171" s="135"/>
      <c r="Z171" s="135"/>
    </row>
    <row r="172" spans="1:26">
      <c r="A172" s="135" t="str">
        <f ca="1">IFERROR(__xludf.DUMMYFUNCTION("""COMPUTED_VALUE"""),"Miller'S Merry Manor (Hope)")</f>
        <v>Miller'S Merry Manor (Hope)</v>
      </c>
      <c r="B172" s="135" t="str">
        <f ca="1">IFERROR(__xludf.DUMMYFUNCTION("""COMPUTED_VALUE"""),"Millers")</f>
        <v>Millers</v>
      </c>
      <c r="C172" s="135" t="str">
        <f ca="1">IFERROR(__xludf.DUMMYFUNCTION("""COMPUTED_VALUE"""),"   Tel: (812)546-4416")</f>
        <v xml:space="preserve">   Tel: (812)546-4416</v>
      </c>
      <c r="D172" s="135" t="str">
        <f ca="1">IFERROR(__xludf.DUMMYFUNCTION("""COMPUTED_VALUE"""),"   7440 N County Road 825 E")</f>
        <v xml:space="preserve">   7440 N County Road 825 E</v>
      </c>
      <c r="E172" s="135" t="str">
        <f ca="1">IFERROR(__xludf.DUMMYFUNCTION("""COMPUTED_VALUE"""),"   Hope, In 47246")</f>
        <v xml:space="preserve">   Hope, In 47246</v>
      </c>
      <c r="F172" s="135" t="str">
        <f ca="1">IFERROR(__xludf.DUMMYFUNCTION("""COMPUTED_VALUE"""),"")</f>
        <v/>
      </c>
      <c r="G172" s="135">
        <f ca="1">IFERROR(__xludf.DUMMYFUNCTION("""COMPUTED_VALUE"""),68)</f>
        <v>68</v>
      </c>
      <c r="H172" s="135" t="str">
        <f ca="1">IFERROR(__xludf.DUMMYFUNCTION("""COMPUTED_VALUE"""),"Financial Burden")</f>
        <v>Financial Burden</v>
      </c>
      <c r="I172" s="135" t="str">
        <f ca="1">IFERROR(__xludf.DUMMYFUNCTION("""COMPUTED_VALUE"""),"KITS")</f>
        <v>KITS</v>
      </c>
      <c r="J172" s="135" t="str">
        <f ca="1">IFERROR(__xludf.DUMMYFUNCTION("""COMPUTED_VALUE"""),"")</f>
        <v/>
      </c>
      <c r="K172" s="135"/>
      <c r="L172" s="135"/>
      <c r="M172" s="135"/>
      <c r="N172" s="135"/>
      <c r="O172" s="135"/>
      <c r="P172" s="135"/>
      <c r="Q172" s="135"/>
      <c r="R172" s="135"/>
      <c r="S172" s="135"/>
      <c r="T172" s="135"/>
      <c r="U172" s="135"/>
      <c r="V172" s="135"/>
      <c r="W172" s="135"/>
      <c r="X172" s="135"/>
      <c r="Y172" s="135"/>
      <c r="Z172" s="135"/>
    </row>
    <row r="173" spans="1:26">
      <c r="A173" s="135" t="str">
        <f ca="1">IFERROR(__xludf.DUMMYFUNCTION("""COMPUTED_VALUE"""),"Miller'S Merry Manor (Huntington)")</f>
        <v>Miller'S Merry Manor (Huntington)</v>
      </c>
      <c r="B173" s="135" t="str">
        <f ca="1">IFERROR(__xludf.DUMMYFUNCTION("""COMPUTED_VALUE"""),"Millers")</f>
        <v>Millers</v>
      </c>
      <c r="C173" s="135" t="str">
        <f ca="1">IFERROR(__xludf.DUMMYFUNCTION("""COMPUTED_VALUE"""),"   Tel: (260)356-5713")</f>
        <v xml:space="preserve">   Tel: (260)356-5713</v>
      </c>
      <c r="D173" s="135" t="str">
        <f ca="1">IFERROR(__xludf.DUMMYFUNCTION("""COMPUTED_VALUE"""),"   1500 Grant St")</f>
        <v xml:space="preserve">   1500 Grant St</v>
      </c>
      <c r="E173" s="135" t="str">
        <f ca="1">IFERROR(__xludf.DUMMYFUNCTION("""COMPUTED_VALUE"""),"   Huntington, In 46750")</f>
        <v xml:space="preserve">   Huntington, In 46750</v>
      </c>
      <c r="F173" s="135" t="str">
        <f ca="1">IFERROR(__xludf.DUMMYFUNCTION("""COMPUTED_VALUE"""),"")</f>
        <v/>
      </c>
      <c r="G173" s="135">
        <f ca="1">IFERROR(__xludf.DUMMYFUNCTION("""COMPUTED_VALUE"""),92)</f>
        <v>92</v>
      </c>
      <c r="H173" s="135" t="str">
        <f ca="1">IFERROR(__xludf.DUMMYFUNCTION("""COMPUTED_VALUE"""),"Financial Burden")</f>
        <v>Financial Burden</v>
      </c>
      <c r="I173" s="135" t="str">
        <f ca="1">IFERROR(__xludf.DUMMYFUNCTION("""COMPUTED_VALUE"""),"KITS")</f>
        <v>KITS</v>
      </c>
      <c r="J173" s="135" t="str">
        <f ca="1">IFERROR(__xludf.DUMMYFUNCTION("""COMPUTED_VALUE"""),"")</f>
        <v/>
      </c>
      <c r="K173" s="135"/>
      <c r="L173" s="135"/>
      <c r="M173" s="135"/>
      <c r="N173" s="135"/>
      <c r="O173" s="135"/>
      <c r="P173" s="135"/>
      <c r="Q173" s="135"/>
      <c r="R173" s="135"/>
      <c r="S173" s="135"/>
      <c r="T173" s="135"/>
      <c r="U173" s="135"/>
      <c r="V173" s="135"/>
      <c r="W173" s="135"/>
      <c r="X173" s="135"/>
      <c r="Y173" s="135"/>
      <c r="Z173" s="135"/>
    </row>
    <row r="174" spans="1:26">
      <c r="A174" s="135" t="str">
        <f ca="1">IFERROR(__xludf.DUMMYFUNCTION("""COMPUTED_VALUE"""),"Miller'S Merry Manor (Indianapolis East)")</f>
        <v>Miller'S Merry Manor (Indianapolis East)</v>
      </c>
      <c r="B174" s="135" t="str">
        <f ca="1">IFERROR(__xludf.DUMMYFUNCTION("""COMPUTED_VALUE"""),"Millers")</f>
        <v>Millers</v>
      </c>
      <c r="C174" s="135" t="str">
        <f ca="1">IFERROR(__xludf.DUMMYFUNCTION("""COMPUTED_VALUE"""),"   Tel: (317)357-8040")</f>
        <v xml:space="preserve">   Tel: (317)357-8040</v>
      </c>
      <c r="D174" s="135" t="str">
        <f ca="1">IFERROR(__xludf.DUMMYFUNCTION("""COMPUTED_VALUE"""),"   1651 N Campbell St")</f>
        <v xml:space="preserve">   1651 N Campbell St</v>
      </c>
      <c r="E174" s="135" t="str">
        <f ca="1">IFERROR(__xludf.DUMMYFUNCTION("""COMPUTED_VALUE"""),"   Indianapolis, In 46218")</f>
        <v xml:space="preserve">   Indianapolis, In 46218</v>
      </c>
      <c r="F174" s="135" t="str">
        <f ca="1">IFERROR(__xludf.DUMMYFUNCTION("""COMPUTED_VALUE"""),"")</f>
        <v/>
      </c>
      <c r="G174" s="135">
        <f ca="1">IFERROR(__xludf.DUMMYFUNCTION("""COMPUTED_VALUE"""),93)</f>
        <v>93</v>
      </c>
      <c r="H174" s="135" t="str">
        <f ca="1">IFERROR(__xludf.DUMMYFUNCTION("""COMPUTED_VALUE"""),"Financial Burden")</f>
        <v>Financial Burden</v>
      </c>
      <c r="I174" s="135" t="str">
        <f ca="1">IFERROR(__xludf.DUMMYFUNCTION("""COMPUTED_VALUE"""),"KITS")</f>
        <v>KITS</v>
      </c>
      <c r="J174" s="135" t="str">
        <f ca="1">IFERROR(__xludf.DUMMYFUNCTION("""COMPUTED_VALUE"""),"")</f>
        <v/>
      </c>
      <c r="K174" s="135"/>
      <c r="L174" s="135"/>
      <c r="M174" s="135"/>
      <c r="N174" s="135"/>
      <c r="O174" s="135"/>
      <c r="P174" s="135"/>
      <c r="Q174" s="135"/>
      <c r="R174" s="135"/>
      <c r="S174" s="135"/>
      <c r="T174" s="135"/>
      <c r="U174" s="135"/>
      <c r="V174" s="135"/>
      <c r="W174" s="135"/>
      <c r="X174" s="135"/>
      <c r="Y174" s="135"/>
      <c r="Z174" s="135"/>
    </row>
    <row r="175" spans="1:26">
      <c r="A175" s="135" t="str">
        <f ca="1">IFERROR(__xludf.DUMMYFUNCTION("""COMPUTED_VALUE"""),"Miller'S Merry Manor (Lagrange)")</f>
        <v>Miller'S Merry Manor (Lagrange)</v>
      </c>
      <c r="B175" s="135" t="str">
        <f ca="1">IFERROR(__xludf.DUMMYFUNCTION("""COMPUTED_VALUE"""),"Millers")</f>
        <v>Millers</v>
      </c>
      <c r="C175" s="135" t="str">
        <f ca="1">IFERROR(__xludf.DUMMYFUNCTION("""COMPUTED_VALUE"""),"   Tel: (260)463-2172")</f>
        <v xml:space="preserve">   Tel: (260)463-2172</v>
      </c>
      <c r="D175" s="135" t="str">
        <f ca="1">IFERROR(__xludf.DUMMYFUNCTION("""COMPUTED_VALUE"""),"   787 N Detroit St")</f>
        <v xml:space="preserve">   787 N Detroit St</v>
      </c>
      <c r="E175" s="135" t="str">
        <f ca="1">IFERROR(__xludf.DUMMYFUNCTION("""COMPUTED_VALUE"""),"   Lagrange, In 46761")</f>
        <v xml:space="preserve">   Lagrange, In 46761</v>
      </c>
      <c r="F175" s="135" t="str">
        <f ca="1">IFERROR(__xludf.DUMMYFUNCTION("""COMPUTED_VALUE"""),"")</f>
        <v/>
      </c>
      <c r="G175" s="135">
        <f ca="1">IFERROR(__xludf.DUMMYFUNCTION("""COMPUTED_VALUE"""),97)</f>
        <v>97</v>
      </c>
      <c r="H175" s="135" t="str">
        <f ca="1">IFERROR(__xludf.DUMMYFUNCTION("""COMPUTED_VALUE"""),"Financial Burden")</f>
        <v>Financial Burden</v>
      </c>
      <c r="I175" s="135" t="str">
        <f ca="1">IFERROR(__xludf.DUMMYFUNCTION("""COMPUTED_VALUE"""),"KITS")</f>
        <v>KITS</v>
      </c>
      <c r="J175" s="135" t="str">
        <f ca="1">IFERROR(__xludf.DUMMYFUNCTION("""COMPUTED_VALUE"""),"")</f>
        <v/>
      </c>
      <c r="K175" s="135"/>
      <c r="L175" s="135"/>
      <c r="M175" s="135"/>
      <c r="N175" s="135"/>
      <c r="O175" s="135"/>
      <c r="P175" s="135"/>
      <c r="Q175" s="135"/>
      <c r="R175" s="135"/>
      <c r="S175" s="135"/>
      <c r="T175" s="135"/>
      <c r="U175" s="135"/>
      <c r="V175" s="135"/>
      <c r="W175" s="135"/>
      <c r="X175" s="135"/>
      <c r="Y175" s="135"/>
      <c r="Z175" s="135"/>
    </row>
    <row r="176" spans="1:26">
      <c r="A176" s="135" t="str">
        <f ca="1">IFERROR(__xludf.DUMMYFUNCTION("""COMPUTED_VALUE"""),"Miller'S Merry Manor (Logansport)")</f>
        <v>Miller'S Merry Manor (Logansport)</v>
      </c>
      <c r="B176" s="135" t="str">
        <f ca="1">IFERROR(__xludf.DUMMYFUNCTION("""COMPUTED_VALUE"""),"Millers")</f>
        <v>Millers</v>
      </c>
      <c r="C176" s="135" t="str">
        <f ca="1">IFERROR(__xludf.DUMMYFUNCTION("""COMPUTED_VALUE"""),"   Tel: (574)722-4006")</f>
        <v xml:space="preserve">   Tel: (574)722-4006</v>
      </c>
      <c r="D176" s="135" t="str">
        <f ca="1">IFERROR(__xludf.DUMMYFUNCTION("""COMPUTED_VALUE"""),"   200 26Th St")</f>
        <v xml:space="preserve">   200 26Th St</v>
      </c>
      <c r="E176" s="135" t="str">
        <f ca="1">IFERROR(__xludf.DUMMYFUNCTION("""COMPUTED_VALUE"""),"   Logansport, In 46947")</f>
        <v xml:space="preserve">   Logansport, In 46947</v>
      </c>
      <c r="F176" s="135" t="str">
        <f ca="1">IFERROR(__xludf.DUMMYFUNCTION("""COMPUTED_VALUE"""),"")</f>
        <v/>
      </c>
      <c r="G176" s="135">
        <f ca="1">IFERROR(__xludf.DUMMYFUNCTION("""COMPUTED_VALUE"""),134)</f>
        <v>134</v>
      </c>
      <c r="H176" s="135" t="str">
        <f ca="1">IFERROR(__xludf.DUMMYFUNCTION("""COMPUTED_VALUE"""),"Financial Burden")</f>
        <v>Financial Burden</v>
      </c>
      <c r="I176" s="135" t="str">
        <f ca="1">IFERROR(__xludf.DUMMYFUNCTION("""COMPUTED_VALUE"""),"KITS")</f>
        <v>KITS</v>
      </c>
      <c r="J176" s="135" t="str">
        <f ca="1">IFERROR(__xludf.DUMMYFUNCTION("""COMPUTED_VALUE"""),"")</f>
        <v/>
      </c>
      <c r="K176" s="135"/>
      <c r="L176" s="135"/>
      <c r="M176" s="135"/>
      <c r="N176" s="135"/>
      <c r="O176" s="135"/>
      <c r="P176" s="135"/>
      <c r="Q176" s="135"/>
      <c r="R176" s="135"/>
      <c r="S176" s="135"/>
      <c r="T176" s="135"/>
      <c r="U176" s="135"/>
      <c r="V176" s="135"/>
      <c r="W176" s="135"/>
      <c r="X176" s="135"/>
      <c r="Y176" s="135"/>
      <c r="Z176" s="135"/>
    </row>
    <row r="177" spans="1:26">
      <c r="A177" s="135" t="str">
        <f ca="1">IFERROR(__xludf.DUMMYFUNCTION("""COMPUTED_VALUE"""),"Miller'S Merry Manor (Marion)")</f>
        <v>Miller'S Merry Manor (Marion)</v>
      </c>
      <c r="B177" s="135" t="str">
        <f ca="1">IFERROR(__xludf.DUMMYFUNCTION("""COMPUTED_VALUE"""),"Millers")</f>
        <v>Millers</v>
      </c>
      <c r="C177" s="135" t="str">
        <f ca="1">IFERROR(__xludf.DUMMYFUNCTION("""COMPUTED_VALUE"""),"   Tel: (765)662-3981")</f>
        <v xml:space="preserve">   Tel: (765)662-3981</v>
      </c>
      <c r="D177" s="135" t="str">
        <f ca="1">IFERROR(__xludf.DUMMYFUNCTION("""COMPUTED_VALUE"""),"   505 N Bradner Ave")</f>
        <v xml:space="preserve">   505 N Bradner Ave</v>
      </c>
      <c r="E177" s="135" t="str">
        <f ca="1">IFERROR(__xludf.DUMMYFUNCTION("""COMPUTED_VALUE"""),"   Marion, In 46952")</f>
        <v xml:space="preserve">   Marion, In 46952</v>
      </c>
      <c r="F177" s="135" t="str">
        <f ca="1">IFERROR(__xludf.DUMMYFUNCTION("""COMPUTED_VALUE"""),"")</f>
        <v/>
      </c>
      <c r="G177" s="135">
        <f ca="1">IFERROR(__xludf.DUMMYFUNCTION("""COMPUTED_VALUE"""),95)</f>
        <v>95</v>
      </c>
      <c r="H177" s="135" t="str">
        <f ca="1">IFERROR(__xludf.DUMMYFUNCTION("""COMPUTED_VALUE"""),"Financial Burden")</f>
        <v>Financial Burden</v>
      </c>
      <c r="I177" s="135" t="str">
        <f ca="1">IFERROR(__xludf.DUMMYFUNCTION("""COMPUTED_VALUE"""),"KITS")</f>
        <v>KITS</v>
      </c>
      <c r="J177" s="135" t="str">
        <f ca="1">IFERROR(__xludf.DUMMYFUNCTION("""COMPUTED_VALUE"""),"")</f>
        <v/>
      </c>
      <c r="K177" s="135"/>
      <c r="L177" s="135"/>
      <c r="M177" s="135"/>
      <c r="N177" s="135"/>
      <c r="O177" s="135"/>
      <c r="P177" s="135"/>
      <c r="Q177" s="135"/>
      <c r="R177" s="135"/>
      <c r="S177" s="135"/>
      <c r="T177" s="135"/>
      <c r="U177" s="135"/>
      <c r="V177" s="135"/>
      <c r="W177" s="135"/>
      <c r="X177" s="135"/>
      <c r="Y177" s="135"/>
      <c r="Z177" s="135"/>
    </row>
    <row r="178" spans="1:26">
      <c r="A178" s="135" t="str">
        <f ca="1">IFERROR(__xludf.DUMMYFUNCTION("""COMPUTED_VALUE"""),"Miller'S Merry Manor (Middletown)")</f>
        <v>Miller'S Merry Manor (Middletown)</v>
      </c>
      <c r="B178" s="135" t="str">
        <f ca="1">IFERROR(__xludf.DUMMYFUNCTION("""COMPUTED_VALUE"""),"Millers")</f>
        <v>Millers</v>
      </c>
      <c r="C178" s="135" t="str">
        <f ca="1">IFERROR(__xludf.DUMMYFUNCTION("""COMPUTED_VALUE"""),"   Tel: (765)354-2278")</f>
        <v xml:space="preserve">   Tel: (765)354-2278</v>
      </c>
      <c r="D178" s="135" t="str">
        <f ca="1">IFERROR(__xludf.DUMMYFUNCTION("""COMPUTED_VALUE"""),"   981 Beechwood Ave")</f>
        <v xml:space="preserve">   981 Beechwood Ave</v>
      </c>
      <c r="E178" s="135" t="str">
        <f ca="1">IFERROR(__xludf.DUMMYFUNCTION("""COMPUTED_VALUE"""),"   Middletown, In 47356")</f>
        <v xml:space="preserve">   Middletown, In 47356</v>
      </c>
      <c r="F178" s="135" t="str">
        <f ca="1">IFERROR(__xludf.DUMMYFUNCTION("""COMPUTED_VALUE"""),"")</f>
        <v/>
      </c>
      <c r="G178" s="135">
        <f ca="1">IFERROR(__xludf.DUMMYFUNCTION("""COMPUTED_VALUE"""),43)</f>
        <v>43</v>
      </c>
      <c r="H178" s="135" t="str">
        <f ca="1">IFERROR(__xludf.DUMMYFUNCTION("""COMPUTED_VALUE"""),"Financial Burden")</f>
        <v>Financial Burden</v>
      </c>
      <c r="I178" s="135" t="str">
        <f ca="1">IFERROR(__xludf.DUMMYFUNCTION("""COMPUTED_VALUE"""),"KITS")</f>
        <v>KITS</v>
      </c>
      <c r="J178" s="135" t="str">
        <f ca="1">IFERROR(__xludf.DUMMYFUNCTION("""COMPUTED_VALUE"""),"")</f>
        <v/>
      </c>
      <c r="K178" s="135"/>
      <c r="L178" s="135"/>
      <c r="M178" s="135"/>
      <c r="N178" s="135"/>
      <c r="O178" s="135"/>
      <c r="P178" s="135"/>
      <c r="Q178" s="135"/>
      <c r="R178" s="135"/>
      <c r="S178" s="135"/>
      <c r="T178" s="135"/>
      <c r="U178" s="135"/>
      <c r="V178" s="135"/>
      <c r="W178" s="135"/>
      <c r="X178" s="135"/>
      <c r="Y178" s="135"/>
      <c r="Z178" s="135"/>
    </row>
    <row r="179" spans="1:26">
      <c r="A179" s="135" t="str">
        <f ca="1">IFERROR(__xludf.DUMMYFUNCTION("""COMPUTED_VALUE"""),"Miller'S Merry Manor (Mooresville)")</f>
        <v>Miller'S Merry Manor (Mooresville)</v>
      </c>
      <c r="B179" s="135" t="str">
        <f ca="1">IFERROR(__xludf.DUMMYFUNCTION("""COMPUTED_VALUE"""),"Millers")</f>
        <v>Millers</v>
      </c>
      <c r="C179" s="135" t="str">
        <f ca="1">IFERROR(__xludf.DUMMYFUNCTION("""COMPUTED_VALUE"""),"   Tel: (317)831-6272")</f>
        <v xml:space="preserve">   Tel: (317)831-6272</v>
      </c>
      <c r="D179" s="135" t="str">
        <f ca="1">IFERROR(__xludf.DUMMYFUNCTION("""COMPUTED_VALUE"""),"   259 W Harrison St")</f>
        <v xml:space="preserve">   259 W Harrison St</v>
      </c>
      <c r="E179" s="135" t="str">
        <f ca="1">IFERROR(__xludf.DUMMYFUNCTION("""COMPUTED_VALUE"""),"   Mooresville, In 46158")</f>
        <v xml:space="preserve">   Mooresville, In 46158</v>
      </c>
      <c r="F179" s="135" t="str">
        <f ca="1">IFERROR(__xludf.DUMMYFUNCTION("""COMPUTED_VALUE"""),"")</f>
        <v/>
      </c>
      <c r="G179" s="135">
        <f ca="1">IFERROR(__xludf.DUMMYFUNCTION("""COMPUTED_VALUE"""),90)</f>
        <v>90</v>
      </c>
      <c r="H179" s="135" t="str">
        <f ca="1">IFERROR(__xludf.DUMMYFUNCTION("""COMPUTED_VALUE"""),"Financial Burden")</f>
        <v>Financial Burden</v>
      </c>
      <c r="I179" s="135" t="str">
        <f ca="1">IFERROR(__xludf.DUMMYFUNCTION("""COMPUTED_VALUE"""),"KITS")</f>
        <v>KITS</v>
      </c>
      <c r="J179" s="135" t="str">
        <f ca="1">IFERROR(__xludf.DUMMYFUNCTION("""COMPUTED_VALUE"""),"")</f>
        <v/>
      </c>
      <c r="K179" s="135"/>
      <c r="L179" s="135"/>
      <c r="M179" s="135"/>
      <c r="N179" s="135"/>
      <c r="O179" s="135"/>
      <c r="P179" s="135"/>
      <c r="Q179" s="135"/>
      <c r="R179" s="135"/>
      <c r="S179" s="135"/>
      <c r="T179" s="135"/>
      <c r="U179" s="135"/>
      <c r="V179" s="135"/>
      <c r="W179" s="135"/>
      <c r="X179" s="135"/>
      <c r="Y179" s="135"/>
      <c r="Z179" s="135"/>
    </row>
    <row r="180" spans="1:26">
      <c r="A180" s="135" t="str">
        <f ca="1">IFERROR(__xludf.DUMMYFUNCTION("""COMPUTED_VALUE"""),"Miller'S Merry Manor (New Carlisle)")</f>
        <v>Miller'S Merry Manor (New Carlisle)</v>
      </c>
      <c r="B180" s="135" t="str">
        <f ca="1">IFERROR(__xludf.DUMMYFUNCTION("""COMPUTED_VALUE"""),"Millers")</f>
        <v>Millers</v>
      </c>
      <c r="C180" s="135" t="str">
        <f ca="1">IFERROR(__xludf.DUMMYFUNCTION("""COMPUTED_VALUE"""),"   Tel: (574)654-7244")</f>
        <v xml:space="preserve">   Tel: (574)654-7244</v>
      </c>
      <c r="D180" s="135" t="str">
        <f ca="1">IFERROR(__xludf.DUMMYFUNCTION("""COMPUTED_VALUE"""),"   220 E Dunn Rd")</f>
        <v xml:space="preserve">   220 E Dunn Rd</v>
      </c>
      <c r="E180" s="135" t="str">
        <f ca="1">IFERROR(__xludf.DUMMYFUNCTION("""COMPUTED_VALUE"""),"   New Carlisle, In 46552")</f>
        <v xml:space="preserve">   New Carlisle, In 46552</v>
      </c>
      <c r="F180" s="135" t="str">
        <f ca="1">IFERROR(__xludf.DUMMYFUNCTION("""COMPUTED_VALUE"""),"No")</f>
        <v>No</v>
      </c>
      <c r="G180" s="135">
        <f ca="1">IFERROR(__xludf.DUMMYFUNCTION("""COMPUTED_VALUE"""),77)</f>
        <v>77</v>
      </c>
      <c r="H180" s="135" t="str">
        <f ca="1">IFERROR(__xludf.DUMMYFUNCTION("""COMPUTED_VALUE"""),"Financial Burden")</f>
        <v>Financial Burden</v>
      </c>
      <c r="I180" s="135" t="str">
        <f ca="1">IFERROR(__xludf.DUMMYFUNCTION("""COMPUTED_VALUE"""),"KITS")</f>
        <v>KITS</v>
      </c>
      <c r="J180" s="135" t="str">
        <f ca="1">IFERROR(__xludf.DUMMYFUNCTION("""COMPUTED_VALUE"""),"")</f>
        <v/>
      </c>
      <c r="K180" s="135"/>
      <c r="L180" s="135"/>
      <c r="M180" s="135"/>
      <c r="N180" s="135"/>
      <c r="O180" s="135"/>
      <c r="P180" s="135"/>
      <c r="Q180" s="135"/>
      <c r="R180" s="135"/>
      <c r="S180" s="135"/>
      <c r="T180" s="135"/>
      <c r="U180" s="135"/>
      <c r="V180" s="135"/>
      <c r="W180" s="135"/>
      <c r="X180" s="135"/>
      <c r="Y180" s="135"/>
      <c r="Z180" s="135"/>
    </row>
    <row r="181" spans="1:26">
      <c r="A181" s="135" t="str">
        <f ca="1">IFERROR(__xludf.DUMMYFUNCTION("""COMPUTED_VALUE"""),"Miller'S Merry Manor (Peru)")</f>
        <v>Miller'S Merry Manor (Peru)</v>
      </c>
      <c r="B181" s="135" t="str">
        <f ca="1">IFERROR(__xludf.DUMMYFUNCTION("""COMPUTED_VALUE"""),"Millers")</f>
        <v>Millers</v>
      </c>
      <c r="C181" s="135" t="str">
        <f ca="1">IFERROR(__xludf.DUMMYFUNCTION("""COMPUTED_VALUE"""),"   Tel: (765)473-4426")</f>
        <v xml:space="preserve">   Tel: (765)473-4426</v>
      </c>
      <c r="D181" s="135" t="str">
        <f ca="1">IFERROR(__xludf.DUMMYFUNCTION("""COMPUTED_VALUE"""),"   317 Blair Pike")</f>
        <v xml:space="preserve">   317 Blair Pike</v>
      </c>
      <c r="E181" s="135" t="str">
        <f ca="1">IFERROR(__xludf.DUMMYFUNCTION("""COMPUTED_VALUE"""),"   Peru, In 46970")</f>
        <v xml:space="preserve">   Peru, In 46970</v>
      </c>
      <c r="F181" s="135" t="str">
        <f ca="1">IFERROR(__xludf.DUMMYFUNCTION("""COMPUTED_VALUE"""),"")</f>
        <v/>
      </c>
      <c r="G181" s="135">
        <f ca="1">IFERROR(__xludf.DUMMYFUNCTION("""COMPUTED_VALUE"""),95)</f>
        <v>95</v>
      </c>
      <c r="H181" s="135" t="str">
        <f ca="1">IFERROR(__xludf.DUMMYFUNCTION("""COMPUTED_VALUE"""),"Financial Burden")</f>
        <v>Financial Burden</v>
      </c>
      <c r="I181" s="135" t="str">
        <f ca="1">IFERROR(__xludf.DUMMYFUNCTION("""COMPUTED_VALUE"""),"KITS")</f>
        <v>KITS</v>
      </c>
      <c r="J181" s="135" t="str">
        <f ca="1">IFERROR(__xludf.DUMMYFUNCTION("""COMPUTED_VALUE"""),"")</f>
        <v/>
      </c>
      <c r="K181" s="135"/>
      <c r="L181" s="135"/>
      <c r="M181" s="135"/>
      <c r="N181" s="135"/>
      <c r="O181" s="135"/>
      <c r="P181" s="135"/>
      <c r="Q181" s="135"/>
      <c r="R181" s="135"/>
      <c r="S181" s="135"/>
      <c r="T181" s="135"/>
      <c r="U181" s="135"/>
      <c r="V181" s="135"/>
      <c r="W181" s="135"/>
      <c r="X181" s="135"/>
      <c r="Y181" s="135"/>
      <c r="Z181" s="135"/>
    </row>
    <row r="182" spans="1:26">
      <c r="A182" s="135" t="str">
        <f ca="1">IFERROR(__xludf.DUMMYFUNCTION("""COMPUTED_VALUE"""),"Miller'S Merry Manor (Plymouth)")</f>
        <v>Miller'S Merry Manor (Plymouth)</v>
      </c>
      <c r="B182" s="135" t="str">
        <f ca="1">IFERROR(__xludf.DUMMYFUNCTION("""COMPUTED_VALUE"""),"Millers")</f>
        <v>Millers</v>
      </c>
      <c r="C182" s="135" t="str">
        <f ca="1">IFERROR(__xludf.DUMMYFUNCTION("""COMPUTED_VALUE"""),"   Tel: (574)936-9981")</f>
        <v xml:space="preserve">   Tel: (574)936-9981</v>
      </c>
      <c r="D182" s="135" t="str">
        <f ca="1">IFERROR(__xludf.DUMMYFUNCTION("""COMPUTED_VALUE"""),"   635 Oakhill Ave")</f>
        <v xml:space="preserve">   635 Oakhill Ave</v>
      </c>
      <c r="E182" s="135" t="str">
        <f ca="1">IFERROR(__xludf.DUMMYFUNCTION("""COMPUTED_VALUE"""),"   Plymouth, In 46563")</f>
        <v xml:space="preserve">   Plymouth, In 46563</v>
      </c>
      <c r="F182" s="135" t="str">
        <f ca="1">IFERROR(__xludf.DUMMYFUNCTION("""COMPUTED_VALUE"""),"")</f>
        <v/>
      </c>
      <c r="G182" s="135">
        <f ca="1">IFERROR(__xludf.DUMMYFUNCTION("""COMPUTED_VALUE"""),123)</f>
        <v>123</v>
      </c>
      <c r="H182" s="135" t="str">
        <f ca="1">IFERROR(__xludf.DUMMYFUNCTION("""COMPUTED_VALUE"""),"Financial Burden")</f>
        <v>Financial Burden</v>
      </c>
      <c r="I182" s="135" t="str">
        <f ca="1">IFERROR(__xludf.DUMMYFUNCTION("""COMPUTED_VALUE"""),"KITS")</f>
        <v>KITS</v>
      </c>
      <c r="J182" s="135" t="str">
        <f ca="1">IFERROR(__xludf.DUMMYFUNCTION("""COMPUTED_VALUE"""),"")</f>
        <v/>
      </c>
      <c r="K182" s="135"/>
      <c r="L182" s="135"/>
      <c r="M182" s="135"/>
      <c r="N182" s="135"/>
      <c r="O182" s="135"/>
      <c r="P182" s="135"/>
      <c r="Q182" s="135"/>
      <c r="R182" s="135"/>
      <c r="S182" s="135"/>
      <c r="T182" s="135"/>
      <c r="U182" s="135"/>
      <c r="V182" s="135"/>
      <c r="W182" s="135"/>
      <c r="X182" s="135"/>
      <c r="Y182" s="135"/>
      <c r="Z182" s="135"/>
    </row>
    <row r="183" spans="1:26">
      <c r="A183" s="135" t="str">
        <f ca="1">IFERROR(__xludf.DUMMYFUNCTION("""COMPUTED_VALUE"""),"Miller'S Merry Manor (Portage)")</f>
        <v>Miller'S Merry Manor (Portage)</v>
      </c>
      <c r="B183" s="135" t="str">
        <f ca="1">IFERROR(__xludf.DUMMYFUNCTION("""COMPUTED_VALUE"""),"Millers")</f>
        <v>Millers</v>
      </c>
      <c r="C183" s="135" t="str">
        <f ca="1">IFERROR(__xludf.DUMMYFUNCTION("""COMPUTED_VALUE"""),"   Tel: (219)763-2273")</f>
        <v xml:space="preserve">   Tel: (219)763-2273</v>
      </c>
      <c r="D183" s="135" t="str">
        <f ca="1">IFERROR(__xludf.DUMMYFUNCTION("""COMPUTED_VALUE"""),"   5909 Lute Rd")</f>
        <v xml:space="preserve">   5909 Lute Rd</v>
      </c>
      <c r="E183" s="135" t="str">
        <f ca="1">IFERROR(__xludf.DUMMYFUNCTION("""COMPUTED_VALUE"""),"   Portage, In 46368")</f>
        <v xml:space="preserve">   Portage, In 46368</v>
      </c>
      <c r="F183" s="135" t="str">
        <f ca="1">IFERROR(__xludf.DUMMYFUNCTION("""COMPUTED_VALUE"""),"")</f>
        <v/>
      </c>
      <c r="G183" s="135">
        <f ca="1">IFERROR(__xludf.DUMMYFUNCTION("""COMPUTED_VALUE"""),95)</f>
        <v>95</v>
      </c>
      <c r="H183" s="135" t="str">
        <f ca="1">IFERROR(__xludf.DUMMYFUNCTION("""COMPUTED_VALUE"""),"Financial Burden")</f>
        <v>Financial Burden</v>
      </c>
      <c r="I183" s="135" t="str">
        <f ca="1">IFERROR(__xludf.DUMMYFUNCTION("""COMPUTED_VALUE"""),"KITS")</f>
        <v>KITS</v>
      </c>
      <c r="J183" s="135" t="str">
        <f ca="1">IFERROR(__xludf.DUMMYFUNCTION("""COMPUTED_VALUE"""),"")</f>
        <v/>
      </c>
      <c r="K183" s="135"/>
      <c r="L183" s="135"/>
      <c r="M183" s="135"/>
      <c r="N183" s="135"/>
      <c r="O183" s="135"/>
      <c r="P183" s="135"/>
      <c r="Q183" s="135"/>
      <c r="R183" s="135"/>
      <c r="S183" s="135"/>
      <c r="T183" s="135"/>
      <c r="U183" s="135"/>
      <c r="V183" s="135"/>
      <c r="W183" s="135"/>
      <c r="X183" s="135"/>
      <c r="Y183" s="135"/>
      <c r="Z183" s="135"/>
    </row>
    <row r="184" spans="1:26">
      <c r="A184" s="135" t="str">
        <f ca="1">IFERROR(__xludf.DUMMYFUNCTION("""COMPUTED_VALUE"""),"Miller'S Merry Manor (Rockport)")</f>
        <v>Miller'S Merry Manor (Rockport)</v>
      </c>
      <c r="B184" s="135" t="str">
        <f ca="1">IFERROR(__xludf.DUMMYFUNCTION("""COMPUTED_VALUE"""),"Millers")</f>
        <v>Millers</v>
      </c>
      <c r="C184" s="135" t="str">
        <f ca="1">IFERROR(__xludf.DUMMYFUNCTION("""COMPUTED_VALUE"""),"   Tel: (812)649-2276")</f>
        <v xml:space="preserve">   Tel: (812)649-2276</v>
      </c>
      <c r="D184" s="135" t="str">
        <f ca="1">IFERROR(__xludf.DUMMYFUNCTION("""COMPUTED_VALUE"""),"   815 W Washington St")</f>
        <v xml:space="preserve">   815 W Washington St</v>
      </c>
      <c r="E184" s="135" t="str">
        <f ca="1">IFERROR(__xludf.DUMMYFUNCTION("""COMPUTED_VALUE"""),"   Rockport, In 47635")</f>
        <v xml:space="preserve">   Rockport, In 47635</v>
      </c>
      <c r="F184" s="135" t="str">
        <f ca="1">IFERROR(__xludf.DUMMYFUNCTION("""COMPUTED_VALUE"""),"No")</f>
        <v>No</v>
      </c>
      <c r="G184" s="135">
        <f ca="1">IFERROR(__xludf.DUMMYFUNCTION("""COMPUTED_VALUE"""),76)</f>
        <v>76</v>
      </c>
      <c r="H184" s="135" t="str">
        <f ca="1">IFERROR(__xludf.DUMMYFUNCTION("""COMPUTED_VALUE"""),"Financial Burden")</f>
        <v>Financial Burden</v>
      </c>
      <c r="I184" s="135" t="str">
        <f ca="1">IFERROR(__xludf.DUMMYFUNCTION("""COMPUTED_VALUE"""),"KITS")</f>
        <v>KITS</v>
      </c>
      <c r="J184" s="135" t="str">
        <f ca="1">IFERROR(__xludf.DUMMYFUNCTION("""COMPUTED_VALUE"""),"")</f>
        <v/>
      </c>
      <c r="K184" s="135"/>
      <c r="L184" s="135"/>
      <c r="M184" s="135"/>
      <c r="N184" s="135"/>
      <c r="O184" s="135"/>
      <c r="P184" s="135"/>
      <c r="Q184" s="135"/>
      <c r="R184" s="135"/>
      <c r="S184" s="135"/>
      <c r="T184" s="135"/>
      <c r="U184" s="135"/>
      <c r="V184" s="135"/>
      <c r="W184" s="135"/>
      <c r="X184" s="135"/>
      <c r="Y184" s="135"/>
      <c r="Z184" s="135"/>
    </row>
    <row r="185" spans="1:26">
      <c r="A185" s="135" t="str">
        <f ca="1">IFERROR(__xludf.DUMMYFUNCTION("""COMPUTED_VALUE"""),"Miller'S Merry Manor (Rushville)")</f>
        <v>Miller'S Merry Manor (Rushville)</v>
      </c>
      <c r="B185" s="135" t="str">
        <f ca="1">IFERROR(__xludf.DUMMYFUNCTION("""COMPUTED_VALUE"""),"Millers")</f>
        <v>Millers</v>
      </c>
      <c r="C185" s="135" t="str">
        <f ca="1">IFERROR(__xludf.DUMMYFUNCTION("""COMPUTED_VALUE"""),"   Tel: (765)932-4127")</f>
        <v xml:space="preserve">   Tel: (765)932-4127</v>
      </c>
      <c r="D185" s="135" t="str">
        <f ca="1">IFERROR(__xludf.DUMMYFUNCTION("""COMPUTED_VALUE"""),"   612 E 11Th St")</f>
        <v xml:space="preserve">   612 E 11Th St</v>
      </c>
      <c r="E185" s="135" t="str">
        <f ca="1">IFERROR(__xludf.DUMMYFUNCTION("""COMPUTED_VALUE"""),"   Rushville, In 46173")</f>
        <v xml:space="preserve">   Rushville, In 46173</v>
      </c>
      <c r="F185" s="135" t="str">
        <f ca="1">IFERROR(__xludf.DUMMYFUNCTION("""COMPUTED_VALUE"""),"")</f>
        <v/>
      </c>
      <c r="G185" s="135">
        <f ca="1">IFERROR(__xludf.DUMMYFUNCTION("""COMPUTED_VALUE"""),82)</f>
        <v>82</v>
      </c>
      <c r="H185" s="135" t="str">
        <f ca="1">IFERROR(__xludf.DUMMYFUNCTION("""COMPUTED_VALUE"""),"Financial Burden")</f>
        <v>Financial Burden</v>
      </c>
      <c r="I185" s="135" t="str">
        <f ca="1">IFERROR(__xludf.DUMMYFUNCTION("""COMPUTED_VALUE"""),"KITS")</f>
        <v>KITS</v>
      </c>
      <c r="J185" s="135" t="str">
        <f ca="1">IFERROR(__xludf.DUMMYFUNCTION("""COMPUTED_VALUE"""),"")</f>
        <v/>
      </c>
      <c r="K185" s="135"/>
      <c r="L185" s="135"/>
      <c r="M185" s="135"/>
      <c r="N185" s="135"/>
      <c r="O185" s="135"/>
      <c r="P185" s="135"/>
      <c r="Q185" s="135"/>
      <c r="R185" s="135"/>
      <c r="S185" s="135"/>
      <c r="T185" s="135"/>
      <c r="U185" s="135"/>
      <c r="V185" s="135"/>
      <c r="W185" s="135"/>
      <c r="X185" s="135"/>
      <c r="Y185" s="135"/>
      <c r="Z185" s="135"/>
    </row>
    <row r="186" spans="1:26">
      <c r="A186" s="135" t="str">
        <f ca="1">IFERROR(__xludf.DUMMYFUNCTION("""COMPUTED_VALUE"""),"Miller'S Merry Manor (Sullivan)")</f>
        <v>Miller'S Merry Manor (Sullivan)</v>
      </c>
      <c r="B186" s="135" t="str">
        <f ca="1">IFERROR(__xludf.DUMMYFUNCTION("""COMPUTED_VALUE"""),"Millers")</f>
        <v>Millers</v>
      </c>
      <c r="C186" s="135" t="str">
        <f ca="1">IFERROR(__xludf.DUMMYFUNCTION("""COMPUTED_VALUE"""),"   Tel: (812)268-6361")</f>
        <v xml:space="preserve">   Tel: (812)268-6361</v>
      </c>
      <c r="D186" s="135" t="str">
        <f ca="1">IFERROR(__xludf.DUMMYFUNCTION("""COMPUTED_VALUE"""),"   505 W Wolfe St")</f>
        <v xml:space="preserve">   505 W Wolfe St</v>
      </c>
      <c r="E186" s="135" t="str">
        <f ca="1">IFERROR(__xludf.DUMMYFUNCTION("""COMPUTED_VALUE"""),"   Sullivan, In 47882")</f>
        <v xml:space="preserve">   Sullivan, In 47882</v>
      </c>
      <c r="F186" s="135" t="str">
        <f ca="1">IFERROR(__xludf.DUMMYFUNCTION("""COMPUTED_VALUE"""),"")</f>
        <v/>
      </c>
      <c r="G186" s="135">
        <f ca="1">IFERROR(__xludf.DUMMYFUNCTION("""COMPUTED_VALUE"""),117)</f>
        <v>117</v>
      </c>
      <c r="H186" s="135" t="str">
        <f ca="1">IFERROR(__xludf.DUMMYFUNCTION("""COMPUTED_VALUE"""),"Financial Burden")</f>
        <v>Financial Burden</v>
      </c>
      <c r="I186" s="135" t="str">
        <f ca="1">IFERROR(__xludf.DUMMYFUNCTION("""COMPUTED_VALUE"""),"KITS")</f>
        <v>KITS</v>
      </c>
      <c r="J186" s="135" t="str">
        <f ca="1">IFERROR(__xludf.DUMMYFUNCTION("""COMPUTED_VALUE"""),"")</f>
        <v/>
      </c>
      <c r="K186" s="135"/>
      <c r="L186" s="135"/>
      <c r="M186" s="135"/>
      <c r="N186" s="135"/>
      <c r="O186" s="135"/>
      <c r="P186" s="135"/>
      <c r="Q186" s="135"/>
      <c r="R186" s="135"/>
      <c r="S186" s="135"/>
      <c r="T186" s="135"/>
      <c r="U186" s="135"/>
      <c r="V186" s="135"/>
      <c r="W186" s="135"/>
      <c r="X186" s="135"/>
      <c r="Y186" s="135"/>
      <c r="Z186" s="135"/>
    </row>
    <row r="187" spans="1:26">
      <c r="A187" s="135" t="str">
        <f ca="1">IFERROR(__xludf.DUMMYFUNCTION("""COMPUTED_VALUE"""),"Miller'S Merry Manor (Syracuse)")</f>
        <v>Miller'S Merry Manor (Syracuse)</v>
      </c>
      <c r="B187" s="135" t="str">
        <f ca="1">IFERROR(__xludf.DUMMYFUNCTION("""COMPUTED_VALUE"""),"Millers")</f>
        <v>Millers</v>
      </c>
      <c r="C187" s="135" t="str">
        <f ca="1">IFERROR(__xludf.DUMMYFUNCTION("""COMPUTED_VALUE"""),"   Tel: (574)457-4401")</f>
        <v xml:space="preserve">   Tel: (574)457-4401</v>
      </c>
      <c r="D187" s="135" t="str">
        <f ca="1">IFERROR(__xludf.DUMMYFUNCTION("""COMPUTED_VALUE"""),"   500 E Pickwick Dr")</f>
        <v xml:space="preserve">   500 E Pickwick Dr</v>
      </c>
      <c r="E187" s="135" t="str">
        <f ca="1">IFERROR(__xludf.DUMMYFUNCTION("""COMPUTED_VALUE"""),"   Syracuse, In 46567")</f>
        <v xml:space="preserve">   Syracuse, In 46567</v>
      </c>
      <c r="F187" s="135" t="str">
        <f ca="1">IFERROR(__xludf.DUMMYFUNCTION("""COMPUTED_VALUE"""),"")</f>
        <v/>
      </c>
      <c r="G187" s="135">
        <f ca="1">IFERROR(__xludf.DUMMYFUNCTION("""COMPUTED_VALUE"""),80)</f>
        <v>80</v>
      </c>
      <c r="H187" s="135" t="str">
        <f ca="1">IFERROR(__xludf.DUMMYFUNCTION("""COMPUTED_VALUE"""),"Financial Burden")</f>
        <v>Financial Burden</v>
      </c>
      <c r="I187" s="135" t="str">
        <f ca="1">IFERROR(__xludf.DUMMYFUNCTION("""COMPUTED_VALUE"""),"KITS")</f>
        <v>KITS</v>
      </c>
      <c r="J187" s="135" t="str">
        <f ca="1">IFERROR(__xludf.DUMMYFUNCTION("""COMPUTED_VALUE"""),"")</f>
        <v/>
      </c>
      <c r="K187" s="135"/>
      <c r="L187" s="135"/>
      <c r="M187" s="135"/>
      <c r="N187" s="135"/>
      <c r="O187" s="135"/>
      <c r="P187" s="135"/>
      <c r="Q187" s="135"/>
      <c r="R187" s="135"/>
      <c r="S187" s="135"/>
      <c r="T187" s="135"/>
      <c r="U187" s="135"/>
      <c r="V187" s="135"/>
      <c r="W187" s="135"/>
      <c r="X187" s="135"/>
      <c r="Y187" s="135"/>
      <c r="Z187" s="135"/>
    </row>
    <row r="188" spans="1:26">
      <c r="A188" s="135" t="str">
        <f ca="1">IFERROR(__xludf.DUMMYFUNCTION("""COMPUTED_VALUE"""),"Miller'S Merry Manor (Tipton)")</f>
        <v>Miller'S Merry Manor (Tipton)</v>
      </c>
      <c r="B188" s="135" t="str">
        <f ca="1">IFERROR(__xludf.DUMMYFUNCTION("""COMPUTED_VALUE"""),"Millers")</f>
        <v>Millers</v>
      </c>
      <c r="C188" s="135" t="str">
        <f ca="1">IFERROR(__xludf.DUMMYFUNCTION("""COMPUTED_VALUE"""),"   Tel: (765)675-8791")</f>
        <v xml:space="preserve">   Tel: (765)675-8791</v>
      </c>
      <c r="D188" s="135" t="str">
        <f ca="1">IFERROR(__xludf.DUMMYFUNCTION("""COMPUTED_VALUE"""),"   300 Fairgrounds Rd")</f>
        <v xml:space="preserve">   300 Fairgrounds Rd</v>
      </c>
      <c r="E188" s="135" t="str">
        <f ca="1">IFERROR(__xludf.DUMMYFUNCTION("""COMPUTED_VALUE"""),"   Tipton, In 46072")</f>
        <v xml:space="preserve">   Tipton, In 46072</v>
      </c>
      <c r="F188" s="135" t="str">
        <f ca="1">IFERROR(__xludf.DUMMYFUNCTION("""COMPUTED_VALUE"""),"No")</f>
        <v>No</v>
      </c>
      <c r="G188" s="135">
        <f ca="1">IFERROR(__xludf.DUMMYFUNCTION("""COMPUTED_VALUE"""),202)</f>
        <v>202</v>
      </c>
      <c r="H188" s="135" t="str">
        <f ca="1">IFERROR(__xludf.DUMMYFUNCTION("""COMPUTED_VALUE"""),"Financial Burden")</f>
        <v>Financial Burden</v>
      </c>
      <c r="I188" s="135" t="str">
        <f ca="1">IFERROR(__xludf.DUMMYFUNCTION("""COMPUTED_VALUE"""),"KITS")</f>
        <v>KITS</v>
      </c>
      <c r="J188" s="135" t="str">
        <f ca="1">IFERROR(__xludf.DUMMYFUNCTION("""COMPUTED_VALUE"""),"")</f>
        <v/>
      </c>
      <c r="K188" s="135"/>
      <c r="L188" s="135"/>
      <c r="M188" s="135"/>
      <c r="N188" s="135"/>
      <c r="O188" s="135"/>
      <c r="P188" s="135"/>
      <c r="Q188" s="135"/>
      <c r="R188" s="135"/>
      <c r="S188" s="135"/>
      <c r="T188" s="135"/>
      <c r="U188" s="135"/>
      <c r="V188" s="135"/>
      <c r="W188" s="135"/>
      <c r="X188" s="135"/>
      <c r="Y188" s="135"/>
      <c r="Z188" s="135"/>
    </row>
    <row r="189" spans="1:26">
      <c r="A189" s="135" t="str">
        <f ca="1">IFERROR(__xludf.DUMMYFUNCTION("""COMPUTED_VALUE"""),"Miller'S Merry Manor (Wabash East)")</f>
        <v>Miller'S Merry Manor (Wabash East)</v>
      </c>
      <c r="B189" s="135" t="str">
        <f ca="1">IFERROR(__xludf.DUMMYFUNCTION("""COMPUTED_VALUE"""),"Millers")</f>
        <v>Millers</v>
      </c>
      <c r="C189" s="135" t="str">
        <f ca="1">IFERROR(__xludf.DUMMYFUNCTION("""COMPUTED_VALUE"""),"   Tel: (260)563-4112")</f>
        <v xml:space="preserve">   Tel: (260)563-4112</v>
      </c>
      <c r="D189" s="135" t="str">
        <f ca="1">IFERROR(__xludf.DUMMYFUNCTION("""COMPUTED_VALUE"""),"   1720 Alber St")</f>
        <v xml:space="preserve">   1720 Alber St</v>
      </c>
      <c r="E189" s="135" t="str">
        <f ca="1">IFERROR(__xludf.DUMMYFUNCTION("""COMPUTED_VALUE"""),"   Wabash, In 46992")</f>
        <v xml:space="preserve">   Wabash, In 46992</v>
      </c>
      <c r="F189" s="135" t="str">
        <f ca="1">IFERROR(__xludf.DUMMYFUNCTION("""COMPUTED_VALUE"""),"")</f>
        <v/>
      </c>
      <c r="G189" s="135">
        <f ca="1">IFERROR(__xludf.DUMMYFUNCTION("""COMPUTED_VALUE"""),96)</f>
        <v>96</v>
      </c>
      <c r="H189" s="135" t="str">
        <f ca="1">IFERROR(__xludf.DUMMYFUNCTION("""COMPUTED_VALUE"""),"Financial Burden")</f>
        <v>Financial Burden</v>
      </c>
      <c r="I189" s="135" t="str">
        <f ca="1">IFERROR(__xludf.DUMMYFUNCTION("""COMPUTED_VALUE"""),"KITS")</f>
        <v>KITS</v>
      </c>
      <c r="J189" s="135" t="str">
        <f ca="1">IFERROR(__xludf.DUMMYFUNCTION("""COMPUTED_VALUE"""),"")</f>
        <v/>
      </c>
      <c r="K189" s="135"/>
      <c r="L189" s="135"/>
      <c r="M189" s="135"/>
      <c r="N189" s="135"/>
      <c r="O189" s="135"/>
      <c r="P189" s="135"/>
      <c r="Q189" s="135"/>
      <c r="R189" s="135"/>
      <c r="S189" s="135"/>
      <c r="T189" s="135"/>
      <c r="U189" s="135"/>
      <c r="V189" s="135"/>
      <c r="W189" s="135"/>
      <c r="X189" s="135"/>
      <c r="Y189" s="135"/>
      <c r="Z189" s="135"/>
    </row>
    <row r="190" spans="1:26">
      <c r="A190" s="135" t="str">
        <f ca="1">IFERROR(__xludf.DUMMYFUNCTION("""COMPUTED_VALUE"""),"Miller'S Merry Manor (Wabash West)")</f>
        <v>Miller'S Merry Manor (Wabash West)</v>
      </c>
      <c r="B190" s="135" t="str">
        <f ca="1">IFERROR(__xludf.DUMMYFUNCTION("""COMPUTED_VALUE"""),"Millers")</f>
        <v>Millers</v>
      </c>
      <c r="C190" s="135" t="str">
        <f ca="1">IFERROR(__xludf.DUMMYFUNCTION("""COMPUTED_VALUE"""),"   Tel: (260)563-7427")</f>
        <v xml:space="preserve">   Tel: (260)563-7427</v>
      </c>
      <c r="D190" s="135" t="str">
        <f ca="1">IFERROR(__xludf.DUMMYFUNCTION("""COMPUTED_VALUE"""),"   1900  N  Alber St")</f>
        <v xml:space="preserve">   1900  N  Alber St</v>
      </c>
      <c r="E190" s="135" t="str">
        <f ca="1">IFERROR(__xludf.DUMMYFUNCTION("""COMPUTED_VALUE"""),"   Wabash, In 46992")</f>
        <v xml:space="preserve">   Wabash, In 46992</v>
      </c>
      <c r="F190" s="135" t="str">
        <f ca="1">IFERROR(__xludf.DUMMYFUNCTION("""COMPUTED_VALUE"""),"")</f>
        <v/>
      </c>
      <c r="G190" s="135">
        <f ca="1">IFERROR(__xludf.DUMMYFUNCTION("""COMPUTED_VALUE"""),35)</f>
        <v>35</v>
      </c>
      <c r="H190" s="135" t="str">
        <f ca="1">IFERROR(__xludf.DUMMYFUNCTION("""COMPUTED_VALUE"""),"Financial Burden")</f>
        <v>Financial Burden</v>
      </c>
      <c r="I190" s="135" t="str">
        <f ca="1">IFERROR(__xludf.DUMMYFUNCTION("""COMPUTED_VALUE"""),"KITS")</f>
        <v>KITS</v>
      </c>
      <c r="J190" s="135" t="str">
        <f ca="1">IFERROR(__xludf.DUMMYFUNCTION("""COMPUTED_VALUE"""),"")</f>
        <v/>
      </c>
      <c r="K190" s="135"/>
      <c r="L190" s="135"/>
      <c r="M190" s="135"/>
      <c r="N190" s="135"/>
      <c r="O190" s="135"/>
      <c r="P190" s="135"/>
      <c r="Q190" s="135"/>
      <c r="R190" s="135"/>
      <c r="S190" s="135"/>
      <c r="T190" s="135"/>
      <c r="U190" s="135"/>
      <c r="V190" s="135"/>
      <c r="W190" s="135"/>
      <c r="X190" s="135"/>
      <c r="Y190" s="135"/>
      <c r="Z190" s="135"/>
    </row>
    <row r="191" spans="1:26">
      <c r="A191" s="135" t="str">
        <f ca="1">IFERROR(__xludf.DUMMYFUNCTION("""COMPUTED_VALUE"""),"Miller'S Merry Manor (Wakarusa)")</f>
        <v>Miller'S Merry Manor (Wakarusa)</v>
      </c>
      <c r="B191" s="135" t="str">
        <f ca="1">IFERROR(__xludf.DUMMYFUNCTION("""COMPUTED_VALUE"""),"Millers")</f>
        <v>Millers</v>
      </c>
      <c r="C191" s="135" t="str">
        <f ca="1">IFERROR(__xludf.DUMMYFUNCTION("""COMPUTED_VALUE"""),"   Tel: (574)862-4511")</f>
        <v xml:space="preserve">   Tel: (574)862-4511</v>
      </c>
      <c r="D191" s="135" t="str">
        <f ca="1">IFERROR(__xludf.DUMMYFUNCTION("""COMPUTED_VALUE"""),"   300 N Washington St")</f>
        <v xml:space="preserve">   300 N Washington St</v>
      </c>
      <c r="E191" s="135" t="str">
        <f ca="1">IFERROR(__xludf.DUMMYFUNCTION("""COMPUTED_VALUE"""),"   Wakarusa, In 46573")</f>
        <v xml:space="preserve">   Wakarusa, In 46573</v>
      </c>
      <c r="F191" s="135" t="str">
        <f ca="1">IFERROR(__xludf.DUMMYFUNCTION("""COMPUTED_VALUE"""),"")</f>
        <v/>
      </c>
      <c r="G191" s="135">
        <f ca="1">IFERROR(__xludf.DUMMYFUNCTION("""COMPUTED_VALUE"""),164)</f>
        <v>164</v>
      </c>
      <c r="H191" s="135" t="str">
        <f ca="1">IFERROR(__xludf.DUMMYFUNCTION("""COMPUTED_VALUE"""),"Financial Burden")</f>
        <v>Financial Burden</v>
      </c>
      <c r="I191" s="135" t="str">
        <f ca="1">IFERROR(__xludf.DUMMYFUNCTION("""COMPUTED_VALUE"""),"KITS")</f>
        <v>KITS</v>
      </c>
      <c r="J191" s="135" t="str">
        <f ca="1">IFERROR(__xludf.DUMMYFUNCTION("""COMPUTED_VALUE"""),"")</f>
        <v/>
      </c>
      <c r="K191" s="135"/>
      <c r="L191" s="135"/>
      <c r="M191" s="135"/>
      <c r="N191" s="135"/>
      <c r="O191" s="135"/>
      <c r="P191" s="135"/>
      <c r="Q191" s="135"/>
      <c r="R191" s="135"/>
      <c r="S191" s="135"/>
      <c r="T191" s="135"/>
      <c r="U191" s="135"/>
      <c r="V191" s="135"/>
      <c r="W191" s="135"/>
      <c r="X191" s="135"/>
      <c r="Y191" s="135"/>
      <c r="Z191" s="135"/>
    </row>
    <row r="192" spans="1:26">
      <c r="A192" s="135" t="str">
        <f ca="1">IFERROR(__xludf.DUMMYFUNCTION("""COMPUTED_VALUE"""),"Miller'S Merry Manor (Walkerton)")</f>
        <v>Miller'S Merry Manor (Walkerton)</v>
      </c>
      <c r="B192" s="135" t="str">
        <f ca="1">IFERROR(__xludf.DUMMYFUNCTION("""COMPUTED_VALUE"""),"Millers")</f>
        <v>Millers</v>
      </c>
      <c r="C192" s="135" t="str">
        <f ca="1">IFERROR(__xludf.DUMMYFUNCTION("""COMPUTED_VALUE"""),"   Tel: (574)586-3133")</f>
        <v xml:space="preserve">   Tel: (574)586-3133</v>
      </c>
      <c r="D192" s="135" t="str">
        <f ca="1">IFERROR(__xludf.DUMMYFUNCTION("""COMPUTED_VALUE"""),"   500 Walkerton Tr")</f>
        <v xml:space="preserve">   500 Walkerton Tr</v>
      </c>
      <c r="E192" s="135" t="str">
        <f ca="1">IFERROR(__xludf.DUMMYFUNCTION("""COMPUTED_VALUE"""),"   Walkerton, In 46574")</f>
        <v xml:space="preserve">   Walkerton, In 46574</v>
      </c>
      <c r="F192" s="135" t="str">
        <f ca="1">IFERROR(__xludf.DUMMYFUNCTION("""COMPUTED_VALUE"""),"No")</f>
        <v>No</v>
      </c>
      <c r="G192" s="135">
        <f ca="1">IFERROR(__xludf.DUMMYFUNCTION("""COMPUTED_VALUE"""),59)</f>
        <v>59</v>
      </c>
      <c r="H192" s="135" t="str">
        <f ca="1">IFERROR(__xludf.DUMMYFUNCTION("""COMPUTED_VALUE"""),"Financial Burden")</f>
        <v>Financial Burden</v>
      </c>
      <c r="I192" s="135" t="str">
        <f ca="1">IFERROR(__xludf.DUMMYFUNCTION("""COMPUTED_VALUE"""),"KITS")</f>
        <v>KITS</v>
      </c>
      <c r="J192" s="135" t="str">
        <f ca="1">IFERROR(__xludf.DUMMYFUNCTION("""COMPUTED_VALUE"""),"")</f>
        <v/>
      </c>
      <c r="K192" s="135"/>
      <c r="L192" s="135"/>
      <c r="M192" s="135"/>
      <c r="N192" s="135"/>
      <c r="O192" s="135"/>
      <c r="P192" s="135"/>
      <c r="Q192" s="135"/>
      <c r="R192" s="135"/>
      <c r="S192" s="135"/>
      <c r="T192" s="135"/>
      <c r="U192" s="135"/>
      <c r="V192" s="135"/>
      <c r="W192" s="135"/>
      <c r="X192" s="135"/>
      <c r="Y192" s="135"/>
      <c r="Z192" s="135"/>
    </row>
    <row r="193" spans="1:26">
      <c r="A193" s="135" t="str">
        <f ca="1">IFERROR(__xludf.DUMMYFUNCTION("""COMPUTED_VALUE"""),"Miller'S Merry Manor (Warsaw)")</f>
        <v>Miller'S Merry Manor (Warsaw)</v>
      </c>
      <c r="B193" s="135" t="str">
        <f ca="1">IFERROR(__xludf.DUMMYFUNCTION("""COMPUTED_VALUE"""),"Millers")</f>
        <v>Millers</v>
      </c>
      <c r="C193" s="135" t="str">
        <f ca="1">IFERROR(__xludf.DUMMYFUNCTION("""COMPUTED_VALUE"""),"   Tel: (574)267-8196")</f>
        <v xml:space="preserve">   Tel: (574)267-8196</v>
      </c>
      <c r="D193" s="135" t="str">
        <f ca="1">IFERROR(__xludf.DUMMYFUNCTION("""COMPUTED_VALUE"""),"   1630 S County Farm Rd")</f>
        <v xml:space="preserve">   1630 S County Farm Rd</v>
      </c>
      <c r="E193" s="135" t="str">
        <f ca="1">IFERROR(__xludf.DUMMYFUNCTION("""COMPUTED_VALUE"""),"   Warsaw, In 46580")</f>
        <v xml:space="preserve">   Warsaw, In 46580</v>
      </c>
      <c r="F193" s="135" t="str">
        <f ca="1">IFERROR(__xludf.DUMMYFUNCTION("""COMPUTED_VALUE"""),"")</f>
        <v/>
      </c>
      <c r="G193" s="135">
        <f ca="1">IFERROR(__xludf.DUMMYFUNCTION("""COMPUTED_VALUE"""),144)</f>
        <v>144</v>
      </c>
      <c r="H193" s="135" t="str">
        <f ca="1">IFERROR(__xludf.DUMMYFUNCTION("""COMPUTED_VALUE"""),"Financial Burden")</f>
        <v>Financial Burden</v>
      </c>
      <c r="I193" s="135" t="str">
        <f ca="1">IFERROR(__xludf.DUMMYFUNCTION("""COMPUTED_VALUE"""),"KITS")</f>
        <v>KITS</v>
      </c>
      <c r="J193" s="135" t="str">
        <f ca="1">IFERROR(__xludf.DUMMYFUNCTION("""COMPUTED_VALUE"""),"")</f>
        <v/>
      </c>
      <c r="K193" s="135"/>
      <c r="L193" s="135"/>
      <c r="M193" s="135"/>
      <c r="N193" s="135"/>
      <c r="O193" s="135"/>
      <c r="P193" s="135"/>
      <c r="Q193" s="135"/>
      <c r="R193" s="135"/>
      <c r="S193" s="135"/>
      <c r="T193" s="135"/>
      <c r="U193" s="135"/>
      <c r="V193" s="135"/>
      <c r="W193" s="135"/>
      <c r="X193" s="135"/>
      <c r="Y193" s="135"/>
      <c r="Z193" s="135"/>
    </row>
    <row r="194" spans="1:26">
      <c r="A194" s="135" t="str">
        <f ca="1">IFERROR(__xludf.DUMMYFUNCTION("""COMPUTED_VALUE"""),"Miller'S Senior Living Community")</f>
        <v>Miller'S Senior Living Community</v>
      </c>
      <c r="B194" s="135" t="str">
        <f ca="1">IFERROR(__xludf.DUMMYFUNCTION("""COMPUTED_VALUE"""),"Millers")</f>
        <v>Millers</v>
      </c>
      <c r="C194" s="135" t="str">
        <f ca="1">IFERROR(__xludf.DUMMYFUNCTION("""COMPUTED_VALUE"""),"   Tel: (317)845-0464")</f>
        <v xml:space="preserve">   Tel: (317)845-0464</v>
      </c>
      <c r="D194" s="135" t="str">
        <f ca="1">IFERROR(__xludf.DUMMYFUNCTION("""COMPUTED_VALUE"""),"   8400 Clearvista Pl")</f>
        <v xml:space="preserve">   8400 Clearvista Pl</v>
      </c>
      <c r="E194" s="135" t="str">
        <f ca="1">IFERROR(__xludf.DUMMYFUNCTION("""COMPUTED_VALUE"""),"   Indianapolis, In 46256")</f>
        <v xml:space="preserve">   Indianapolis, In 46256</v>
      </c>
      <c r="F194" s="135" t="str">
        <f ca="1">IFERROR(__xludf.DUMMYFUNCTION("""COMPUTED_VALUE"""),"")</f>
        <v/>
      </c>
      <c r="G194" s="135">
        <f ca="1">IFERROR(__xludf.DUMMYFUNCTION("""COMPUTED_VALUE"""),83)</f>
        <v>83</v>
      </c>
      <c r="H194" s="135" t="str">
        <f ca="1">IFERROR(__xludf.DUMMYFUNCTION("""COMPUTED_VALUE"""),"Financial Burden")</f>
        <v>Financial Burden</v>
      </c>
      <c r="I194" s="135" t="str">
        <f ca="1">IFERROR(__xludf.DUMMYFUNCTION("""COMPUTED_VALUE"""),"KITS")</f>
        <v>KITS</v>
      </c>
      <c r="J194" s="135" t="str">
        <f ca="1">IFERROR(__xludf.DUMMYFUNCTION("""COMPUTED_VALUE"""),"")</f>
        <v/>
      </c>
      <c r="K194" s="135"/>
      <c r="L194" s="135"/>
      <c r="M194" s="135"/>
      <c r="N194" s="135"/>
      <c r="O194" s="135"/>
      <c r="P194" s="135"/>
      <c r="Q194" s="135"/>
      <c r="R194" s="135"/>
      <c r="S194" s="135"/>
      <c r="T194" s="135"/>
      <c r="U194" s="135"/>
      <c r="V194" s="135"/>
      <c r="W194" s="135"/>
      <c r="X194" s="135"/>
      <c r="Y194" s="135"/>
      <c r="Z194" s="135"/>
    </row>
    <row r="195" spans="1:26">
      <c r="A195" s="135" t="str">
        <f ca="1">IFERROR(__xludf.DUMMYFUNCTION("""COMPUTED_VALUE"""),"Milner Community Health Care")</f>
        <v>Milner Community Health Care</v>
      </c>
      <c r="B195" s="135" t="str">
        <f ca="1">IFERROR(__xludf.DUMMYFUNCTION("""COMPUTED_VALUE"""),"")</f>
        <v/>
      </c>
      <c r="C195" s="135" t="str">
        <f ca="1">IFERROR(__xludf.DUMMYFUNCTION("""COMPUTED_VALUE"""),"   Tel: (765)379-2112")</f>
        <v xml:space="preserve">   Tel: (765)379-2112</v>
      </c>
      <c r="D195" s="135" t="str">
        <f ca="1">IFERROR(__xludf.DUMMYFUNCTION("""COMPUTED_VALUE"""),"   370 E Main St")</f>
        <v xml:space="preserve">   370 E Main St</v>
      </c>
      <c r="E195" s="135" t="str">
        <f ca="1">IFERROR(__xludf.DUMMYFUNCTION("""COMPUTED_VALUE"""),"   Rossville, In 46065")</f>
        <v xml:space="preserve">   Rossville, In 46065</v>
      </c>
      <c r="F195" s="135" t="str">
        <f ca="1">IFERROR(__xludf.DUMMYFUNCTION("""COMPUTED_VALUE"""),"No")</f>
        <v>No</v>
      </c>
      <c r="G195" s="135">
        <f ca="1">IFERROR(__xludf.DUMMYFUNCTION("""COMPUTED_VALUE"""),101)</f>
        <v>101</v>
      </c>
      <c r="H195" s="135" t="str">
        <f ca="1">IFERROR(__xludf.DUMMYFUNCTION("""COMPUTED_VALUE"""),"Optum Testing")</f>
        <v>Optum Testing</v>
      </c>
      <c r="I195" s="135" t="str">
        <f ca="1">IFERROR(__xludf.DUMMYFUNCTION("""COMPUTED_VALUE"""),"KITS")</f>
        <v>KITS</v>
      </c>
      <c r="J195" s="135" t="str">
        <f ca="1">IFERROR(__xludf.DUMMYFUNCTION("""COMPUTED_VALUE"""),"")</f>
        <v/>
      </c>
      <c r="K195" s="135"/>
      <c r="L195" s="135"/>
      <c r="M195" s="135"/>
      <c r="N195" s="135"/>
      <c r="O195" s="135"/>
      <c r="P195" s="135"/>
      <c r="Q195" s="135"/>
      <c r="R195" s="135"/>
      <c r="S195" s="135"/>
      <c r="T195" s="135"/>
      <c r="U195" s="135"/>
      <c r="V195" s="135"/>
      <c r="W195" s="135"/>
      <c r="X195" s="135"/>
      <c r="Y195" s="135"/>
      <c r="Z195" s="135"/>
    </row>
    <row r="196" spans="1:26">
      <c r="A196" s="135" t="str">
        <f ca="1">IFERROR(__xludf.DUMMYFUNCTION("""COMPUTED_VALUE"""),"Monticello Healthcare")</f>
        <v>Monticello Healthcare</v>
      </c>
      <c r="B196" s="135" t="str">
        <f ca="1">IFERROR(__xludf.DUMMYFUNCTION("""COMPUTED_VALUE"""),"ASC")</f>
        <v>ASC</v>
      </c>
      <c r="C196" s="135" t="str">
        <f ca="1">IFERROR(__xludf.DUMMYFUNCTION("""COMPUTED_VALUE"""),"   Tel: (574)583-7073")</f>
        <v xml:space="preserve">   Tel: (574)583-7073</v>
      </c>
      <c r="D196" s="135" t="str">
        <f ca="1">IFERROR(__xludf.DUMMYFUNCTION("""COMPUTED_VALUE"""),"   1120 N Main St")</f>
        <v xml:space="preserve">   1120 N Main St</v>
      </c>
      <c r="E196" s="135" t="str">
        <f ca="1">IFERROR(__xludf.DUMMYFUNCTION("""COMPUTED_VALUE"""),"   Monticello, In 47960")</f>
        <v xml:space="preserve">   Monticello, In 47960</v>
      </c>
      <c r="F196" s="135" t="str">
        <f ca="1">IFERROR(__xludf.DUMMYFUNCTION("""COMPUTED_VALUE"""),"No")</f>
        <v>No</v>
      </c>
      <c r="G196" s="135">
        <f ca="1">IFERROR(__xludf.DUMMYFUNCTION("""COMPUTED_VALUE"""),115)</f>
        <v>115</v>
      </c>
      <c r="H196" s="135" t="str">
        <f ca="1">IFERROR(__xludf.DUMMYFUNCTION("""COMPUTED_VALUE"""),"Optum Testing")</f>
        <v>Optum Testing</v>
      </c>
      <c r="I196" s="135" t="str">
        <f ca="1">IFERROR(__xludf.DUMMYFUNCTION("""COMPUTED_VALUE"""),"KITS")</f>
        <v>KITS</v>
      </c>
      <c r="J196" s="135" t="str">
        <f ca="1">IFERROR(__xludf.DUMMYFUNCTION("""COMPUTED_VALUE"""),"")</f>
        <v/>
      </c>
      <c r="K196" s="135"/>
      <c r="L196" s="135"/>
      <c r="M196" s="135"/>
      <c r="N196" s="135"/>
      <c r="O196" s="135"/>
      <c r="P196" s="135"/>
      <c r="Q196" s="135"/>
      <c r="R196" s="135"/>
      <c r="S196" s="135"/>
      <c r="T196" s="135"/>
      <c r="U196" s="135"/>
      <c r="V196" s="135"/>
      <c r="W196" s="135"/>
      <c r="X196" s="135"/>
      <c r="Y196" s="135"/>
      <c r="Z196" s="135"/>
    </row>
    <row r="197" spans="1:26">
      <c r="A197" s="135" t="str">
        <f ca="1">IFERROR(__xludf.DUMMYFUNCTION("""COMPUTED_VALUE"""),"Morgantown Health Care")</f>
        <v>Morgantown Health Care</v>
      </c>
      <c r="B197" s="135" t="str">
        <f ca="1">IFERROR(__xludf.DUMMYFUNCTION("""COMPUTED_VALUE"""),"")</f>
        <v/>
      </c>
      <c r="C197" s="135" t="str">
        <f ca="1">IFERROR(__xludf.DUMMYFUNCTION("""COMPUTED_VALUE"""),"   Tel: (812)597-4418")</f>
        <v xml:space="preserve">   Tel: (812)597-4418</v>
      </c>
      <c r="D197" s="135" t="str">
        <f ca="1">IFERROR(__xludf.DUMMYFUNCTION("""COMPUTED_VALUE"""),"   140 W Washington St")</f>
        <v xml:space="preserve">   140 W Washington St</v>
      </c>
      <c r="E197" s="135" t="str">
        <f ca="1">IFERROR(__xludf.DUMMYFUNCTION("""COMPUTED_VALUE"""),"   Morgantown, In 46160")</f>
        <v xml:space="preserve">   Morgantown, In 46160</v>
      </c>
      <c r="F197" s="135" t="str">
        <f ca="1">IFERROR(__xludf.DUMMYFUNCTION("""COMPUTED_VALUE"""),"No")</f>
        <v>No</v>
      </c>
      <c r="G197" s="135">
        <f ca="1">IFERROR(__xludf.DUMMYFUNCTION("""COMPUTED_VALUE"""),30)</f>
        <v>30</v>
      </c>
      <c r="H197" s="135" t="str">
        <f ca="1">IFERROR(__xludf.DUMMYFUNCTION("""COMPUTED_VALUE"""),"Need Kits and pickup")</f>
        <v>Need Kits and pickup</v>
      </c>
      <c r="I197" s="135" t="str">
        <f ca="1">IFERROR(__xludf.DUMMYFUNCTION("""COMPUTED_VALUE"""),"KITS")</f>
        <v>KITS</v>
      </c>
      <c r="J197" s="135" t="str">
        <f ca="1">IFERROR(__xludf.DUMMYFUNCTION("""COMPUTED_VALUE"""),"")</f>
        <v/>
      </c>
      <c r="K197" s="135"/>
      <c r="L197" s="135"/>
      <c r="M197" s="135"/>
      <c r="N197" s="135"/>
      <c r="O197" s="135"/>
      <c r="P197" s="135"/>
      <c r="Q197" s="135"/>
      <c r="R197" s="135"/>
      <c r="S197" s="135"/>
      <c r="T197" s="135"/>
      <c r="U197" s="135"/>
      <c r="V197" s="135"/>
      <c r="W197" s="135"/>
      <c r="X197" s="135"/>
      <c r="Y197" s="135"/>
      <c r="Z197" s="135"/>
    </row>
    <row r="198" spans="1:26">
      <c r="A198" s="135" t="str">
        <f ca="1">IFERROR(__xludf.DUMMYFUNCTION("""COMPUTED_VALUE"""),"Mount Vernon Nursing And Rehabilitation")</f>
        <v>Mount Vernon Nursing And Rehabilitation</v>
      </c>
      <c r="B198" s="135" t="str">
        <f ca="1">IFERROR(__xludf.DUMMYFUNCTION("""COMPUTED_VALUE"""),"ASC")</f>
        <v>ASC</v>
      </c>
      <c r="C198" s="135" t="str">
        <f ca="1">IFERROR(__xludf.DUMMYFUNCTION("""COMPUTED_VALUE"""),"   Tel: (812)838-6554")</f>
        <v xml:space="preserve">   Tel: (812)838-6554</v>
      </c>
      <c r="D198" s="135" t="str">
        <f ca="1">IFERROR(__xludf.DUMMYFUNCTION("""COMPUTED_VALUE"""),"   1415 Country Club Rd")</f>
        <v xml:space="preserve">   1415 Country Club Rd</v>
      </c>
      <c r="E198" s="135" t="str">
        <f ca="1">IFERROR(__xludf.DUMMYFUNCTION("""COMPUTED_VALUE"""),"   Mount Vernon, In 47620")</f>
        <v xml:space="preserve">   Mount Vernon, In 47620</v>
      </c>
      <c r="F198" s="135" t="str">
        <f ca="1">IFERROR(__xludf.DUMMYFUNCTION("""COMPUTED_VALUE"""),"")</f>
        <v/>
      </c>
      <c r="G198" s="135">
        <f ca="1">IFERROR(__xludf.DUMMYFUNCTION("""COMPUTED_VALUE"""),80)</f>
        <v>80</v>
      </c>
      <c r="H198" s="135" t="str">
        <f ca="1">IFERROR(__xludf.DUMMYFUNCTION("""COMPUTED_VALUE"""),"Non-Specific Plan/Hypothetical/Local Sites")</f>
        <v>Non-Specific Plan/Hypothetical/Local Sites</v>
      </c>
      <c r="I198" s="135" t="str">
        <f ca="1">IFERROR(__xludf.DUMMYFUNCTION("""COMPUTED_VALUE"""),"KITS")</f>
        <v>KITS</v>
      </c>
      <c r="J198" s="135" t="str">
        <f ca="1">IFERROR(__xludf.DUMMYFUNCTION("""COMPUTED_VALUE"""),"")</f>
        <v/>
      </c>
      <c r="K198" s="135"/>
      <c r="L198" s="135"/>
      <c r="M198" s="135"/>
      <c r="N198" s="135"/>
      <c r="O198" s="135"/>
      <c r="P198" s="135"/>
      <c r="Q198" s="135"/>
      <c r="R198" s="135"/>
      <c r="S198" s="135"/>
      <c r="T198" s="135"/>
      <c r="U198" s="135"/>
      <c r="V198" s="135"/>
      <c r="W198" s="135"/>
      <c r="X198" s="135"/>
      <c r="Y198" s="135"/>
      <c r="Z198" s="135"/>
    </row>
    <row r="199" spans="1:26">
      <c r="A199" s="135" t="str">
        <f ca="1">IFERROR(__xludf.DUMMYFUNCTION("""COMPUTED_VALUE"""),"Mulberry Health &amp; Rehabilitation Center")</f>
        <v>Mulberry Health &amp; Rehabilitation Center</v>
      </c>
      <c r="B199" s="135" t="str">
        <f ca="1">IFERROR(__xludf.DUMMYFUNCTION("""COMPUTED_VALUE"""),"")</f>
        <v/>
      </c>
      <c r="C199" s="135" t="str">
        <f ca="1">IFERROR(__xludf.DUMMYFUNCTION("""COMPUTED_VALUE"""),"   Tel: (765)296-2911")</f>
        <v xml:space="preserve">   Tel: (765)296-2911</v>
      </c>
      <c r="D199" s="135" t="str">
        <f ca="1">IFERROR(__xludf.DUMMYFUNCTION("""COMPUTED_VALUE"""),"   502 W Jackson St")</f>
        <v xml:space="preserve">   502 W Jackson St</v>
      </c>
      <c r="E199" s="135" t="str">
        <f ca="1">IFERROR(__xludf.DUMMYFUNCTION("""COMPUTED_VALUE"""),"   Mulberry, In 46058")</f>
        <v xml:space="preserve">   Mulberry, In 46058</v>
      </c>
      <c r="F199" s="135" t="str">
        <f ca="1">IFERROR(__xludf.DUMMYFUNCTION("""COMPUTED_VALUE"""),"")</f>
        <v/>
      </c>
      <c r="G199" s="135">
        <f ca="1">IFERROR(__xludf.DUMMYFUNCTION("""COMPUTED_VALUE"""),175)</f>
        <v>175</v>
      </c>
      <c r="H199" s="135" t="str">
        <f ca="1">IFERROR(__xludf.DUMMYFUNCTION("""COMPUTED_VALUE"""),"Local Hospital")</f>
        <v>Local Hospital</v>
      </c>
      <c r="I199" s="135" t="str">
        <f ca="1">IFERROR(__xludf.DUMMYFUNCTION("""COMPUTED_VALUE"""),"KITS")</f>
        <v>KITS</v>
      </c>
      <c r="J199" s="135" t="str">
        <f ca="1">IFERROR(__xludf.DUMMYFUNCTION("""COMPUTED_VALUE"""),"")</f>
        <v/>
      </c>
      <c r="K199" s="135"/>
      <c r="L199" s="135"/>
      <c r="M199" s="135"/>
      <c r="N199" s="135"/>
      <c r="O199" s="135"/>
      <c r="P199" s="135"/>
      <c r="Q199" s="135"/>
      <c r="R199" s="135"/>
      <c r="S199" s="135"/>
      <c r="T199" s="135"/>
      <c r="U199" s="135"/>
      <c r="V199" s="135"/>
      <c r="W199" s="135"/>
      <c r="X199" s="135"/>
      <c r="Y199" s="135"/>
      <c r="Z199" s="135"/>
    </row>
    <row r="200" spans="1:26">
      <c r="A200" s="135" t="str">
        <f ca="1">IFERROR(__xludf.DUMMYFUNCTION("""COMPUTED_VALUE"""),"New Albany Nursing And Rehabilitation Center")</f>
        <v>New Albany Nursing And Rehabilitation Center</v>
      </c>
      <c r="B200" s="135" t="str">
        <f ca="1">IFERROR(__xludf.DUMMYFUNCTION("""COMPUTED_VALUE"""),"Chosen")</f>
        <v>Chosen</v>
      </c>
      <c r="C200" s="135" t="str">
        <f ca="1">IFERROR(__xludf.DUMMYFUNCTION("""COMPUTED_VALUE"""),"   Tel: (812)945-9517")</f>
        <v xml:space="preserve">   Tel: (812)945-9517</v>
      </c>
      <c r="D200" s="135" t="str">
        <f ca="1">IFERROR(__xludf.DUMMYFUNCTION("""COMPUTED_VALUE"""),"   201 E Elm St")</f>
        <v xml:space="preserve">   201 E Elm St</v>
      </c>
      <c r="E200" s="135" t="str">
        <f ca="1">IFERROR(__xludf.DUMMYFUNCTION("""COMPUTED_VALUE"""),"   New Albany, In 47150")</f>
        <v xml:space="preserve">   New Albany, In 47150</v>
      </c>
      <c r="F200" s="135" t="str">
        <f ca="1">IFERROR(__xludf.DUMMYFUNCTION("""COMPUTED_VALUE"""),"")</f>
        <v/>
      </c>
      <c r="G200" s="135">
        <f ca="1">IFERROR(__xludf.DUMMYFUNCTION("""COMPUTED_VALUE"""),120)</f>
        <v>120</v>
      </c>
      <c r="H200" s="135" t="str">
        <f ca="1">IFERROR(__xludf.DUMMYFUNCTION("""COMPUTED_VALUE"""),"Local Hospital")</f>
        <v>Local Hospital</v>
      </c>
      <c r="I200" s="135" t="str">
        <f ca="1">IFERROR(__xludf.DUMMYFUNCTION("""COMPUTED_VALUE"""),"KITS")</f>
        <v>KITS</v>
      </c>
      <c r="J200" s="135" t="str">
        <f ca="1">IFERROR(__xludf.DUMMYFUNCTION("""COMPUTED_VALUE"""),"")</f>
        <v/>
      </c>
      <c r="K200" s="135"/>
      <c r="L200" s="135"/>
      <c r="M200" s="135"/>
      <c r="N200" s="135"/>
      <c r="O200" s="135"/>
      <c r="P200" s="135"/>
      <c r="Q200" s="135"/>
      <c r="R200" s="135"/>
      <c r="S200" s="135"/>
      <c r="T200" s="135"/>
      <c r="U200" s="135"/>
      <c r="V200" s="135"/>
      <c r="W200" s="135"/>
      <c r="X200" s="135"/>
      <c r="Y200" s="135"/>
      <c r="Z200" s="135"/>
    </row>
    <row r="201" spans="1:26">
      <c r="A201" s="135" t="str">
        <f ca="1">IFERROR(__xludf.DUMMYFUNCTION("""COMPUTED_VALUE"""),"Newburgh Health Care")</f>
        <v>Newburgh Health Care</v>
      </c>
      <c r="B201" s="135" t="str">
        <f ca="1">IFERROR(__xludf.DUMMYFUNCTION("""COMPUTED_VALUE"""),"")</f>
        <v/>
      </c>
      <c r="C201" s="135" t="str">
        <f ca="1">IFERROR(__xludf.DUMMYFUNCTION("""COMPUTED_VALUE"""),"   Tel: (812)853-2931")</f>
        <v xml:space="preserve">   Tel: (812)853-2931</v>
      </c>
      <c r="D201" s="135" t="str">
        <f ca="1">IFERROR(__xludf.DUMMYFUNCTION("""COMPUTED_VALUE"""),"   10466 Pollack Ave")</f>
        <v xml:space="preserve">   10466 Pollack Ave</v>
      </c>
      <c r="E201" s="135" t="str">
        <f ca="1">IFERROR(__xludf.DUMMYFUNCTION("""COMPUTED_VALUE"""),"   Newburgh, In 47630")</f>
        <v xml:space="preserve">   Newburgh, In 47630</v>
      </c>
      <c r="F201" s="135" t="str">
        <f ca="1">IFERROR(__xludf.DUMMYFUNCTION("""COMPUTED_VALUE"""),"")</f>
        <v/>
      </c>
      <c r="G201" s="135">
        <f ca="1">IFERROR(__xludf.DUMMYFUNCTION("""COMPUTED_VALUE"""),142)</f>
        <v>142</v>
      </c>
      <c r="H201" s="135" t="str">
        <f ca="1">IFERROR(__xludf.DUMMYFUNCTION("""COMPUTED_VALUE"""),"Local Hospital")</f>
        <v>Local Hospital</v>
      </c>
      <c r="I201" s="135" t="str">
        <f ca="1">IFERROR(__xludf.DUMMYFUNCTION("""COMPUTED_VALUE"""),"KITS")</f>
        <v>KITS</v>
      </c>
      <c r="J201" s="135" t="str">
        <f ca="1">IFERROR(__xludf.DUMMYFUNCTION("""COMPUTED_VALUE"""),"")</f>
        <v/>
      </c>
      <c r="K201" s="135"/>
      <c r="L201" s="135"/>
      <c r="M201" s="135"/>
      <c r="N201" s="135"/>
      <c r="O201" s="135"/>
      <c r="P201" s="135"/>
      <c r="Q201" s="135"/>
      <c r="R201" s="135"/>
      <c r="S201" s="135"/>
      <c r="T201" s="135"/>
      <c r="U201" s="135"/>
      <c r="V201" s="135"/>
      <c r="W201" s="135"/>
      <c r="X201" s="135"/>
      <c r="Y201" s="135"/>
      <c r="Z201" s="135"/>
    </row>
    <row r="202" spans="1:26">
      <c r="A202" s="135" t="str">
        <f ca="1">IFERROR(__xludf.DUMMYFUNCTION("""COMPUTED_VALUE"""),"North Capitol Nursing &amp; Rehabilitation Center")</f>
        <v>North Capitol Nursing &amp; Rehabilitation Center</v>
      </c>
      <c r="B202" s="135" t="str">
        <f ca="1">IFERROR(__xludf.DUMMYFUNCTION("""COMPUTED_VALUE"""),"ASC")</f>
        <v>ASC</v>
      </c>
      <c r="C202" s="135" t="str">
        <f ca="1">IFERROR(__xludf.DUMMYFUNCTION("""COMPUTED_VALUE"""),"   Tel: (317)924-5821")</f>
        <v xml:space="preserve">   Tel: (317)924-5821</v>
      </c>
      <c r="D202" s="135" t="str">
        <f ca="1">IFERROR(__xludf.DUMMYFUNCTION("""COMPUTED_VALUE"""),"   2010 N Capitol Ave")</f>
        <v xml:space="preserve">   2010 N Capitol Ave</v>
      </c>
      <c r="E202" s="135" t="str">
        <f ca="1">IFERROR(__xludf.DUMMYFUNCTION("""COMPUTED_VALUE"""),"   Indianapolis, In 46202")</f>
        <v xml:space="preserve">   Indianapolis, In 46202</v>
      </c>
      <c r="F202" s="135" t="str">
        <f ca="1">IFERROR(__xludf.DUMMYFUNCTION("""COMPUTED_VALUE"""),"")</f>
        <v/>
      </c>
      <c r="G202" s="135">
        <f ca="1">IFERROR(__xludf.DUMMYFUNCTION("""COMPUTED_VALUE"""),111)</f>
        <v>111</v>
      </c>
      <c r="H202" s="135" t="str">
        <f ca="1">IFERROR(__xludf.DUMMYFUNCTION("""COMPUTED_VALUE"""),"Optum Testing")</f>
        <v>Optum Testing</v>
      </c>
      <c r="I202" s="135" t="str">
        <f ca="1">IFERROR(__xludf.DUMMYFUNCTION("""COMPUTED_VALUE"""),"KITS")</f>
        <v>KITS</v>
      </c>
      <c r="J202" s="135" t="str">
        <f ca="1">IFERROR(__xludf.DUMMYFUNCTION("""COMPUTED_VALUE"""),"")</f>
        <v/>
      </c>
      <c r="K202" s="135"/>
      <c r="L202" s="135"/>
      <c r="M202" s="135"/>
      <c r="N202" s="135"/>
      <c r="O202" s="135"/>
      <c r="P202" s="135"/>
      <c r="Q202" s="135"/>
      <c r="R202" s="135"/>
      <c r="S202" s="135"/>
      <c r="T202" s="135"/>
      <c r="U202" s="135"/>
      <c r="V202" s="135"/>
      <c r="W202" s="135"/>
      <c r="X202" s="135"/>
      <c r="Y202" s="135"/>
      <c r="Z202" s="135"/>
    </row>
    <row r="203" spans="1:26">
      <c r="A203" s="135" t="str">
        <f ca="1">IFERROR(__xludf.DUMMYFUNCTION("""COMPUTED_VALUE"""),"North Park Nursing Center")</f>
        <v>North Park Nursing Center</v>
      </c>
      <c r="B203" s="135" t="str">
        <f ca="1">IFERROR(__xludf.DUMMYFUNCTION("""COMPUTED_VALUE"""),"ASC")</f>
        <v>ASC</v>
      </c>
      <c r="C203" s="135" t="str">
        <f ca="1">IFERROR(__xludf.DUMMYFUNCTION("""COMPUTED_VALUE"""),"   Tel: (812)425-5243")</f>
        <v xml:space="preserve">   Tel: (812)425-5243</v>
      </c>
      <c r="D203" s="135" t="str">
        <f ca="1">IFERROR(__xludf.DUMMYFUNCTION("""COMPUTED_VALUE"""),"   650 Fairway Dr")</f>
        <v xml:space="preserve">   650 Fairway Dr</v>
      </c>
      <c r="E203" s="135" t="str">
        <f ca="1">IFERROR(__xludf.DUMMYFUNCTION("""COMPUTED_VALUE"""),"   Evansville, In 47710")</f>
        <v xml:space="preserve">   Evansville, In 47710</v>
      </c>
      <c r="F203" s="135" t="str">
        <f ca="1">IFERROR(__xludf.DUMMYFUNCTION("""COMPUTED_VALUE"""),"")</f>
        <v/>
      </c>
      <c r="G203" s="135">
        <f ca="1">IFERROR(__xludf.DUMMYFUNCTION("""COMPUTED_VALUE"""),132)</f>
        <v>132</v>
      </c>
      <c r="H203" s="135" t="str">
        <f ca="1">IFERROR(__xludf.DUMMYFUNCTION("""COMPUTED_VALUE"""),"Local Hospital")</f>
        <v>Local Hospital</v>
      </c>
      <c r="I203" s="135" t="str">
        <f ca="1">IFERROR(__xludf.DUMMYFUNCTION("""COMPUTED_VALUE"""),"KITS")</f>
        <v>KITS</v>
      </c>
      <c r="J203" s="135" t="str">
        <f ca="1">IFERROR(__xludf.DUMMYFUNCTION("""COMPUTED_VALUE"""),"")</f>
        <v/>
      </c>
      <c r="K203" s="135"/>
      <c r="L203" s="135"/>
      <c r="M203" s="135"/>
      <c r="N203" s="135"/>
      <c r="O203" s="135"/>
      <c r="P203" s="135"/>
      <c r="Q203" s="135"/>
      <c r="R203" s="135"/>
      <c r="S203" s="135"/>
      <c r="T203" s="135"/>
      <c r="U203" s="135"/>
      <c r="V203" s="135"/>
      <c r="W203" s="135"/>
      <c r="X203" s="135"/>
      <c r="Y203" s="135"/>
      <c r="Z203" s="135"/>
    </row>
    <row r="204" spans="1:26">
      <c r="A204" s="135" t="str">
        <f ca="1">IFERROR(__xludf.DUMMYFUNCTION("""COMPUTED_VALUE"""),"North Ridge Village Nursing &amp; Rehabilitation Cente")</f>
        <v>North Ridge Village Nursing &amp; Rehabilitation Cente</v>
      </c>
      <c r="B204" s="135" t="str">
        <f ca="1">IFERROR(__xludf.DUMMYFUNCTION("""COMPUTED_VALUE"""),"Chosen")</f>
        <v>Chosen</v>
      </c>
      <c r="C204" s="135" t="str">
        <f ca="1">IFERROR(__xludf.DUMMYFUNCTION("""COMPUTED_VALUE"""),"   Tel: (260)636-1000")</f>
        <v xml:space="preserve">   Tel: (260)636-1000</v>
      </c>
      <c r="D204" s="135" t="str">
        <f ca="1">IFERROR(__xludf.DUMMYFUNCTION("""COMPUTED_VALUE"""),"   600 Trail Ridge Rd")</f>
        <v xml:space="preserve">   600 Trail Ridge Rd</v>
      </c>
      <c r="E204" s="135" t="str">
        <f ca="1">IFERROR(__xludf.DUMMYFUNCTION("""COMPUTED_VALUE"""),"   Albion, In 46701")</f>
        <v xml:space="preserve">   Albion, In 46701</v>
      </c>
      <c r="F204" s="135" t="str">
        <f ca="1">IFERROR(__xludf.DUMMYFUNCTION("""COMPUTED_VALUE"""),"")</f>
        <v/>
      </c>
      <c r="G204" s="135">
        <f ca="1">IFERROR(__xludf.DUMMYFUNCTION("""COMPUTED_VALUE"""),70)</f>
        <v>70</v>
      </c>
      <c r="H204" s="135" t="str">
        <f ca="1">IFERROR(__xludf.DUMMYFUNCTION("""COMPUTED_VALUE"""),"Optum Testing")</f>
        <v>Optum Testing</v>
      </c>
      <c r="I204" s="135" t="str">
        <f ca="1">IFERROR(__xludf.DUMMYFUNCTION("""COMPUTED_VALUE"""),"KITS")</f>
        <v>KITS</v>
      </c>
      <c r="J204" s="135" t="str">
        <f ca="1">IFERROR(__xludf.DUMMYFUNCTION("""COMPUTED_VALUE"""),"")</f>
        <v/>
      </c>
      <c r="K204" s="135"/>
      <c r="L204" s="135"/>
      <c r="M204" s="135"/>
      <c r="N204" s="135"/>
      <c r="O204" s="135"/>
      <c r="P204" s="135"/>
      <c r="Q204" s="135"/>
      <c r="R204" s="135"/>
      <c r="S204" s="135"/>
      <c r="T204" s="135"/>
      <c r="U204" s="135"/>
      <c r="V204" s="135"/>
      <c r="W204" s="135"/>
      <c r="X204" s="135"/>
      <c r="Y204" s="135"/>
      <c r="Z204" s="135"/>
    </row>
    <row r="205" spans="1:26">
      <c r="A205" s="135" t="str">
        <f ca="1">IFERROR(__xludf.DUMMYFUNCTION("""COMPUTED_VALUE"""),"North Woods Village At Inverness Lake")</f>
        <v>North Woods Village At Inverness Lake</v>
      </c>
      <c r="B205" s="135" t="str">
        <f ca="1">IFERROR(__xludf.DUMMYFUNCTION("""COMPUTED_VALUE"""),"")</f>
        <v/>
      </c>
      <c r="C205" s="135" t="str">
        <f ca="1">IFERROR(__xludf.DUMMYFUNCTION("""COMPUTED_VALUE"""),"   Tel: (260)420-1866")</f>
        <v xml:space="preserve">   Tel: (260)420-1866</v>
      </c>
      <c r="D205" s="135" t="str">
        <f ca="1">IFERROR(__xludf.DUMMYFUNCTION("""COMPUTED_VALUE"""),"   8075 Glencarin Boulevard")</f>
        <v xml:space="preserve">   8075 Glencarin Boulevard</v>
      </c>
      <c r="E205" s="135" t="str">
        <f ca="1">IFERROR(__xludf.DUMMYFUNCTION("""COMPUTED_VALUE"""),"   Fort Wayne, In 46804")</f>
        <v xml:space="preserve">   Fort Wayne, In 46804</v>
      </c>
      <c r="F205" s="135" t="str">
        <f ca="1">IFERROR(__xludf.DUMMYFUNCTION("""COMPUTED_VALUE"""),"")</f>
        <v/>
      </c>
      <c r="G205" s="135">
        <f ca="1">IFERROR(__xludf.DUMMYFUNCTION("""COMPUTED_VALUE"""),55)</f>
        <v>55</v>
      </c>
      <c r="H205" s="135" t="str">
        <f ca="1">IFERROR(__xludf.DUMMYFUNCTION("""COMPUTED_VALUE"""),"Optum Testing")</f>
        <v>Optum Testing</v>
      </c>
      <c r="I205" s="135" t="str">
        <f ca="1">IFERROR(__xludf.DUMMYFUNCTION("""COMPUTED_VALUE"""),"KITS")</f>
        <v>KITS</v>
      </c>
      <c r="J205" s="135" t="str">
        <f ca="1">IFERROR(__xludf.DUMMYFUNCTION("""COMPUTED_VALUE"""),"")</f>
        <v/>
      </c>
      <c r="K205" s="135"/>
      <c r="L205" s="135"/>
      <c r="M205" s="135"/>
      <c r="N205" s="135"/>
      <c r="O205" s="135"/>
      <c r="P205" s="135"/>
      <c r="Q205" s="135"/>
      <c r="R205" s="135"/>
      <c r="S205" s="135"/>
      <c r="T205" s="135"/>
      <c r="U205" s="135"/>
      <c r="V205" s="135"/>
      <c r="W205" s="135"/>
      <c r="X205" s="135"/>
      <c r="Y205" s="135"/>
      <c r="Z205" s="135"/>
    </row>
    <row r="206" spans="1:26">
      <c r="A206" s="135" t="str">
        <f ca="1">IFERROR(__xludf.DUMMYFUNCTION("""COMPUTED_VALUE"""),"Northern Lakes Nursing And Rehabilitation Center")</f>
        <v>Northern Lakes Nursing And Rehabilitation Center</v>
      </c>
      <c r="B206" s="135" t="str">
        <f ca="1">IFERROR(__xludf.DUMMYFUNCTION("""COMPUTED_VALUE"""),"")</f>
        <v/>
      </c>
      <c r="C206" s="135" t="str">
        <f ca="1">IFERROR(__xludf.DUMMYFUNCTION("""COMPUTED_VALUE"""),"   Tel: (260)665-9467")</f>
        <v xml:space="preserve">   Tel: (260)665-9467</v>
      </c>
      <c r="D206" s="135" t="str">
        <f ca="1">IFERROR(__xludf.DUMMYFUNCTION("""COMPUTED_VALUE"""),"   516 N Williams St")</f>
        <v xml:space="preserve">   516 N Williams St</v>
      </c>
      <c r="E206" s="135" t="str">
        <f ca="1">IFERROR(__xludf.DUMMYFUNCTION("""COMPUTED_VALUE"""),"   Angola, In 46703")</f>
        <v xml:space="preserve">   Angola, In 46703</v>
      </c>
      <c r="F206" s="135" t="str">
        <f ca="1">IFERROR(__xludf.DUMMYFUNCTION("""COMPUTED_VALUE"""),"")</f>
        <v/>
      </c>
      <c r="G206" s="135">
        <f ca="1">IFERROR(__xludf.DUMMYFUNCTION("""COMPUTED_VALUE"""),110)</f>
        <v>110</v>
      </c>
      <c r="H206" s="135" t="str">
        <f ca="1">IFERROR(__xludf.DUMMYFUNCTION("""COMPUTED_VALUE"""),"Optum Testing")</f>
        <v>Optum Testing</v>
      </c>
      <c r="I206" s="135" t="str">
        <f ca="1">IFERROR(__xludf.DUMMYFUNCTION("""COMPUTED_VALUE"""),"KITS")</f>
        <v>KITS</v>
      </c>
      <c r="J206" s="135" t="str">
        <f ca="1">IFERROR(__xludf.DUMMYFUNCTION("""COMPUTED_VALUE"""),"")</f>
        <v/>
      </c>
      <c r="K206" s="135"/>
      <c r="L206" s="135"/>
      <c r="M206" s="135"/>
      <c r="N206" s="135"/>
      <c r="O206" s="135"/>
      <c r="P206" s="135"/>
      <c r="Q206" s="135"/>
      <c r="R206" s="135"/>
      <c r="S206" s="135"/>
      <c r="T206" s="135"/>
      <c r="U206" s="135"/>
      <c r="V206" s="135"/>
      <c r="W206" s="135"/>
      <c r="X206" s="135"/>
      <c r="Y206" s="135"/>
      <c r="Z206" s="135"/>
    </row>
    <row r="207" spans="1:26">
      <c r="A207" s="135" t="str">
        <f ca="1">IFERROR(__xludf.DUMMYFUNCTION("""COMPUTED_VALUE"""),"Northview Health And Living")</f>
        <v>Northview Health And Living</v>
      </c>
      <c r="B207" s="135" t="str">
        <f ca="1">IFERROR(__xludf.DUMMYFUNCTION("""COMPUTED_VALUE"""),"")</f>
        <v/>
      </c>
      <c r="C207" s="135" t="str">
        <f ca="1">IFERROR(__xludf.DUMMYFUNCTION("""COMPUTED_VALUE"""),"   Tel: (765)203-2409")</f>
        <v xml:space="preserve">   Tel: (765)203-2409</v>
      </c>
      <c r="D207" s="135" t="str">
        <f ca="1">IFERROR(__xludf.DUMMYFUNCTION("""COMPUTED_VALUE"""),"   1235 W Cross St")</f>
        <v xml:space="preserve">   1235 W Cross St</v>
      </c>
      <c r="E207" s="135" t="str">
        <f ca="1">IFERROR(__xludf.DUMMYFUNCTION("""COMPUTED_VALUE"""),"   Anderson, In 46011")</f>
        <v xml:space="preserve">   Anderson, In 46011</v>
      </c>
      <c r="F207" s="135" t="str">
        <f ca="1">IFERROR(__xludf.DUMMYFUNCTION("""COMPUTED_VALUE"""),"")</f>
        <v/>
      </c>
      <c r="G207" s="135">
        <f ca="1">IFERROR(__xludf.DUMMYFUNCTION("""COMPUTED_VALUE"""),111)</f>
        <v>111</v>
      </c>
      <c r="H207" s="135" t="str">
        <f ca="1">IFERROR(__xludf.DUMMYFUNCTION("""COMPUTED_VALUE"""),"Optum Testing")</f>
        <v>Optum Testing</v>
      </c>
      <c r="I207" s="135" t="str">
        <f ca="1">IFERROR(__xludf.DUMMYFUNCTION("""COMPUTED_VALUE"""),"KITS")</f>
        <v>KITS</v>
      </c>
      <c r="J207" s="135" t="str">
        <f ca="1">IFERROR(__xludf.DUMMYFUNCTION("""COMPUTED_VALUE"""),"")</f>
        <v/>
      </c>
      <c r="K207" s="135"/>
      <c r="L207" s="135"/>
      <c r="M207" s="135"/>
      <c r="N207" s="135"/>
      <c r="O207" s="135"/>
      <c r="P207" s="135"/>
      <c r="Q207" s="135"/>
      <c r="R207" s="135"/>
      <c r="S207" s="135"/>
      <c r="T207" s="135"/>
      <c r="U207" s="135"/>
      <c r="V207" s="135"/>
      <c r="W207" s="135"/>
      <c r="X207" s="135"/>
      <c r="Y207" s="135"/>
      <c r="Z207" s="135"/>
    </row>
    <row r="208" spans="1:26">
      <c r="A208" s="135" t="str">
        <f ca="1">IFERROR(__xludf.DUMMYFUNCTION("""COMPUTED_VALUE"""),"Northwest Manor Health Care Center")</f>
        <v>Northwest Manor Health Care Center</v>
      </c>
      <c r="B208" s="135" t="str">
        <f ca="1">IFERROR(__xludf.DUMMYFUNCTION("""COMPUTED_VALUE"""),"Independent")</f>
        <v>Independent</v>
      </c>
      <c r="C208" s="135" t="str">
        <f ca="1">IFERROR(__xludf.DUMMYFUNCTION("""COMPUTED_VALUE"""),"   Tel: (317)293-4930")</f>
        <v xml:space="preserve">   Tel: (317)293-4930</v>
      </c>
      <c r="D208" s="135" t="str">
        <f ca="1">IFERROR(__xludf.DUMMYFUNCTION("""COMPUTED_VALUE"""),"   6440 W 34Th St")</f>
        <v xml:space="preserve">   6440 W 34Th St</v>
      </c>
      <c r="E208" s="135" t="str">
        <f ca="1">IFERROR(__xludf.DUMMYFUNCTION("""COMPUTED_VALUE"""),"   Indianapolis, In 46224")</f>
        <v xml:space="preserve">   Indianapolis, In 46224</v>
      </c>
      <c r="F208" s="135" t="str">
        <f ca="1">IFERROR(__xludf.DUMMYFUNCTION("""COMPUTED_VALUE"""),"")</f>
        <v/>
      </c>
      <c r="G208" s="135">
        <f ca="1">IFERROR(__xludf.DUMMYFUNCTION("""COMPUTED_VALUE"""),146)</f>
        <v>146</v>
      </c>
      <c r="H208" s="135" t="str">
        <f ca="1">IFERROR(__xludf.DUMMYFUNCTION("""COMPUTED_VALUE"""),"Optum Testing")</f>
        <v>Optum Testing</v>
      </c>
      <c r="I208" s="135" t="str">
        <f ca="1">IFERROR(__xludf.DUMMYFUNCTION("""COMPUTED_VALUE"""),"KITS")</f>
        <v>KITS</v>
      </c>
      <c r="J208" s="135" t="str">
        <f ca="1">IFERROR(__xludf.DUMMYFUNCTION("""COMPUTED_VALUE"""),"")</f>
        <v/>
      </c>
      <c r="K208" s="135"/>
      <c r="L208" s="135"/>
      <c r="M208" s="135"/>
      <c r="N208" s="135"/>
      <c r="O208" s="135"/>
      <c r="P208" s="135"/>
      <c r="Q208" s="135"/>
      <c r="R208" s="135"/>
      <c r="S208" s="135"/>
      <c r="T208" s="135"/>
      <c r="U208" s="135"/>
      <c r="V208" s="135"/>
      <c r="W208" s="135"/>
      <c r="X208" s="135"/>
      <c r="Y208" s="135"/>
      <c r="Z208" s="135"/>
    </row>
    <row r="209" spans="1:26">
      <c r="A209" s="135" t="str">
        <f ca="1">IFERROR(__xludf.DUMMYFUNCTION("""COMPUTED_VALUE"""),"Oak Village")</f>
        <v>Oak Village</v>
      </c>
      <c r="B209" s="135" t="str">
        <f ca="1">IFERROR(__xludf.DUMMYFUNCTION("""COMPUTED_VALUE"""),"IMG")</f>
        <v>IMG</v>
      </c>
      <c r="C209" s="135" t="str">
        <f ca="1">IFERROR(__xludf.DUMMYFUNCTION("""COMPUTED_VALUE"""),"   Tel: (812)745-2360")</f>
        <v xml:space="preserve">   Tel: (812)745-2360</v>
      </c>
      <c r="D209" s="135" t="str">
        <f ca="1">IFERROR(__xludf.DUMMYFUNCTION("""COMPUTED_VALUE"""),"   200 W Fourth St")</f>
        <v xml:space="preserve">   200 W Fourth St</v>
      </c>
      <c r="E209" s="135" t="str">
        <f ca="1">IFERROR(__xludf.DUMMYFUNCTION("""COMPUTED_VALUE"""),"   Oaktown, In 47561")</f>
        <v xml:space="preserve">   Oaktown, In 47561</v>
      </c>
      <c r="F209" s="135" t="str">
        <f ca="1">IFERROR(__xludf.DUMMYFUNCTION("""COMPUTED_VALUE"""),"No")</f>
        <v>No</v>
      </c>
      <c r="G209" s="135">
        <f ca="1">IFERROR(__xludf.DUMMYFUNCTION("""COMPUTED_VALUE"""),46)</f>
        <v>46</v>
      </c>
      <c r="H209" s="135" t="str">
        <f ca="1">IFERROR(__xludf.DUMMYFUNCTION("""COMPUTED_VALUE"""),"Optum Testing")</f>
        <v>Optum Testing</v>
      </c>
      <c r="I209" s="135" t="str">
        <f ca="1">IFERROR(__xludf.DUMMYFUNCTION("""COMPUTED_VALUE"""),"KITS")</f>
        <v>KITS</v>
      </c>
      <c r="J209" s="135" t="str">
        <f ca="1">IFERROR(__xludf.DUMMYFUNCTION("""COMPUTED_VALUE"""),"")</f>
        <v/>
      </c>
      <c r="K209" s="135"/>
      <c r="L209" s="135"/>
      <c r="M209" s="135"/>
      <c r="N209" s="135"/>
      <c r="O209" s="135"/>
      <c r="P209" s="135"/>
      <c r="Q209" s="135"/>
      <c r="R209" s="135"/>
      <c r="S209" s="135"/>
      <c r="T209" s="135"/>
      <c r="U209" s="135"/>
      <c r="V209" s="135"/>
      <c r="W209" s="135"/>
      <c r="X209" s="135"/>
      <c r="Y209" s="135"/>
      <c r="Z209" s="135"/>
    </row>
    <row r="210" spans="1:26">
      <c r="A210" s="135" t="str">
        <f ca="1">IFERROR(__xludf.DUMMYFUNCTION("""COMPUTED_VALUE"""),"Oakbrook Village")</f>
        <v>Oakbrook Village</v>
      </c>
      <c r="B210" s="135" t="str">
        <f ca="1">IFERROR(__xludf.DUMMYFUNCTION("""COMPUTED_VALUE"""),"")</f>
        <v/>
      </c>
      <c r="C210" s="135" t="str">
        <f ca="1">IFERROR(__xludf.DUMMYFUNCTION("""COMPUTED_VALUE"""),"   Tel: (260)358-0047")</f>
        <v xml:space="preserve">   Tel: (260)358-0047</v>
      </c>
      <c r="D210" s="135" t="str">
        <f ca="1">IFERROR(__xludf.DUMMYFUNCTION("""COMPUTED_VALUE"""),"   850 Ash St")</f>
        <v xml:space="preserve">   850 Ash St</v>
      </c>
      <c r="E210" s="135" t="str">
        <f ca="1">IFERROR(__xludf.DUMMYFUNCTION("""COMPUTED_VALUE"""),"   Huntington, In 46750")</f>
        <v xml:space="preserve">   Huntington, In 46750</v>
      </c>
      <c r="F210" s="135" t="str">
        <f ca="1">IFERROR(__xludf.DUMMYFUNCTION("""COMPUTED_VALUE"""),"")</f>
        <v/>
      </c>
      <c r="G210" s="135">
        <f ca="1">IFERROR(__xludf.DUMMYFUNCTION("""COMPUTED_VALUE"""),45)</f>
        <v>45</v>
      </c>
      <c r="H210" s="135" t="str">
        <f ca="1">IFERROR(__xludf.DUMMYFUNCTION("""COMPUTED_VALUE"""),"Optum Testing")</f>
        <v>Optum Testing</v>
      </c>
      <c r="I210" s="135" t="str">
        <f ca="1">IFERROR(__xludf.DUMMYFUNCTION("""COMPUTED_VALUE"""),"KITS")</f>
        <v>KITS</v>
      </c>
      <c r="J210" s="135" t="str">
        <f ca="1">IFERROR(__xludf.DUMMYFUNCTION("""COMPUTED_VALUE"""),"")</f>
        <v/>
      </c>
      <c r="K210" s="135"/>
      <c r="L210" s="135"/>
      <c r="M210" s="135"/>
      <c r="N210" s="135"/>
      <c r="O210" s="135"/>
      <c r="P210" s="135"/>
      <c r="Q210" s="135"/>
      <c r="R210" s="135"/>
      <c r="S210" s="135"/>
      <c r="T210" s="135"/>
      <c r="U210" s="135"/>
      <c r="V210" s="135"/>
      <c r="W210" s="135"/>
      <c r="X210" s="135"/>
      <c r="Y210" s="135"/>
      <c r="Z210" s="135"/>
    </row>
    <row r="211" spans="1:26">
      <c r="A211" s="135" t="str">
        <f ca="1">IFERROR(__xludf.DUMMYFUNCTION("""COMPUTED_VALUE"""),"Park Place Health And Wellness Center")</f>
        <v>Park Place Health And Wellness Center</v>
      </c>
      <c r="B211" s="135" t="str">
        <f ca="1">IFERROR(__xludf.DUMMYFUNCTION("""COMPUTED_VALUE"""),"")</f>
        <v/>
      </c>
      <c r="C211" s="135" t="str">
        <f ca="1">IFERROR(__xludf.DUMMYFUNCTION("""COMPUTED_VALUE"""),"   Tel: (219)525-4658")</f>
        <v xml:space="preserve">   Tel: (219)525-4658</v>
      </c>
      <c r="D211" s="135" t="str">
        <f ca="1">IFERROR(__xludf.DUMMYFUNCTION("""COMPUTED_VALUE"""),"   10820 Park Place")</f>
        <v xml:space="preserve">   10820 Park Place</v>
      </c>
      <c r="E211" s="135" t="str">
        <f ca="1">IFERROR(__xludf.DUMMYFUNCTION("""COMPUTED_VALUE"""),"   Saint John, In 46373")</f>
        <v xml:space="preserve">   Saint John, In 46373</v>
      </c>
      <c r="F211" s="135" t="str">
        <f ca="1">IFERROR(__xludf.DUMMYFUNCTION("""COMPUTED_VALUE"""),"")</f>
        <v/>
      </c>
      <c r="G211" s="135">
        <f ca="1">IFERROR(__xludf.DUMMYFUNCTION("""COMPUTED_VALUE"""),105)</f>
        <v>105</v>
      </c>
      <c r="H211" s="135" t="str">
        <f ca="1">IFERROR(__xludf.DUMMYFUNCTION("""COMPUTED_VALUE"""),"Non-Specific Plan/Hypothetical/Local Sites")</f>
        <v>Non-Specific Plan/Hypothetical/Local Sites</v>
      </c>
      <c r="I211" s="135" t="str">
        <f ca="1">IFERROR(__xludf.DUMMYFUNCTION("""COMPUTED_VALUE"""),"KITS")</f>
        <v>KITS</v>
      </c>
      <c r="J211" s="135" t="str">
        <f ca="1">IFERROR(__xludf.DUMMYFUNCTION("""COMPUTED_VALUE"""),"")</f>
        <v/>
      </c>
      <c r="K211" s="135"/>
      <c r="L211" s="135"/>
      <c r="M211" s="135"/>
      <c r="N211" s="135"/>
      <c r="O211" s="135"/>
      <c r="P211" s="135"/>
      <c r="Q211" s="135"/>
      <c r="R211" s="135"/>
      <c r="S211" s="135"/>
      <c r="T211" s="135"/>
      <c r="U211" s="135"/>
      <c r="V211" s="135"/>
      <c r="W211" s="135"/>
      <c r="X211" s="135"/>
      <c r="Y211" s="135"/>
      <c r="Z211" s="135"/>
    </row>
    <row r="212" spans="1:26">
      <c r="A212" s="135" t="str">
        <f ca="1">IFERROR(__xludf.DUMMYFUNCTION("""COMPUTED_VALUE"""),"Park Terrace Village")</f>
        <v>Park Terrace Village</v>
      </c>
      <c r="B212" s="135" t="str">
        <f ca="1">IFERROR(__xludf.DUMMYFUNCTION("""COMPUTED_VALUE"""),"ASC")</f>
        <v>ASC</v>
      </c>
      <c r="C212" s="135" t="str">
        <f ca="1">IFERROR(__xludf.DUMMYFUNCTION("""COMPUTED_VALUE"""),"   Tel: (812)423-7468")</f>
        <v xml:space="preserve">   Tel: (812)423-7468</v>
      </c>
      <c r="D212" s="135" t="str">
        <f ca="1">IFERROR(__xludf.DUMMYFUNCTION("""COMPUTED_VALUE"""),"   25 S Boehne Camp Rd")</f>
        <v xml:space="preserve">   25 S Boehne Camp Rd</v>
      </c>
      <c r="E212" s="135" t="str">
        <f ca="1">IFERROR(__xludf.DUMMYFUNCTION("""COMPUTED_VALUE"""),"   Evansville, In 47712")</f>
        <v xml:space="preserve">   Evansville, In 47712</v>
      </c>
      <c r="F212" s="135" t="str">
        <f ca="1">IFERROR(__xludf.DUMMYFUNCTION("""COMPUTED_VALUE"""),"")</f>
        <v/>
      </c>
      <c r="G212" s="135">
        <f ca="1">IFERROR(__xludf.DUMMYFUNCTION("""COMPUTED_VALUE"""),85)</f>
        <v>85</v>
      </c>
      <c r="H212" s="135" t="str">
        <f ca="1">IFERROR(__xludf.DUMMYFUNCTION("""COMPUTED_VALUE"""),"Optum Testing")</f>
        <v>Optum Testing</v>
      </c>
      <c r="I212" s="135" t="str">
        <f ca="1">IFERROR(__xludf.DUMMYFUNCTION("""COMPUTED_VALUE"""),"KITS")</f>
        <v>KITS</v>
      </c>
      <c r="J212" s="135" t="str">
        <f ca="1">IFERROR(__xludf.DUMMYFUNCTION("""COMPUTED_VALUE"""),"")</f>
        <v/>
      </c>
      <c r="K212" s="135"/>
      <c r="L212" s="135"/>
      <c r="M212" s="135"/>
      <c r="N212" s="135"/>
      <c r="O212" s="135"/>
      <c r="P212" s="135"/>
      <c r="Q212" s="135"/>
      <c r="R212" s="135"/>
      <c r="S212" s="135"/>
      <c r="T212" s="135"/>
      <c r="U212" s="135"/>
      <c r="V212" s="135"/>
      <c r="W212" s="135"/>
      <c r="X212" s="135"/>
      <c r="Y212" s="135"/>
      <c r="Z212" s="135"/>
    </row>
    <row r="213" spans="1:26">
      <c r="A213" s="135" t="str">
        <f ca="1">IFERROR(__xludf.DUMMYFUNCTION("""COMPUTED_VALUE"""),"Persimmon Ridge Rehabilitation Centre")</f>
        <v>Persimmon Ridge Rehabilitation Centre</v>
      </c>
      <c r="B213" s="135" t="str">
        <f ca="1">IFERROR(__xludf.DUMMYFUNCTION("""COMPUTED_VALUE"""),"")</f>
        <v/>
      </c>
      <c r="C213" s="135" t="str">
        <f ca="1">IFERROR(__xludf.DUMMYFUNCTION("""COMPUTED_VALUE"""),"   Tel: (260)726-9355")</f>
        <v xml:space="preserve">   Tel: (260)726-9355</v>
      </c>
      <c r="D213" s="135" t="str">
        <f ca="1">IFERROR(__xludf.DUMMYFUNCTION("""COMPUTED_VALUE"""),"   200 N Park St")</f>
        <v xml:space="preserve">   200 N Park St</v>
      </c>
      <c r="E213" s="135" t="str">
        <f ca="1">IFERROR(__xludf.DUMMYFUNCTION("""COMPUTED_VALUE"""),"   Portland, In 47371")</f>
        <v xml:space="preserve">   Portland, In 47371</v>
      </c>
      <c r="F213" s="135" t="str">
        <f ca="1">IFERROR(__xludf.DUMMYFUNCTION("""COMPUTED_VALUE"""),"")</f>
        <v/>
      </c>
      <c r="G213" s="135">
        <f ca="1">IFERROR(__xludf.DUMMYFUNCTION("""COMPUTED_VALUE"""),84)</f>
        <v>84</v>
      </c>
      <c r="H213" s="135" t="str">
        <f ca="1">IFERROR(__xludf.DUMMYFUNCTION("""COMPUTED_VALUE"""),"Optum Testing")</f>
        <v>Optum Testing</v>
      </c>
      <c r="I213" s="135" t="str">
        <f ca="1">IFERROR(__xludf.DUMMYFUNCTION("""COMPUTED_VALUE"""),"KITS")</f>
        <v>KITS</v>
      </c>
      <c r="J213" s="135" t="str">
        <f ca="1">IFERROR(__xludf.DUMMYFUNCTION("""COMPUTED_VALUE"""),"")</f>
        <v/>
      </c>
      <c r="K213" s="135"/>
      <c r="L213" s="135"/>
      <c r="M213" s="135"/>
      <c r="N213" s="135"/>
      <c r="O213" s="135"/>
      <c r="P213" s="135"/>
      <c r="Q213" s="135"/>
      <c r="R213" s="135"/>
      <c r="S213" s="135"/>
      <c r="T213" s="135"/>
      <c r="U213" s="135"/>
      <c r="V213" s="135"/>
      <c r="W213" s="135"/>
      <c r="X213" s="135"/>
      <c r="Y213" s="135"/>
      <c r="Z213" s="135"/>
    </row>
    <row r="214" spans="1:26">
      <c r="A214" s="135" t="str">
        <f ca="1">IFERROR(__xludf.DUMMYFUNCTION("""COMPUTED_VALUE"""),"Pilgrim Manor")</f>
        <v>Pilgrim Manor</v>
      </c>
      <c r="B214" s="135" t="str">
        <f ca="1">IFERROR(__xludf.DUMMYFUNCTION("""COMPUTED_VALUE"""),"")</f>
        <v/>
      </c>
      <c r="C214" s="135" t="str">
        <f ca="1">IFERROR(__xludf.DUMMYFUNCTION("""COMPUTED_VALUE"""),"   Tel: (574)936-9943")</f>
        <v xml:space="preserve">   Tel: (574)936-9943</v>
      </c>
      <c r="D214" s="135" t="str">
        <f ca="1">IFERROR(__xludf.DUMMYFUNCTION("""COMPUTED_VALUE"""),"   222 Parkview St")</f>
        <v xml:space="preserve">   222 Parkview St</v>
      </c>
      <c r="E214" s="135" t="str">
        <f ca="1">IFERROR(__xludf.DUMMYFUNCTION("""COMPUTED_VALUE"""),"   Plymouth, In 46563")</f>
        <v xml:space="preserve">   Plymouth, In 46563</v>
      </c>
      <c r="F214" s="135" t="str">
        <f ca="1">IFERROR(__xludf.DUMMYFUNCTION("""COMPUTED_VALUE"""),"")</f>
        <v/>
      </c>
      <c r="G214" s="135">
        <f ca="1">IFERROR(__xludf.DUMMYFUNCTION("""COMPUTED_VALUE"""),114)</f>
        <v>114</v>
      </c>
      <c r="H214" s="135" t="str">
        <f ca="1">IFERROR(__xludf.DUMMYFUNCTION("""COMPUTED_VALUE"""),"Optum Testing")</f>
        <v>Optum Testing</v>
      </c>
      <c r="I214" s="135" t="str">
        <f ca="1">IFERROR(__xludf.DUMMYFUNCTION("""COMPUTED_VALUE"""),"KITS")</f>
        <v>KITS</v>
      </c>
      <c r="J214" s="135" t="str">
        <f ca="1">IFERROR(__xludf.DUMMYFUNCTION("""COMPUTED_VALUE"""),"")</f>
        <v/>
      </c>
      <c r="K214" s="135"/>
      <c r="L214" s="135"/>
      <c r="M214" s="135"/>
      <c r="N214" s="135"/>
      <c r="O214" s="135"/>
      <c r="P214" s="135"/>
      <c r="Q214" s="135"/>
      <c r="R214" s="135"/>
      <c r="S214" s="135"/>
      <c r="T214" s="135"/>
      <c r="U214" s="135"/>
      <c r="V214" s="135"/>
      <c r="W214" s="135"/>
      <c r="X214" s="135"/>
      <c r="Y214" s="135"/>
      <c r="Z214" s="135"/>
    </row>
    <row r="215" spans="1:26">
      <c r="A215" s="135" t="str">
        <f ca="1">IFERROR(__xludf.DUMMYFUNCTION("""COMPUTED_VALUE"""),"Pineknoll Rehabilitation Centre")</f>
        <v>Pineknoll Rehabilitation Centre</v>
      </c>
      <c r="B215" s="135" t="str">
        <f ca="1">IFERROR(__xludf.DUMMYFUNCTION("""COMPUTED_VALUE"""),"")</f>
        <v/>
      </c>
      <c r="C215" s="135" t="str">
        <f ca="1">IFERROR(__xludf.DUMMYFUNCTION("""COMPUTED_VALUE"""),"   Tel: (765)584-5084")</f>
        <v xml:space="preserve">   Tel: (765)584-5084</v>
      </c>
      <c r="D215" s="135" t="str">
        <f ca="1">IFERROR(__xludf.DUMMYFUNCTION("""COMPUTED_VALUE"""),"   160 N Middle School Rd")</f>
        <v xml:space="preserve">   160 N Middle School Rd</v>
      </c>
      <c r="E215" s="135" t="str">
        <f ca="1">IFERROR(__xludf.DUMMYFUNCTION("""COMPUTED_VALUE"""),"   Winchester, In 47394")</f>
        <v xml:space="preserve">   Winchester, In 47394</v>
      </c>
      <c r="F215" s="135" t="str">
        <f ca="1">IFERROR(__xludf.DUMMYFUNCTION("""COMPUTED_VALUE"""),"")</f>
        <v/>
      </c>
      <c r="G215" s="135">
        <f ca="1">IFERROR(__xludf.DUMMYFUNCTION("""COMPUTED_VALUE"""),85)</f>
        <v>85</v>
      </c>
      <c r="H215" s="135" t="str">
        <f ca="1">IFERROR(__xludf.DUMMYFUNCTION("""COMPUTED_VALUE"""),"Optum Testing")</f>
        <v>Optum Testing</v>
      </c>
      <c r="I215" s="135" t="str">
        <f ca="1">IFERROR(__xludf.DUMMYFUNCTION("""COMPUTED_VALUE"""),"KITS")</f>
        <v>KITS</v>
      </c>
      <c r="J215" s="135" t="str">
        <f ca="1">IFERROR(__xludf.DUMMYFUNCTION("""COMPUTED_VALUE"""),"")</f>
        <v/>
      </c>
      <c r="K215" s="135"/>
      <c r="L215" s="135"/>
      <c r="M215" s="135"/>
      <c r="N215" s="135"/>
      <c r="O215" s="135"/>
      <c r="P215" s="135"/>
      <c r="Q215" s="135"/>
      <c r="R215" s="135"/>
      <c r="S215" s="135"/>
      <c r="T215" s="135"/>
      <c r="U215" s="135"/>
      <c r="V215" s="135"/>
      <c r="W215" s="135"/>
      <c r="X215" s="135"/>
      <c r="Y215" s="135"/>
      <c r="Z215" s="135"/>
    </row>
    <row r="216" spans="1:26">
      <c r="A216" s="135" t="str">
        <f ca="1">IFERROR(__xludf.DUMMYFUNCTION("""COMPUTED_VALUE"""),"Pleasant View Lodge")</f>
        <v>Pleasant View Lodge</v>
      </c>
      <c r="B216" s="135" t="str">
        <f ca="1">IFERROR(__xludf.DUMMYFUNCTION("""COMPUTED_VALUE"""),"")</f>
        <v/>
      </c>
      <c r="C216" s="135" t="str">
        <f ca="1">IFERROR(__xludf.DUMMYFUNCTION("""COMPUTED_VALUE"""),"   Tel: (317)335-2159")</f>
        <v xml:space="preserve">   Tel: (317)335-2159</v>
      </c>
      <c r="D216" s="135" t="str">
        <f ca="1">IFERROR(__xludf.DUMMYFUNCTION("""COMPUTED_VALUE"""),"   7476 W Lane Rd")</f>
        <v xml:space="preserve">   7476 W Lane Rd</v>
      </c>
      <c r="E216" s="135" t="str">
        <f ca="1">IFERROR(__xludf.DUMMYFUNCTION("""COMPUTED_VALUE"""),"   Mc Cordsville, In 46055")</f>
        <v xml:space="preserve">   Mc Cordsville, In 46055</v>
      </c>
      <c r="F216" s="135" t="str">
        <f ca="1">IFERROR(__xludf.DUMMYFUNCTION("""COMPUTED_VALUE"""),"")</f>
        <v/>
      </c>
      <c r="G216" s="135">
        <f ca="1">IFERROR(__xludf.DUMMYFUNCTION("""COMPUTED_VALUE"""),50)</f>
        <v>50</v>
      </c>
      <c r="H216" s="135" t="str">
        <f ca="1">IFERROR(__xludf.DUMMYFUNCTION("""COMPUTED_VALUE"""),"Optum Testing")</f>
        <v>Optum Testing</v>
      </c>
      <c r="I216" s="135" t="str">
        <f ca="1">IFERROR(__xludf.DUMMYFUNCTION("""COMPUTED_VALUE"""),"KITS")</f>
        <v>KITS</v>
      </c>
      <c r="J216" s="135" t="str">
        <f ca="1">IFERROR(__xludf.DUMMYFUNCTION("""COMPUTED_VALUE"""),"")</f>
        <v/>
      </c>
      <c r="K216" s="135"/>
      <c r="L216" s="135"/>
      <c r="M216" s="135"/>
      <c r="N216" s="135"/>
      <c r="O216" s="135"/>
      <c r="P216" s="135"/>
      <c r="Q216" s="135"/>
      <c r="R216" s="135"/>
      <c r="S216" s="135"/>
      <c r="T216" s="135"/>
      <c r="U216" s="135"/>
      <c r="V216" s="135"/>
      <c r="W216" s="135"/>
      <c r="X216" s="135"/>
      <c r="Y216" s="135"/>
      <c r="Z216" s="135"/>
    </row>
    <row r="217" spans="1:26">
      <c r="A217" s="135" t="str">
        <f ca="1">IFERROR(__xludf.DUMMYFUNCTION("""COMPUTED_VALUE"""),"Prairie Village Nursing And Rehabilitation")</f>
        <v>Prairie Village Nursing And Rehabilitation</v>
      </c>
      <c r="B217" s="135" t="str">
        <f ca="1">IFERROR(__xludf.DUMMYFUNCTION("""COMPUTED_VALUE"""),"ASC")</f>
        <v>ASC</v>
      </c>
      <c r="C217" s="135" t="str">
        <f ca="1">IFERROR(__xludf.DUMMYFUNCTION("""COMPUTED_VALUE"""),"   Tel: (812)254-4516")</f>
        <v xml:space="preserve">   Tel: (812)254-4516</v>
      </c>
      <c r="D217" s="135" t="str">
        <f ca="1">IFERROR(__xludf.DUMMYFUNCTION("""COMPUTED_VALUE"""),"   801 S Sr 57")</f>
        <v xml:space="preserve">   801 S Sr 57</v>
      </c>
      <c r="E217" s="135" t="str">
        <f ca="1">IFERROR(__xludf.DUMMYFUNCTION("""COMPUTED_VALUE"""),"   Washington, In 47501")</f>
        <v xml:space="preserve">   Washington, In 47501</v>
      </c>
      <c r="F217" s="135" t="str">
        <f ca="1">IFERROR(__xludf.DUMMYFUNCTION("""COMPUTED_VALUE"""),"No")</f>
        <v>No</v>
      </c>
      <c r="G217" s="135">
        <f ca="1">IFERROR(__xludf.DUMMYFUNCTION("""COMPUTED_VALUE"""),73)</f>
        <v>73</v>
      </c>
      <c r="H217" s="135" t="str">
        <f ca="1">IFERROR(__xludf.DUMMYFUNCTION("""COMPUTED_VALUE"""),"Optum Testing")</f>
        <v>Optum Testing</v>
      </c>
      <c r="I217" s="135" t="str">
        <f ca="1">IFERROR(__xludf.DUMMYFUNCTION("""COMPUTED_VALUE"""),"KITS")</f>
        <v>KITS</v>
      </c>
      <c r="J217" s="135" t="str">
        <f ca="1">IFERROR(__xludf.DUMMYFUNCTION("""COMPUTED_VALUE"""),"")</f>
        <v/>
      </c>
      <c r="K217" s="135"/>
      <c r="L217" s="135"/>
      <c r="M217" s="135"/>
      <c r="N217" s="135"/>
      <c r="O217" s="135"/>
      <c r="P217" s="135"/>
      <c r="Q217" s="135"/>
      <c r="R217" s="135"/>
      <c r="S217" s="135"/>
      <c r="T217" s="135"/>
      <c r="U217" s="135"/>
      <c r="V217" s="135"/>
      <c r="W217" s="135"/>
      <c r="X217" s="135"/>
      <c r="Y217" s="135"/>
      <c r="Z217" s="135"/>
    </row>
    <row r="218" spans="1:26">
      <c r="A218" s="135" t="str">
        <f ca="1">IFERROR(__xludf.DUMMYFUNCTION("""COMPUTED_VALUE"""),"Premier Healthcare Of New Harmony")</f>
        <v>Premier Healthcare Of New Harmony</v>
      </c>
      <c r="B218" s="135" t="str">
        <f ca="1">IFERROR(__xludf.DUMMYFUNCTION("""COMPUTED_VALUE"""),"")</f>
        <v/>
      </c>
      <c r="C218" s="135" t="str">
        <f ca="1">IFERROR(__xludf.DUMMYFUNCTION("""COMPUTED_VALUE"""),"   Tel: (812)682-4104")</f>
        <v xml:space="preserve">   Tel: (812)682-4104</v>
      </c>
      <c r="D218" s="135" t="str">
        <f ca="1">IFERROR(__xludf.DUMMYFUNCTION("""COMPUTED_VALUE"""),"   251 Highway 66")</f>
        <v xml:space="preserve">   251 Highway 66</v>
      </c>
      <c r="E218" s="135" t="str">
        <f ca="1">IFERROR(__xludf.DUMMYFUNCTION("""COMPUTED_VALUE"""),"   New Harmony, In 47631")</f>
        <v xml:space="preserve">   New Harmony, In 47631</v>
      </c>
      <c r="F218" s="135" t="str">
        <f ca="1">IFERROR(__xludf.DUMMYFUNCTION("""COMPUTED_VALUE"""),"")</f>
        <v/>
      </c>
      <c r="G218" s="135">
        <f ca="1">IFERROR(__xludf.DUMMYFUNCTION("""COMPUTED_VALUE"""),70)</f>
        <v>70</v>
      </c>
      <c r="H218" s="135" t="str">
        <f ca="1">IFERROR(__xludf.DUMMYFUNCTION("""COMPUTED_VALUE"""),"Non-Specific Plan/Hypothetical/Local Sites")</f>
        <v>Non-Specific Plan/Hypothetical/Local Sites</v>
      </c>
      <c r="I218" s="135" t="str">
        <f ca="1">IFERROR(__xludf.DUMMYFUNCTION("""COMPUTED_VALUE"""),"KITS")</f>
        <v>KITS</v>
      </c>
      <c r="J218" s="135" t="str">
        <f ca="1">IFERROR(__xludf.DUMMYFUNCTION("""COMPUTED_VALUE"""),"")</f>
        <v/>
      </c>
      <c r="K218" s="135"/>
      <c r="L218" s="135"/>
      <c r="M218" s="135"/>
      <c r="N218" s="135"/>
      <c r="O218" s="135"/>
      <c r="P218" s="135"/>
      <c r="Q218" s="135"/>
      <c r="R218" s="135"/>
      <c r="S218" s="135"/>
      <c r="T218" s="135"/>
      <c r="U218" s="135"/>
      <c r="V218" s="135"/>
      <c r="W218" s="135"/>
      <c r="X218" s="135"/>
      <c r="Y218" s="135"/>
      <c r="Z218" s="135"/>
    </row>
    <row r="219" spans="1:26">
      <c r="A219" s="135" t="str">
        <f ca="1">IFERROR(__xludf.DUMMYFUNCTION("""COMPUTED_VALUE"""),"Primrose Of Mishawaka")</f>
        <v>Primrose Of Mishawaka</v>
      </c>
      <c r="B219" s="135" t="str">
        <f ca="1">IFERROR(__xludf.DUMMYFUNCTION("""COMPUTED_VALUE"""),"")</f>
        <v/>
      </c>
      <c r="C219" s="135" t="str">
        <f ca="1">IFERROR(__xludf.DUMMYFUNCTION("""COMPUTED_VALUE"""),"   Tel: (574)259-3211")</f>
        <v xml:space="preserve">   Tel: (574)259-3211</v>
      </c>
      <c r="D219" s="135" t="str">
        <f ca="1">IFERROR(__xludf.DUMMYFUNCTION("""COMPUTED_VALUE"""),"   820 Fulmer Road")</f>
        <v xml:space="preserve">   820 Fulmer Road</v>
      </c>
      <c r="E219" s="135" t="str">
        <f ca="1">IFERROR(__xludf.DUMMYFUNCTION("""COMPUTED_VALUE"""),"   Mishawaka, In 46544")</f>
        <v xml:space="preserve">   Mishawaka, In 46544</v>
      </c>
      <c r="F219" s="135" t="str">
        <f ca="1">IFERROR(__xludf.DUMMYFUNCTION("""COMPUTED_VALUE"""),"")</f>
        <v/>
      </c>
      <c r="G219" s="135">
        <f ca="1">IFERROR(__xludf.DUMMYFUNCTION("""COMPUTED_VALUE"""),33)</f>
        <v>33</v>
      </c>
      <c r="H219" s="135" t="str">
        <f ca="1">IFERROR(__xludf.DUMMYFUNCTION("""COMPUTED_VALUE"""),"Optum Testing")</f>
        <v>Optum Testing</v>
      </c>
      <c r="I219" s="135" t="str">
        <f ca="1">IFERROR(__xludf.DUMMYFUNCTION("""COMPUTED_VALUE"""),"KITS")</f>
        <v>KITS</v>
      </c>
      <c r="J219" s="135" t="str">
        <f ca="1">IFERROR(__xludf.DUMMYFUNCTION("""COMPUTED_VALUE"""),"")</f>
        <v/>
      </c>
      <c r="K219" s="135"/>
      <c r="L219" s="135"/>
      <c r="M219" s="135"/>
      <c r="N219" s="135"/>
      <c r="O219" s="135"/>
      <c r="P219" s="135"/>
      <c r="Q219" s="135"/>
      <c r="R219" s="135"/>
      <c r="S219" s="135"/>
      <c r="T219" s="135"/>
      <c r="U219" s="135"/>
      <c r="V219" s="135"/>
      <c r="W219" s="135"/>
      <c r="X219" s="135"/>
      <c r="Y219" s="135"/>
      <c r="Z219" s="135"/>
    </row>
    <row r="220" spans="1:26">
      <c r="A220" s="135" t="str">
        <f ca="1">IFERROR(__xludf.DUMMYFUNCTION("""COMPUTED_VALUE"""),"Providence Anderson")</f>
        <v>Providence Anderson</v>
      </c>
      <c r="B220" s="135" t="str">
        <f ca="1">IFERROR(__xludf.DUMMYFUNCTION("""COMPUTED_VALUE"""),"")</f>
        <v/>
      </c>
      <c r="C220" s="135" t="str">
        <f ca="1">IFERROR(__xludf.DUMMYFUNCTION("""COMPUTED_VALUE"""),"   Tel: (765)644-2888")</f>
        <v xml:space="preserve">   Tel: (765)644-2888</v>
      </c>
      <c r="D220" s="135" t="str">
        <f ca="1">IFERROR(__xludf.DUMMYFUNCTION("""COMPUTED_VALUE"""),"   1345 N Madison Ave")</f>
        <v xml:space="preserve">   1345 N Madison Ave</v>
      </c>
      <c r="E220" s="135" t="str">
        <f ca="1">IFERROR(__xludf.DUMMYFUNCTION("""COMPUTED_VALUE"""),"   Anderson, In 46011")</f>
        <v xml:space="preserve">   Anderson, In 46011</v>
      </c>
      <c r="F220" s="135" t="str">
        <f ca="1">IFERROR(__xludf.DUMMYFUNCTION("""COMPUTED_VALUE"""),"")</f>
        <v/>
      </c>
      <c r="G220" s="135">
        <f ca="1">IFERROR(__xludf.DUMMYFUNCTION("""COMPUTED_VALUE"""),139)</f>
        <v>139</v>
      </c>
      <c r="H220" s="135" t="str">
        <f ca="1">IFERROR(__xludf.DUMMYFUNCTION("""COMPUTED_VALUE"""),"Optum Testing")</f>
        <v>Optum Testing</v>
      </c>
      <c r="I220" s="135" t="str">
        <f ca="1">IFERROR(__xludf.DUMMYFUNCTION("""COMPUTED_VALUE"""),"KITS")</f>
        <v>KITS</v>
      </c>
      <c r="J220" s="135" t="str">
        <f ca="1">IFERROR(__xludf.DUMMYFUNCTION("""COMPUTED_VALUE"""),"")</f>
        <v/>
      </c>
      <c r="K220" s="135"/>
      <c r="L220" s="135"/>
      <c r="M220" s="135"/>
      <c r="N220" s="135"/>
      <c r="O220" s="135"/>
      <c r="P220" s="135"/>
      <c r="Q220" s="135"/>
      <c r="R220" s="135"/>
      <c r="S220" s="135"/>
      <c r="T220" s="135"/>
      <c r="U220" s="135"/>
      <c r="V220" s="135"/>
      <c r="W220" s="135"/>
      <c r="X220" s="135"/>
      <c r="Y220" s="135"/>
      <c r="Z220" s="135"/>
    </row>
    <row r="221" spans="1:26">
      <c r="A221" s="135" t="str">
        <f ca="1">IFERROR(__xludf.DUMMYFUNCTION("""COMPUTED_VALUE"""),"Providence Health Care Center")</f>
        <v>Providence Health Care Center</v>
      </c>
      <c r="B221" s="135" t="str">
        <f ca="1">IFERROR(__xludf.DUMMYFUNCTION("""COMPUTED_VALUE"""),"")</f>
        <v/>
      </c>
      <c r="C221" s="135" t="str">
        <f ca="1">IFERROR(__xludf.DUMMYFUNCTION("""COMPUTED_VALUE"""),"   Tel: (812)535-4001")</f>
        <v xml:space="preserve">   Tel: (812)535-4001</v>
      </c>
      <c r="D221" s="135" t="str">
        <f ca="1">IFERROR(__xludf.DUMMYFUNCTION("""COMPUTED_VALUE"""),"   1 Sisters Of Providence")</f>
        <v xml:space="preserve">   1 Sisters Of Providence</v>
      </c>
      <c r="E221" s="135" t="str">
        <f ca="1">IFERROR(__xludf.DUMMYFUNCTION("""COMPUTED_VALUE"""),"   St Mary Of The Woods, In 47876")</f>
        <v xml:space="preserve">   St Mary Of The Woods, In 47876</v>
      </c>
      <c r="F221" s="135" t="str">
        <f ca="1">IFERROR(__xludf.DUMMYFUNCTION("""COMPUTED_VALUE"""),"")</f>
        <v/>
      </c>
      <c r="G221" s="135">
        <f ca="1">IFERROR(__xludf.DUMMYFUNCTION("""COMPUTED_VALUE"""),130)</f>
        <v>130</v>
      </c>
      <c r="H221" s="135" t="str">
        <f ca="1">IFERROR(__xludf.DUMMYFUNCTION("""COMPUTED_VALUE"""),"Optum Testing")</f>
        <v>Optum Testing</v>
      </c>
      <c r="I221" s="135" t="str">
        <f ca="1">IFERROR(__xludf.DUMMYFUNCTION("""COMPUTED_VALUE"""),"KITS")</f>
        <v>KITS</v>
      </c>
      <c r="J221" s="135" t="str">
        <f ca="1">IFERROR(__xludf.DUMMYFUNCTION("""COMPUTED_VALUE"""),"")</f>
        <v/>
      </c>
      <c r="K221" s="135"/>
      <c r="L221" s="135"/>
      <c r="M221" s="135"/>
      <c r="N221" s="135"/>
      <c r="O221" s="135"/>
      <c r="P221" s="135"/>
      <c r="Q221" s="135"/>
      <c r="R221" s="135"/>
      <c r="S221" s="135"/>
      <c r="T221" s="135"/>
      <c r="U221" s="135"/>
      <c r="V221" s="135"/>
      <c r="W221" s="135"/>
      <c r="X221" s="135"/>
      <c r="Y221" s="135"/>
      <c r="Z221" s="135"/>
    </row>
    <row r="222" spans="1:26">
      <c r="A222" s="135" t="str">
        <f ca="1">IFERROR(__xludf.DUMMYFUNCTION("""COMPUTED_VALUE"""),"Pulaski Health Care Center")</f>
        <v>Pulaski Health Care Center</v>
      </c>
      <c r="B222" s="135" t="str">
        <f ca="1">IFERROR(__xludf.DUMMYFUNCTION("""COMPUTED_VALUE"""),"")</f>
        <v/>
      </c>
      <c r="C222" s="135" t="str">
        <f ca="1">IFERROR(__xludf.DUMMYFUNCTION("""COMPUTED_VALUE"""),"   Tel: (574)946-3394")</f>
        <v xml:space="preserve">   Tel: (574)946-3394</v>
      </c>
      <c r="D222" s="135" t="str">
        <f ca="1">IFERROR(__xludf.DUMMYFUNCTION("""COMPUTED_VALUE"""),"   624 E 13Th St")</f>
        <v xml:space="preserve">   624 E 13Th St</v>
      </c>
      <c r="E222" s="135" t="str">
        <f ca="1">IFERROR(__xludf.DUMMYFUNCTION("""COMPUTED_VALUE"""),"   Winamac, In 46996")</f>
        <v xml:space="preserve">   Winamac, In 46996</v>
      </c>
      <c r="F222" s="135" t="str">
        <f ca="1">IFERROR(__xludf.DUMMYFUNCTION("""COMPUTED_VALUE"""),"No")</f>
        <v>No</v>
      </c>
      <c r="G222" s="135">
        <f ca="1">IFERROR(__xludf.DUMMYFUNCTION("""COMPUTED_VALUE"""),80)</f>
        <v>80</v>
      </c>
      <c r="H222" s="135" t="str">
        <f ca="1">IFERROR(__xludf.DUMMYFUNCTION("""COMPUTED_VALUE"""),"Need Kits and pickup")</f>
        <v>Need Kits and pickup</v>
      </c>
      <c r="I222" s="135" t="str">
        <f ca="1">IFERROR(__xludf.DUMMYFUNCTION("""COMPUTED_VALUE"""),"KITS")</f>
        <v>KITS</v>
      </c>
      <c r="J222" s="135" t="str">
        <f ca="1">IFERROR(__xludf.DUMMYFUNCTION("""COMPUTED_VALUE"""),"would like training as well")</f>
        <v>would like training as well</v>
      </c>
      <c r="K222" s="135"/>
      <c r="L222" s="135"/>
      <c r="M222" s="135"/>
      <c r="N222" s="135"/>
      <c r="O222" s="135"/>
      <c r="P222" s="135"/>
      <c r="Q222" s="135"/>
      <c r="R222" s="135"/>
      <c r="S222" s="135"/>
      <c r="T222" s="135"/>
      <c r="U222" s="135"/>
      <c r="V222" s="135"/>
      <c r="W222" s="135"/>
      <c r="X222" s="135"/>
      <c r="Y222" s="135"/>
      <c r="Z222" s="135"/>
    </row>
    <row r="223" spans="1:26">
      <c r="A223" s="135" t="str">
        <f ca="1">IFERROR(__xludf.DUMMYFUNCTION("""COMPUTED_VALUE"""),"Randolph Nursing Home")</f>
        <v>Randolph Nursing Home</v>
      </c>
      <c r="B223" s="135" t="str">
        <f ca="1">IFERROR(__xludf.DUMMYFUNCTION("""COMPUTED_VALUE"""),"")</f>
        <v/>
      </c>
      <c r="C223" s="135" t="str">
        <f ca="1">IFERROR(__xludf.DUMMYFUNCTION("""COMPUTED_VALUE"""),"   Tel: (765)584-2201")</f>
        <v xml:space="preserve">   Tel: (765)584-2201</v>
      </c>
      <c r="D223" s="135" t="str">
        <f ca="1">IFERROR(__xludf.DUMMYFUNCTION("""COMPUTED_VALUE"""),"   701 S Oak St")</f>
        <v xml:space="preserve">   701 S Oak St</v>
      </c>
      <c r="E223" s="135" t="str">
        <f ca="1">IFERROR(__xludf.DUMMYFUNCTION("""COMPUTED_VALUE"""),"   Winchester, In 47394")</f>
        <v xml:space="preserve">   Winchester, In 47394</v>
      </c>
      <c r="F223" s="135" t="str">
        <f ca="1">IFERROR(__xludf.DUMMYFUNCTION("""COMPUTED_VALUE"""),"")</f>
        <v/>
      </c>
      <c r="G223" s="135">
        <f ca="1">IFERROR(__xludf.DUMMYFUNCTION("""COMPUTED_VALUE"""),75)</f>
        <v>75</v>
      </c>
      <c r="H223" s="135" t="str">
        <f ca="1">IFERROR(__xludf.DUMMYFUNCTION("""COMPUTED_VALUE"""),"Optum Testing")</f>
        <v>Optum Testing</v>
      </c>
      <c r="I223" s="135" t="str">
        <f ca="1">IFERROR(__xludf.DUMMYFUNCTION("""COMPUTED_VALUE"""),"KITS")</f>
        <v>KITS</v>
      </c>
      <c r="J223" s="135" t="str">
        <f ca="1">IFERROR(__xludf.DUMMYFUNCTION("""COMPUTED_VALUE"""),"")</f>
        <v/>
      </c>
      <c r="K223" s="135"/>
      <c r="L223" s="135"/>
      <c r="M223" s="135"/>
      <c r="N223" s="135"/>
      <c r="O223" s="135"/>
      <c r="P223" s="135"/>
      <c r="Q223" s="135"/>
      <c r="R223" s="135"/>
      <c r="S223" s="135"/>
      <c r="T223" s="135"/>
      <c r="U223" s="135"/>
      <c r="V223" s="135"/>
      <c r="W223" s="135"/>
      <c r="X223" s="135"/>
      <c r="Y223" s="135"/>
      <c r="Z223" s="135"/>
    </row>
    <row r="224" spans="1:26">
      <c r="A224" s="135" t="str">
        <f ca="1">IFERROR(__xludf.DUMMYFUNCTION("""COMPUTED_VALUE"""),"Rehabilitation Center At Hartsfield Village")</f>
        <v>Rehabilitation Center At Hartsfield Village</v>
      </c>
      <c r="B224" s="135" t="str">
        <f ca="1">IFERROR(__xludf.DUMMYFUNCTION("""COMPUTED_VALUE"""),"")</f>
        <v/>
      </c>
      <c r="C224" s="135" t="str">
        <f ca="1">IFERROR(__xludf.DUMMYFUNCTION("""COMPUTED_VALUE"""),"   Tel: (219)934-0590")</f>
        <v xml:space="preserve">   Tel: (219)934-0590</v>
      </c>
      <c r="D224" s="135" t="str">
        <f ca="1">IFERROR(__xludf.DUMMYFUNCTION("""COMPUTED_VALUE"""),"   503 Otis R Bowen Dr")</f>
        <v xml:space="preserve">   503 Otis R Bowen Dr</v>
      </c>
      <c r="E224" s="135" t="str">
        <f ca="1">IFERROR(__xludf.DUMMYFUNCTION("""COMPUTED_VALUE"""),"   Munster, In 46321")</f>
        <v xml:space="preserve">   Munster, In 46321</v>
      </c>
      <c r="F224" s="135" t="str">
        <f ca="1">IFERROR(__xludf.DUMMYFUNCTION("""COMPUTED_VALUE"""),"")</f>
        <v/>
      </c>
      <c r="G224" s="135">
        <f ca="1">IFERROR(__xludf.DUMMYFUNCTION("""COMPUTED_VALUE"""),273)</f>
        <v>273</v>
      </c>
      <c r="H224" s="135" t="str">
        <f ca="1">IFERROR(__xludf.DUMMYFUNCTION("""COMPUTED_VALUE"""),"Optum Testing")</f>
        <v>Optum Testing</v>
      </c>
      <c r="I224" s="135" t="str">
        <f ca="1">IFERROR(__xludf.DUMMYFUNCTION("""COMPUTED_VALUE"""),"KITS")</f>
        <v>KITS</v>
      </c>
      <c r="J224" s="135" t="str">
        <f ca="1">IFERROR(__xludf.DUMMYFUNCTION("""COMPUTED_VALUE"""),"")</f>
        <v/>
      </c>
      <c r="K224" s="135"/>
      <c r="L224" s="135"/>
      <c r="M224" s="135"/>
      <c r="N224" s="135"/>
      <c r="O224" s="135"/>
      <c r="P224" s="135"/>
      <c r="Q224" s="135"/>
      <c r="R224" s="135"/>
      <c r="S224" s="135"/>
      <c r="T224" s="135"/>
      <c r="U224" s="135"/>
      <c r="V224" s="135"/>
      <c r="W224" s="135"/>
      <c r="X224" s="135"/>
      <c r="Y224" s="135"/>
      <c r="Z224" s="135"/>
    </row>
    <row r="225" spans="1:26">
      <c r="A225" s="135" t="str">
        <f ca="1">IFERROR(__xludf.DUMMYFUNCTION("""COMPUTED_VALUE"""),"Rensselaer Care Center")</f>
        <v>Rensselaer Care Center</v>
      </c>
      <c r="B225" s="135" t="str">
        <f ca="1">IFERROR(__xludf.DUMMYFUNCTION("""COMPUTED_VALUE"""),"Life Care Center")</f>
        <v>Life Care Center</v>
      </c>
      <c r="C225" s="135" t="str">
        <f ca="1">IFERROR(__xludf.DUMMYFUNCTION("""COMPUTED_VALUE"""),"   Tel: (219)866-4181")</f>
        <v xml:space="preserve">   Tel: (219)866-4181</v>
      </c>
      <c r="D225" s="135" t="str">
        <f ca="1">IFERROR(__xludf.DUMMYFUNCTION("""COMPUTED_VALUE"""),"   1309 E Grace St")</f>
        <v xml:space="preserve">   1309 E Grace St</v>
      </c>
      <c r="E225" s="135" t="str">
        <f ca="1">IFERROR(__xludf.DUMMYFUNCTION("""COMPUTED_VALUE"""),"   Rensselaer, In 47978")</f>
        <v xml:space="preserve">   Rensselaer, In 47978</v>
      </c>
      <c r="F225" s="135" t="str">
        <f ca="1">IFERROR(__xludf.DUMMYFUNCTION("""COMPUTED_VALUE"""),"")</f>
        <v/>
      </c>
      <c r="G225" s="135">
        <f ca="1">IFERROR(__xludf.DUMMYFUNCTION("""COMPUTED_VALUE"""),100)</f>
        <v>100</v>
      </c>
      <c r="H225" s="135" t="str">
        <f ca="1">IFERROR(__xludf.DUMMYFUNCTION("""COMPUTED_VALUE"""),"Local Hospital")</f>
        <v>Local Hospital</v>
      </c>
      <c r="I225" s="135" t="str">
        <f ca="1">IFERROR(__xludf.DUMMYFUNCTION("""COMPUTED_VALUE"""),"KITS")</f>
        <v>KITS</v>
      </c>
      <c r="J225" s="135" t="str">
        <f ca="1">IFERROR(__xludf.DUMMYFUNCTION("""COMPUTED_VALUE"""),"")</f>
        <v/>
      </c>
      <c r="K225" s="135"/>
      <c r="L225" s="135"/>
      <c r="M225" s="135"/>
      <c r="N225" s="135"/>
      <c r="O225" s="135"/>
      <c r="P225" s="135"/>
      <c r="Q225" s="135"/>
      <c r="R225" s="135"/>
      <c r="S225" s="135"/>
      <c r="T225" s="135"/>
      <c r="U225" s="135"/>
      <c r="V225" s="135"/>
      <c r="W225" s="135"/>
      <c r="X225" s="135"/>
      <c r="Y225" s="135"/>
      <c r="Z225" s="135"/>
    </row>
    <row r="226" spans="1:26">
      <c r="A226" s="135" t="str">
        <f ca="1">IFERROR(__xludf.DUMMYFUNCTION("""COMPUTED_VALUE"""),"Richland Bean Blossom Health Care Center")</f>
        <v>Richland Bean Blossom Health Care Center</v>
      </c>
      <c r="B226" s="135" t="str">
        <f ca="1">IFERROR(__xludf.DUMMYFUNCTION("""COMPUTED_VALUE"""),"")</f>
        <v/>
      </c>
      <c r="C226" s="135" t="str">
        <f ca="1">IFERROR(__xludf.DUMMYFUNCTION("""COMPUTED_VALUE"""),"   Tel: (812)876-6400")</f>
        <v xml:space="preserve">   Tel: (812)876-6400</v>
      </c>
      <c r="D226" s="135" t="str">
        <f ca="1">IFERROR(__xludf.DUMMYFUNCTION("""COMPUTED_VALUE"""),"   5911 State Road 46")</f>
        <v xml:space="preserve">   5911 State Road 46</v>
      </c>
      <c r="E226" s="135" t="str">
        <f ca="1">IFERROR(__xludf.DUMMYFUNCTION("""COMPUTED_VALUE"""),"   Ellettsville, In 47429")</f>
        <v xml:space="preserve">   Ellettsville, In 47429</v>
      </c>
      <c r="F226" s="135" t="str">
        <f ca="1">IFERROR(__xludf.DUMMYFUNCTION("""COMPUTED_VALUE"""),"")</f>
        <v/>
      </c>
      <c r="G226" s="135">
        <f ca="1">IFERROR(__xludf.DUMMYFUNCTION("""COMPUTED_VALUE"""),79)</f>
        <v>79</v>
      </c>
      <c r="H226" s="135" t="str">
        <f ca="1">IFERROR(__xludf.DUMMYFUNCTION("""COMPUTED_VALUE"""),"Optum Testing")</f>
        <v>Optum Testing</v>
      </c>
      <c r="I226" s="135" t="str">
        <f ca="1">IFERROR(__xludf.DUMMYFUNCTION("""COMPUTED_VALUE"""),"KITS")</f>
        <v>KITS</v>
      </c>
      <c r="J226" s="135" t="str">
        <f ca="1">IFERROR(__xludf.DUMMYFUNCTION("""COMPUTED_VALUE"""),"")</f>
        <v/>
      </c>
      <c r="K226" s="135"/>
      <c r="L226" s="135"/>
      <c r="M226" s="135"/>
      <c r="N226" s="135"/>
      <c r="O226" s="135"/>
      <c r="P226" s="135"/>
      <c r="Q226" s="135"/>
      <c r="R226" s="135"/>
      <c r="S226" s="135"/>
      <c r="T226" s="135"/>
      <c r="U226" s="135"/>
      <c r="V226" s="135"/>
      <c r="W226" s="135"/>
      <c r="X226" s="135"/>
      <c r="Y226" s="135"/>
      <c r="Z226" s="135"/>
    </row>
    <row r="227" spans="1:26">
      <c r="A227" s="135" t="str">
        <f ca="1">IFERROR(__xludf.DUMMYFUNCTION("""COMPUTED_VALUE"""),"Ripley Crossing")</f>
        <v>Ripley Crossing</v>
      </c>
      <c r="B227" s="135" t="str">
        <f ca="1">IFERROR(__xludf.DUMMYFUNCTION("""COMPUTED_VALUE"""),"")</f>
        <v/>
      </c>
      <c r="C227" s="135" t="str">
        <f ca="1">IFERROR(__xludf.DUMMYFUNCTION("""COMPUTED_VALUE"""),"   Tel: (812)654-2231")</f>
        <v xml:space="preserve">   Tel: (812)654-2231</v>
      </c>
      <c r="D227" s="135" t="str">
        <f ca="1">IFERROR(__xludf.DUMMYFUNCTION("""COMPUTED_VALUE"""),"   1200 Whitlatch Way")</f>
        <v xml:space="preserve">   1200 Whitlatch Way</v>
      </c>
      <c r="E227" s="135" t="str">
        <f ca="1">IFERROR(__xludf.DUMMYFUNCTION("""COMPUTED_VALUE"""),"   Milan, In 47031")</f>
        <v xml:space="preserve">   Milan, In 47031</v>
      </c>
      <c r="F227" s="135" t="str">
        <f ca="1">IFERROR(__xludf.DUMMYFUNCTION("""COMPUTED_VALUE"""),"")</f>
        <v/>
      </c>
      <c r="G227" s="135">
        <f ca="1">IFERROR(__xludf.DUMMYFUNCTION("""COMPUTED_VALUE"""),153)</f>
        <v>153</v>
      </c>
      <c r="H227" s="135" t="str">
        <f ca="1">IFERROR(__xludf.DUMMYFUNCTION("""COMPUTED_VALUE"""),"Local Hospital")</f>
        <v>Local Hospital</v>
      </c>
      <c r="I227" s="135" t="str">
        <f ca="1">IFERROR(__xludf.DUMMYFUNCTION("""COMPUTED_VALUE"""),"KITS")</f>
        <v>KITS</v>
      </c>
      <c r="J227" s="135" t="str">
        <f ca="1">IFERROR(__xludf.DUMMYFUNCTION("""COMPUTED_VALUE"""),"")</f>
        <v/>
      </c>
      <c r="K227" s="135"/>
      <c r="L227" s="135"/>
      <c r="M227" s="135"/>
      <c r="N227" s="135"/>
      <c r="O227" s="135"/>
      <c r="P227" s="135"/>
      <c r="Q227" s="135"/>
      <c r="R227" s="135"/>
      <c r="S227" s="135"/>
      <c r="T227" s="135"/>
      <c r="U227" s="135"/>
      <c r="V227" s="135"/>
      <c r="W227" s="135"/>
      <c r="X227" s="135"/>
      <c r="Y227" s="135"/>
      <c r="Z227" s="135"/>
    </row>
    <row r="228" spans="1:26">
      <c r="A228" s="135" t="str">
        <f ca="1">IFERROR(__xludf.DUMMYFUNCTION("""COMPUTED_VALUE"""),"River Terrace Health Care Center")</f>
        <v>River Terrace Health Care Center</v>
      </c>
      <c r="B228" s="135" t="str">
        <f ca="1">IFERROR(__xludf.DUMMYFUNCTION("""COMPUTED_VALUE"""),"IMG")</f>
        <v>IMG</v>
      </c>
      <c r="C228" s="135" t="str">
        <f ca="1">IFERROR(__xludf.DUMMYFUNCTION("""COMPUTED_VALUE"""),"   Tel: (260)824-8940")</f>
        <v xml:space="preserve">   Tel: (260)824-8940</v>
      </c>
      <c r="D228" s="135" t="str">
        <f ca="1">IFERROR(__xludf.DUMMYFUNCTION("""COMPUTED_VALUE"""),"   400 Caylor Blvd")</f>
        <v xml:space="preserve">   400 Caylor Blvd</v>
      </c>
      <c r="E228" s="135" t="str">
        <f ca="1">IFERROR(__xludf.DUMMYFUNCTION("""COMPUTED_VALUE"""),"   Bluffton, In 46714")</f>
        <v xml:space="preserve">   Bluffton, In 46714</v>
      </c>
      <c r="F228" s="135" t="str">
        <f ca="1">IFERROR(__xludf.DUMMYFUNCTION("""COMPUTED_VALUE"""),"")</f>
        <v/>
      </c>
      <c r="G228" s="135">
        <f ca="1">IFERROR(__xludf.DUMMYFUNCTION("""COMPUTED_VALUE"""),98)</f>
        <v>98</v>
      </c>
      <c r="H228" s="135" t="str">
        <f ca="1">IFERROR(__xludf.DUMMYFUNCTION("""COMPUTED_VALUE"""),"Optum Testing")</f>
        <v>Optum Testing</v>
      </c>
      <c r="I228" s="135" t="str">
        <f ca="1">IFERROR(__xludf.DUMMYFUNCTION("""COMPUTED_VALUE"""),"KITS")</f>
        <v>KITS</v>
      </c>
      <c r="J228" s="135" t="str">
        <f ca="1">IFERROR(__xludf.DUMMYFUNCTION("""COMPUTED_VALUE"""),"")</f>
        <v/>
      </c>
      <c r="K228" s="135"/>
      <c r="L228" s="135"/>
      <c r="M228" s="135"/>
      <c r="N228" s="135"/>
      <c r="O228" s="135"/>
      <c r="P228" s="135"/>
      <c r="Q228" s="135"/>
      <c r="R228" s="135"/>
      <c r="S228" s="135"/>
      <c r="T228" s="135"/>
      <c r="U228" s="135"/>
      <c r="V228" s="135"/>
      <c r="W228" s="135"/>
      <c r="X228" s="135"/>
      <c r="Y228" s="135"/>
      <c r="Z228" s="135"/>
    </row>
    <row r="229" spans="1:26">
      <c r="A229" s="135" t="str">
        <f ca="1">IFERROR(__xludf.DUMMYFUNCTION("""COMPUTED_VALUE"""),"Riverside Village")</f>
        <v>Riverside Village</v>
      </c>
      <c r="B229" s="135" t="str">
        <f ca="1">IFERROR(__xludf.DUMMYFUNCTION("""COMPUTED_VALUE"""),"ASC")</f>
        <v>ASC</v>
      </c>
      <c r="C229" s="135" t="str">
        <f ca="1">IFERROR(__xludf.DUMMYFUNCTION("""COMPUTED_VALUE"""),"   Tel: (574)522-2020")</f>
        <v xml:space="preserve">   Tel: (574)522-2020</v>
      </c>
      <c r="D229" s="135" t="str">
        <f ca="1">IFERROR(__xludf.DUMMYFUNCTION("""COMPUTED_VALUE"""),"   1400 W Franklin St")</f>
        <v xml:space="preserve">   1400 W Franklin St</v>
      </c>
      <c r="E229" s="135" t="str">
        <f ca="1">IFERROR(__xludf.DUMMYFUNCTION("""COMPUTED_VALUE"""),"   Elkhart, In 46516")</f>
        <v xml:space="preserve">   Elkhart, In 46516</v>
      </c>
      <c r="F229" s="135" t="str">
        <f ca="1">IFERROR(__xludf.DUMMYFUNCTION("""COMPUTED_VALUE"""),"")</f>
        <v/>
      </c>
      <c r="G229" s="135">
        <f ca="1">IFERROR(__xludf.DUMMYFUNCTION("""COMPUTED_VALUE"""),125)</f>
        <v>125</v>
      </c>
      <c r="H229" s="135" t="str">
        <f ca="1">IFERROR(__xludf.DUMMYFUNCTION("""COMPUTED_VALUE"""),"Optum Testing")</f>
        <v>Optum Testing</v>
      </c>
      <c r="I229" s="135" t="str">
        <f ca="1">IFERROR(__xludf.DUMMYFUNCTION("""COMPUTED_VALUE"""),"KITS")</f>
        <v>KITS</v>
      </c>
      <c r="J229" s="135" t="str">
        <f ca="1">IFERROR(__xludf.DUMMYFUNCTION("""COMPUTED_VALUE"""),"")</f>
        <v/>
      </c>
      <c r="K229" s="135"/>
      <c r="L229" s="135"/>
      <c r="M229" s="135"/>
      <c r="N229" s="135"/>
      <c r="O229" s="135"/>
      <c r="P229" s="135"/>
      <c r="Q229" s="135"/>
      <c r="R229" s="135"/>
      <c r="S229" s="135"/>
      <c r="T229" s="135"/>
      <c r="U229" s="135"/>
      <c r="V229" s="135"/>
      <c r="W229" s="135"/>
      <c r="X229" s="135"/>
      <c r="Y229" s="135"/>
      <c r="Z229" s="135"/>
    </row>
    <row r="230" spans="1:26">
      <c r="A230" s="135" t="str">
        <f ca="1">IFERROR(__xludf.DUMMYFUNCTION("""COMPUTED_VALUE"""),"Riverview Village")</f>
        <v>Riverview Village</v>
      </c>
      <c r="B230" s="135" t="str">
        <f ca="1">IFERROR(__xludf.DUMMYFUNCTION("""COMPUTED_VALUE"""),"ASC")</f>
        <v>ASC</v>
      </c>
      <c r="C230" s="135" t="str">
        <f ca="1">IFERROR(__xludf.DUMMYFUNCTION("""COMPUTED_VALUE"""),"   Tel: (812)282-6663")</f>
        <v xml:space="preserve">   Tel: (812)282-6663</v>
      </c>
      <c r="D230" s="135" t="str">
        <f ca="1">IFERROR(__xludf.DUMMYFUNCTION("""COMPUTED_VALUE"""),"   586 Eastern Blvd")</f>
        <v xml:space="preserve">   586 Eastern Blvd</v>
      </c>
      <c r="E230" s="135" t="str">
        <f ca="1">IFERROR(__xludf.DUMMYFUNCTION("""COMPUTED_VALUE"""),"   Clarksville, In 47129")</f>
        <v xml:space="preserve">   Clarksville, In 47129</v>
      </c>
      <c r="F230" s="135" t="str">
        <f ca="1">IFERROR(__xludf.DUMMYFUNCTION("""COMPUTED_VALUE"""),"")</f>
        <v/>
      </c>
      <c r="G230" s="135">
        <f ca="1">IFERROR(__xludf.DUMMYFUNCTION("""COMPUTED_VALUE"""),92)</f>
        <v>92</v>
      </c>
      <c r="H230" s="135" t="str">
        <f ca="1">IFERROR(__xludf.DUMMYFUNCTION("""COMPUTED_VALUE"""),"Optum Testing")</f>
        <v>Optum Testing</v>
      </c>
      <c r="I230" s="135" t="str">
        <f ca="1">IFERROR(__xludf.DUMMYFUNCTION("""COMPUTED_VALUE"""),"KITS")</f>
        <v>KITS</v>
      </c>
      <c r="J230" s="135" t="str">
        <f ca="1">IFERROR(__xludf.DUMMYFUNCTION("""COMPUTED_VALUE"""),"")</f>
        <v/>
      </c>
      <c r="K230" s="135"/>
      <c r="L230" s="135"/>
      <c r="M230" s="135"/>
      <c r="N230" s="135"/>
      <c r="O230" s="135"/>
      <c r="P230" s="135"/>
      <c r="Q230" s="135"/>
      <c r="R230" s="135"/>
      <c r="S230" s="135"/>
      <c r="T230" s="135"/>
      <c r="U230" s="135"/>
      <c r="V230" s="135"/>
      <c r="W230" s="135"/>
      <c r="X230" s="135"/>
      <c r="Y230" s="135"/>
      <c r="Z230" s="135"/>
    </row>
    <row r="231" spans="1:26">
      <c r="A231" s="135" t="str">
        <f ca="1">IFERROR(__xludf.DUMMYFUNCTION("""COMPUTED_VALUE"""),"Riverwalk Village")</f>
        <v>Riverwalk Village</v>
      </c>
      <c r="B231" s="135" t="str">
        <f ca="1">IFERROR(__xludf.DUMMYFUNCTION("""COMPUTED_VALUE"""),"ASC")</f>
        <v>ASC</v>
      </c>
      <c r="C231" s="135" t="str">
        <f ca="1">IFERROR(__xludf.DUMMYFUNCTION("""COMPUTED_VALUE"""),"   Tel: (317)773-3760")</f>
        <v xml:space="preserve">   Tel: (317)773-3760</v>
      </c>
      <c r="D231" s="135" t="str">
        <f ca="1">IFERROR(__xludf.DUMMYFUNCTION("""COMPUTED_VALUE"""),"   295 Westfield Rd")</f>
        <v xml:space="preserve">   295 Westfield Rd</v>
      </c>
      <c r="E231" s="135" t="str">
        <f ca="1">IFERROR(__xludf.DUMMYFUNCTION("""COMPUTED_VALUE"""),"   Noblesville, In 46060")</f>
        <v xml:space="preserve">   Noblesville, In 46060</v>
      </c>
      <c r="F231" s="135" t="str">
        <f ca="1">IFERROR(__xludf.DUMMYFUNCTION("""COMPUTED_VALUE"""),"")</f>
        <v/>
      </c>
      <c r="G231" s="135">
        <f ca="1">IFERROR(__xludf.DUMMYFUNCTION("""COMPUTED_VALUE"""),140)</f>
        <v>140</v>
      </c>
      <c r="H231" s="135" t="str">
        <f ca="1">IFERROR(__xludf.DUMMYFUNCTION("""COMPUTED_VALUE"""),"Optum Testing")</f>
        <v>Optum Testing</v>
      </c>
      <c r="I231" s="135" t="str">
        <f ca="1">IFERROR(__xludf.DUMMYFUNCTION("""COMPUTED_VALUE"""),"KITS")</f>
        <v>KITS</v>
      </c>
      <c r="J231" s="135" t="str">
        <f ca="1">IFERROR(__xludf.DUMMYFUNCTION("""COMPUTED_VALUE"""),"")</f>
        <v/>
      </c>
      <c r="K231" s="135"/>
      <c r="L231" s="135"/>
      <c r="M231" s="135"/>
      <c r="N231" s="135"/>
      <c r="O231" s="135"/>
      <c r="P231" s="135"/>
      <c r="Q231" s="135"/>
      <c r="R231" s="135"/>
      <c r="S231" s="135"/>
      <c r="T231" s="135"/>
      <c r="U231" s="135"/>
      <c r="V231" s="135"/>
      <c r="W231" s="135"/>
      <c r="X231" s="135"/>
      <c r="Y231" s="135"/>
      <c r="Z231" s="135"/>
    </row>
    <row r="232" spans="1:26">
      <c r="A232" s="135" t="str">
        <f ca="1">IFERROR(__xludf.DUMMYFUNCTION("""COMPUTED_VALUE"""),"Rosebud Village")</f>
        <v>Rosebud Village</v>
      </c>
      <c r="B232" s="135" t="str">
        <f ca="1">IFERROR(__xludf.DUMMYFUNCTION("""COMPUTED_VALUE"""),"ASC")</f>
        <v>ASC</v>
      </c>
      <c r="C232" s="135" t="str">
        <f ca="1">IFERROR(__xludf.DUMMYFUNCTION("""COMPUTED_VALUE"""),"   Tel: (765)935-4440")</f>
        <v xml:space="preserve">   Tel: (765)935-4440</v>
      </c>
      <c r="D232" s="135" t="str">
        <f ca="1">IFERROR(__xludf.DUMMYFUNCTION("""COMPUTED_VALUE"""),"   2050 Chester Blvd")</f>
        <v xml:space="preserve">   2050 Chester Blvd</v>
      </c>
      <c r="E232" s="135" t="str">
        <f ca="1">IFERROR(__xludf.DUMMYFUNCTION("""COMPUTED_VALUE"""),"   Richmond, In 47374")</f>
        <v xml:space="preserve">   Richmond, In 47374</v>
      </c>
      <c r="F232" s="135" t="str">
        <f ca="1">IFERROR(__xludf.DUMMYFUNCTION("""COMPUTED_VALUE"""),"")</f>
        <v/>
      </c>
      <c r="G232" s="135">
        <f ca="1">IFERROR(__xludf.DUMMYFUNCTION("""COMPUTED_VALUE"""),125)</f>
        <v>125</v>
      </c>
      <c r="H232" s="135" t="str">
        <f ca="1">IFERROR(__xludf.DUMMYFUNCTION("""COMPUTED_VALUE"""),"Optum Testing")</f>
        <v>Optum Testing</v>
      </c>
      <c r="I232" s="135" t="str">
        <f ca="1">IFERROR(__xludf.DUMMYFUNCTION("""COMPUTED_VALUE"""),"KITS")</f>
        <v>KITS</v>
      </c>
      <c r="J232" s="135" t="str">
        <f ca="1">IFERROR(__xludf.DUMMYFUNCTION("""COMPUTED_VALUE"""),"")</f>
        <v/>
      </c>
      <c r="K232" s="135"/>
      <c r="L232" s="135"/>
      <c r="M232" s="135"/>
      <c r="N232" s="135"/>
      <c r="O232" s="135"/>
      <c r="P232" s="135"/>
      <c r="Q232" s="135"/>
      <c r="R232" s="135"/>
      <c r="S232" s="135"/>
      <c r="T232" s="135"/>
      <c r="U232" s="135"/>
      <c r="V232" s="135"/>
      <c r="W232" s="135"/>
      <c r="X232" s="135"/>
      <c r="Y232" s="135"/>
      <c r="Z232" s="135"/>
    </row>
    <row r="233" spans="1:26">
      <c r="A233" s="135" t="str">
        <f ca="1">IFERROR(__xludf.DUMMYFUNCTION("""COMPUTED_VALUE"""),"Rosegate Village")</f>
        <v>Rosegate Village</v>
      </c>
      <c r="B233" s="135" t="str">
        <f ca="1">IFERROR(__xludf.DUMMYFUNCTION("""COMPUTED_VALUE"""),"ASC")</f>
        <v>ASC</v>
      </c>
      <c r="C233" s="135" t="str">
        <f ca="1">IFERROR(__xludf.DUMMYFUNCTION("""COMPUTED_VALUE"""),"   Tel: (317)889-9300")</f>
        <v xml:space="preserve">   Tel: (317)889-9300</v>
      </c>
      <c r="D233" s="135" t="str">
        <f ca="1">IFERROR(__xludf.DUMMYFUNCTION("""COMPUTED_VALUE"""),"   7510 Rosegate Dr")</f>
        <v xml:space="preserve">   7510 Rosegate Dr</v>
      </c>
      <c r="E233" s="135" t="str">
        <f ca="1">IFERROR(__xludf.DUMMYFUNCTION("""COMPUTED_VALUE"""),"   Indianapolis, In 46237")</f>
        <v xml:space="preserve">   Indianapolis, In 46237</v>
      </c>
      <c r="F233" s="135" t="str">
        <f ca="1">IFERROR(__xludf.DUMMYFUNCTION("""COMPUTED_VALUE"""),"")</f>
        <v/>
      </c>
      <c r="G233" s="135">
        <f ca="1">IFERROR(__xludf.DUMMYFUNCTION("""COMPUTED_VALUE"""),150)</f>
        <v>150</v>
      </c>
      <c r="H233" s="135" t="str">
        <f ca="1">IFERROR(__xludf.DUMMYFUNCTION("""COMPUTED_VALUE"""),"Local Hospital")</f>
        <v>Local Hospital</v>
      </c>
      <c r="I233" s="135" t="str">
        <f ca="1">IFERROR(__xludf.DUMMYFUNCTION("""COMPUTED_VALUE"""),"KITS")</f>
        <v>KITS</v>
      </c>
      <c r="J233" s="135" t="str">
        <f ca="1">IFERROR(__xludf.DUMMYFUNCTION("""COMPUTED_VALUE"""),"")</f>
        <v/>
      </c>
      <c r="K233" s="135"/>
      <c r="L233" s="135"/>
      <c r="M233" s="135"/>
      <c r="N233" s="135"/>
      <c r="O233" s="135"/>
      <c r="P233" s="135"/>
      <c r="Q233" s="135"/>
      <c r="R233" s="135"/>
      <c r="S233" s="135"/>
      <c r="T233" s="135"/>
      <c r="U233" s="135"/>
      <c r="V233" s="135"/>
      <c r="W233" s="135"/>
      <c r="X233" s="135"/>
      <c r="Y233" s="135"/>
      <c r="Z233" s="135"/>
    </row>
    <row r="234" spans="1:26">
      <c r="A234" s="135" t="str">
        <f ca="1">IFERROR(__xludf.DUMMYFUNCTION("""COMPUTED_VALUE"""),"Rosewalk Village At Lafayette")</f>
        <v>Rosewalk Village At Lafayette</v>
      </c>
      <c r="B234" s="135" t="str">
        <f ca="1">IFERROR(__xludf.DUMMYFUNCTION("""COMPUTED_VALUE"""),"ASC")</f>
        <v>ASC</v>
      </c>
      <c r="C234" s="135" t="str">
        <f ca="1">IFERROR(__xludf.DUMMYFUNCTION("""COMPUTED_VALUE"""),"   Tel: (765)447-9431")</f>
        <v xml:space="preserve">   Tel: (765)447-9431</v>
      </c>
      <c r="D234" s="135" t="str">
        <f ca="1">IFERROR(__xludf.DUMMYFUNCTION("""COMPUTED_VALUE"""),"   1903 Union St")</f>
        <v xml:space="preserve">   1903 Union St</v>
      </c>
      <c r="E234" s="135" t="str">
        <f ca="1">IFERROR(__xludf.DUMMYFUNCTION("""COMPUTED_VALUE"""),"   Lafayette, In 47904")</f>
        <v xml:space="preserve">   Lafayette, In 47904</v>
      </c>
      <c r="F234" s="135" t="str">
        <f ca="1">IFERROR(__xludf.DUMMYFUNCTION("""COMPUTED_VALUE"""),"")</f>
        <v/>
      </c>
      <c r="G234" s="135">
        <f ca="1">IFERROR(__xludf.DUMMYFUNCTION("""COMPUTED_VALUE"""),162)</f>
        <v>162</v>
      </c>
      <c r="H234" s="135" t="str">
        <f ca="1">IFERROR(__xludf.DUMMYFUNCTION("""COMPUTED_VALUE"""),"Optum Testing")</f>
        <v>Optum Testing</v>
      </c>
      <c r="I234" s="135" t="str">
        <f ca="1">IFERROR(__xludf.DUMMYFUNCTION("""COMPUTED_VALUE"""),"KITS")</f>
        <v>KITS</v>
      </c>
      <c r="J234" s="135" t="str">
        <f ca="1">IFERROR(__xludf.DUMMYFUNCTION("""COMPUTED_VALUE"""),"")</f>
        <v/>
      </c>
      <c r="K234" s="135"/>
      <c r="L234" s="135"/>
      <c r="M234" s="135"/>
      <c r="N234" s="135"/>
      <c r="O234" s="135"/>
      <c r="P234" s="135"/>
      <c r="Q234" s="135"/>
      <c r="R234" s="135"/>
      <c r="S234" s="135"/>
      <c r="T234" s="135"/>
      <c r="U234" s="135"/>
      <c r="V234" s="135"/>
      <c r="W234" s="135"/>
      <c r="X234" s="135"/>
      <c r="Y234" s="135"/>
      <c r="Z234" s="135"/>
    </row>
    <row r="235" spans="1:26">
      <c r="A235" s="135" t="str">
        <f ca="1">IFERROR(__xludf.DUMMYFUNCTION("""COMPUTED_VALUE"""),"Shady Nook Care Center")</f>
        <v>Shady Nook Care Center</v>
      </c>
      <c r="B235" s="135" t="str">
        <f ca="1">IFERROR(__xludf.DUMMYFUNCTION("""COMPUTED_VALUE"""),"")</f>
        <v/>
      </c>
      <c r="C235" s="135" t="str">
        <f ca="1">IFERROR(__xludf.DUMMYFUNCTION("""COMPUTED_VALUE"""),"   Tel: (812)537-0930")</f>
        <v xml:space="preserve">   Tel: (812)537-0930</v>
      </c>
      <c r="D235" s="135" t="str">
        <f ca="1">IFERROR(__xludf.DUMMYFUNCTION("""COMPUTED_VALUE"""),"   36 Valley Dr")</f>
        <v xml:space="preserve">   36 Valley Dr</v>
      </c>
      <c r="E235" s="135" t="str">
        <f ca="1">IFERROR(__xludf.DUMMYFUNCTION("""COMPUTED_VALUE"""),"   Lawrenceburg, In 47025")</f>
        <v xml:space="preserve">   Lawrenceburg, In 47025</v>
      </c>
      <c r="F235" s="135" t="str">
        <f ca="1">IFERROR(__xludf.DUMMYFUNCTION("""COMPUTED_VALUE"""),"")</f>
        <v/>
      </c>
      <c r="G235" s="135">
        <f ca="1">IFERROR(__xludf.DUMMYFUNCTION("""COMPUTED_VALUE"""),65)</f>
        <v>65</v>
      </c>
      <c r="H235" s="135" t="str">
        <f ca="1">IFERROR(__xludf.DUMMYFUNCTION("""COMPUTED_VALUE"""),"Local Hospital")</f>
        <v>Local Hospital</v>
      </c>
      <c r="I235" s="135" t="str">
        <f ca="1">IFERROR(__xludf.DUMMYFUNCTION("""COMPUTED_VALUE"""),"KITS")</f>
        <v>KITS</v>
      </c>
      <c r="J235" s="135" t="str">
        <f ca="1">IFERROR(__xludf.DUMMYFUNCTION("""COMPUTED_VALUE"""),"")</f>
        <v/>
      </c>
      <c r="K235" s="135"/>
      <c r="L235" s="135"/>
      <c r="M235" s="135"/>
      <c r="N235" s="135"/>
      <c r="O235" s="135"/>
      <c r="P235" s="135"/>
      <c r="Q235" s="135"/>
      <c r="R235" s="135"/>
      <c r="S235" s="135"/>
      <c r="T235" s="135"/>
      <c r="U235" s="135"/>
      <c r="V235" s="135"/>
      <c r="W235" s="135"/>
      <c r="X235" s="135"/>
      <c r="Y235" s="135"/>
      <c r="Z235" s="135"/>
    </row>
    <row r="236" spans="1:26">
      <c r="A236" s="135" t="str">
        <f ca="1">IFERROR(__xludf.DUMMYFUNCTION("""COMPUTED_VALUE"""),"Signature Healthcare Of Lafayette")</f>
        <v>Signature Healthcare Of Lafayette</v>
      </c>
      <c r="B236" s="135" t="str">
        <f ca="1">IFERROR(__xludf.DUMMYFUNCTION("""COMPUTED_VALUE"""),"Signature")</f>
        <v>Signature</v>
      </c>
      <c r="C236" s="135" t="str">
        <f ca="1">IFERROR(__xludf.DUMMYFUNCTION("""COMPUTED_VALUE"""),"   Tel: (765)477-7791")</f>
        <v xml:space="preserve">   Tel: (765)477-7791</v>
      </c>
      <c r="D236" s="135" t="str">
        <f ca="1">IFERROR(__xludf.DUMMYFUNCTION("""COMPUTED_VALUE"""),"   300 Windy Hill Dr")</f>
        <v xml:space="preserve">   300 Windy Hill Dr</v>
      </c>
      <c r="E236" s="135" t="str">
        <f ca="1">IFERROR(__xludf.DUMMYFUNCTION("""COMPUTED_VALUE"""),"   Lafayette, In 47905")</f>
        <v xml:space="preserve">   Lafayette, In 47905</v>
      </c>
      <c r="F236" s="135" t="str">
        <f ca="1">IFERROR(__xludf.DUMMYFUNCTION("""COMPUTED_VALUE"""),"")</f>
        <v/>
      </c>
      <c r="G236" s="135">
        <f ca="1">IFERROR(__xludf.DUMMYFUNCTION("""COMPUTED_VALUE"""),110)</f>
        <v>110</v>
      </c>
      <c r="H236" s="135" t="str">
        <f ca="1">IFERROR(__xludf.DUMMYFUNCTION("""COMPUTED_VALUE"""),"Local Hospital")</f>
        <v>Local Hospital</v>
      </c>
      <c r="I236" s="135" t="str">
        <f ca="1">IFERROR(__xludf.DUMMYFUNCTION("""COMPUTED_VALUE"""),"KITS")</f>
        <v>KITS</v>
      </c>
      <c r="J236" s="135" t="str">
        <f ca="1">IFERROR(__xludf.DUMMYFUNCTION("""COMPUTED_VALUE"""),"")</f>
        <v/>
      </c>
      <c r="K236" s="135"/>
      <c r="L236" s="135"/>
      <c r="M236" s="135"/>
      <c r="N236" s="135"/>
      <c r="O236" s="135"/>
      <c r="P236" s="135"/>
      <c r="Q236" s="135"/>
      <c r="R236" s="135"/>
      <c r="S236" s="135"/>
      <c r="T236" s="135"/>
      <c r="U236" s="135"/>
      <c r="V236" s="135"/>
      <c r="W236" s="135"/>
      <c r="X236" s="135"/>
      <c r="Y236" s="135"/>
      <c r="Z236" s="135"/>
    </row>
    <row r="237" spans="1:26">
      <c r="A237" s="135" t="str">
        <f ca="1">IFERROR(__xludf.DUMMYFUNCTION("""COMPUTED_VALUE"""),"Signature Healthcare Of Terre Haute")</f>
        <v>Signature Healthcare Of Terre Haute</v>
      </c>
      <c r="B237" s="135" t="str">
        <f ca="1">IFERROR(__xludf.DUMMYFUNCTION("""COMPUTED_VALUE"""),"Signature")</f>
        <v>Signature</v>
      </c>
      <c r="C237" s="135" t="str">
        <f ca="1">IFERROR(__xludf.DUMMYFUNCTION("""COMPUTED_VALUE"""),"   Tel: (812)238-1555")</f>
        <v xml:space="preserve">   Tel: (812)238-1555</v>
      </c>
      <c r="D237" s="135" t="str">
        <f ca="1">IFERROR(__xludf.DUMMYFUNCTION("""COMPUTED_VALUE"""),"   3500 Maple Ave")</f>
        <v xml:space="preserve">   3500 Maple Ave</v>
      </c>
      <c r="E237" s="135" t="str">
        <f ca="1">IFERROR(__xludf.DUMMYFUNCTION("""COMPUTED_VALUE"""),"   Terre Haute, In 47804")</f>
        <v xml:space="preserve">   Terre Haute, In 47804</v>
      </c>
      <c r="F237" s="135" t="str">
        <f ca="1">IFERROR(__xludf.DUMMYFUNCTION("""COMPUTED_VALUE"""),"")</f>
        <v/>
      </c>
      <c r="G237" s="135">
        <f ca="1">IFERROR(__xludf.DUMMYFUNCTION("""COMPUTED_VALUE"""),209)</f>
        <v>209</v>
      </c>
      <c r="H237" s="135" t="str">
        <f ca="1">IFERROR(__xludf.DUMMYFUNCTION("""COMPUTED_VALUE"""),"Optum Testing")</f>
        <v>Optum Testing</v>
      </c>
      <c r="I237" s="135" t="str">
        <f ca="1">IFERROR(__xludf.DUMMYFUNCTION("""COMPUTED_VALUE"""),"KITS")</f>
        <v>KITS</v>
      </c>
      <c r="J237" s="135" t="str">
        <f ca="1">IFERROR(__xludf.DUMMYFUNCTION("""COMPUTED_VALUE"""),"")</f>
        <v/>
      </c>
      <c r="K237" s="135"/>
      <c r="L237" s="135"/>
      <c r="M237" s="135"/>
      <c r="N237" s="135"/>
      <c r="O237" s="135"/>
      <c r="P237" s="135"/>
      <c r="Q237" s="135"/>
      <c r="R237" s="135"/>
      <c r="S237" s="135"/>
      <c r="T237" s="135"/>
      <c r="U237" s="135"/>
      <c r="V237" s="135"/>
      <c r="W237" s="135"/>
      <c r="X237" s="135"/>
      <c r="Y237" s="135"/>
      <c r="Z237" s="135"/>
    </row>
    <row r="238" spans="1:26">
      <c r="A238" s="135" t="str">
        <f ca="1">IFERROR(__xludf.DUMMYFUNCTION("""COMPUTED_VALUE"""),"Silver Memories Health Care")</f>
        <v>Silver Memories Health Care</v>
      </c>
      <c r="B238" s="135" t="str">
        <f ca="1">IFERROR(__xludf.DUMMYFUNCTION("""COMPUTED_VALUE"""),"IMG")</f>
        <v>IMG</v>
      </c>
      <c r="C238" s="135" t="str">
        <f ca="1">IFERROR(__xludf.DUMMYFUNCTION("""COMPUTED_VALUE"""),"   Tel: (812)689-6222")</f>
        <v xml:space="preserve">   Tel: (812)689-6222</v>
      </c>
      <c r="D238" s="135" t="str">
        <f ca="1">IFERROR(__xludf.DUMMYFUNCTION("""COMPUTED_VALUE"""),"   6996 South  Us421")</f>
        <v xml:space="preserve">   6996 South  Us421</v>
      </c>
      <c r="E238" s="135" t="str">
        <f ca="1">IFERROR(__xludf.DUMMYFUNCTION("""COMPUTED_VALUE"""),"   Versailles, In 47042")</f>
        <v xml:space="preserve">   Versailles, In 47042</v>
      </c>
      <c r="F238" s="135" t="str">
        <f ca="1">IFERROR(__xludf.DUMMYFUNCTION("""COMPUTED_VALUE"""),"No")</f>
        <v>No</v>
      </c>
      <c r="G238" s="135">
        <f ca="1">IFERROR(__xludf.DUMMYFUNCTION("""COMPUTED_VALUE"""),34)</f>
        <v>34</v>
      </c>
      <c r="H238" s="135" t="str">
        <f ca="1">IFERROR(__xludf.DUMMYFUNCTION("""COMPUTED_VALUE"""),"Optum Testing")</f>
        <v>Optum Testing</v>
      </c>
      <c r="I238" s="135" t="str">
        <f ca="1">IFERROR(__xludf.DUMMYFUNCTION("""COMPUTED_VALUE"""),"KITS")</f>
        <v>KITS</v>
      </c>
      <c r="J238" s="135" t="str">
        <f ca="1">IFERROR(__xludf.DUMMYFUNCTION("""COMPUTED_VALUE"""),"")</f>
        <v/>
      </c>
      <c r="K238" s="135"/>
      <c r="L238" s="135"/>
      <c r="M238" s="135"/>
      <c r="N238" s="135"/>
      <c r="O238" s="135"/>
      <c r="P238" s="135"/>
      <c r="Q238" s="135"/>
      <c r="R238" s="135"/>
      <c r="S238" s="135"/>
      <c r="T238" s="135"/>
      <c r="U238" s="135"/>
      <c r="V238" s="135"/>
      <c r="W238" s="135"/>
      <c r="X238" s="135"/>
      <c r="Y238" s="135"/>
      <c r="Z238" s="135"/>
    </row>
    <row r="239" spans="1:26">
      <c r="A239" s="135" t="str">
        <f ca="1">IFERROR(__xludf.DUMMYFUNCTION("""COMPUTED_VALUE"""),"Skilled Caring Center Of Memorial Hospital And Health Care Center")</f>
        <v>Skilled Caring Center Of Memorial Hospital And Health Care Center</v>
      </c>
      <c r="B239" s="135" t="str">
        <f ca="1">IFERROR(__xludf.DUMMYFUNCTION("""COMPUTED_VALUE"""),"")</f>
        <v/>
      </c>
      <c r="C239" s="135" t="str">
        <f ca="1">IFERROR(__xludf.DUMMYFUNCTION("""COMPUTED_VALUE"""),"#N/A")</f>
        <v>#N/A</v>
      </c>
      <c r="D239" s="135" t="str">
        <f ca="1">IFERROR(__xludf.DUMMYFUNCTION("""COMPUTED_VALUE"""),"#N/A")</f>
        <v>#N/A</v>
      </c>
      <c r="E239" s="135" t="str">
        <f ca="1">IFERROR(__xludf.DUMMYFUNCTION("""COMPUTED_VALUE"""),"#N/A")</f>
        <v>#N/A</v>
      </c>
      <c r="F239" s="135" t="str">
        <f ca="1">IFERROR(__xludf.DUMMYFUNCTION("""COMPUTED_VALUE"""),"")</f>
        <v/>
      </c>
      <c r="G239" s="135">
        <f ca="1">IFERROR(__xludf.DUMMYFUNCTION("""COMPUTED_VALUE"""),91)</f>
        <v>91</v>
      </c>
      <c r="H239" s="135" t="str">
        <f ca="1">IFERROR(__xludf.DUMMYFUNCTION("""COMPUTED_VALUE"""),"Optum Testing")</f>
        <v>Optum Testing</v>
      </c>
      <c r="I239" s="135" t="str">
        <f ca="1">IFERROR(__xludf.DUMMYFUNCTION("""COMPUTED_VALUE"""),"KITS")</f>
        <v>KITS</v>
      </c>
      <c r="J239" s="135" t="str">
        <f ca="1">IFERROR(__xludf.DUMMYFUNCTION("""COMPUTED_VALUE"""),"")</f>
        <v/>
      </c>
      <c r="K239" s="135"/>
      <c r="L239" s="135"/>
      <c r="M239" s="135"/>
      <c r="N239" s="135"/>
      <c r="O239" s="135"/>
      <c r="P239" s="135"/>
      <c r="Q239" s="135"/>
      <c r="R239" s="135"/>
      <c r="S239" s="135"/>
      <c r="T239" s="135"/>
      <c r="U239" s="135"/>
      <c r="V239" s="135"/>
      <c r="W239" s="135"/>
      <c r="X239" s="135"/>
      <c r="Y239" s="135"/>
      <c r="Z239" s="135"/>
    </row>
    <row r="240" spans="1:26">
      <c r="A240" s="135" t="str">
        <f ca="1">IFERROR(__xludf.DUMMYFUNCTION("""COMPUTED_VALUE"""),"Sprenger Health Care Of Mishawaka")</f>
        <v>Sprenger Health Care Of Mishawaka</v>
      </c>
      <c r="B240" s="135" t="str">
        <f ca="1">IFERROR(__xludf.DUMMYFUNCTION("""COMPUTED_VALUE"""),"")</f>
        <v/>
      </c>
      <c r="C240" s="135" t="str">
        <f ca="1">IFERROR(__xludf.DUMMYFUNCTION("""COMPUTED_VALUE"""),"   Tel: (574)222-1234")</f>
        <v xml:space="preserve">   Tel: (574)222-1234</v>
      </c>
      <c r="D240" s="135" t="str">
        <f ca="1">IFERROR(__xludf.DUMMYFUNCTION("""COMPUTED_VALUE"""),"   60257 Bodnar Blvd")</f>
        <v xml:space="preserve">   60257 Bodnar Blvd</v>
      </c>
      <c r="E240" s="135" t="str">
        <f ca="1">IFERROR(__xludf.DUMMYFUNCTION("""COMPUTED_VALUE"""),"   Mishawaka, In 46544")</f>
        <v xml:space="preserve">   Mishawaka, In 46544</v>
      </c>
      <c r="F240" s="135" t="str">
        <f ca="1">IFERROR(__xludf.DUMMYFUNCTION("""COMPUTED_VALUE"""),"")</f>
        <v/>
      </c>
      <c r="G240" s="135">
        <f ca="1">IFERROR(__xludf.DUMMYFUNCTION("""COMPUTED_VALUE"""),82)</f>
        <v>82</v>
      </c>
      <c r="H240" s="135" t="str">
        <f ca="1">IFERROR(__xludf.DUMMYFUNCTION("""COMPUTED_VALUE"""),"Local Hospital")</f>
        <v>Local Hospital</v>
      </c>
      <c r="I240" s="135" t="str">
        <f ca="1">IFERROR(__xludf.DUMMYFUNCTION("""COMPUTED_VALUE"""),"KITS")</f>
        <v>KITS</v>
      </c>
      <c r="J240" s="135" t="str">
        <f ca="1">IFERROR(__xludf.DUMMYFUNCTION("""COMPUTED_VALUE"""),"")</f>
        <v/>
      </c>
      <c r="K240" s="135"/>
      <c r="L240" s="135"/>
      <c r="M240" s="135"/>
      <c r="N240" s="135"/>
      <c r="O240" s="135"/>
      <c r="P240" s="135"/>
      <c r="Q240" s="135"/>
      <c r="R240" s="135"/>
      <c r="S240" s="135"/>
      <c r="T240" s="135"/>
      <c r="U240" s="135"/>
      <c r="V240" s="135"/>
      <c r="W240" s="135"/>
      <c r="X240" s="135"/>
      <c r="Y240" s="135"/>
      <c r="Z240" s="135"/>
    </row>
    <row r="241" spans="1:26">
      <c r="A241" s="135" t="str">
        <f ca="1">IFERROR(__xludf.DUMMYFUNCTION("""COMPUTED_VALUE"""),"Spring Mill Meadows")</f>
        <v>Spring Mill Meadows</v>
      </c>
      <c r="B241" s="135" t="str">
        <f ca="1">IFERROR(__xludf.DUMMYFUNCTION("""COMPUTED_VALUE"""),"ASC")</f>
        <v>ASC</v>
      </c>
      <c r="C241" s="135" t="str">
        <f ca="1">IFERROR(__xludf.DUMMYFUNCTION("""COMPUTED_VALUE"""),"   Tel: (317)872-7211")</f>
        <v xml:space="preserve">   Tel: (317)872-7211</v>
      </c>
      <c r="D241" s="135" t="str">
        <f ca="1">IFERROR(__xludf.DUMMYFUNCTION("""COMPUTED_VALUE"""),"   2140 W 86Th St")</f>
        <v xml:space="preserve">   2140 W 86Th St</v>
      </c>
      <c r="E241" s="135" t="str">
        <f ca="1">IFERROR(__xludf.DUMMYFUNCTION("""COMPUTED_VALUE"""),"   Indianapolis, In 46260")</f>
        <v xml:space="preserve">   Indianapolis, In 46260</v>
      </c>
      <c r="F241" s="135" t="str">
        <f ca="1">IFERROR(__xludf.DUMMYFUNCTION("""COMPUTED_VALUE"""),"")</f>
        <v/>
      </c>
      <c r="G241" s="135">
        <f ca="1">IFERROR(__xludf.DUMMYFUNCTION("""COMPUTED_VALUE"""),82)</f>
        <v>82</v>
      </c>
      <c r="H241" s="135" t="str">
        <f ca="1">IFERROR(__xludf.DUMMYFUNCTION("""COMPUTED_VALUE"""),"Optum Testing")</f>
        <v>Optum Testing</v>
      </c>
      <c r="I241" s="135" t="str">
        <f ca="1">IFERROR(__xludf.DUMMYFUNCTION("""COMPUTED_VALUE"""),"KITS")</f>
        <v>KITS</v>
      </c>
      <c r="J241" s="135" t="str">
        <f ca="1">IFERROR(__xludf.DUMMYFUNCTION("""COMPUTED_VALUE"""),"")</f>
        <v/>
      </c>
      <c r="K241" s="135"/>
      <c r="L241" s="135"/>
      <c r="M241" s="135"/>
      <c r="N241" s="135"/>
      <c r="O241" s="135"/>
      <c r="P241" s="135"/>
      <c r="Q241" s="135"/>
      <c r="R241" s="135"/>
      <c r="S241" s="135"/>
      <c r="T241" s="135"/>
      <c r="U241" s="135"/>
      <c r="V241" s="135"/>
      <c r="W241" s="135"/>
      <c r="X241" s="135"/>
      <c r="Y241" s="135"/>
      <c r="Z241" s="135"/>
    </row>
    <row r="242" spans="1:26">
      <c r="A242" s="135" t="str">
        <f ca="1">IFERROR(__xludf.DUMMYFUNCTION("""COMPUTED_VALUE"""),"Springhill Village")</f>
        <v>Springhill Village</v>
      </c>
      <c r="B242" s="135" t="str">
        <f ca="1">IFERROR(__xludf.DUMMYFUNCTION("""COMPUTED_VALUE"""),"ASC")</f>
        <v>ASC</v>
      </c>
      <c r="C242" s="135" t="str">
        <f ca="1">IFERROR(__xludf.DUMMYFUNCTION("""COMPUTED_VALUE"""),"   Tel: (812)299-6300")</f>
        <v xml:space="preserve">   Tel: (812)299-6300</v>
      </c>
      <c r="D242" s="135" t="str">
        <f ca="1">IFERROR(__xludf.DUMMYFUNCTION("""COMPUTED_VALUE"""),"   1001 E Springhill Dr")</f>
        <v xml:space="preserve">   1001 E Springhill Dr</v>
      </c>
      <c r="E242" s="135" t="str">
        <f ca="1">IFERROR(__xludf.DUMMYFUNCTION("""COMPUTED_VALUE"""),"   Terre Haute, In 47802")</f>
        <v xml:space="preserve">   Terre Haute, In 47802</v>
      </c>
      <c r="F242" s="135" t="str">
        <f ca="1">IFERROR(__xludf.DUMMYFUNCTION("""COMPUTED_VALUE"""),"")</f>
        <v/>
      </c>
      <c r="G242" s="135">
        <f ca="1">IFERROR(__xludf.DUMMYFUNCTION("""COMPUTED_VALUE"""),118)</f>
        <v>118</v>
      </c>
      <c r="H242" s="135" t="str">
        <f ca="1">IFERROR(__xludf.DUMMYFUNCTION("""COMPUTED_VALUE"""),"Optum Testing")</f>
        <v>Optum Testing</v>
      </c>
      <c r="I242" s="135" t="str">
        <f ca="1">IFERROR(__xludf.DUMMYFUNCTION("""COMPUTED_VALUE"""),"KITS")</f>
        <v>KITS</v>
      </c>
      <c r="J242" s="135" t="str">
        <f ca="1">IFERROR(__xludf.DUMMYFUNCTION("""COMPUTED_VALUE"""),"")</f>
        <v/>
      </c>
      <c r="K242" s="135"/>
      <c r="L242" s="135"/>
      <c r="M242" s="135"/>
      <c r="N242" s="135"/>
      <c r="O242" s="135"/>
      <c r="P242" s="135"/>
      <c r="Q242" s="135"/>
      <c r="R242" s="135"/>
      <c r="S242" s="135"/>
      <c r="T242" s="135"/>
      <c r="U242" s="135"/>
      <c r="V242" s="135"/>
      <c r="W242" s="135"/>
      <c r="X242" s="135"/>
      <c r="Y242" s="135"/>
      <c r="Z242" s="135"/>
    </row>
    <row r="243" spans="1:26">
      <c r="A243" s="135" t="str">
        <f ca="1">IFERROR(__xludf.DUMMYFUNCTION("""COMPUTED_VALUE"""),"Springs Valley Meadows")</f>
        <v>Springs Valley Meadows</v>
      </c>
      <c r="B243" s="135" t="str">
        <f ca="1">IFERROR(__xludf.DUMMYFUNCTION("""COMPUTED_VALUE"""),"ASC")</f>
        <v>ASC</v>
      </c>
      <c r="C243" s="135" t="str">
        <f ca="1">IFERROR(__xludf.DUMMYFUNCTION("""COMPUTED_VALUE"""),"   Tel: (812)936-9991")</f>
        <v xml:space="preserve">   Tel: (812)936-9991</v>
      </c>
      <c r="D243" s="135" t="str">
        <f ca="1">IFERROR(__xludf.DUMMYFUNCTION("""COMPUTED_VALUE"""),"   457 S Sr 145")</f>
        <v xml:space="preserve">   457 S Sr 145</v>
      </c>
      <c r="E243" s="135" t="str">
        <f ca="1">IFERROR(__xludf.DUMMYFUNCTION("""COMPUTED_VALUE"""),"   French Lick, In 47432")</f>
        <v xml:space="preserve">   French Lick, In 47432</v>
      </c>
      <c r="F243" s="135" t="str">
        <f ca="1">IFERROR(__xludf.DUMMYFUNCTION("""COMPUTED_VALUE"""),"No")</f>
        <v>No</v>
      </c>
      <c r="G243" s="135">
        <f ca="1">IFERROR(__xludf.DUMMYFUNCTION("""COMPUTED_VALUE"""),98)</f>
        <v>98</v>
      </c>
      <c r="H243" s="135" t="str">
        <f ca="1">IFERROR(__xludf.DUMMYFUNCTION("""COMPUTED_VALUE"""),"Optum Testing")</f>
        <v>Optum Testing</v>
      </c>
      <c r="I243" s="135" t="str">
        <f ca="1">IFERROR(__xludf.DUMMYFUNCTION("""COMPUTED_VALUE"""),"KITS")</f>
        <v>KITS</v>
      </c>
      <c r="J243" s="135" t="str">
        <f ca="1">IFERROR(__xludf.DUMMYFUNCTION("""COMPUTED_VALUE"""),"")</f>
        <v/>
      </c>
      <c r="K243" s="135"/>
      <c r="L243" s="135"/>
      <c r="M243" s="135"/>
      <c r="N243" s="135"/>
      <c r="O243" s="135"/>
      <c r="P243" s="135"/>
      <c r="Q243" s="135"/>
      <c r="R243" s="135"/>
      <c r="S243" s="135"/>
      <c r="T243" s="135"/>
      <c r="U243" s="135"/>
      <c r="V243" s="135"/>
      <c r="W243" s="135"/>
      <c r="X243" s="135"/>
      <c r="Y243" s="135"/>
      <c r="Z243" s="135"/>
    </row>
    <row r="244" spans="1:26">
      <c r="A244" s="135" t="str">
        <f ca="1">IFERROR(__xludf.DUMMYFUNCTION("""COMPUTED_VALUE"""),"St Augustine Home For The Aged")</f>
        <v>St Augustine Home For The Aged</v>
      </c>
      <c r="B244" s="135" t="str">
        <f ca="1">IFERROR(__xludf.DUMMYFUNCTION("""COMPUTED_VALUE"""),"")</f>
        <v/>
      </c>
      <c r="C244" s="135" t="str">
        <f ca="1">IFERROR(__xludf.DUMMYFUNCTION("""COMPUTED_VALUE"""),"   Tel: (317)415-5767")</f>
        <v xml:space="preserve">   Tel: (317)415-5767</v>
      </c>
      <c r="D244" s="135" t="str">
        <f ca="1">IFERROR(__xludf.DUMMYFUNCTION("""COMPUTED_VALUE"""),"   2345 W 86Th St")</f>
        <v xml:space="preserve">   2345 W 86Th St</v>
      </c>
      <c r="E244" s="135" t="str">
        <f ca="1">IFERROR(__xludf.DUMMYFUNCTION("""COMPUTED_VALUE"""),"   Indianapolis, In 46260")</f>
        <v xml:space="preserve">   Indianapolis, In 46260</v>
      </c>
      <c r="F244" s="135" t="str">
        <f ca="1">IFERROR(__xludf.DUMMYFUNCTION("""COMPUTED_VALUE"""),"")</f>
        <v/>
      </c>
      <c r="G244" s="135">
        <f ca="1">IFERROR(__xludf.DUMMYFUNCTION("""COMPUTED_VALUE"""),115)</f>
        <v>115</v>
      </c>
      <c r="H244" s="135" t="str">
        <f ca="1">IFERROR(__xludf.DUMMYFUNCTION("""COMPUTED_VALUE"""),"Optum Testing")</f>
        <v>Optum Testing</v>
      </c>
      <c r="I244" s="135" t="str">
        <f ca="1">IFERROR(__xludf.DUMMYFUNCTION("""COMPUTED_VALUE"""),"KITS")</f>
        <v>KITS</v>
      </c>
      <c r="J244" s="135" t="str">
        <f ca="1">IFERROR(__xludf.DUMMYFUNCTION("""COMPUTED_VALUE"""),"")</f>
        <v/>
      </c>
      <c r="K244" s="135"/>
      <c r="L244" s="135"/>
      <c r="M244" s="135"/>
      <c r="N244" s="135"/>
      <c r="O244" s="135"/>
      <c r="P244" s="135"/>
      <c r="Q244" s="135"/>
      <c r="R244" s="135"/>
      <c r="S244" s="135"/>
      <c r="T244" s="135"/>
      <c r="U244" s="135"/>
      <c r="V244" s="135"/>
      <c r="W244" s="135"/>
      <c r="X244" s="135"/>
      <c r="Y244" s="135"/>
      <c r="Z244" s="135"/>
    </row>
    <row r="245" spans="1:26">
      <c r="A245" s="135" t="str">
        <f ca="1">IFERROR(__xludf.DUMMYFUNCTION("""COMPUTED_VALUE"""),"Stonebrooke Rehabilitation Center")</f>
        <v>Stonebrooke Rehabilitation Center</v>
      </c>
      <c r="B245" s="135" t="str">
        <f ca="1">IFERROR(__xludf.DUMMYFUNCTION("""COMPUTED_VALUE"""),"ASC")</f>
        <v>ASC</v>
      </c>
      <c r="C245" s="135" t="str">
        <f ca="1">IFERROR(__xludf.DUMMYFUNCTION("""COMPUTED_VALUE"""),"   Tel: (765)529-0230")</f>
        <v xml:space="preserve">   Tel: (765)529-0230</v>
      </c>
      <c r="D245" s="135" t="str">
        <f ca="1">IFERROR(__xludf.DUMMYFUNCTION("""COMPUTED_VALUE"""),"   990 N 16Th St")</f>
        <v xml:space="preserve">   990 N 16Th St</v>
      </c>
      <c r="E245" s="135" t="str">
        <f ca="1">IFERROR(__xludf.DUMMYFUNCTION("""COMPUTED_VALUE"""),"   New Castle, In 47362")</f>
        <v xml:space="preserve">   New Castle, In 47362</v>
      </c>
      <c r="F245" s="135" t="str">
        <f ca="1">IFERROR(__xludf.DUMMYFUNCTION("""COMPUTED_VALUE"""),"")</f>
        <v/>
      </c>
      <c r="G245" s="135">
        <f ca="1">IFERROR(__xludf.DUMMYFUNCTION("""COMPUTED_VALUE"""),115)</f>
        <v>115</v>
      </c>
      <c r="H245" s="135" t="str">
        <f ca="1">IFERROR(__xludf.DUMMYFUNCTION("""COMPUTED_VALUE"""),"Optum Testing")</f>
        <v>Optum Testing</v>
      </c>
      <c r="I245" s="135" t="str">
        <f ca="1">IFERROR(__xludf.DUMMYFUNCTION("""COMPUTED_VALUE"""),"KITS")</f>
        <v>KITS</v>
      </c>
      <c r="J245" s="135" t="str">
        <f ca="1">IFERROR(__xludf.DUMMYFUNCTION("""COMPUTED_VALUE"""),"")</f>
        <v/>
      </c>
      <c r="K245" s="135"/>
      <c r="L245" s="135"/>
      <c r="M245" s="135"/>
      <c r="N245" s="135"/>
      <c r="O245" s="135"/>
      <c r="P245" s="135"/>
      <c r="Q245" s="135"/>
      <c r="R245" s="135"/>
      <c r="S245" s="135"/>
      <c r="T245" s="135"/>
      <c r="U245" s="135"/>
      <c r="V245" s="135"/>
      <c r="W245" s="135"/>
      <c r="X245" s="135"/>
      <c r="Y245" s="135"/>
      <c r="Z245" s="135"/>
    </row>
    <row r="246" spans="1:26">
      <c r="A246" s="135" t="str">
        <f ca="1">IFERROR(__xludf.DUMMYFUNCTION("""COMPUTED_VALUE"""),"Sugar Creek Rehabilitation And Convalescent Center")</f>
        <v>Sugar Creek Rehabilitation And Convalescent Center</v>
      </c>
      <c r="B246" s="135" t="str">
        <f ca="1">IFERROR(__xludf.DUMMYFUNCTION("""COMPUTED_VALUE"""),"Chosen")</f>
        <v>Chosen</v>
      </c>
      <c r="C246" s="135" t="str">
        <f ca="1">IFERROR(__xludf.DUMMYFUNCTION("""COMPUTED_VALUE"""),"   Tel: (317)894-3301")</f>
        <v xml:space="preserve">   Tel: (317)894-3301</v>
      </c>
      <c r="D246" s="135" t="str">
        <f ca="1">IFERROR(__xludf.DUMMYFUNCTION("""COMPUTED_VALUE"""),"   5430 W Us 40")</f>
        <v xml:space="preserve">   5430 W Us 40</v>
      </c>
      <c r="E246" s="135" t="str">
        <f ca="1">IFERROR(__xludf.DUMMYFUNCTION("""COMPUTED_VALUE"""),"   Greenfield, In 46140")</f>
        <v xml:space="preserve">   Greenfield, In 46140</v>
      </c>
      <c r="F246" s="135" t="str">
        <f ca="1">IFERROR(__xludf.DUMMYFUNCTION("""COMPUTED_VALUE"""),"")</f>
        <v/>
      </c>
      <c r="G246" s="135">
        <f ca="1">IFERROR(__xludf.DUMMYFUNCTION("""COMPUTED_VALUE"""),55)</f>
        <v>55</v>
      </c>
      <c r="H246" s="135" t="str">
        <f ca="1">IFERROR(__xludf.DUMMYFUNCTION("""COMPUTED_VALUE"""),"Optum Testing")</f>
        <v>Optum Testing</v>
      </c>
      <c r="I246" s="135" t="str">
        <f ca="1">IFERROR(__xludf.DUMMYFUNCTION("""COMPUTED_VALUE"""),"KITS")</f>
        <v>KITS</v>
      </c>
      <c r="J246" s="135" t="str">
        <f ca="1">IFERROR(__xludf.DUMMYFUNCTION("""COMPUTED_VALUE"""),"")</f>
        <v/>
      </c>
      <c r="K246" s="135"/>
      <c r="L246" s="135"/>
      <c r="M246" s="135"/>
      <c r="N246" s="135"/>
      <c r="O246" s="135"/>
      <c r="P246" s="135"/>
      <c r="Q246" s="135"/>
      <c r="R246" s="135"/>
      <c r="S246" s="135"/>
      <c r="T246" s="135"/>
      <c r="U246" s="135"/>
      <c r="V246" s="135"/>
      <c r="W246" s="135"/>
      <c r="X246" s="135"/>
      <c r="Y246" s="135"/>
      <c r="Z246" s="135"/>
    </row>
    <row r="247" spans="1:26">
      <c r="A247" s="135" t="str">
        <f ca="1">IFERROR(__xludf.DUMMYFUNCTION("""COMPUTED_VALUE"""),"Summerfield Health Care Center")</f>
        <v>Summerfield Health Care Center</v>
      </c>
      <c r="B247" s="135" t="str">
        <f ca="1">IFERROR(__xludf.DUMMYFUNCTION("""COMPUTED_VALUE"""),"Chosen")</f>
        <v>Chosen</v>
      </c>
      <c r="C247" s="135" t="str">
        <f ca="1">IFERROR(__xludf.DUMMYFUNCTION("""COMPUTED_VALUE"""),"   Tel: (765)795-4260")</f>
        <v xml:space="preserve">   Tel: (765)795-4260</v>
      </c>
      <c r="D247" s="135" t="str">
        <f ca="1">IFERROR(__xludf.DUMMYFUNCTION("""COMPUTED_VALUE"""),"   34 S Main St")</f>
        <v xml:space="preserve">   34 S Main St</v>
      </c>
      <c r="E247" s="135" t="str">
        <f ca="1">IFERROR(__xludf.DUMMYFUNCTION("""COMPUTED_VALUE"""),"   Cloverdale, In 46120")</f>
        <v xml:space="preserve">   Cloverdale, In 46120</v>
      </c>
      <c r="F247" s="135" t="str">
        <f ca="1">IFERROR(__xludf.DUMMYFUNCTION("""COMPUTED_VALUE"""),"No")</f>
        <v>No</v>
      </c>
      <c r="G247" s="135">
        <f ca="1">IFERROR(__xludf.DUMMYFUNCTION("""COMPUTED_VALUE"""),39)</f>
        <v>39</v>
      </c>
      <c r="H247" s="135" t="str">
        <f ca="1">IFERROR(__xludf.DUMMYFUNCTION("""COMPUTED_VALUE"""),"Optum Testing")</f>
        <v>Optum Testing</v>
      </c>
      <c r="I247" s="135" t="str">
        <f ca="1">IFERROR(__xludf.DUMMYFUNCTION("""COMPUTED_VALUE"""),"KITS")</f>
        <v>KITS</v>
      </c>
      <c r="J247" s="135" t="str">
        <f ca="1">IFERROR(__xludf.DUMMYFUNCTION("""COMPUTED_VALUE"""),"")</f>
        <v/>
      </c>
      <c r="K247" s="135"/>
      <c r="L247" s="135"/>
      <c r="M247" s="135"/>
      <c r="N247" s="135"/>
      <c r="O247" s="135"/>
      <c r="P247" s="135"/>
      <c r="Q247" s="135"/>
      <c r="R247" s="135"/>
      <c r="S247" s="135"/>
      <c r="T247" s="135"/>
      <c r="U247" s="135"/>
      <c r="V247" s="135"/>
      <c r="W247" s="135"/>
      <c r="X247" s="135"/>
      <c r="Y247" s="135"/>
      <c r="Z247" s="135"/>
    </row>
    <row r="248" spans="1:26">
      <c r="A248" s="135" t="str">
        <f ca="1">IFERROR(__xludf.DUMMYFUNCTION("""COMPUTED_VALUE"""),"Summit City Nursing And Rehabilitation")</f>
        <v>Summit City Nursing And Rehabilitation</v>
      </c>
      <c r="B248" s="135" t="str">
        <f ca="1">IFERROR(__xludf.DUMMYFUNCTION("""COMPUTED_VALUE"""),"ASC")</f>
        <v>ASC</v>
      </c>
      <c r="C248" s="135" t="str">
        <f ca="1">IFERROR(__xludf.DUMMYFUNCTION("""COMPUTED_VALUE"""),"   Tel: (260)484-0602")</f>
        <v xml:space="preserve">   Tel: (260)484-0602</v>
      </c>
      <c r="D248" s="135" t="str">
        <f ca="1">IFERROR(__xludf.DUMMYFUNCTION("""COMPUTED_VALUE"""),"   2940 N Clinton St")</f>
        <v xml:space="preserve">   2940 N Clinton St</v>
      </c>
      <c r="E248" s="135" t="str">
        <f ca="1">IFERROR(__xludf.DUMMYFUNCTION("""COMPUTED_VALUE"""),"   Fort Wayne, In 46805")</f>
        <v xml:space="preserve">   Fort Wayne, In 46805</v>
      </c>
      <c r="F248" s="135" t="str">
        <f ca="1">IFERROR(__xludf.DUMMYFUNCTION("""COMPUTED_VALUE"""),"")</f>
        <v/>
      </c>
      <c r="G248" s="135">
        <f ca="1">IFERROR(__xludf.DUMMYFUNCTION("""COMPUTED_VALUE"""),96)</f>
        <v>96</v>
      </c>
      <c r="H248" s="135" t="str">
        <f ca="1">IFERROR(__xludf.DUMMYFUNCTION("""COMPUTED_VALUE"""),"Optum Testing")</f>
        <v>Optum Testing</v>
      </c>
      <c r="I248" s="135" t="str">
        <f ca="1">IFERROR(__xludf.DUMMYFUNCTION("""COMPUTED_VALUE"""),"KITS")</f>
        <v>KITS</v>
      </c>
      <c r="J248" s="135" t="str">
        <f ca="1">IFERROR(__xludf.DUMMYFUNCTION("""COMPUTED_VALUE"""),"")</f>
        <v/>
      </c>
      <c r="K248" s="135"/>
      <c r="L248" s="135"/>
      <c r="M248" s="135"/>
      <c r="N248" s="135"/>
      <c r="O248" s="135"/>
      <c r="P248" s="135"/>
      <c r="Q248" s="135"/>
      <c r="R248" s="135"/>
      <c r="S248" s="135"/>
      <c r="T248" s="135"/>
      <c r="U248" s="135"/>
      <c r="V248" s="135"/>
      <c r="W248" s="135"/>
      <c r="X248" s="135"/>
      <c r="Y248" s="135"/>
      <c r="Z248" s="135"/>
    </row>
    <row r="249" spans="1:26">
      <c r="A249" s="135" t="str">
        <f ca="1">IFERROR(__xludf.DUMMYFUNCTION("""COMPUTED_VALUE"""),"Swiss Villa Nursing And Rehabilitation")</f>
        <v>Swiss Villa Nursing And Rehabilitation</v>
      </c>
      <c r="B249" s="135" t="str">
        <f ca="1">IFERROR(__xludf.DUMMYFUNCTION("""COMPUTED_VALUE"""),"ASC")</f>
        <v>ASC</v>
      </c>
      <c r="C249" s="135" t="str">
        <f ca="1">IFERROR(__xludf.DUMMYFUNCTION("""COMPUTED_VALUE"""),"   Tel: (812)427-2803")</f>
        <v xml:space="preserve">   Tel: (812)427-2803</v>
      </c>
      <c r="D249" s="135" t="str">
        <f ca="1">IFERROR(__xludf.DUMMYFUNCTION("""COMPUTED_VALUE"""),"   1023 W Main St")</f>
        <v xml:space="preserve">   1023 W Main St</v>
      </c>
      <c r="E249" s="135" t="str">
        <f ca="1">IFERROR(__xludf.DUMMYFUNCTION("""COMPUTED_VALUE"""),"   Vevay, In 47043")</f>
        <v xml:space="preserve">   Vevay, In 47043</v>
      </c>
      <c r="F249" s="135" t="str">
        <f ca="1">IFERROR(__xludf.DUMMYFUNCTION("""COMPUTED_VALUE"""),"")</f>
        <v/>
      </c>
      <c r="G249" s="135">
        <f ca="1">IFERROR(__xludf.DUMMYFUNCTION("""COMPUTED_VALUE"""),65)</f>
        <v>65</v>
      </c>
      <c r="H249" s="135" t="str">
        <f ca="1">IFERROR(__xludf.DUMMYFUNCTION("""COMPUTED_VALUE"""),"Non-Specific Plan/Hypothetical/Local Sites")</f>
        <v>Non-Specific Plan/Hypothetical/Local Sites</v>
      </c>
      <c r="I249" s="135" t="str">
        <f ca="1">IFERROR(__xludf.DUMMYFUNCTION("""COMPUTED_VALUE"""),"KITS")</f>
        <v>KITS</v>
      </c>
      <c r="J249" s="135" t="str">
        <f ca="1">IFERROR(__xludf.DUMMYFUNCTION("""COMPUTED_VALUE"""),"")</f>
        <v/>
      </c>
      <c r="K249" s="135"/>
      <c r="L249" s="135"/>
      <c r="M249" s="135"/>
      <c r="N249" s="135"/>
      <c r="O249" s="135"/>
      <c r="P249" s="135"/>
      <c r="Q249" s="135"/>
      <c r="R249" s="135"/>
      <c r="S249" s="135"/>
      <c r="T249" s="135"/>
      <c r="U249" s="135"/>
      <c r="V249" s="135"/>
      <c r="W249" s="135"/>
      <c r="X249" s="135"/>
      <c r="Y249" s="135"/>
      <c r="Z249" s="135"/>
    </row>
    <row r="250" spans="1:26">
      <c r="A250" s="135" t="str">
        <f ca="1">IFERROR(__xludf.DUMMYFUNCTION("""COMPUTED_VALUE"""),"Swiss Village")</f>
        <v>Swiss Village</v>
      </c>
      <c r="B250" s="135" t="str">
        <f ca="1">IFERROR(__xludf.DUMMYFUNCTION("""COMPUTED_VALUE"""),"")</f>
        <v/>
      </c>
      <c r="C250" s="135" t="str">
        <f ca="1">IFERROR(__xludf.DUMMYFUNCTION("""COMPUTED_VALUE"""),"   Tel: (260)589-3173")</f>
        <v xml:space="preserve">   Tel: (260)589-3173</v>
      </c>
      <c r="D250" s="135" t="str">
        <f ca="1">IFERROR(__xludf.DUMMYFUNCTION("""COMPUTED_VALUE"""),"   1350 W Main St")</f>
        <v xml:space="preserve">   1350 W Main St</v>
      </c>
      <c r="E250" s="135" t="str">
        <f ca="1">IFERROR(__xludf.DUMMYFUNCTION("""COMPUTED_VALUE"""),"   Berne, In 46711")</f>
        <v xml:space="preserve">   Berne, In 46711</v>
      </c>
      <c r="F250" s="135" t="str">
        <f ca="1">IFERROR(__xludf.DUMMYFUNCTION("""COMPUTED_VALUE"""),"No")</f>
        <v>No</v>
      </c>
      <c r="G250" s="135">
        <f ca="1">IFERROR(__xludf.DUMMYFUNCTION("""COMPUTED_VALUE"""),360)</f>
        <v>360</v>
      </c>
      <c r="H250" s="135" t="str">
        <f ca="1">IFERROR(__xludf.DUMMYFUNCTION("""COMPUTED_VALUE"""),"Need Kits / PPE / Pickup")</f>
        <v>Need Kits / PPE / Pickup</v>
      </c>
      <c r="I250" s="135" t="str">
        <f ca="1">IFERROR(__xludf.DUMMYFUNCTION("""COMPUTED_VALUE"""),"KITS")</f>
        <v>KITS</v>
      </c>
      <c r="J250" s="135" t="str">
        <f ca="1">IFERROR(__xludf.DUMMYFUNCTION("""COMPUTED_VALUE"""),"")</f>
        <v/>
      </c>
      <c r="K250" s="135"/>
      <c r="L250" s="135"/>
      <c r="M250" s="135"/>
      <c r="N250" s="135"/>
      <c r="O250" s="135"/>
      <c r="P250" s="135"/>
      <c r="Q250" s="135"/>
      <c r="R250" s="135"/>
      <c r="S250" s="135"/>
      <c r="T250" s="135"/>
      <c r="U250" s="135"/>
      <c r="V250" s="135"/>
      <c r="W250" s="135"/>
      <c r="X250" s="135"/>
      <c r="Y250" s="135"/>
      <c r="Z250" s="135"/>
    </row>
    <row r="251" spans="1:26">
      <c r="A251" s="135" t="str">
        <f ca="1">IFERROR(__xludf.DUMMYFUNCTION("""COMPUTED_VALUE"""),"Symphony Of Crown Point Llc")</f>
        <v>Symphony Of Crown Point Llc</v>
      </c>
      <c r="B251" s="135" t="str">
        <f ca="1">IFERROR(__xludf.DUMMYFUNCTION("""COMPUTED_VALUE"""),"Symphony")</f>
        <v>Symphony</v>
      </c>
      <c r="C251" s="135" t="str">
        <f ca="1">IFERROR(__xludf.DUMMYFUNCTION("""COMPUTED_VALUE"""),"   Tel: (219)323-8700")</f>
        <v xml:space="preserve">   Tel: (219)323-8700</v>
      </c>
      <c r="D251" s="135" t="str">
        <f ca="1">IFERROR(__xludf.DUMMYFUNCTION("""COMPUTED_VALUE"""),"   1555 S Main Street")</f>
        <v xml:space="preserve">   1555 S Main Street</v>
      </c>
      <c r="E251" s="135" t="str">
        <f ca="1">IFERROR(__xludf.DUMMYFUNCTION("""COMPUTED_VALUE"""),"   Crown Point, In 46307")</f>
        <v xml:space="preserve">   Crown Point, In 46307</v>
      </c>
      <c r="F251" s="135" t="str">
        <f ca="1">IFERROR(__xludf.DUMMYFUNCTION("""COMPUTED_VALUE"""),"")</f>
        <v/>
      </c>
      <c r="G251" s="135">
        <f ca="1">IFERROR(__xludf.DUMMYFUNCTION("""COMPUTED_VALUE"""),136)</f>
        <v>136</v>
      </c>
      <c r="H251" s="135" t="str">
        <f ca="1">IFERROR(__xludf.DUMMYFUNCTION("""COMPUTED_VALUE"""),"Optum Testing")</f>
        <v>Optum Testing</v>
      </c>
      <c r="I251" s="135" t="str">
        <f ca="1">IFERROR(__xludf.DUMMYFUNCTION("""COMPUTED_VALUE"""),"KITS")</f>
        <v>KITS</v>
      </c>
      <c r="J251" s="135" t="str">
        <f ca="1">IFERROR(__xludf.DUMMYFUNCTION("""COMPUTED_VALUE"""),"")</f>
        <v/>
      </c>
      <c r="K251" s="135"/>
      <c r="L251" s="135"/>
      <c r="M251" s="135"/>
      <c r="N251" s="135"/>
      <c r="O251" s="135"/>
      <c r="P251" s="135"/>
      <c r="Q251" s="135"/>
      <c r="R251" s="135"/>
      <c r="S251" s="135"/>
      <c r="T251" s="135"/>
      <c r="U251" s="135"/>
      <c r="V251" s="135"/>
      <c r="W251" s="135"/>
      <c r="X251" s="135"/>
      <c r="Y251" s="135"/>
      <c r="Z251" s="135"/>
    </row>
    <row r="252" spans="1:26">
      <c r="A252" s="135" t="str">
        <f ca="1">IFERROR(__xludf.DUMMYFUNCTION("""COMPUTED_VALUE"""),"Symphony Of Dyer Llc")</f>
        <v>Symphony Of Dyer Llc</v>
      </c>
      <c r="B252" s="135" t="str">
        <f ca="1">IFERROR(__xludf.DUMMYFUNCTION("""COMPUTED_VALUE"""),"Symphony")</f>
        <v>Symphony</v>
      </c>
      <c r="C252" s="135" t="str">
        <f ca="1">IFERROR(__xludf.DUMMYFUNCTION("""COMPUTED_VALUE"""),"   Tel: (219)515-4700")</f>
        <v xml:space="preserve">   Tel: (219)515-4700</v>
      </c>
      <c r="D252" s="135" t="str">
        <f ca="1">IFERROR(__xludf.DUMMYFUNCTION("""COMPUTED_VALUE"""),"   1532 Calumet Avenue")</f>
        <v xml:space="preserve">   1532 Calumet Avenue</v>
      </c>
      <c r="E252" s="135" t="str">
        <f ca="1">IFERROR(__xludf.DUMMYFUNCTION("""COMPUTED_VALUE"""),"   Dyer, In 46311")</f>
        <v xml:space="preserve">   Dyer, In 46311</v>
      </c>
      <c r="F252" s="135" t="str">
        <f ca="1">IFERROR(__xludf.DUMMYFUNCTION("""COMPUTED_VALUE"""),"")</f>
        <v/>
      </c>
      <c r="G252" s="135">
        <f ca="1">IFERROR(__xludf.DUMMYFUNCTION("""COMPUTED_VALUE"""),172)</f>
        <v>172</v>
      </c>
      <c r="H252" s="135" t="str">
        <f ca="1">IFERROR(__xludf.DUMMYFUNCTION("""COMPUTED_VALUE"""),"Optum Testing")</f>
        <v>Optum Testing</v>
      </c>
      <c r="I252" s="135" t="str">
        <f ca="1">IFERROR(__xludf.DUMMYFUNCTION("""COMPUTED_VALUE"""),"KITS")</f>
        <v>KITS</v>
      </c>
      <c r="J252" s="135" t="str">
        <f ca="1">IFERROR(__xludf.DUMMYFUNCTION("""COMPUTED_VALUE"""),"")</f>
        <v/>
      </c>
      <c r="K252" s="135"/>
      <c r="L252" s="135"/>
      <c r="M252" s="135"/>
      <c r="N252" s="135"/>
      <c r="O252" s="135"/>
      <c r="P252" s="135"/>
      <c r="Q252" s="135"/>
      <c r="R252" s="135"/>
      <c r="S252" s="135"/>
      <c r="T252" s="135"/>
      <c r="U252" s="135"/>
      <c r="V252" s="135"/>
      <c r="W252" s="135"/>
      <c r="X252" s="135"/>
      <c r="Y252" s="135"/>
      <c r="Z252" s="135"/>
    </row>
    <row r="253" spans="1:26">
      <c r="A253" s="135" t="str">
        <f ca="1">IFERROR(__xludf.DUMMYFUNCTION("""COMPUTED_VALUE"""),"Timbers Of Jasper The")</f>
        <v>Timbers Of Jasper The</v>
      </c>
      <c r="B253" s="135" t="str">
        <f ca="1">IFERROR(__xludf.DUMMYFUNCTION("""COMPUTED_VALUE"""),"ASC")</f>
        <v>ASC</v>
      </c>
      <c r="C253" s="135" t="str">
        <f ca="1">IFERROR(__xludf.DUMMYFUNCTION("""COMPUTED_VALUE"""),"   Tel: (812)482-6161")</f>
        <v xml:space="preserve">   Tel: (812)482-6161</v>
      </c>
      <c r="D253" s="135" t="str">
        <f ca="1">IFERROR(__xludf.DUMMYFUNCTION("""COMPUTED_VALUE"""),"   2909 Howard Dr")</f>
        <v xml:space="preserve">   2909 Howard Dr</v>
      </c>
      <c r="E253" s="135" t="str">
        <f ca="1">IFERROR(__xludf.DUMMYFUNCTION("""COMPUTED_VALUE"""),"   Jasper, In 47546")</f>
        <v xml:space="preserve">   Jasper, In 47546</v>
      </c>
      <c r="F253" s="135" t="str">
        <f ca="1">IFERROR(__xludf.DUMMYFUNCTION("""COMPUTED_VALUE"""),"")</f>
        <v/>
      </c>
      <c r="G253" s="135">
        <f ca="1">IFERROR(__xludf.DUMMYFUNCTION("""COMPUTED_VALUE"""),98)</f>
        <v>98</v>
      </c>
      <c r="H253" s="135" t="str">
        <f ca="1">IFERROR(__xludf.DUMMYFUNCTION("""COMPUTED_VALUE"""),"Optum Testing")</f>
        <v>Optum Testing</v>
      </c>
      <c r="I253" s="135" t="str">
        <f ca="1">IFERROR(__xludf.DUMMYFUNCTION("""COMPUTED_VALUE"""),"KITS")</f>
        <v>KITS</v>
      </c>
      <c r="J253" s="135" t="str">
        <f ca="1">IFERROR(__xludf.DUMMYFUNCTION("""COMPUTED_VALUE"""),"")</f>
        <v/>
      </c>
      <c r="K253" s="135"/>
      <c r="L253" s="135"/>
      <c r="M253" s="135"/>
      <c r="N253" s="135"/>
      <c r="O253" s="135"/>
      <c r="P253" s="135"/>
      <c r="Q253" s="135"/>
      <c r="R253" s="135"/>
      <c r="S253" s="135"/>
      <c r="T253" s="135"/>
      <c r="U253" s="135"/>
      <c r="V253" s="135"/>
      <c r="W253" s="135"/>
      <c r="X253" s="135"/>
      <c r="Y253" s="135"/>
      <c r="Z253" s="135"/>
    </row>
    <row r="254" spans="1:26">
      <c r="A254" s="135" t="str">
        <f ca="1">IFERROR(__xludf.DUMMYFUNCTION("""COMPUTED_VALUE"""),"Todd-Dickey Nursing And Rehabilitation")</f>
        <v>Todd-Dickey Nursing And Rehabilitation</v>
      </c>
      <c r="B254" s="135" t="str">
        <f ca="1">IFERROR(__xludf.DUMMYFUNCTION("""COMPUTED_VALUE"""),"ASC")</f>
        <v>ASC</v>
      </c>
      <c r="C254" s="135" t="str">
        <f ca="1">IFERROR(__xludf.DUMMYFUNCTION("""COMPUTED_VALUE"""),"   Tel: (812)739-2292")</f>
        <v xml:space="preserve">   Tel: (812)739-2292</v>
      </c>
      <c r="D254" s="135" t="str">
        <f ca="1">IFERROR(__xludf.DUMMYFUNCTION("""COMPUTED_VALUE"""),"   712 W 2Nd St")</f>
        <v xml:space="preserve">   712 W 2Nd St</v>
      </c>
      <c r="E254" s="135" t="str">
        <f ca="1">IFERROR(__xludf.DUMMYFUNCTION("""COMPUTED_VALUE"""),"   Leavenworth, In 47137")</f>
        <v xml:space="preserve">   Leavenworth, In 47137</v>
      </c>
      <c r="F254" s="135" t="str">
        <f ca="1">IFERROR(__xludf.DUMMYFUNCTION("""COMPUTED_VALUE"""),"No")</f>
        <v>No</v>
      </c>
      <c r="G254" s="135">
        <f ca="1">IFERROR(__xludf.DUMMYFUNCTION("""COMPUTED_VALUE"""),75)</f>
        <v>75</v>
      </c>
      <c r="H254" s="135" t="str">
        <f ca="1">IFERROR(__xludf.DUMMYFUNCTION("""COMPUTED_VALUE"""),"Optum Testing")</f>
        <v>Optum Testing</v>
      </c>
      <c r="I254" s="135" t="str">
        <f ca="1">IFERROR(__xludf.DUMMYFUNCTION("""COMPUTED_VALUE"""),"KITS")</f>
        <v>KITS</v>
      </c>
      <c r="J254" s="135" t="str">
        <f ca="1">IFERROR(__xludf.DUMMYFUNCTION("""COMPUTED_VALUE"""),"")</f>
        <v/>
      </c>
      <c r="K254" s="135"/>
      <c r="L254" s="135"/>
      <c r="M254" s="135"/>
      <c r="N254" s="135"/>
      <c r="O254" s="135"/>
      <c r="P254" s="135"/>
      <c r="Q254" s="135"/>
      <c r="R254" s="135"/>
      <c r="S254" s="135"/>
      <c r="T254" s="135"/>
      <c r="U254" s="135"/>
      <c r="V254" s="135"/>
      <c r="W254" s="135"/>
      <c r="X254" s="135"/>
      <c r="Y254" s="135"/>
      <c r="Z254" s="135"/>
    </row>
    <row r="255" spans="1:26">
      <c r="A255" s="135" t="str">
        <f ca="1">IFERROR(__xludf.DUMMYFUNCTION("""COMPUTED_VALUE"""),"Trailpoint Village")</f>
        <v>Trailpoint Village</v>
      </c>
      <c r="B255" s="135" t="str">
        <f ca="1">IFERROR(__xludf.DUMMYFUNCTION("""COMPUTED_VALUE"""),"ASC")</f>
        <v>ASC</v>
      </c>
      <c r="C255" s="135" t="str">
        <f ca="1">IFERROR(__xludf.DUMMYFUNCTION("""COMPUTED_VALUE"""),"   Tel: (574)291-6722")</f>
        <v xml:space="preserve">   Tel: (574)291-6722</v>
      </c>
      <c r="D255" s="135" t="str">
        <f ca="1">IFERROR(__xludf.DUMMYFUNCTION("""COMPUTED_VALUE"""),"   1950 Ridgedale Rd")</f>
        <v xml:space="preserve">   1950 Ridgedale Rd</v>
      </c>
      <c r="E255" s="135" t="str">
        <f ca="1">IFERROR(__xludf.DUMMYFUNCTION("""COMPUTED_VALUE"""),"   South Bend, In 46614")</f>
        <v xml:space="preserve">   South Bend, In 46614</v>
      </c>
      <c r="F255" s="135" t="str">
        <f ca="1">IFERROR(__xludf.DUMMYFUNCTION("""COMPUTED_VALUE"""),"")</f>
        <v/>
      </c>
      <c r="G255" s="135">
        <f ca="1">IFERROR(__xludf.DUMMYFUNCTION("""COMPUTED_VALUE"""),190)</f>
        <v>190</v>
      </c>
      <c r="H255" s="135" t="str">
        <f ca="1">IFERROR(__xludf.DUMMYFUNCTION("""COMPUTED_VALUE"""),"Optum Testing")</f>
        <v>Optum Testing</v>
      </c>
      <c r="I255" s="135" t="str">
        <f ca="1">IFERROR(__xludf.DUMMYFUNCTION("""COMPUTED_VALUE"""),"KITS")</f>
        <v>KITS</v>
      </c>
      <c r="J255" s="135" t="str">
        <f ca="1">IFERROR(__xludf.DUMMYFUNCTION("""COMPUTED_VALUE"""),"")</f>
        <v/>
      </c>
      <c r="K255" s="135"/>
      <c r="L255" s="135"/>
      <c r="M255" s="135"/>
      <c r="N255" s="135"/>
      <c r="O255" s="135"/>
      <c r="P255" s="135"/>
      <c r="Q255" s="135"/>
      <c r="R255" s="135"/>
      <c r="S255" s="135"/>
      <c r="T255" s="135"/>
      <c r="U255" s="135"/>
      <c r="V255" s="135"/>
      <c r="W255" s="135"/>
      <c r="X255" s="135"/>
      <c r="Y255" s="135"/>
      <c r="Z255" s="135"/>
    </row>
    <row r="256" spans="1:26">
      <c r="A256" s="135" t="str">
        <f ca="1">IFERROR(__xludf.DUMMYFUNCTION("""COMPUTED_VALUE"""),"Tranquility Nursing And Rehab")</f>
        <v>Tranquility Nursing And Rehab</v>
      </c>
      <c r="B256" s="135" t="str">
        <f ca="1">IFERROR(__xludf.DUMMYFUNCTION("""COMPUTED_VALUE"""),"")</f>
        <v/>
      </c>
      <c r="C256" s="135" t="str">
        <f ca="1">IFERROR(__xludf.DUMMYFUNCTION("""COMPUTED_VALUE"""),"   Tel: (317)480-0806")</f>
        <v xml:space="preserve">   Tel: (317)480-0806</v>
      </c>
      <c r="D256" s="135" t="str">
        <f ca="1">IFERROR(__xludf.DUMMYFUNCTION("""COMPUTED_VALUE"""),"   3640 N Central Avenue")</f>
        <v xml:space="preserve">   3640 N Central Avenue</v>
      </c>
      <c r="E256" s="135" t="str">
        <f ca="1">IFERROR(__xludf.DUMMYFUNCTION("""COMPUTED_VALUE"""),"   Indianapolis, In 46205")</f>
        <v xml:space="preserve">   Indianapolis, In 46205</v>
      </c>
      <c r="F256" s="135" t="str">
        <f ca="1">IFERROR(__xludf.DUMMYFUNCTION("""COMPUTED_VALUE"""),"")</f>
        <v/>
      </c>
      <c r="G256" s="135">
        <f ca="1">IFERROR(__xludf.DUMMYFUNCTION("""COMPUTED_VALUE"""),58)</f>
        <v>58</v>
      </c>
      <c r="H256" s="135" t="str">
        <f ca="1">IFERROR(__xludf.DUMMYFUNCTION("""COMPUTED_VALUE"""),"Non-Specific Plan/Hypothetical/Local Sites")</f>
        <v>Non-Specific Plan/Hypothetical/Local Sites</v>
      </c>
      <c r="I256" s="135" t="str">
        <f ca="1">IFERROR(__xludf.DUMMYFUNCTION("""COMPUTED_VALUE"""),"KITS")</f>
        <v>KITS</v>
      </c>
      <c r="J256" s="135" t="str">
        <f ca="1">IFERROR(__xludf.DUMMYFUNCTION("""COMPUTED_VALUE"""),"")</f>
        <v/>
      </c>
      <c r="K256" s="135"/>
      <c r="L256" s="135"/>
      <c r="M256" s="135"/>
      <c r="N256" s="135"/>
      <c r="O256" s="135"/>
      <c r="P256" s="135"/>
      <c r="Q256" s="135"/>
      <c r="R256" s="135"/>
      <c r="S256" s="135"/>
      <c r="T256" s="135"/>
      <c r="U256" s="135"/>
      <c r="V256" s="135"/>
      <c r="W256" s="135"/>
      <c r="X256" s="135"/>
      <c r="Y256" s="135"/>
      <c r="Z256" s="135"/>
    </row>
    <row r="257" spans="1:26">
      <c r="A257" s="135" t="str">
        <f ca="1">IFERROR(__xludf.DUMMYFUNCTION("""COMPUTED_VALUE"""),"Transcendent Healthcare Of Owensville")</f>
        <v>Transcendent Healthcare Of Owensville</v>
      </c>
      <c r="B257" s="135" t="str">
        <f ca="1">IFERROR(__xludf.DUMMYFUNCTION("""COMPUTED_VALUE"""),"")</f>
        <v/>
      </c>
      <c r="C257" s="135" t="str">
        <f ca="1">IFERROR(__xludf.DUMMYFUNCTION("""COMPUTED_VALUE"""),"   Tel: (812)729-7901")</f>
        <v xml:space="preserve">   Tel: (812)729-7901</v>
      </c>
      <c r="D257" s="135" t="str">
        <f ca="1">IFERROR(__xludf.DUMMYFUNCTION("""COMPUTED_VALUE"""),"   Hwy 165 W Po Box 369")</f>
        <v xml:space="preserve">   Hwy 165 W Po Box 369</v>
      </c>
      <c r="E257" s="135" t="str">
        <f ca="1">IFERROR(__xludf.DUMMYFUNCTION("""COMPUTED_VALUE"""),"   Owensville, In 47665")</f>
        <v xml:space="preserve">   Owensville, In 47665</v>
      </c>
      <c r="F257" s="135" t="str">
        <f ca="1">IFERROR(__xludf.DUMMYFUNCTION("""COMPUTED_VALUE"""),"")</f>
        <v/>
      </c>
      <c r="G257" s="135">
        <f ca="1">IFERROR(__xludf.DUMMYFUNCTION("""COMPUTED_VALUE"""),60)</f>
        <v>60</v>
      </c>
      <c r="H257" s="135" t="str">
        <f ca="1">IFERROR(__xludf.DUMMYFUNCTION("""COMPUTED_VALUE"""),"Local Hospital")</f>
        <v>Local Hospital</v>
      </c>
      <c r="I257" s="135" t="str">
        <f ca="1">IFERROR(__xludf.DUMMYFUNCTION("""COMPUTED_VALUE"""),"KITS")</f>
        <v>KITS</v>
      </c>
      <c r="J257" s="135" t="str">
        <f ca="1">IFERROR(__xludf.DUMMYFUNCTION("""COMPUTED_VALUE"""),"")</f>
        <v/>
      </c>
      <c r="K257" s="135"/>
      <c r="L257" s="135"/>
      <c r="M257" s="135"/>
      <c r="N257" s="135"/>
      <c r="O257" s="135"/>
      <c r="P257" s="135"/>
      <c r="Q257" s="135"/>
      <c r="R257" s="135"/>
      <c r="S257" s="135"/>
      <c r="T257" s="135"/>
      <c r="U257" s="135"/>
      <c r="V257" s="135"/>
      <c r="W257" s="135"/>
      <c r="X257" s="135"/>
      <c r="Y257" s="135"/>
      <c r="Z257" s="135"/>
    </row>
    <row r="258" spans="1:26">
      <c r="A258" s="135" t="str">
        <f ca="1">IFERROR(__xludf.DUMMYFUNCTION("""COMPUTED_VALUE"""),"Twin City Health Care")</f>
        <v>Twin City Health Care</v>
      </c>
      <c r="B258" s="135" t="str">
        <f ca="1">IFERROR(__xludf.DUMMYFUNCTION("""COMPUTED_VALUE"""),"")</f>
        <v/>
      </c>
      <c r="C258" s="135" t="str">
        <f ca="1">IFERROR(__xludf.DUMMYFUNCTION("""COMPUTED_VALUE"""),"   Tel: (765)674-8516")</f>
        <v xml:space="preserve">   Tel: (765)674-8516</v>
      </c>
      <c r="D258" s="135" t="str">
        <f ca="1">IFERROR(__xludf.DUMMYFUNCTION("""COMPUTED_VALUE"""),"   627 E North H Street")</f>
        <v xml:space="preserve">   627 E North H Street</v>
      </c>
      <c r="E258" s="135" t="str">
        <f ca="1">IFERROR(__xludf.DUMMYFUNCTION("""COMPUTED_VALUE"""),"   Gas City, In 46933")</f>
        <v xml:space="preserve">   Gas City, In 46933</v>
      </c>
      <c r="F258" s="135" t="str">
        <f ca="1">IFERROR(__xludf.DUMMYFUNCTION("""COMPUTED_VALUE"""),"")</f>
        <v/>
      </c>
      <c r="G258" s="135">
        <f ca="1">IFERROR(__xludf.DUMMYFUNCTION("""COMPUTED_VALUE"""),65)</f>
        <v>65</v>
      </c>
      <c r="H258" s="135" t="str">
        <f ca="1">IFERROR(__xludf.DUMMYFUNCTION("""COMPUTED_VALUE"""),"Optum Testing")</f>
        <v>Optum Testing</v>
      </c>
      <c r="I258" s="135" t="str">
        <f ca="1">IFERROR(__xludf.DUMMYFUNCTION("""COMPUTED_VALUE"""),"KITS")</f>
        <v>KITS</v>
      </c>
      <c r="J258" s="135" t="str">
        <f ca="1">IFERROR(__xludf.DUMMYFUNCTION("""COMPUTED_VALUE"""),"")</f>
        <v/>
      </c>
      <c r="K258" s="135"/>
      <c r="L258" s="135"/>
      <c r="M258" s="135"/>
      <c r="N258" s="135"/>
      <c r="O258" s="135"/>
      <c r="P258" s="135"/>
      <c r="Q258" s="135"/>
      <c r="R258" s="135"/>
      <c r="S258" s="135"/>
      <c r="T258" s="135"/>
      <c r="U258" s="135"/>
      <c r="V258" s="135"/>
      <c r="W258" s="135"/>
      <c r="X258" s="135"/>
      <c r="Y258" s="135"/>
      <c r="Z258" s="135"/>
    </row>
    <row r="259" spans="1:26">
      <c r="A259" s="135" t="str">
        <f ca="1">IFERROR(__xludf.DUMMYFUNCTION("""COMPUTED_VALUE"""),"University Heights Health And Living Community")</f>
        <v>University Heights Health And Living Community</v>
      </c>
      <c r="B259" s="135" t="str">
        <f ca="1">IFERROR(__xludf.DUMMYFUNCTION("""COMPUTED_VALUE"""),"CarDon")</f>
        <v>CarDon</v>
      </c>
      <c r="C259" s="135" t="str">
        <f ca="1">IFERROR(__xludf.DUMMYFUNCTION("""COMPUTED_VALUE"""),"   Tel: (317)885-7050")</f>
        <v xml:space="preserve">   Tel: (317)885-7050</v>
      </c>
      <c r="D259" s="135" t="str">
        <f ca="1">IFERROR(__xludf.DUMMYFUNCTION("""COMPUTED_VALUE"""),"   1380 E County Line Rd S")</f>
        <v xml:space="preserve">   1380 E County Line Rd S</v>
      </c>
      <c r="E259" s="135" t="str">
        <f ca="1">IFERROR(__xludf.DUMMYFUNCTION("""COMPUTED_VALUE"""),"   Indianapolis, In 46227")</f>
        <v xml:space="preserve">   Indianapolis, In 46227</v>
      </c>
      <c r="F259" s="135" t="str">
        <f ca="1">IFERROR(__xludf.DUMMYFUNCTION("""COMPUTED_VALUE"""),"")</f>
        <v/>
      </c>
      <c r="G259" s="135">
        <f ca="1">IFERROR(__xludf.DUMMYFUNCTION("""COMPUTED_VALUE"""),165)</f>
        <v>165</v>
      </c>
      <c r="H259" s="135" t="str">
        <f ca="1">IFERROR(__xludf.DUMMYFUNCTION("""COMPUTED_VALUE"""),"Non-Specific Plan/Hypothetical/Local Sites")</f>
        <v>Non-Specific Plan/Hypothetical/Local Sites</v>
      </c>
      <c r="I259" s="135" t="str">
        <f ca="1">IFERROR(__xludf.DUMMYFUNCTION("""COMPUTED_VALUE"""),"KITS")</f>
        <v>KITS</v>
      </c>
      <c r="J259" s="135" t="str">
        <f ca="1">IFERROR(__xludf.DUMMYFUNCTION("""COMPUTED_VALUE"""),"")</f>
        <v/>
      </c>
      <c r="K259" s="135"/>
      <c r="L259" s="135"/>
      <c r="M259" s="135"/>
      <c r="N259" s="135"/>
      <c r="O259" s="135"/>
      <c r="P259" s="135"/>
      <c r="Q259" s="135"/>
      <c r="R259" s="135"/>
      <c r="S259" s="135"/>
      <c r="T259" s="135"/>
      <c r="U259" s="135"/>
      <c r="V259" s="135"/>
      <c r="W259" s="135"/>
      <c r="X259" s="135"/>
      <c r="Y259" s="135"/>
      <c r="Z259" s="135"/>
    </row>
    <row r="260" spans="1:26">
      <c r="A260" s="135" t="str">
        <f ca="1">IFERROR(__xludf.DUMMYFUNCTION("""COMPUTED_VALUE"""),"University Nursing And Rehabilitation Center")</f>
        <v>University Nursing And Rehabilitation Center</v>
      </c>
      <c r="B260" s="135" t="str">
        <f ca="1">IFERROR(__xludf.DUMMYFUNCTION("""COMPUTED_VALUE"""),"Chosen")</f>
        <v>Chosen</v>
      </c>
      <c r="C260" s="135" t="str">
        <f ca="1">IFERROR(__xludf.DUMMYFUNCTION("""COMPUTED_VALUE"""),"   Tel: (812)464-3607")</f>
        <v xml:space="preserve">   Tel: (812)464-3607</v>
      </c>
      <c r="D260" s="135" t="str">
        <f ca="1">IFERROR(__xludf.DUMMYFUNCTION("""COMPUTED_VALUE"""),"   1236 Lincoln Ave")</f>
        <v xml:space="preserve">   1236 Lincoln Ave</v>
      </c>
      <c r="E260" s="135" t="str">
        <f ca="1">IFERROR(__xludf.DUMMYFUNCTION("""COMPUTED_VALUE"""),"   Evansville, In 47714")</f>
        <v xml:space="preserve">   Evansville, In 47714</v>
      </c>
      <c r="F260" s="135" t="str">
        <f ca="1">IFERROR(__xludf.DUMMYFUNCTION("""COMPUTED_VALUE"""),"")</f>
        <v/>
      </c>
      <c r="G260" s="135">
        <f ca="1">IFERROR(__xludf.DUMMYFUNCTION("""COMPUTED_VALUE"""),70)</f>
        <v>70</v>
      </c>
      <c r="H260" s="135" t="str">
        <f ca="1">IFERROR(__xludf.DUMMYFUNCTION("""COMPUTED_VALUE"""),"Optum Testing")</f>
        <v>Optum Testing</v>
      </c>
      <c r="I260" s="135" t="str">
        <f ca="1">IFERROR(__xludf.DUMMYFUNCTION("""COMPUTED_VALUE"""),"KITS")</f>
        <v>KITS</v>
      </c>
      <c r="J260" s="135" t="str">
        <f ca="1">IFERROR(__xludf.DUMMYFUNCTION("""COMPUTED_VALUE"""),"")</f>
        <v/>
      </c>
      <c r="K260" s="135"/>
      <c r="L260" s="135"/>
      <c r="M260" s="135"/>
      <c r="N260" s="135"/>
      <c r="O260" s="135"/>
      <c r="P260" s="135"/>
      <c r="Q260" s="135"/>
      <c r="R260" s="135"/>
      <c r="S260" s="135"/>
      <c r="T260" s="135"/>
      <c r="U260" s="135"/>
      <c r="V260" s="135"/>
      <c r="W260" s="135"/>
      <c r="X260" s="135"/>
      <c r="Y260" s="135"/>
      <c r="Z260" s="135"/>
    </row>
    <row r="261" spans="1:26">
      <c r="A261" s="135" t="str">
        <f ca="1">IFERROR(__xludf.DUMMYFUNCTION("""COMPUTED_VALUE"""),"University Nursing Center")</f>
        <v>University Nursing Center</v>
      </c>
      <c r="B261" s="135" t="str">
        <f ca="1">IFERROR(__xludf.DUMMYFUNCTION("""COMPUTED_VALUE"""),"ASC")</f>
        <v>ASC</v>
      </c>
      <c r="C261" s="135" t="str">
        <f ca="1">IFERROR(__xludf.DUMMYFUNCTION("""COMPUTED_VALUE"""),"   Tel: (765)998-2761")</f>
        <v xml:space="preserve">   Tel: (765)998-2761</v>
      </c>
      <c r="D261" s="135" t="str">
        <f ca="1">IFERROR(__xludf.DUMMYFUNCTION("""COMPUTED_VALUE"""),"   1564 S University Blvd")</f>
        <v xml:space="preserve">   1564 S University Blvd</v>
      </c>
      <c r="E261" s="135" t="str">
        <f ca="1">IFERROR(__xludf.DUMMYFUNCTION("""COMPUTED_VALUE"""),"   Upland, In 46989")</f>
        <v xml:space="preserve">   Upland, In 46989</v>
      </c>
      <c r="F261" s="135" t="str">
        <f ca="1">IFERROR(__xludf.DUMMYFUNCTION("""COMPUTED_VALUE"""),"No")</f>
        <v>No</v>
      </c>
      <c r="G261" s="135">
        <f ca="1">IFERROR(__xludf.DUMMYFUNCTION("""COMPUTED_VALUE"""),90)</f>
        <v>90</v>
      </c>
      <c r="H261" s="135" t="str">
        <f ca="1">IFERROR(__xludf.DUMMYFUNCTION("""COMPUTED_VALUE"""),"Optum Testing")</f>
        <v>Optum Testing</v>
      </c>
      <c r="I261" s="135" t="str">
        <f ca="1">IFERROR(__xludf.DUMMYFUNCTION("""COMPUTED_VALUE"""),"KITS")</f>
        <v>KITS</v>
      </c>
      <c r="J261" s="135" t="str">
        <f ca="1">IFERROR(__xludf.DUMMYFUNCTION("""COMPUTED_VALUE"""),"")</f>
        <v/>
      </c>
      <c r="K261" s="135"/>
      <c r="L261" s="135"/>
      <c r="M261" s="135"/>
      <c r="N261" s="135"/>
      <c r="O261" s="135"/>
      <c r="P261" s="135"/>
      <c r="Q261" s="135"/>
      <c r="R261" s="135"/>
      <c r="S261" s="135"/>
      <c r="T261" s="135"/>
      <c r="U261" s="135"/>
      <c r="V261" s="135"/>
      <c r="W261" s="135"/>
      <c r="X261" s="135"/>
      <c r="Y261" s="135"/>
      <c r="Z261" s="135"/>
    </row>
    <row r="262" spans="1:26">
      <c r="A262" s="135" t="str">
        <f ca="1">IFERROR(__xludf.DUMMYFUNCTION("""COMPUTED_VALUE"""),"Valparaiso Care &amp; Rehabilitation")</f>
        <v>Valparaiso Care &amp; Rehabilitation</v>
      </c>
      <c r="B262" s="135" t="str">
        <f ca="1">IFERROR(__xludf.DUMMYFUNCTION("""COMPUTED_VALUE"""),"ASC")</f>
        <v>ASC</v>
      </c>
      <c r="C262" s="135" t="str">
        <f ca="1">IFERROR(__xludf.DUMMYFUNCTION("""COMPUTED_VALUE"""),"   Tel: (219)464-4976")</f>
        <v xml:space="preserve">   Tel: (219)464-4976</v>
      </c>
      <c r="D262" s="135" t="str">
        <f ca="1">IFERROR(__xludf.DUMMYFUNCTION("""COMPUTED_VALUE"""),"   606 Wall Street")</f>
        <v xml:space="preserve">   606 Wall Street</v>
      </c>
      <c r="E262" s="135" t="str">
        <f ca="1">IFERROR(__xludf.DUMMYFUNCTION("""COMPUTED_VALUE"""),"   Valparaiso, In 46383")</f>
        <v xml:space="preserve">   Valparaiso, In 46383</v>
      </c>
      <c r="F262" s="135" t="str">
        <f ca="1">IFERROR(__xludf.DUMMYFUNCTION("""COMPUTED_VALUE"""),"")</f>
        <v/>
      </c>
      <c r="G262" s="135">
        <f ca="1">IFERROR(__xludf.DUMMYFUNCTION("""COMPUTED_VALUE"""),239)</f>
        <v>239</v>
      </c>
      <c r="H262" s="135" t="str">
        <f ca="1">IFERROR(__xludf.DUMMYFUNCTION("""COMPUTED_VALUE"""),"Optum Testing")</f>
        <v>Optum Testing</v>
      </c>
      <c r="I262" s="135" t="str">
        <f ca="1">IFERROR(__xludf.DUMMYFUNCTION("""COMPUTED_VALUE"""),"KITS")</f>
        <v>KITS</v>
      </c>
      <c r="J262" s="135" t="str">
        <f ca="1">IFERROR(__xludf.DUMMYFUNCTION("""COMPUTED_VALUE"""),"")</f>
        <v/>
      </c>
      <c r="K262" s="135"/>
      <c r="L262" s="135"/>
      <c r="M262" s="135"/>
      <c r="N262" s="135"/>
      <c r="O262" s="135"/>
      <c r="P262" s="135"/>
      <c r="Q262" s="135"/>
      <c r="R262" s="135"/>
      <c r="S262" s="135"/>
      <c r="T262" s="135"/>
      <c r="U262" s="135"/>
      <c r="V262" s="135"/>
      <c r="W262" s="135"/>
      <c r="X262" s="135"/>
      <c r="Y262" s="135"/>
      <c r="Z262" s="135"/>
    </row>
    <row r="263" spans="1:26">
      <c r="A263" s="135" t="str">
        <f ca="1">IFERROR(__xludf.DUMMYFUNCTION("""COMPUTED_VALUE"""),"Vermillion Convalescent Center")</f>
        <v>Vermillion Convalescent Center</v>
      </c>
      <c r="B263" s="135" t="str">
        <f ca="1">IFERROR(__xludf.DUMMYFUNCTION("""COMPUTED_VALUE"""),"")</f>
        <v/>
      </c>
      <c r="C263" s="135" t="str">
        <f ca="1">IFERROR(__xludf.DUMMYFUNCTION("""COMPUTED_VALUE"""),"   Tel: (765)832-3573")</f>
        <v xml:space="preserve">   Tel: (765)832-3573</v>
      </c>
      <c r="D263" s="135" t="str">
        <f ca="1">IFERROR(__xludf.DUMMYFUNCTION("""COMPUTED_VALUE"""),"   1705 S Main St")</f>
        <v xml:space="preserve">   1705 S Main St</v>
      </c>
      <c r="E263" s="135" t="str">
        <f ca="1">IFERROR(__xludf.DUMMYFUNCTION("""COMPUTED_VALUE"""),"   Clinton, In 47842")</f>
        <v xml:space="preserve">   Clinton, In 47842</v>
      </c>
      <c r="F263" s="135" t="str">
        <f ca="1">IFERROR(__xludf.DUMMYFUNCTION("""COMPUTED_VALUE"""),"")</f>
        <v/>
      </c>
      <c r="G263" s="135">
        <f ca="1">IFERROR(__xludf.DUMMYFUNCTION("""COMPUTED_VALUE"""),76)</f>
        <v>76</v>
      </c>
      <c r="H263" s="135" t="str">
        <f ca="1">IFERROR(__xludf.DUMMYFUNCTION("""COMPUTED_VALUE"""),"Local Hospital")</f>
        <v>Local Hospital</v>
      </c>
      <c r="I263" s="135" t="str">
        <f ca="1">IFERROR(__xludf.DUMMYFUNCTION("""COMPUTED_VALUE"""),"KITS")</f>
        <v>KITS</v>
      </c>
      <c r="J263" s="135" t="str">
        <f ca="1">IFERROR(__xludf.DUMMYFUNCTION("""COMPUTED_VALUE"""),"")</f>
        <v/>
      </c>
      <c r="K263" s="135"/>
      <c r="L263" s="135"/>
      <c r="M263" s="135"/>
      <c r="N263" s="135"/>
      <c r="O263" s="135"/>
      <c r="P263" s="135"/>
      <c r="Q263" s="135"/>
      <c r="R263" s="135"/>
      <c r="S263" s="135"/>
      <c r="T263" s="135"/>
      <c r="U263" s="135"/>
      <c r="V263" s="135"/>
      <c r="W263" s="135"/>
      <c r="X263" s="135"/>
      <c r="Y263" s="135"/>
      <c r="Z263" s="135"/>
    </row>
    <row r="264" spans="1:26">
      <c r="A264" s="135" t="str">
        <f ca="1">IFERROR(__xludf.DUMMYFUNCTION("""COMPUTED_VALUE"""),"Vernon Health &amp; Rehabilitation")</f>
        <v>Vernon Health &amp; Rehabilitation</v>
      </c>
      <c r="B264" s="135" t="str">
        <f ca="1">IFERROR(__xludf.DUMMYFUNCTION("""COMPUTED_VALUE"""),"")</f>
        <v/>
      </c>
      <c r="C264" s="135" t="str">
        <f ca="1">IFERROR(__xludf.DUMMYFUNCTION("""COMPUTED_VALUE"""),"   Tel: (260)563-8438")</f>
        <v xml:space="preserve">   Tel: (260)563-8438</v>
      </c>
      <c r="D264" s="135" t="str">
        <f ca="1">IFERROR(__xludf.DUMMYFUNCTION("""COMPUTED_VALUE"""),"   1955 S Vernon St")</f>
        <v xml:space="preserve">   1955 S Vernon St</v>
      </c>
      <c r="E264" s="135" t="str">
        <f ca="1">IFERROR(__xludf.DUMMYFUNCTION("""COMPUTED_VALUE"""),"   Wabash, In 46992")</f>
        <v xml:space="preserve">   Wabash, In 46992</v>
      </c>
      <c r="F264" s="135" t="str">
        <f ca="1">IFERROR(__xludf.DUMMYFUNCTION("""COMPUTED_VALUE"""),"")</f>
        <v/>
      </c>
      <c r="G264" s="135">
        <f ca="1">IFERROR(__xludf.DUMMYFUNCTION("""COMPUTED_VALUE"""),102)</f>
        <v>102</v>
      </c>
      <c r="H264" s="135" t="str">
        <f ca="1">IFERROR(__xludf.DUMMYFUNCTION("""COMPUTED_VALUE"""),"Optum Testing")</f>
        <v>Optum Testing</v>
      </c>
      <c r="I264" s="135" t="str">
        <f ca="1">IFERROR(__xludf.DUMMYFUNCTION("""COMPUTED_VALUE"""),"KITS")</f>
        <v>KITS</v>
      </c>
      <c r="J264" s="135" t="str">
        <f ca="1">IFERROR(__xludf.DUMMYFUNCTION("""COMPUTED_VALUE"""),"")</f>
        <v/>
      </c>
      <c r="K264" s="135"/>
      <c r="L264" s="135"/>
      <c r="M264" s="135"/>
      <c r="N264" s="135"/>
      <c r="O264" s="135"/>
      <c r="P264" s="135"/>
      <c r="Q264" s="135"/>
      <c r="R264" s="135"/>
      <c r="S264" s="135"/>
      <c r="T264" s="135"/>
      <c r="U264" s="135"/>
      <c r="V264" s="135"/>
      <c r="W264" s="135"/>
      <c r="X264" s="135"/>
      <c r="Y264" s="135"/>
      <c r="Z264" s="135"/>
    </row>
    <row r="265" spans="1:26">
      <c r="A265" s="135" t="str">
        <f ca="1">IFERROR(__xludf.DUMMYFUNCTION("""COMPUTED_VALUE"""),"Warsaw Meadows")</f>
        <v>Warsaw Meadows</v>
      </c>
      <c r="B265" s="135" t="str">
        <f ca="1">IFERROR(__xludf.DUMMYFUNCTION("""COMPUTED_VALUE"""),"IMG")</f>
        <v>IMG</v>
      </c>
      <c r="C265" s="135" t="str">
        <f ca="1">IFERROR(__xludf.DUMMYFUNCTION("""COMPUTED_VALUE"""),"   Tel: (574)267-8922")</f>
        <v xml:space="preserve">   Tel: (574)267-8922</v>
      </c>
      <c r="D265" s="135" t="str">
        <f ca="1">IFERROR(__xludf.DUMMYFUNCTION("""COMPUTED_VALUE"""),"   300 E Prairie St")</f>
        <v xml:space="preserve">   300 E Prairie St</v>
      </c>
      <c r="E265" s="135" t="str">
        <f ca="1">IFERROR(__xludf.DUMMYFUNCTION("""COMPUTED_VALUE"""),"   Warsaw, In 46580")</f>
        <v xml:space="preserve">   Warsaw, In 46580</v>
      </c>
      <c r="F265" s="135" t="str">
        <f ca="1">IFERROR(__xludf.DUMMYFUNCTION("""COMPUTED_VALUE"""),"")</f>
        <v/>
      </c>
      <c r="G265" s="135">
        <f ca="1">IFERROR(__xludf.DUMMYFUNCTION("""COMPUTED_VALUE"""),75)</f>
        <v>75</v>
      </c>
      <c r="H265" s="135" t="str">
        <f ca="1">IFERROR(__xludf.DUMMYFUNCTION("""COMPUTED_VALUE"""),"Optum Testing")</f>
        <v>Optum Testing</v>
      </c>
      <c r="I265" s="135" t="str">
        <f ca="1">IFERROR(__xludf.DUMMYFUNCTION("""COMPUTED_VALUE"""),"KITS")</f>
        <v>KITS</v>
      </c>
      <c r="J265" s="135" t="str">
        <f ca="1">IFERROR(__xludf.DUMMYFUNCTION("""COMPUTED_VALUE"""),"")</f>
        <v/>
      </c>
      <c r="K265" s="135"/>
      <c r="L265" s="135"/>
      <c r="M265" s="135"/>
      <c r="N265" s="135"/>
      <c r="O265" s="135"/>
      <c r="P265" s="135"/>
      <c r="Q265" s="135"/>
      <c r="R265" s="135"/>
      <c r="S265" s="135"/>
      <c r="T265" s="135"/>
      <c r="U265" s="135"/>
      <c r="V265" s="135"/>
      <c r="W265" s="135"/>
      <c r="X265" s="135"/>
      <c r="Y265" s="135"/>
      <c r="Z265" s="135"/>
    </row>
    <row r="266" spans="1:26">
      <c r="A266" s="135" t="str">
        <f ca="1">IFERROR(__xludf.DUMMYFUNCTION("""COMPUTED_VALUE"""),"Washington Healthcare Center")</f>
        <v>Washington Healthcare Center</v>
      </c>
      <c r="B266" s="135" t="str">
        <f ca="1">IFERROR(__xludf.DUMMYFUNCTION("""COMPUTED_VALUE"""),"ASC")</f>
        <v>ASC</v>
      </c>
      <c r="C266" s="135" t="str">
        <f ca="1">IFERROR(__xludf.DUMMYFUNCTION("""COMPUTED_VALUE"""),"   Tel: (317)244-6848")</f>
        <v xml:space="preserve">   Tel: (317)244-6848</v>
      </c>
      <c r="D266" s="135" t="str">
        <f ca="1">IFERROR(__xludf.DUMMYFUNCTION("""COMPUTED_VALUE"""),"   8201 W Washington St")</f>
        <v xml:space="preserve">   8201 W Washington St</v>
      </c>
      <c r="E266" s="135" t="str">
        <f ca="1">IFERROR(__xludf.DUMMYFUNCTION("""COMPUTED_VALUE"""),"   Indianapolis, In 46231")</f>
        <v xml:space="preserve">   Indianapolis, In 46231</v>
      </c>
      <c r="F266" s="135" t="str">
        <f ca="1">IFERROR(__xludf.DUMMYFUNCTION("""COMPUTED_VALUE"""),"")</f>
        <v/>
      </c>
      <c r="G266" s="135">
        <f ca="1">IFERROR(__xludf.DUMMYFUNCTION("""COMPUTED_VALUE"""),94)</f>
        <v>94</v>
      </c>
      <c r="H266" s="135" t="str">
        <f ca="1">IFERROR(__xludf.DUMMYFUNCTION("""COMPUTED_VALUE"""),"Optum Testing")</f>
        <v>Optum Testing</v>
      </c>
      <c r="I266" s="135" t="str">
        <f ca="1">IFERROR(__xludf.DUMMYFUNCTION("""COMPUTED_VALUE"""),"KITS")</f>
        <v>KITS</v>
      </c>
      <c r="J266" s="135" t="str">
        <f ca="1">IFERROR(__xludf.DUMMYFUNCTION("""COMPUTED_VALUE"""),"")</f>
        <v/>
      </c>
      <c r="K266" s="135"/>
      <c r="L266" s="135"/>
      <c r="M266" s="135"/>
      <c r="N266" s="135"/>
      <c r="O266" s="135"/>
      <c r="P266" s="135"/>
      <c r="Q266" s="135"/>
      <c r="R266" s="135"/>
      <c r="S266" s="135"/>
      <c r="T266" s="135"/>
      <c r="U266" s="135"/>
      <c r="V266" s="135"/>
      <c r="W266" s="135"/>
      <c r="X266" s="135"/>
      <c r="Y266" s="135"/>
      <c r="Z266" s="135"/>
    </row>
    <row r="267" spans="1:26">
      <c r="A267" s="135" t="str">
        <f ca="1">IFERROR(__xludf.DUMMYFUNCTION("""COMPUTED_VALUE"""),"Washington Nursing Center")</f>
        <v>Washington Nursing Center</v>
      </c>
      <c r="B267" s="135" t="str">
        <f ca="1">IFERROR(__xludf.DUMMYFUNCTION("""COMPUTED_VALUE"""),"Chosen")</f>
        <v>Chosen</v>
      </c>
      <c r="C267" s="135" t="str">
        <f ca="1">IFERROR(__xludf.DUMMYFUNCTION("""COMPUTED_VALUE"""),"   Tel: (812)254-5117")</f>
        <v xml:space="preserve">   Tel: (812)254-5117</v>
      </c>
      <c r="D267" s="135" t="str">
        <f ca="1">IFERROR(__xludf.DUMMYFUNCTION("""COMPUTED_VALUE"""),"   603 E National Hwy")</f>
        <v xml:space="preserve">   603 E National Hwy</v>
      </c>
      <c r="E267" s="135" t="str">
        <f ca="1">IFERROR(__xludf.DUMMYFUNCTION("""COMPUTED_VALUE"""),"   Washington, In 47501")</f>
        <v xml:space="preserve">   Washington, In 47501</v>
      </c>
      <c r="F267" s="135" t="str">
        <f ca="1">IFERROR(__xludf.DUMMYFUNCTION("""COMPUTED_VALUE"""),"No")</f>
        <v>No</v>
      </c>
      <c r="G267" s="135">
        <f ca="1">IFERROR(__xludf.DUMMYFUNCTION("""COMPUTED_VALUE"""),32)</f>
        <v>32</v>
      </c>
      <c r="H267" s="135" t="str">
        <f ca="1">IFERROR(__xludf.DUMMYFUNCTION("""COMPUTED_VALUE"""),"Need Kits")</f>
        <v>Need Kits</v>
      </c>
      <c r="I267" s="135" t="str">
        <f ca="1">IFERROR(__xludf.DUMMYFUNCTION("""COMPUTED_VALUE"""),"KITS")</f>
        <v>KITS</v>
      </c>
      <c r="J267" s="135" t="str">
        <f ca="1">IFERROR(__xludf.DUMMYFUNCTION("""COMPUTED_VALUE"""),"")</f>
        <v/>
      </c>
      <c r="K267" s="135"/>
      <c r="L267" s="135"/>
      <c r="M267" s="135"/>
      <c r="N267" s="135"/>
      <c r="O267" s="135"/>
      <c r="P267" s="135"/>
      <c r="Q267" s="135"/>
      <c r="R267" s="135"/>
      <c r="S267" s="135"/>
      <c r="T267" s="135"/>
      <c r="U267" s="135"/>
      <c r="V267" s="135"/>
      <c r="W267" s="135"/>
      <c r="X267" s="135"/>
      <c r="Y267" s="135"/>
      <c r="Z267" s="135"/>
    </row>
    <row r="268" spans="1:26">
      <c r="A268" s="135" t="str">
        <f ca="1">IFERROR(__xludf.DUMMYFUNCTION("""COMPUTED_VALUE"""),"Waters Edge Village")</f>
        <v>Waters Edge Village</v>
      </c>
      <c r="B268" s="135" t="str">
        <f ca="1">IFERROR(__xludf.DUMMYFUNCTION("""COMPUTED_VALUE"""),"ASC")</f>
        <v>ASC</v>
      </c>
      <c r="C268" s="135" t="str">
        <f ca="1">IFERROR(__xludf.DUMMYFUNCTION("""COMPUTED_VALUE"""),"   Tel: (765)289-3341")</f>
        <v xml:space="preserve">   Tel: (765)289-3341</v>
      </c>
      <c r="D268" s="135" t="str">
        <f ca="1">IFERROR(__xludf.DUMMYFUNCTION("""COMPUTED_VALUE"""),"   2200 West White River Blvd")</f>
        <v xml:space="preserve">   2200 West White River Blvd</v>
      </c>
      <c r="E268" s="135" t="str">
        <f ca="1">IFERROR(__xludf.DUMMYFUNCTION("""COMPUTED_VALUE"""),"   Muncie, In 47303")</f>
        <v xml:space="preserve">   Muncie, In 47303</v>
      </c>
      <c r="F268" s="135" t="str">
        <f ca="1">IFERROR(__xludf.DUMMYFUNCTION("""COMPUTED_VALUE"""),"")</f>
        <v/>
      </c>
      <c r="G268" s="135">
        <f ca="1">IFERROR(__xludf.DUMMYFUNCTION("""COMPUTED_VALUE"""),78)</f>
        <v>78</v>
      </c>
      <c r="H268" s="135" t="str">
        <f ca="1">IFERROR(__xludf.DUMMYFUNCTION("""COMPUTED_VALUE"""),"Non-Specific Plan/Hypothetical/Local Sites")</f>
        <v>Non-Specific Plan/Hypothetical/Local Sites</v>
      </c>
      <c r="I268" s="135" t="str">
        <f ca="1">IFERROR(__xludf.DUMMYFUNCTION("""COMPUTED_VALUE"""),"KITS")</f>
        <v>KITS</v>
      </c>
      <c r="J268" s="135" t="str">
        <f ca="1">IFERROR(__xludf.DUMMYFUNCTION("""COMPUTED_VALUE"""),"")</f>
        <v/>
      </c>
      <c r="K268" s="135"/>
      <c r="L268" s="135"/>
      <c r="M268" s="135"/>
      <c r="N268" s="135"/>
      <c r="O268" s="135"/>
      <c r="P268" s="135"/>
      <c r="Q268" s="135"/>
      <c r="R268" s="135"/>
      <c r="S268" s="135"/>
      <c r="T268" s="135"/>
      <c r="U268" s="135"/>
      <c r="V268" s="135"/>
      <c r="W268" s="135"/>
      <c r="X268" s="135"/>
      <c r="Y268" s="135"/>
      <c r="Z268" s="135"/>
    </row>
    <row r="269" spans="1:26">
      <c r="A269" s="135" t="str">
        <f ca="1">IFERROR(__xludf.DUMMYFUNCTION("""COMPUTED_VALUE"""),"Waters Of Covington, The")</f>
        <v>Waters Of Covington, The</v>
      </c>
      <c r="B269" s="135" t="str">
        <f ca="1">IFERROR(__xludf.DUMMYFUNCTION("""COMPUTED_VALUE"""),"Waters")</f>
        <v>Waters</v>
      </c>
      <c r="C269" s="135" t="str">
        <f ca="1">IFERROR(__xludf.DUMMYFUNCTION("""COMPUTED_VALUE"""),"   Tel: (765)793-4818")</f>
        <v xml:space="preserve">   Tel: (765)793-4818</v>
      </c>
      <c r="D269" s="135" t="str">
        <f ca="1">IFERROR(__xludf.DUMMYFUNCTION("""COMPUTED_VALUE"""),"   1600 E Liberty St")</f>
        <v xml:space="preserve">   1600 E Liberty St</v>
      </c>
      <c r="E269" s="135" t="str">
        <f ca="1">IFERROR(__xludf.DUMMYFUNCTION("""COMPUTED_VALUE"""),"   Covington, In 47932")</f>
        <v xml:space="preserve">   Covington, In 47932</v>
      </c>
      <c r="F269" s="135" t="str">
        <f ca="1">IFERROR(__xludf.DUMMYFUNCTION("""COMPUTED_VALUE"""),"No")</f>
        <v>No</v>
      </c>
      <c r="G269" s="135">
        <f ca="1">IFERROR(__xludf.DUMMYFUNCTION("""COMPUTED_VALUE"""),120)</f>
        <v>120</v>
      </c>
      <c r="H269" s="135" t="str">
        <f ca="1">IFERROR(__xludf.DUMMYFUNCTION("""COMPUTED_VALUE"""),"Optum Testing")</f>
        <v>Optum Testing</v>
      </c>
      <c r="I269" s="135" t="str">
        <f ca="1">IFERROR(__xludf.DUMMYFUNCTION("""COMPUTED_VALUE"""),"KITS")</f>
        <v>KITS</v>
      </c>
      <c r="J269" s="135" t="str">
        <f ca="1">IFERROR(__xludf.DUMMYFUNCTION("""COMPUTED_VALUE"""),"")</f>
        <v/>
      </c>
      <c r="K269" s="135"/>
      <c r="L269" s="135"/>
      <c r="M269" s="135"/>
      <c r="N269" s="135"/>
      <c r="O269" s="135"/>
      <c r="P269" s="135"/>
      <c r="Q269" s="135"/>
      <c r="R269" s="135"/>
      <c r="S269" s="135"/>
      <c r="T269" s="135"/>
      <c r="U269" s="135"/>
      <c r="V269" s="135"/>
      <c r="W269" s="135"/>
      <c r="X269" s="135"/>
      <c r="Y269" s="135"/>
      <c r="Z269" s="135"/>
    </row>
    <row r="270" spans="1:26">
      <c r="A270" s="135" t="str">
        <f ca="1">IFERROR(__xludf.DUMMYFUNCTION("""COMPUTED_VALUE"""),"Waters Of Huntingburg, The")</f>
        <v>Waters Of Huntingburg, The</v>
      </c>
      <c r="B270" s="135" t="str">
        <f ca="1">IFERROR(__xludf.DUMMYFUNCTION("""COMPUTED_VALUE"""),"Waters")</f>
        <v>Waters</v>
      </c>
      <c r="C270" s="135" t="str">
        <f ca="1">IFERROR(__xludf.DUMMYFUNCTION("""COMPUTED_VALUE"""),"   Tel: (812)683-4090")</f>
        <v xml:space="preserve">   Tel: (812)683-4090</v>
      </c>
      <c r="D270" s="135" t="str">
        <f ca="1">IFERROR(__xludf.DUMMYFUNCTION("""COMPUTED_VALUE"""),"   1712 Leland Dr")</f>
        <v xml:space="preserve">   1712 Leland Dr</v>
      </c>
      <c r="E270" s="135" t="str">
        <f ca="1">IFERROR(__xludf.DUMMYFUNCTION("""COMPUTED_VALUE"""),"   Huntingburg, In 47542")</f>
        <v xml:space="preserve">   Huntingburg, In 47542</v>
      </c>
      <c r="F270" s="135" t="str">
        <f ca="1">IFERROR(__xludf.DUMMYFUNCTION("""COMPUTED_VALUE"""),"")</f>
        <v/>
      </c>
      <c r="G270" s="135">
        <f ca="1">IFERROR(__xludf.DUMMYFUNCTION("""COMPUTED_VALUE"""),67)</f>
        <v>67</v>
      </c>
      <c r="H270" s="135" t="str">
        <f ca="1">IFERROR(__xludf.DUMMYFUNCTION("""COMPUTED_VALUE"""),"Optum Testing")</f>
        <v>Optum Testing</v>
      </c>
      <c r="I270" s="135" t="str">
        <f ca="1">IFERROR(__xludf.DUMMYFUNCTION("""COMPUTED_VALUE"""),"KITS")</f>
        <v>KITS</v>
      </c>
      <c r="J270" s="135" t="str">
        <f ca="1">IFERROR(__xludf.DUMMYFUNCTION("""COMPUTED_VALUE"""),"")</f>
        <v/>
      </c>
      <c r="K270" s="135"/>
      <c r="L270" s="135"/>
      <c r="M270" s="135"/>
      <c r="N270" s="135"/>
      <c r="O270" s="135"/>
      <c r="P270" s="135"/>
      <c r="Q270" s="135"/>
      <c r="R270" s="135"/>
      <c r="S270" s="135"/>
      <c r="T270" s="135"/>
      <c r="U270" s="135"/>
      <c r="V270" s="135"/>
      <c r="W270" s="135"/>
      <c r="X270" s="135"/>
      <c r="Y270" s="135"/>
      <c r="Z270" s="135"/>
    </row>
    <row r="271" spans="1:26">
      <c r="A271" s="135" t="str">
        <f ca="1">IFERROR(__xludf.DUMMYFUNCTION("""COMPUTED_VALUE"""),"Waters Of Martinsville, The")</f>
        <v>Waters Of Martinsville, The</v>
      </c>
      <c r="B271" s="135" t="str">
        <f ca="1">IFERROR(__xludf.DUMMYFUNCTION("""COMPUTED_VALUE"""),"Waters")</f>
        <v>Waters</v>
      </c>
      <c r="C271" s="135" t="str">
        <f ca="1">IFERROR(__xludf.DUMMYFUNCTION("""COMPUTED_VALUE"""),"   Tel: (765)342-3305")</f>
        <v xml:space="preserve">   Tel: (765)342-3305</v>
      </c>
      <c r="D271" s="135" t="str">
        <f ca="1">IFERROR(__xludf.DUMMYFUNCTION("""COMPUTED_VALUE"""),"   2055 Heritage Dr")</f>
        <v xml:space="preserve">   2055 Heritage Dr</v>
      </c>
      <c r="E271" s="135" t="str">
        <f ca="1">IFERROR(__xludf.DUMMYFUNCTION("""COMPUTED_VALUE"""),"   Martinsville, In 46151")</f>
        <v xml:space="preserve">   Martinsville, In 46151</v>
      </c>
      <c r="F271" s="135" t="str">
        <f ca="1">IFERROR(__xludf.DUMMYFUNCTION("""COMPUTED_VALUE"""),"")</f>
        <v/>
      </c>
      <c r="G271" s="135">
        <f ca="1">IFERROR(__xludf.DUMMYFUNCTION("""COMPUTED_VALUE"""),76)</f>
        <v>76</v>
      </c>
      <c r="H271" s="135" t="str">
        <f ca="1">IFERROR(__xludf.DUMMYFUNCTION("""COMPUTED_VALUE"""),"Optum Testing")</f>
        <v>Optum Testing</v>
      </c>
      <c r="I271" s="135" t="str">
        <f ca="1">IFERROR(__xludf.DUMMYFUNCTION("""COMPUTED_VALUE"""),"KITS")</f>
        <v>KITS</v>
      </c>
      <c r="J271" s="135" t="str">
        <f ca="1">IFERROR(__xludf.DUMMYFUNCTION("""COMPUTED_VALUE"""),"")</f>
        <v/>
      </c>
      <c r="K271" s="135"/>
      <c r="L271" s="135"/>
      <c r="M271" s="135"/>
      <c r="N271" s="135"/>
      <c r="O271" s="135"/>
      <c r="P271" s="135"/>
      <c r="Q271" s="135"/>
      <c r="R271" s="135"/>
      <c r="S271" s="135"/>
      <c r="T271" s="135"/>
      <c r="U271" s="135"/>
      <c r="V271" s="135"/>
      <c r="W271" s="135"/>
      <c r="X271" s="135"/>
      <c r="Y271" s="135"/>
      <c r="Z271" s="135"/>
    </row>
    <row r="272" spans="1:26">
      <c r="A272" s="135" t="str">
        <f ca="1">IFERROR(__xludf.DUMMYFUNCTION("""COMPUTED_VALUE"""),"Waters Of Muncie, The")</f>
        <v>Waters Of Muncie, The</v>
      </c>
      <c r="B272" s="135" t="str">
        <f ca="1">IFERROR(__xludf.DUMMYFUNCTION("""COMPUTED_VALUE"""),"Waters")</f>
        <v>Waters</v>
      </c>
      <c r="C272" s="135" t="str">
        <f ca="1">IFERROR(__xludf.DUMMYFUNCTION("""COMPUTED_VALUE"""),"   Tel: (765)747-9044")</f>
        <v xml:space="preserve">   Tel: (765)747-9044</v>
      </c>
      <c r="D272" s="135" t="str">
        <f ca="1">IFERROR(__xludf.DUMMYFUNCTION("""COMPUTED_VALUE"""),"   2400 Chateau Dr")</f>
        <v xml:space="preserve">   2400 Chateau Dr</v>
      </c>
      <c r="E272" s="135" t="str">
        <f ca="1">IFERROR(__xludf.DUMMYFUNCTION("""COMPUTED_VALUE"""),"   Muncie, In 47303")</f>
        <v xml:space="preserve">   Muncie, In 47303</v>
      </c>
      <c r="F272" s="135" t="str">
        <f ca="1">IFERROR(__xludf.DUMMYFUNCTION("""COMPUTED_VALUE"""),"")</f>
        <v/>
      </c>
      <c r="G272" s="135">
        <f ca="1">IFERROR(__xludf.DUMMYFUNCTION("""COMPUTED_VALUE"""),52)</f>
        <v>52</v>
      </c>
      <c r="H272" s="135" t="str">
        <f ca="1">IFERROR(__xludf.DUMMYFUNCTION("""COMPUTED_VALUE"""),"Optum Testing")</f>
        <v>Optum Testing</v>
      </c>
      <c r="I272" s="135" t="str">
        <f ca="1">IFERROR(__xludf.DUMMYFUNCTION("""COMPUTED_VALUE"""),"KITS")</f>
        <v>KITS</v>
      </c>
      <c r="J272" s="135" t="str">
        <f ca="1">IFERROR(__xludf.DUMMYFUNCTION("""COMPUTED_VALUE"""),"")</f>
        <v/>
      </c>
      <c r="K272" s="135"/>
      <c r="L272" s="135"/>
      <c r="M272" s="135"/>
      <c r="N272" s="135"/>
      <c r="O272" s="135"/>
      <c r="P272" s="135"/>
      <c r="Q272" s="135"/>
      <c r="R272" s="135"/>
      <c r="S272" s="135"/>
      <c r="T272" s="135"/>
      <c r="U272" s="135"/>
      <c r="V272" s="135"/>
      <c r="W272" s="135"/>
      <c r="X272" s="135"/>
      <c r="Y272" s="135"/>
      <c r="Z272" s="135"/>
    </row>
    <row r="273" spans="1:26">
      <c r="A273" s="135" t="str">
        <f ca="1">IFERROR(__xludf.DUMMYFUNCTION("""COMPUTED_VALUE"""),"Waters Of Princeton, The")</f>
        <v>Waters Of Princeton, The</v>
      </c>
      <c r="B273" s="135" t="str">
        <f ca="1">IFERROR(__xludf.DUMMYFUNCTION("""COMPUTED_VALUE"""),"Waters")</f>
        <v>Waters</v>
      </c>
      <c r="C273" s="135" t="str">
        <f ca="1">IFERROR(__xludf.DUMMYFUNCTION("""COMPUTED_VALUE"""),"   Tel: (812)385-5238")</f>
        <v xml:space="preserve">   Tel: (812)385-5238</v>
      </c>
      <c r="D273" s="135" t="str">
        <f ca="1">IFERROR(__xludf.DUMMYFUNCTION("""COMPUTED_VALUE"""),"   1020 W Vine St")</f>
        <v xml:space="preserve">   1020 W Vine St</v>
      </c>
      <c r="E273" s="135" t="str">
        <f ca="1">IFERROR(__xludf.DUMMYFUNCTION("""COMPUTED_VALUE"""),"   Princeton, In 47670")</f>
        <v xml:space="preserve">   Princeton, In 47670</v>
      </c>
      <c r="F273" s="135" t="str">
        <f ca="1">IFERROR(__xludf.DUMMYFUNCTION("""COMPUTED_VALUE"""),"")</f>
        <v/>
      </c>
      <c r="G273" s="135">
        <f ca="1">IFERROR(__xludf.DUMMYFUNCTION("""COMPUTED_VALUE"""),100)</f>
        <v>100</v>
      </c>
      <c r="H273" s="135" t="str">
        <f ca="1">IFERROR(__xludf.DUMMYFUNCTION("""COMPUTED_VALUE"""),"Local Hospital")</f>
        <v>Local Hospital</v>
      </c>
      <c r="I273" s="135" t="str">
        <f ca="1">IFERROR(__xludf.DUMMYFUNCTION("""COMPUTED_VALUE"""),"KITS")</f>
        <v>KITS</v>
      </c>
      <c r="J273" s="135" t="str">
        <f ca="1">IFERROR(__xludf.DUMMYFUNCTION("""COMPUTED_VALUE"""),"")</f>
        <v/>
      </c>
      <c r="K273" s="135"/>
      <c r="L273" s="135"/>
      <c r="M273" s="135"/>
      <c r="N273" s="135"/>
      <c r="O273" s="135"/>
      <c r="P273" s="135"/>
      <c r="Q273" s="135"/>
      <c r="R273" s="135"/>
      <c r="S273" s="135"/>
      <c r="T273" s="135"/>
      <c r="U273" s="135"/>
      <c r="V273" s="135"/>
      <c r="W273" s="135"/>
      <c r="X273" s="135"/>
      <c r="Y273" s="135"/>
      <c r="Z273" s="135"/>
    </row>
    <row r="274" spans="1:26">
      <c r="A274" s="135" t="str">
        <f ca="1">IFERROR(__xludf.DUMMYFUNCTION("""COMPUTED_VALUE"""),"Waters Of Rising Sun, The")</f>
        <v>Waters Of Rising Sun, The</v>
      </c>
      <c r="B274" s="135" t="str">
        <f ca="1">IFERROR(__xludf.DUMMYFUNCTION("""COMPUTED_VALUE"""),"Waters")</f>
        <v>Waters</v>
      </c>
      <c r="C274" s="135" t="str">
        <f ca="1">IFERROR(__xludf.DUMMYFUNCTION("""COMPUTED_VALUE"""),"   Tel: (812)438-2219")</f>
        <v xml:space="preserve">   Tel: (812)438-2219</v>
      </c>
      <c r="D274" s="135" t="str">
        <f ca="1">IFERROR(__xludf.DUMMYFUNCTION("""COMPUTED_VALUE"""),"   405 Rio Vista Ln")</f>
        <v xml:space="preserve">   405 Rio Vista Ln</v>
      </c>
      <c r="E274" s="135" t="str">
        <f ca="1">IFERROR(__xludf.DUMMYFUNCTION("""COMPUTED_VALUE"""),"   Rising Sun, In 47040")</f>
        <v xml:space="preserve">   Rising Sun, In 47040</v>
      </c>
      <c r="F274" s="135" t="str">
        <f ca="1">IFERROR(__xludf.DUMMYFUNCTION("""COMPUTED_VALUE"""),"")</f>
        <v/>
      </c>
      <c r="G274" s="135">
        <f ca="1">IFERROR(__xludf.DUMMYFUNCTION("""COMPUTED_VALUE"""),50)</f>
        <v>50</v>
      </c>
      <c r="H274" s="135" t="str">
        <f ca="1">IFERROR(__xludf.DUMMYFUNCTION("""COMPUTED_VALUE"""),"Optum Testing")</f>
        <v>Optum Testing</v>
      </c>
      <c r="I274" s="135" t="str">
        <f ca="1">IFERROR(__xludf.DUMMYFUNCTION("""COMPUTED_VALUE"""),"KITS")</f>
        <v>KITS</v>
      </c>
      <c r="J274" s="135" t="str">
        <f ca="1">IFERROR(__xludf.DUMMYFUNCTION("""COMPUTED_VALUE"""),"")</f>
        <v/>
      </c>
      <c r="K274" s="135"/>
      <c r="L274" s="135"/>
      <c r="M274" s="135"/>
      <c r="N274" s="135"/>
      <c r="O274" s="135"/>
      <c r="P274" s="135"/>
      <c r="Q274" s="135"/>
      <c r="R274" s="135"/>
      <c r="S274" s="135"/>
      <c r="T274" s="135"/>
      <c r="U274" s="135"/>
      <c r="V274" s="135"/>
      <c r="W274" s="135"/>
      <c r="X274" s="135"/>
      <c r="Y274" s="135"/>
      <c r="Z274" s="135"/>
    </row>
    <row r="275" spans="1:26">
      <c r="A275" s="135" t="str">
        <f ca="1">IFERROR(__xludf.DUMMYFUNCTION("""COMPUTED_VALUE"""),"Wesley Manor Health Center")</f>
        <v>Wesley Manor Health Center</v>
      </c>
      <c r="B275" s="135" t="str">
        <f ca="1">IFERROR(__xludf.DUMMYFUNCTION("""COMPUTED_VALUE"""),"BHI")</f>
        <v>BHI</v>
      </c>
      <c r="C275" s="135" t="str">
        <f ca="1">IFERROR(__xludf.DUMMYFUNCTION("""COMPUTED_VALUE"""),"   Tel: (765)659-1811")</f>
        <v xml:space="preserve">   Tel: (765)659-1811</v>
      </c>
      <c r="D275" s="135" t="str">
        <f ca="1">IFERROR(__xludf.DUMMYFUNCTION("""COMPUTED_VALUE"""),"   1555 N Main St")</f>
        <v xml:space="preserve">   1555 N Main St</v>
      </c>
      <c r="E275" s="135" t="str">
        <f ca="1">IFERROR(__xludf.DUMMYFUNCTION("""COMPUTED_VALUE"""),"   Frankfort, In 46041")</f>
        <v xml:space="preserve">   Frankfort, In 46041</v>
      </c>
      <c r="F275" s="135" t="str">
        <f ca="1">IFERROR(__xludf.DUMMYFUNCTION("""COMPUTED_VALUE"""),"")</f>
        <v/>
      </c>
      <c r="G275" s="135">
        <f ca="1">IFERROR(__xludf.DUMMYFUNCTION("""COMPUTED_VALUE"""),210)</f>
        <v>210</v>
      </c>
      <c r="H275" s="135" t="str">
        <f ca="1">IFERROR(__xludf.DUMMYFUNCTION("""COMPUTED_VALUE"""),"Optum Testing")</f>
        <v>Optum Testing</v>
      </c>
      <c r="I275" s="135" t="str">
        <f ca="1">IFERROR(__xludf.DUMMYFUNCTION("""COMPUTED_VALUE"""),"KITS")</f>
        <v>KITS</v>
      </c>
      <c r="J275" s="135" t="str">
        <f ca="1">IFERROR(__xludf.DUMMYFUNCTION("""COMPUTED_VALUE"""),"")</f>
        <v/>
      </c>
      <c r="K275" s="135"/>
      <c r="L275" s="135"/>
      <c r="M275" s="135"/>
      <c r="N275" s="135"/>
      <c r="O275" s="135"/>
      <c r="P275" s="135"/>
      <c r="Q275" s="135"/>
      <c r="R275" s="135"/>
      <c r="S275" s="135"/>
      <c r="T275" s="135"/>
      <c r="U275" s="135"/>
      <c r="V275" s="135"/>
      <c r="W275" s="135"/>
      <c r="X275" s="135"/>
      <c r="Y275" s="135"/>
      <c r="Z275" s="135"/>
    </row>
    <row r="276" spans="1:26">
      <c r="A276" s="135" t="str">
        <f ca="1">IFERROR(__xludf.DUMMYFUNCTION("""COMPUTED_VALUE"""),"Wesleyan Health Care Center")</f>
        <v>Wesleyan Health Care Center</v>
      </c>
      <c r="B276" s="135" t="str">
        <f ca="1">IFERROR(__xludf.DUMMYFUNCTION("""COMPUTED_VALUE"""),"TLC")</f>
        <v>TLC</v>
      </c>
      <c r="C276" s="135" t="str">
        <f ca="1">IFERROR(__xludf.DUMMYFUNCTION("""COMPUTED_VALUE"""),"   Tel: (765)674-3371")</f>
        <v xml:space="preserve">   Tel: (765)674-3371</v>
      </c>
      <c r="D276" s="135" t="str">
        <f ca="1">IFERROR(__xludf.DUMMYFUNCTION("""COMPUTED_VALUE"""),"   729 West 35Th St")</f>
        <v xml:space="preserve">   729 West 35Th St</v>
      </c>
      <c r="E276" s="135" t="str">
        <f ca="1">IFERROR(__xludf.DUMMYFUNCTION("""COMPUTED_VALUE"""),"   Marion, In 46953")</f>
        <v xml:space="preserve">   Marion, In 46953</v>
      </c>
      <c r="F276" s="135" t="str">
        <f ca="1">IFERROR(__xludf.DUMMYFUNCTION("""COMPUTED_VALUE"""),"")</f>
        <v/>
      </c>
      <c r="G276" s="135">
        <f ca="1">IFERROR(__xludf.DUMMYFUNCTION("""COMPUTED_VALUE"""),179)</f>
        <v>179</v>
      </c>
      <c r="H276" s="135" t="str">
        <f ca="1">IFERROR(__xludf.DUMMYFUNCTION("""COMPUTED_VALUE"""),"Optum Testing")</f>
        <v>Optum Testing</v>
      </c>
      <c r="I276" s="135" t="str">
        <f ca="1">IFERROR(__xludf.DUMMYFUNCTION("""COMPUTED_VALUE"""),"KITS")</f>
        <v>KITS</v>
      </c>
      <c r="J276" s="135" t="str">
        <f ca="1">IFERROR(__xludf.DUMMYFUNCTION("""COMPUTED_VALUE"""),"")</f>
        <v/>
      </c>
      <c r="K276" s="135"/>
      <c r="L276" s="135"/>
      <c r="M276" s="135"/>
      <c r="N276" s="135"/>
      <c r="O276" s="135"/>
      <c r="P276" s="135"/>
      <c r="Q276" s="135"/>
      <c r="R276" s="135"/>
      <c r="S276" s="135"/>
      <c r="T276" s="135"/>
      <c r="U276" s="135"/>
      <c r="V276" s="135"/>
      <c r="W276" s="135"/>
      <c r="X276" s="135"/>
      <c r="Y276" s="135"/>
      <c r="Z276" s="135"/>
    </row>
    <row r="277" spans="1:26">
      <c r="A277" s="135" t="str">
        <f ca="1">IFERROR(__xludf.DUMMYFUNCTION("""COMPUTED_VALUE"""),"West Bend Nursing And Rehabilitation")</f>
        <v>West Bend Nursing And Rehabilitation</v>
      </c>
      <c r="B277" s="135" t="str">
        <f ca="1">IFERROR(__xludf.DUMMYFUNCTION("""COMPUTED_VALUE"""),"ASC")</f>
        <v>ASC</v>
      </c>
      <c r="C277" s="135" t="str">
        <f ca="1">IFERROR(__xludf.DUMMYFUNCTION("""COMPUTED_VALUE"""),"   Tel: (574)282-1294")</f>
        <v xml:space="preserve">   Tel: (574)282-1294</v>
      </c>
      <c r="D277" s="135" t="str">
        <f ca="1">IFERROR(__xludf.DUMMYFUNCTION("""COMPUTED_VALUE"""),"   4600 W Washington Ave")</f>
        <v xml:space="preserve">   4600 W Washington Ave</v>
      </c>
      <c r="E277" s="135" t="str">
        <f ca="1">IFERROR(__xludf.DUMMYFUNCTION("""COMPUTED_VALUE"""),"   South Bend, In 46619")</f>
        <v xml:space="preserve">   South Bend, In 46619</v>
      </c>
      <c r="F277" s="135" t="str">
        <f ca="1">IFERROR(__xludf.DUMMYFUNCTION("""COMPUTED_VALUE"""),"")</f>
        <v/>
      </c>
      <c r="G277" s="135">
        <f ca="1">IFERROR(__xludf.DUMMYFUNCTION("""COMPUTED_VALUE"""),100)</f>
        <v>100</v>
      </c>
      <c r="H277" s="135" t="str">
        <f ca="1">IFERROR(__xludf.DUMMYFUNCTION("""COMPUTED_VALUE"""),"Optum Testing")</f>
        <v>Optum Testing</v>
      </c>
      <c r="I277" s="135" t="str">
        <f ca="1">IFERROR(__xludf.DUMMYFUNCTION("""COMPUTED_VALUE"""),"KITS")</f>
        <v>KITS</v>
      </c>
      <c r="J277" s="135" t="str">
        <f ca="1">IFERROR(__xludf.DUMMYFUNCTION("""COMPUTED_VALUE"""),"")</f>
        <v/>
      </c>
      <c r="K277" s="135"/>
      <c r="L277" s="135"/>
      <c r="M277" s="135"/>
      <c r="N277" s="135"/>
      <c r="O277" s="135"/>
      <c r="P277" s="135"/>
      <c r="Q277" s="135"/>
      <c r="R277" s="135"/>
      <c r="S277" s="135"/>
      <c r="T277" s="135"/>
      <c r="U277" s="135"/>
      <c r="V277" s="135"/>
      <c r="W277" s="135"/>
      <c r="X277" s="135"/>
      <c r="Y277" s="135"/>
      <c r="Z277" s="135"/>
    </row>
    <row r="278" spans="1:26">
      <c r="A278" s="135" t="str">
        <f ca="1">IFERROR(__xludf.DUMMYFUNCTION("""COMPUTED_VALUE"""),"Westminster Village Health And Rehab")</f>
        <v>Westminster Village Health And Rehab</v>
      </c>
      <c r="B278" s="135" t="str">
        <f ca="1">IFERROR(__xludf.DUMMYFUNCTION("""COMPUTED_VALUE"""),"")</f>
        <v/>
      </c>
      <c r="C278" s="135" t="str">
        <f ca="1">IFERROR(__xludf.DUMMYFUNCTION("""COMPUTED_VALUE"""),"   Tel: (812)282-5911")</f>
        <v xml:space="preserve">   Tel: (812)282-5911</v>
      </c>
      <c r="D278" s="135" t="str">
        <f ca="1">IFERROR(__xludf.DUMMYFUNCTION("""COMPUTED_VALUE"""),"   2210 Greentree N")</f>
        <v xml:space="preserve">   2210 Greentree N</v>
      </c>
      <c r="E278" s="135" t="str">
        <f ca="1">IFERROR(__xludf.DUMMYFUNCTION("""COMPUTED_VALUE"""),"   Clarksville, In 47129")</f>
        <v xml:space="preserve">   Clarksville, In 47129</v>
      </c>
      <c r="F278" s="135" t="str">
        <f ca="1">IFERROR(__xludf.DUMMYFUNCTION("""COMPUTED_VALUE"""),"")</f>
        <v/>
      </c>
      <c r="G278" s="135">
        <f ca="1">IFERROR(__xludf.DUMMYFUNCTION("""COMPUTED_VALUE"""),150)</f>
        <v>150</v>
      </c>
      <c r="H278" s="135" t="str">
        <f ca="1">IFERROR(__xludf.DUMMYFUNCTION("""COMPUTED_VALUE"""),"Optum Testing")</f>
        <v>Optum Testing</v>
      </c>
      <c r="I278" s="135" t="str">
        <f ca="1">IFERROR(__xludf.DUMMYFUNCTION("""COMPUTED_VALUE"""),"KITS")</f>
        <v>KITS</v>
      </c>
      <c r="J278" s="135" t="str">
        <f ca="1">IFERROR(__xludf.DUMMYFUNCTION("""COMPUTED_VALUE"""),"")</f>
        <v/>
      </c>
      <c r="K278" s="135"/>
      <c r="L278" s="135"/>
      <c r="M278" s="135"/>
      <c r="N278" s="135"/>
      <c r="O278" s="135"/>
      <c r="P278" s="135"/>
      <c r="Q278" s="135"/>
      <c r="R278" s="135"/>
      <c r="S278" s="135"/>
      <c r="T278" s="135"/>
      <c r="U278" s="135"/>
      <c r="V278" s="135"/>
      <c r="W278" s="135"/>
      <c r="X278" s="135"/>
      <c r="Y278" s="135"/>
      <c r="Z278" s="135"/>
    </row>
    <row r="279" spans="1:26">
      <c r="A279" s="135" t="str">
        <f ca="1">IFERROR(__xludf.DUMMYFUNCTION("""COMPUTED_VALUE"""),"Westminster Village North")</f>
        <v>Westminster Village North</v>
      </c>
      <c r="B279" s="135" t="str">
        <f ca="1">IFERROR(__xludf.DUMMYFUNCTION("""COMPUTED_VALUE"""),"")</f>
        <v/>
      </c>
      <c r="C279" s="135" t="str">
        <f ca="1">IFERROR(__xludf.DUMMYFUNCTION("""COMPUTED_VALUE"""),"   Tel: (317)823-6841")</f>
        <v xml:space="preserve">   Tel: (317)823-6841</v>
      </c>
      <c r="D279" s="135" t="str">
        <f ca="1">IFERROR(__xludf.DUMMYFUNCTION("""COMPUTED_VALUE"""),"   11050 Presbyterian Dr")</f>
        <v xml:space="preserve">   11050 Presbyterian Dr</v>
      </c>
      <c r="E279" s="135" t="str">
        <f ca="1">IFERROR(__xludf.DUMMYFUNCTION("""COMPUTED_VALUE"""),"   Indianapolis, In 46236")</f>
        <v xml:space="preserve">   Indianapolis, In 46236</v>
      </c>
      <c r="F279" s="135" t="str">
        <f ca="1">IFERROR(__xludf.DUMMYFUNCTION("""COMPUTED_VALUE"""),"")</f>
        <v/>
      </c>
      <c r="G279" s="135">
        <f ca="1">IFERROR(__xludf.DUMMYFUNCTION("""COMPUTED_VALUE"""),180)</f>
        <v>180</v>
      </c>
      <c r="H279" s="135" t="str">
        <f ca="1">IFERROR(__xludf.DUMMYFUNCTION("""COMPUTED_VALUE"""),"Optum Testing")</f>
        <v>Optum Testing</v>
      </c>
      <c r="I279" s="135" t="str">
        <f ca="1">IFERROR(__xludf.DUMMYFUNCTION("""COMPUTED_VALUE"""),"KITS")</f>
        <v>KITS</v>
      </c>
      <c r="J279" s="135" t="str">
        <f ca="1">IFERROR(__xludf.DUMMYFUNCTION("""COMPUTED_VALUE"""),"")</f>
        <v/>
      </c>
      <c r="K279" s="135"/>
      <c r="L279" s="135"/>
      <c r="M279" s="135"/>
      <c r="N279" s="135"/>
      <c r="O279" s="135"/>
      <c r="P279" s="135"/>
      <c r="Q279" s="135"/>
      <c r="R279" s="135"/>
      <c r="S279" s="135"/>
      <c r="T279" s="135"/>
      <c r="U279" s="135"/>
      <c r="V279" s="135"/>
      <c r="W279" s="135"/>
      <c r="X279" s="135"/>
      <c r="Y279" s="135"/>
      <c r="Z279" s="135"/>
    </row>
    <row r="280" spans="1:26">
      <c r="A280" s="135" t="str">
        <f ca="1">IFERROR(__xludf.DUMMYFUNCTION("""COMPUTED_VALUE"""),"Westridge Health Care Center")</f>
        <v>Westridge Health Care Center</v>
      </c>
      <c r="B280" s="135" t="str">
        <f ca="1">IFERROR(__xludf.DUMMYFUNCTION("""COMPUTED_VALUE"""),"")</f>
        <v/>
      </c>
      <c r="C280" s="135" t="str">
        <f ca="1">IFERROR(__xludf.DUMMYFUNCTION("""COMPUTED_VALUE"""),"   Tel: (812)232-3311")</f>
        <v xml:space="preserve">   Tel: (812)232-3311</v>
      </c>
      <c r="D280" s="135" t="str">
        <f ca="1">IFERROR(__xludf.DUMMYFUNCTION("""COMPUTED_VALUE"""),"   125 W Margaret Ave")</f>
        <v xml:space="preserve">   125 W Margaret Ave</v>
      </c>
      <c r="E280" s="135" t="str">
        <f ca="1">IFERROR(__xludf.DUMMYFUNCTION("""COMPUTED_VALUE"""),"   Terre Haute, In 47802")</f>
        <v xml:space="preserve">   Terre Haute, In 47802</v>
      </c>
      <c r="F280" s="135" t="str">
        <f ca="1">IFERROR(__xludf.DUMMYFUNCTION("""COMPUTED_VALUE"""),"")</f>
        <v/>
      </c>
      <c r="G280" s="135">
        <f ca="1">IFERROR(__xludf.DUMMYFUNCTION("""COMPUTED_VALUE"""),57)</f>
        <v>57</v>
      </c>
      <c r="H280" s="135" t="str">
        <f ca="1">IFERROR(__xludf.DUMMYFUNCTION("""COMPUTED_VALUE"""),"Optum Testing")</f>
        <v>Optum Testing</v>
      </c>
      <c r="I280" s="135" t="str">
        <f ca="1">IFERROR(__xludf.DUMMYFUNCTION("""COMPUTED_VALUE"""),"KITS")</f>
        <v>KITS</v>
      </c>
      <c r="J280" s="135" t="str">
        <f ca="1">IFERROR(__xludf.DUMMYFUNCTION("""COMPUTED_VALUE"""),"")</f>
        <v/>
      </c>
      <c r="K280" s="135"/>
      <c r="L280" s="135"/>
      <c r="M280" s="135"/>
      <c r="N280" s="135"/>
      <c r="O280" s="135"/>
      <c r="P280" s="135"/>
      <c r="Q280" s="135"/>
      <c r="R280" s="135"/>
      <c r="S280" s="135"/>
      <c r="T280" s="135"/>
      <c r="U280" s="135"/>
      <c r="V280" s="135"/>
      <c r="W280" s="135"/>
      <c r="X280" s="135"/>
      <c r="Y280" s="135"/>
      <c r="Z280" s="135"/>
    </row>
    <row r="281" spans="1:26">
      <c r="A281" s="135" t="str">
        <f ca="1">IFERROR(__xludf.DUMMYFUNCTION("""COMPUTED_VALUE"""),"Westside Retirement Village")</f>
        <v>Westside Retirement Village</v>
      </c>
      <c r="B281" s="135" t="str">
        <f ca="1">IFERROR(__xludf.DUMMYFUNCTION("""COMPUTED_VALUE"""),"Life Care Center")</f>
        <v>Life Care Center</v>
      </c>
      <c r="C281" s="135" t="str">
        <f ca="1">IFERROR(__xludf.DUMMYFUNCTION("""COMPUTED_VALUE"""),"   Tel: (317)209-2800")</f>
        <v xml:space="preserve">   Tel: (317)209-2800</v>
      </c>
      <c r="D281" s="135" t="str">
        <f ca="1">IFERROR(__xludf.DUMMYFUNCTION("""COMPUTED_VALUE"""),"   8616 W 10Th St")</f>
        <v xml:space="preserve">   8616 W 10Th St</v>
      </c>
      <c r="E281" s="135" t="str">
        <f ca="1">IFERROR(__xludf.DUMMYFUNCTION("""COMPUTED_VALUE"""),"   Indianapolis, In 46234")</f>
        <v xml:space="preserve">   Indianapolis, In 46234</v>
      </c>
      <c r="F281" s="135" t="str">
        <f ca="1">IFERROR(__xludf.DUMMYFUNCTION("""COMPUTED_VALUE"""),"")</f>
        <v/>
      </c>
      <c r="G281" s="135">
        <f ca="1">IFERROR(__xludf.DUMMYFUNCTION("""COMPUTED_VALUE"""),90)</f>
        <v>90</v>
      </c>
      <c r="H281" s="135" t="str">
        <f ca="1">IFERROR(__xludf.DUMMYFUNCTION("""COMPUTED_VALUE"""),"Non-Specific Plan/Hypothetical/Local Sites")</f>
        <v>Non-Specific Plan/Hypothetical/Local Sites</v>
      </c>
      <c r="I281" s="135" t="str">
        <f ca="1">IFERROR(__xludf.DUMMYFUNCTION("""COMPUTED_VALUE"""),"KITS")</f>
        <v>KITS</v>
      </c>
      <c r="J281" s="135" t="str">
        <f ca="1">IFERROR(__xludf.DUMMYFUNCTION("""COMPUTED_VALUE"""),"")</f>
        <v/>
      </c>
      <c r="K281" s="135"/>
      <c r="L281" s="135"/>
      <c r="M281" s="135"/>
      <c r="N281" s="135"/>
      <c r="O281" s="135"/>
      <c r="P281" s="135"/>
      <c r="Q281" s="135"/>
      <c r="R281" s="135"/>
      <c r="S281" s="135"/>
      <c r="T281" s="135"/>
      <c r="U281" s="135"/>
      <c r="V281" s="135"/>
      <c r="W281" s="135"/>
      <c r="X281" s="135"/>
      <c r="Y281" s="135"/>
      <c r="Z281" s="135"/>
    </row>
    <row r="282" spans="1:26">
      <c r="A282" s="135" t="str">
        <f ca="1">IFERROR(__xludf.DUMMYFUNCTION("""COMPUTED_VALUE"""),"Westview Nursing And Rehabilitation Center")</f>
        <v>Westview Nursing And Rehabilitation Center</v>
      </c>
      <c r="B282" s="135" t="str">
        <f ca="1">IFERROR(__xludf.DUMMYFUNCTION("""COMPUTED_VALUE"""),"ASC")</f>
        <v>ASC</v>
      </c>
      <c r="C282" s="135" t="str">
        <f ca="1">IFERROR(__xludf.DUMMYFUNCTION("""COMPUTED_VALUE"""),"   Tel: (812)279-4494")</f>
        <v xml:space="preserve">   Tel: (812)279-4494</v>
      </c>
      <c r="D282" s="135" t="str">
        <f ca="1">IFERROR(__xludf.DUMMYFUNCTION("""COMPUTED_VALUE"""),"   1510 Clinic Dr")</f>
        <v xml:space="preserve">   1510 Clinic Dr</v>
      </c>
      <c r="E282" s="135" t="str">
        <f ca="1">IFERROR(__xludf.DUMMYFUNCTION("""COMPUTED_VALUE"""),"   Bedford, In 47421")</f>
        <v xml:space="preserve">   Bedford, In 47421</v>
      </c>
      <c r="F282" s="135" t="str">
        <f ca="1">IFERROR(__xludf.DUMMYFUNCTION("""COMPUTED_VALUE"""),"")</f>
        <v/>
      </c>
      <c r="G282" s="135">
        <f ca="1">IFERROR(__xludf.DUMMYFUNCTION("""COMPUTED_VALUE"""),96)</f>
        <v>96</v>
      </c>
      <c r="H282" s="135" t="str">
        <f ca="1">IFERROR(__xludf.DUMMYFUNCTION("""COMPUTED_VALUE"""),"Optum Testing")</f>
        <v>Optum Testing</v>
      </c>
      <c r="I282" s="135" t="str">
        <f ca="1">IFERROR(__xludf.DUMMYFUNCTION("""COMPUTED_VALUE"""),"KITS")</f>
        <v>KITS</v>
      </c>
      <c r="J282" s="135" t="str">
        <f ca="1">IFERROR(__xludf.DUMMYFUNCTION("""COMPUTED_VALUE"""),"")</f>
        <v/>
      </c>
      <c r="K282" s="135"/>
      <c r="L282" s="135"/>
      <c r="M282" s="135"/>
      <c r="N282" s="135"/>
      <c r="O282" s="135"/>
      <c r="P282" s="135"/>
      <c r="Q282" s="135"/>
      <c r="R282" s="135"/>
      <c r="S282" s="135"/>
      <c r="T282" s="135"/>
      <c r="U282" s="135"/>
      <c r="V282" s="135"/>
      <c r="W282" s="135"/>
      <c r="X282" s="135"/>
      <c r="Y282" s="135"/>
      <c r="Z282" s="135"/>
    </row>
    <row r="283" spans="1:26">
      <c r="A283" s="135" t="str">
        <f ca="1">IFERROR(__xludf.DUMMYFUNCTION("""COMPUTED_VALUE"""),"White River Lodge")</f>
        <v>White River Lodge</v>
      </c>
      <c r="B283" s="135" t="str">
        <f ca="1">IFERROR(__xludf.DUMMYFUNCTION("""COMPUTED_VALUE"""),"")</f>
        <v/>
      </c>
      <c r="C283" s="135" t="str">
        <f ca="1">IFERROR(__xludf.DUMMYFUNCTION("""COMPUTED_VALUE"""),"   Tel: (812)275-7006")</f>
        <v xml:space="preserve">   Tel: (812)275-7006</v>
      </c>
      <c r="D283" s="135" t="str">
        <f ca="1">IFERROR(__xludf.DUMMYFUNCTION("""COMPUTED_VALUE"""),"   3710 Kenny Simpson Ln")</f>
        <v xml:space="preserve">   3710 Kenny Simpson Ln</v>
      </c>
      <c r="E283" s="135" t="str">
        <f ca="1">IFERROR(__xludf.DUMMYFUNCTION("""COMPUTED_VALUE"""),"   Bedford, In 47421")</f>
        <v xml:space="preserve">   Bedford, In 47421</v>
      </c>
      <c r="F283" s="135" t="str">
        <f ca="1">IFERROR(__xludf.DUMMYFUNCTION("""COMPUTED_VALUE"""),"")</f>
        <v/>
      </c>
      <c r="G283" s="135">
        <f ca="1">IFERROR(__xludf.DUMMYFUNCTION("""COMPUTED_VALUE"""),56)</f>
        <v>56</v>
      </c>
      <c r="H283" s="135" t="str">
        <f ca="1">IFERROR(__xludf.DUMMYFUNCTION("""COMPUTED_VALUE"""),"Optum Testing")</f>
        <v>Optum Testing</v>
      </c>
      <c r="I283" s="135" t="str">
        <f ca="1">IFERROR(__xludf.DUMMYFUNCTION("""COMPUTED_VALUE"""),"KITS")</f>
        <v>KITS</v>
      </c>
      <c r="J283" s="135" t="str">
        <f ca="1">IFERROR(__xludf.DUMMYFUNCTION("""COMPUTED_VALUE"""),"")</f>
        <v/>
      </c>
      <c r="K283" s="135"/>
      <c r="L283" s="135"/>
      <c r="M283" s="135"/>
      <c r="N283" s="135"/>
      <c r="O283" s="135"/>
      <c r="P283" s="135"/>
      <c r="Q283" s="135"/>
      <c r="R283" s="135"/>
      <c r="S283" s="135"/>
      <c r="T283" s="135"/>
      <c r="U283" s="135"/>
      <c r="V283" s="135"/>
      <c r="W283" s="135"/>
      <c r="X283" s="135"/>
      <c r="Y283" s="135"/>
      <c r="Z283" s="135"/>
    </row>
    <row r="284" spans="1:26">
      <c r="A284" s="135" t="str">
        <f ca="1">IFERROR(__xludf.DUMMYFUNCTION("""COMPUTED_VALUE"""),"Whitewater Commons Senior Living")</f>
        <v>Whitewater Commons Senior Living</v>
      </c>
      <c r="B284" s="135" t="str">
        <f ca="1">IFERROR(__xludf.DUMMYFUNCTION("""COMPUTED_VALUE"""),"")</f>
        <v/>
      </c>
      <c r="C284" s="135" t="str">
        <f ca="1">IFERROR(__xludf.DUMMYFUNCTION("""COMPUTED_VALUE"""),"   Tel: (765)458-5117")</f>
        <v xml:space="preserve">   Tel: (765)458-5117</v>
      </c>
      <c r="D284" s="135" t="str">
        <f ca="1">IFERROR(__xludf.DUMMYFUNCTION("""COMPUTED_VALUE"""),"   215 W High St")</f>
        <v xml:space="preserve">   215 W High St</v>
      </c>
      <c r="E284" s="135" t="str">
        <f ca="1">IFERROR(__xludf.DUMMYFUNCTION("""COMPUTED_VALUE"""),"   Liberty, In 47353")</f>
        <v xml:space="preserve">   Liberty, In 47353</v>
      </c>
      <c r="F284" s="135" t="str">
        <f ca="1">IFERROR(__xludf.DUMMYFUNCTION("""COMPUTED_VALUE"""),"No")</f>
        <v>No</v>
      </c>
      <c r="G284" s="135">
        <f ca="1">IFERROR(__xludf.DUMMYFUNCTION("""COMPUTED_VALUE"""),60)</f>
        <v>60</v>
      </c>
      <c r="H284" s="135" t="str">
        <f ca="1">IFERROR(__xludf.DUMMYFUNCTION("""COMPUTED_VALUE"""),"Optum Testing")</f>
        <v>Optum Testing</v>
      </c>
      <c r="I284" s="135" t="str">
        <f ca="1">IFERROR(__xludf.DUMMYFUNCTION("""COMPUTED_VALUE"""),"KITS")</f>
        <v>KITS</v>
      </c>
      <c r="J284" s="135" t="str">
        <f ca="1">IFERROR(__xludf.DUMMYFUNCTION("""COMPUTED_VALUE"""),"")</f>
        <v/>
      </c>
      <c r="K284" s="135"/>
      <c r="L284" s="135"/>
      <c r="M284" s="135"/>
      <c r="N284" s="135"/>
      <c r="O284" s="135"/>
      <c r="P284" s="135"/>
      <c r="Q284" s="135"/>
      <c r="R284" s="135"/>
      <c r="S284" s="135"/>
      <c r="T284" s="135"/>
      <c r="U284" s="135"/>
      <c r="V284" s="135"/>
      <c r="W284" s="135"/>
      <c r="X284" s="135"/>
      <c r="Y284" s="135"/>
      <c r="Z284" s="135"/>
    </row>
    <row r="285" spans="1:26">
      <c r="A285" s="135" t="str">
        <f ca="1">IFERROR(__xludf.DUMMYFUNCTION("""COMPUTED_VALUE"""),"Wildwood Healthcare Center")</f>
        <v>Wildwood Healthcare Center</v>
      </c>
      <c r="B285" s="135" t="str">
        <f ca="1">IFERROR(__xludf.DUMMYFUNCTION("""COMPUTED_VALUE"""),"CommuniCare")</f>
        <v>CommuniCare</v>
      </c>
      <c r="C285" s="135" t="str">
        <f ca="1">IFERROR(__xludf.DUMMYFUNCTION("""COMPUTED_VALUE"""),"   Tel: (317)353-1290")</f>
        <v xml:space="preserve">   Tel: (317)353-1290</v>
      </c>
      <c r="D285" s="135" t="str">
        <f ca="1">IFERROR(__xludf.DUMMYFUNCTION("""COMPUTED_VALUE"""),"   7301 E 16Th St")</f>
        <v xml:space="preserve">   7301 E 16Th St</v>
      </c>
      <c r="E285" s="135" t="str">
        <f ca="1">IFERROR(__xludf.DUMMYFUNCTION("""COMPUTED_VALUE"""),"   Indianapolis, In 46219")</f>
        <v xml:space="preserve">   Indianapolis, In 46219</v>
      </c>
      <c r="F285" s="135" t="str">
        <f ca="1">IFERROR(__xludf.DUMMYFUNCTION("""COMPUTED_VALUE"""),"")</f>
        <v/>
      </c>
      <c r="G285" s="135">
        <f ca="1">IFERROR(__xludf.DUMMYFUNCTION("""COMPUTED_VALUE"""),120)</f>
        <v>120</v>
      </c>
      <c r="H285" s="135" t="str">
        <f ca="1">IFERROR(__xludf.DUMMYFUNCTION("""COMPUTED_VALUE"""),"Optum Testing")</f>
        <v>Optum Testing</v>
      </c>
      <c r="I285" s="135" t="str">
        <f ca="1">IFERROR(__xludf.DUMMYFUNCTION("""COMPUTED_VALUE"""),"KITS")</f>
        <v>KITS</v>
      </c>
      <c r="J285" s="135" t="str">
        <f ca="1">IFERROR(__xludf.DUMMYFUNCTION("""COMPUTED_VALUE"""),"")</f>
        <v/>
      </c>
      <c r="K285" s="135"/>
      <c r="L285" s="135"/>
      <c r="M285" s="135"/>
      <c r="N285" s="135"/>
      <c r="O285" s="135"/>
      <c r="P285" s="135"/>
      <c r="Q285" s="135"/>
      <c r="R285" s="135"/>
      <c r="S285" s="135"/>
      <c r="T285" s="135"/>
      <c r="U285" s="135"/>
      <c r="V285" s="135"/>
      <c r="W285" s="135"/>
      <c r="X285" s="135"/>
      <c r="Y285" s="135"/>
      <c r="Z285" s="135"/>
    </row>
    <row r="286" spans="1:26">
      <c r="A286" s="135" t="str">
        <f ca="1">IFERROR(__xludf.DUMMYFUNCTION("""COMPUTED_VALUE"""),"Williamsport Nursing And Rehabilitation")</f>
        <v>Williamsport Nursing And Rehabilitation</v>
      </c>
      <c r="B286" s="135" t="str">
        <f ca="1">IFERROR(__xludf.DUMMYFUNCTION("""COMPUTED_VALUE"""),"ASC")</f>
        <v>ASC</v>
      </c>
      <c r="C286" s="135" t="str">
        <f ca="1">IFERROR(__xludf.DUMMYFUNCTION("""COMPUTED_VALUE"""),"   Tel: (765)762-6111")</f>
        <v xml:space="preserve">   Tel: (765)762-6111</v>
      </c>
      <c r="D286" s="135" t="str">
        <f ca="1">IFERROR(__xludf.DUMMYFUNCTION("""COMPUTED_VALUE"""),"   200 Short St")</f>
        <v xml:space="preserve">   200 Short St</v>
      </c>
      <c r="E286" s="135" t="str">
        <f ca="1">IFERROR(__xludf.DUMMYFUNCTION("""COMPUTED_VALUE"""),"   Williamsport, In 47993")</f>
        <v xml:space="preserve">   Williamsport, In 47993</v>
      </c>
      <c r="F286" s="135" t="str">
        <f ca="1">IFERROR(__xludf.DUMMYFUNCTION("""COMPUTED_VALUE"""),"")</f>
        <v/>
      </c>
      <c r="G286" s="135">
        <f ca="1">IFERROR(__xludf.DUMMYFUNCTION("""COMPUTED_VALUE"""),82)</f>
        <v>82</v>
      </c>
      <c r="H286" s="135" t="str">
        <f ca="1">IFERROR(__xludf.DUMMYFUNCTION("""COMPUTED_VALUE"""),"Optum Testing")</f>
        <v>Optum Testing</v>
      </c>
      <c r="I286" s="135" t="str">
        <f ca="1">IFERROR(__xludf.DUMMYFUNCTION("""COMPUTED_VALUE"""),"KITS")</f>
        <v>KITS</v>
      </c>
      <c r="J286" s="135" t="str">
        <f ca="1">IFERROR(__xludf.DUMMYFUNCTION("""COMPUTED_VALUE"""),"")</f>
        <v/>
      </c>
      <c r="K286" s="135"/>
      <c r="L286" s="135"/>
      <c r="M286" s="135"/>
      <c r="N286" s="135"/>
      <c r="O286" s="135"/>
      <c r="P286" s="135"/>
      <c r="Q286" s="135"/>
      <c r="R286" s="135"/>
      <c r="S286" s="135"/>
      <c r="T286" s="135"/>
      <c r="U286" s="135"/>
      <c r="V286" s="135"/>
      <c r="W286" s="135"/>
      <c r="X286" s="135"/>
      <c r="Y286" s="135"/>
      <c r="Z286" s="135"/>
    </row>
    <row r="287" spans="1:26">
      <c r="A287" s="135" t="str">
        <f ca="1">IFERROR(__xludf.DUMMYFUNCTION("""COMPUTED_VALUE"""),"Willow Crossing Health &amp; Rehabilitation Center")</f>
        <v>Willow Crossing Health &amp; Rehabilitation Center</v>
      </c>
      <c r="B287" s="135" t="str">
        <f ca="1">IFERROR(__xludf.DUMMYFUNCTION("""COMPUTED_VALUE"""),"")</f>
        <v/>
      </c>
      <c r="C287" s="135" t="str">
        <f ca="1">IFERROR(__xludf.DUMMYFUNCTION("""COMPUTED_VALUE"""),"   Tel: (812)379-9669")</f>
        <v xml:space="preserve">   Tel: (812)379-9669</v>
      </c>
      <c r="D287" s="135" t="str">
        <f ca="1">IFERROR(__xludf.DUMMYFUNCTION("""COMPUTED_VALUE"""),"   3550 Central Ave")</f>
        <v xml:space="preserve">   3550 Central Ave</v>
      </c>
      <c r="E287" s="135" t="str">
        <f ca="1">IFERROR(__xludf.DUMMYFUNCTION("""COMPUTED_VALUE"""),"   Columbus, In 47203")</f>
        <v xml:space="preserve">   Columbus, In 47203</v>
      </c>
      <c r="F287" s="135" t="str">
        <f ca="1">IFERROR(__xludf.DUMMYFUNCTION("""COMPUTED_VALUE"""),"")</f>
        <v/>
      </c>
      <c r="G287" s="135">
        <f ca="1">IFERROR(__xludf.DUMMYFUNCTION("""COMPUTED_VALUE"""),78)</f>
        <v>78</v>
      </c>
      <c r="H287" s="135" t="str">
        <f ca="1">IFERROR(__xludf.DUMMYFUNCTION("""COMPUTED_VALUE"""),"Optum Testing")</f>
        <v>Optum Testing</v>
      </c>
      <c r="I287" s="135" t="str">
        <f ca="1">IFERROR(__xludf.DUMMYFUNCTION("""COMPUTED_VALUE"""),"KITS")</f>
        <v>KITS</v>
      </c>
      <c r="J287" s="135" t="str">
        <f ca="1">IFERROR(__xludf.DUMMYFUNCTION("""COMPUTED_VALUE"""),"")</f>
        <v/>
      </c>
      <c r="K287" s="135"/>
      <c r="L287" s="135"/>
      <c r="M287" s="135"/>
      <c r="N287" s="135"/>
      <c r="O287" s="135"/>
      <c r="P287" s="135"/>
      <c r="Q287" s="135"/>
      <c r="R287" s="135"/>
      <c r="S287" s="135"/>
      <c r="T287" s="135"/>
      <c r="U287" s="135"/>
      <c r="V287" s="135"/>
      <c r="W287" s="135"/>
      <c r="X287" s="135"/>
      <c r="Y287" s="135"/>
      <c r="Z287" s="135"/>
    </row>
    <row r="288" spans="1:26">
      <c r="A288" s="135" t="str">
        <f ca="1">IFERROR(__xludf.DUMMYFUNCTION("""COMPUTED_VALUE"""),"Willow Manor")</f>
        <v>Willow Manor</v>
      </c>
      <c r="B288" s="135" t="str">
        <f ca="1">IFERROR(__xludf.DUMMYFUNCTION("""COMPUTED_VALUE"""),"Chosen")</f>
        <v>Chosen</v>
      </c>
      <c r="C288" s="135" t="str">
        <f ca="1">IFERROR(__xludf.DUMMYFUNCTION("""COMPUTED_VALUE"""),"   Tel: (812)882-1783")</f>
        <v xml:space="preserve">   Tel: (812)882-1783</v>
      </c>
      <c r="D288" s="135" t="str">
        <f ca="1">IFERROR(__xludf.DUMMYFUNCTION("""COMPUTED_VALUE"""),"   3801 Old Bruceville Road, Box 136")</f>
        <v xml:space="preserve">   3801 Old Bruceville Road, Box 136</v>
      </c>
      <c r="E288" s="135" t="str">
        <f ca="1">IFERROR(__xludf.DUMMYFUNCTION("""COMPUTED_VALUE"""),"   Vincennes, In 47591")</f>
        <v xml:space="preserve">   Vincennes, In 47591</v>
      </c>
      <c r="F288" s="135" t="str">
        <f ca="1">IFERROR(__xludf.DUMMYFUNCTION("""COMPUTED_VALUE"""),"")</f>
        <v/>
      </c>
      <c r="G288" s="135">
        <f ca="1">IFERROR(__xludf.DUMMYFUNCTION("""COMPUTED_VALUE"""),166)</f>
        <v>166</v>
      </c>
      <c r="H288" s="135" t="str">
        <f ca="1">IFERROR(__xludf.DUMMYFUNCTION("""COMPUTED_VALUE"""),"Local Hospital")</f>
        <v>Local Hospital</v>
      </c>
      <c r="I288" s="135" t="str">
        <f ca="1">IFERROR(__xludf.DUMMYFUNCTION("""COMPUTED_VALUE"""),"KITS")</f>
        <v>KITS</v>
      </c>
      <c r="J288" s="135" t="str">
        <f ca="1">IFERROR(__xludf.DUMMYFUNCTION("""COMPUTED_VALUE"""),"")</f>
        <v/>
      </c>
      <c r="K288" s="135"/>
      <c r="L288" s="135"/>
      <c r="M288" s="135"/>
      <c r="N288" s="135"/>
      <c r="O288" s="135"/>
      <c r="P288" s="135"/>
      <c r="Q288" s="135"/>
      <c r="R288" s="135"/>
      <c r="S288" s="135"/>
      <c r="T288" s="135"/>
      <c r="U288" s="135"/>
      <c r="V288" s="135"/>
      <c r="W288" s="135"/>
      <c r="X288" s="135"/>
      <c r="Y288" s="135"/>
      <c r="Z288" s="135"/>
    </row>
    <row r="289" spans="1:26">
      <c r="A289" s="135" t="str">
        <f ca="1">IFERROR(__xludf.DUMMYFUNCTION("""COMPUTED_VALUE"""),"Willowbend Living Center")</f>
        <v>Willowbend Living Center</v>
      </c>
      <c r="B289" s="135" t="str">
        <f ca="1">IFERROR(__xludf.DUMMYFUNCTION("""COMPUTED_VALUE"""),"")</f>
        <v/>
      </c>
      <c r="C289" s="135" t="str">
        <f ca="1">IFERROR(__xludf.DUMMYFUNCTION("""COMPUTED_VALUE"""),"   Tel: (765)747-7820")</f>
        <v xml:space="preserve">   Tel: (765)747-7820</v>
      </c>
      <c r="D289" s="135" t="str">
        <f ca="1">IFERROR(__xludf.DUMMYFUNCTION("""COMPUTED_VALUE"""),"   7524 E Jackson St")</f>
        <v xml:space="preserve">   7524 E Jackson St</v>
      </c>
      <c r="E289" s="135" t="str">
        <f ca="1">IFERROR(__xludf.DUMMYFUNCTION("""COMPUTED_VALUE"""),"   Muncie, In 47302")</f>
        <v xml:space="preserve">   Muncie, In 47302</v>
      </c>
      <c r="F289" s="135" t="str">
        <f ca="1">IFERROR(__xludf.DUMMYFUNCTION("""COMPUTED_VALUE"""),"")</f>
        <v/>
      </c>
      <c r="G289" s="135">
        <f ca="1">IFERROR(__xludf.DUMMYFUNCTION("""COMPUTED_VALUE"""),45)</f>
        <v>45</v>
      </c>
      <c r="H289" s="135" t="str">
        <f ca="1">IFERROR(__xludf.DUMMYFUNCTION("""COMPUTED_VALUE"""),"Optum Testing")</f>
        <v>Optum Testing</v>
      </c>
      <c r="I289" s="135" t="str">
        <f ca="1">IFERROR(__xludf.DUMMYFUNCTION("""COMPUTED_VALUE"""),"KITS")</f>
        <v>KITS</v>
      </c>
      <c r="J289" s="135" t="str">
        <f ca="1">IFERROR(__xludf.DUMMYFUNCTION("""COMPUTED_VALUE"""),"")</f>
        <v/>
      </c>
      <c r="K289" s="135"/>
      <c r="L289" s="135"/>
      <c r="M289" s="135"/>
      <c r="N289" s="135"/>
      <c r="O289" s="135"/>
      <c r="P289" s="135"/>
      <c r="Q289" s="135"/>
      <c r="R289" s="135"/>
      <c r="S289" s="135"/>
      <c r="T289" s="135"/>
      <c r="U289" s="135"/>
      <c r="V289" s="135"/>
      <c r="W289" s="135"/>
      <c r="X289" s="135"/>
      <c r="Y289" s="135"/>
      <c r="Z289" s="135"/>
    </row>
    <row r="290" spans="1:26">
      <c r="A290" s="135" t="str">
        <f ca="1">IFERROR(__xludf.DUMMYFUNCTION("""COMPUTED_VALUE"""),"Willowdale Village")</f>
        <v>Willowdale Village</v>
      </c>
      <c r="B290" s="135" t="str">
        <f ca="1">IFERROR(__xludf.DUMMYFUNCTION("""COMPUTED_VALUE"""),"ASC")</f>
        <v>ASC</v>
      </c>
      <c r="C290" s="135" t="str">
        <f ca="1">IFERROR(__xludf.DUMMYFUNCTION("""COMPUTED_VALUE"""),"   Tel: (812)937-4489")</f>
        <v xml:space="preserve">   Tel: (812)937-4489</v>
      </c>
      <c r="D290" s="135" t="str">
        <f ca="1">IFERROR(__xludf.DUMMYFUNCTION("""COMPUTED_VALUE"""),"   404 W Willow Rd")</f>
        <v xml:space="preserve">   404 W Willow Rd</v>
      </c>
      <c r="E290" s="135" t="str">
        <f ca="1">IFERROR(__xludf.DUMMYFUNCTION("""COMPUTED_VALUE"""),"   Dale, In 47523")</f>
        <v xml:space="preserve">   Dale, In 47523</v>
      </c>
      <c r="F290" s="135" t="str">
        <f ca="1">IFERROR(__xludf.DUMMYFUNCTION("""COMPUTED_VALUE"""),"No")</f>
        <v>No</v>
      </c>
      <c r="G290" s="135">
        <f ca="1">IFERROR(__xludf.DUMMYFUNCTION("""COMPUTED_VALUE"""),52)</f>
        <v>52</v>
      </c>
      <c r="H290" s="135" t="str">
        <f ca="1">IFERROR(__xludf.DUMMYFUNCTION("""COMPUTED_VALUE"""),"Optum Testing")</f>
        <v>Optum Testing</v>
      </c>
      <c r="I290" s="135" t="str">
        <f ca="1">IFERROR(__xludf.DUMMYFUNCTION("""COMPUTED_VALUE"""),"KITS")</f>
        <v>KITS</v>
      </c>
      <c r="J290" s="135" t="str">
        <f ca="1">IFERROR(__xludf.DUMMYFUNCTION("""COMPUTED_VALUE"""),"")</f>
        <v/>
      </c>
      <c r="K290" s="135"/>
      <c r="L290" s="135"/>
      <c r="M290" s="135"/>
      <c r="N290" s="135"/>
      <c r="O290" s="135"/>
      <c r="P290" s="135"/>
      <c r="Q290" s="135"/>
      <c r="R290" s="135"/>
      <c r="S290" s="135"/>
      <c r="T290" s="135"/>
      <c r="U290" s="135"/>
      <c r="V290" s="135"/>
      <c r="W290" s="135"/>
      <c r="X290" s="135"/>
      <c r="Y290" s="135"/>
      <c r="Z290" s="135"/>
    </row>
    <row r="291" spans="1:26">
      <c r="A291" s="135" t="str">
        <f ca="1">IFERROR(__xludf.DUMMYFUNCTION("""COMPUTED_VALUE"""),"Wintersong Village")</f>
        <v>Wintersong Village</v>
      </c>
      <c r="B291" s="135" t="str">
        <f ca="1">IFERROR(__xludf.DUMMYFUNCTION("""COMPUTED_VALUE"""),"Chosen")</f>
        <v>Chosen</v>
      </c>
      <c r="C291" s="135" t="str">
        <f ca="1">IFERROR(__xludf.DUMMYFUNCTION("""COMPUTED_VALUE"""),"   Tel: (574)772-5826")</f>
        <v xml:space="preserve">   Tel: (574)772-5826</v>
      </c>
      <c r="D291" s="135" t="str">
        <f ca="1">IFERROR(__xludf.DUMMYFUNCTION("""COMPUTED_VALUE"""),"   1005 South Edgewood Drive")</f>
        <v xml:space="preserve">   1005 South Edgewood Drive</v>
      </c>
      <c r="E291" s="135" t="str">
        <f ca="1">IFERROR(__xludf.DUMMYFUNCTION("""COMPUTED_VALUE"""),"   Knox, In 46534")</f>
        <v xml:space="preserve">   Knox, In 46534</v>
      </c>
      <c r="F291" s="135" t="str">
        <f ca="1">IFERROR(__xludf.DUMMYFUNCTION("""COMPUTED_VALUE"""),"")</f>
        <v/>
      </c>
      <c r="G291" s="135">
        <f ca="1">IFERROR(__xludf.DUMMYFUNCTION("""COMPUTED_VALUE"""),55)</f>
        <v>55</v>
      </c>
      <c r="H291" s="135" t="str">
        <f ca="1">IFERROR(__xludf.DUMMYFUNCTION("""COMPUTED_VALUE"""),"Local Hospital")</f>
        <v>Local Hospital</v>
      </c>
      <c r="I291" s="135" t="str">
        <f ca="1">IFERROR(__xludf.DUMMYFUNCTION("""COMPUTED_VALUE"""),"KITS")</f>
        <v>KITS</v>
      </c>
      <c r="J291" s="135" t="str">
        <f ca="1">IFERROR(__xludf.DUMMYFUNCTION("""COMPUTED_VALUE"""),"")</f>
        <v/>
      </c>
      <c r="K291" s="135"/>
      <c r="L291" s="135"/>
      <c r="M291" s="135"/>
      <c r="N291" s="135"/>
      <c r="O291" s="135"/>
      <c r="P291" s="135"/>
      <c r="Q291" s="135"/>
      <c r="R291" s="135"/>
      <c r="S291" s="135"/>
      <c r="T291" s="135"/>
      <c r="U291" s="135"/>
      <c r="V291" s="135"/>
      <c r="W291" s="135"/>
      <c r="X291" s="135"/>
      <c r="Y291" s="135"/>
      <c r="Z291" s="135"/>
    </row>
    <row r="292" spans="1:26">
      <c r="A292" s="135" t="str">
        <f ca="1">IFERROR(__xludf.DUMMYFUNCTION("""COMPUTED_VALUE"""),"Woodland Hills Care Center")</f>
        <v>Woodland Hills Care Center</v>
      </c>
      <c r="B292" s="135" t="str">
        <f ca="1">IFERROR(__xludf.DUMMYFUNCTION("""COMPUTED_VALUE"""),"")</f>
        <v/>
      </c>
      <c r="C292" s="135" t="str">
        <f ca="1">IFERROR(__xludf.DUMMYFUNCTION("""COMPUTED_VALUE"""),"   Tel: (812)537-1132")</f>
        <v xml:space="preserve">   Tel: (812)537-1132</v>
      </c>
      <c r="D292" s="135" t="str">
        <f ca="1">IFERROR(__xludf.DUMMYFUNCTION("""COMPUTED_VALUE"""),"   403 Bielby Rd")</f>
        <v xml:space="preserve">   403 Bielby Rd</v>
      </c>
      <c r="E292" s="135" t="str">
        <f ca="1">IFERROR(__xludf.DUMMYFUNCTION("""COMPUTED_VALUE"""),"   Lawrenceburg, In 47025")</f>
        <v xml:space="preserve">   Lawrenceburg, In 47025</v>
      </c>
      <c r="F292" s="135" t="str">
        <f ca="1">IFERROR(__xludf.DUMMYFUNCTION("""COMPUTED_VALUE"""),"")</f>
        <v/>
      </c>
      <c r="G292" s="135">
        <f ca="1">IFERROR(__xludf.DUMMYFUNCTION("""COMPUTED_VALUE"""),50)</f>
        <v>50</v>
      </c>
      <c r="H292" s="135" t="str">
        <f ca="1">IFERROR(__xludf.DUMMYFUNCTION("""COMPUTED_VALUE"""),"Optum Testing")</f>
        <v>Optum Testing</v>
      </c>
      <c r="I292" s="135" t="str">
        <f ca="1">IFERROR(__xludf.DUMMYFUNCTION("""COMPUTED_VALUE"""),"KITS")</f>
        <v>KITS</v>
      </c>
      <c r="J292" s="135" t="str">
        <f ca="1">IFERROR(__xludf.DUMMYFUNCTION("""COMPUTED_VALUE"""),"")</f>
        <v/>
      </c>
      <c r="K292" s="135"/>
      <c r="L292" s="135"/>
      <c r="M292" s="135"/>
      <c r="N292" s="135"/>
      <c r="O292" s="135"/>
      <c r="P292" s="135"/>
      <c r="Q292" s="135"/>
      <c r="R292" s="135"/>
      <c r="S292" s="135"/>
      <c r="T292" s="135"/>
      <c r="U292" s="135"/>
      <c r="V292" s="135"/>
      <c r="W292" s="135"/>
      <c r="X292" s="135"/>
      <c r="Y292" s="135"/>
      <c r="Z292" s="135"/>
    </row>
    <row r="293" spans="1:26">
      <c r="A293" s="135" t="str">
        <f ca="1">IFERROR(__xludf.DUMMYFUNCTION("""COMPUTED_VALUE"""),"Woodland Manor")</f>
        <v>Woodland Manor</v>
      </c>
      <c r="B293" s="135" t="str">
        <f ca="1">IFERROR(__xludf.DUMMYFUNCTION("""COMPUTED_VALUE"""),"IMG")</f>
        <v>IMG</v>
      </c>
      <c r="C293" s="135" t="str">
        <f ca="1">IFERROR(__xludf.DUMMYFUNCTION("""COMPUTED_VALUE"""),"   Tel: (574)295-0096")</f>
        <v xml:space="preserve">   Tel: (574)295-0096</v>
      </c>
      <c r="D293" s="135" t="str">
        <f ca="1">IFERROR(__xludf.DUMMYFUNCTION("""COMPUTED_VALUE"""),"   343 S Nappanee St")</f>
        <v xml:space="preserve">   343 S Nappanee St</v>
      </c>
      <c r="E293" s="135" t="str">
        <f ca="1">IFERROR(__xludf.DUMMYFUNCTION("""COMPUTED_VALUE"""),"   Elkhart, In 46514")</f>
        <v xml:space="preserve">   Elkhart, In 46514</v>
      </c>
      <c r="F293" s="135" t="str">
        <f ca="1">IFERROR(__xludf.DUMMYFUNCTION("""COMPUTED_VALUE"""),"")</f>
        <v/>
      </c>
      <c r="G293" s="135">
        <f ca="1">IFERROR(__xludf.DUMMYFUNCTION("""COMPUTED_VALUE"""),72)</f>
        <v>72</v>
      </c>
      <c r="H293" s="135" t="str">
        <f ca="1">IFERROR(__xludf.DUMMYFUNCTION("""COMPUTED_VALUE"""),"Optum Testing")</f>
        <v>Optum Testing</v>
      </c>
      <c r="I293" s="135" t="str">
        <f ca="1">IFERROR(__xludf.DUMMYFUNCTION("""COMPUTED_VALUE"""),"KITS")</f>
        <v>KITS</v>
      </c>
      <c r="J293" s="135" t="str">
        <f ca="1">IFERROR(__xludf.DUMMYFUNCTION("""COMPUTED_VALUE"""),"")</f>
        <v/>
      </c>
      <c r="K293" s="135"/>
      <c r="L293" s="135"/>
      <c r="M293" s="135"/>
      <c r="N293" s="135"/>
      <c r="O293" s="135"/>
      <c r="P293" s="135"/>
      <c r="Q293" s="135"/>
      <c r="R293" s="135"/>
      <c r="S293" s="135"/>
      <c r="T293" s="135"/>
      <c r="U293" s="135"/>
      <c r="V293" s="135"/>
      <c r="W293" s="135"/>
      <c r="X293" s="135"/>
      <c r="Y293" s="135"/>
      <c r="Z293" s="135"/>
    </row>
    <row r="294" spans="1:26">
      <c r="A294" s="135" t="str">
        <f ca="1">IFERROR(__xludf.DUMMYFUNCTION("""COMPUTED_VALUE"""),"Woodlands The")</f>
        <v>Woodlands The</v>
      </c>
      <c r="B294" s="135" t="str">
        <f ca="1">IFERROR(__xludf.DUMMYFUNCTION("""COMPUTED_VALUE"""),"Life Care Center")</f>
        <v>Life Care Center</v>
      </c>
      <c r="C294" s="135" t="str">
        <f ca="1">IFERROR(__xludf.DUMMYFUNCTION("""COMPUTED_VALUE"""),"   Tel: (765)289-3451")</f>
        <v xml:space="preserve">   Tel: (765)289-3451</v>
      </c>
      <c r="D294" s="135" t="str">
        <f ca="1">IFERROR(__xludf.DUMMYFUNCTION("""COMPUTED_VALUE"""),"   3820 W Jackson St")</f>
        <v xml:space="preserve">   3820 W Jackson St</v>
      </c>
      <c r="E294" s="135" t="str">
        <f ca="1">IFERROR(__xludf.DUMMYFUNCTION("""COMPUTED_VALUE"""),"   Muncie, In 47304")</f>
        <v xml:space="preserve">   Muncie, In 47304</v>
      </c>
      <c r="F294" s="135" t="str">
        <f ca="1">IFERROR(__xludf.DUMMYFUNCTION("""COMPUTED_VALUE"""),"")</f>
        <v/>
      </c>
      <c r="G294" s="135">
        <f ca="1">IFERROR(__xludf.DUMMYFUNCTION("""COMPUTED_VALUE"""),108)</f>
        <v>108</v>
      </c>
      <c r="H294" s="135" t="str">
        <f ca="1">IFERROR(__xludf.DUMMYFUNCTION("""COMPUTED_VALUE"""),"Local Hospital")</f>
        <v>Local Hospital</v>
      </c>
      <c r="I294" s="135" t="str">
        <f ca="1">IFERROR(__xludf.DUMMYFUNCTION("""COMPUTED_VALUE"""),"KITS")</f>
        <v>KITS</v>
      </c>
      <c r="J294" s="135" t="str">
        <f ca="1">IFERROR(__xludf.DUMMYFUNCTION("""COMPUTED_VALUE"""),"")</f>
        <v/>
      </c>
      <c r="K294" s="135"/>
      <c r="L294" s="135"/>
      <c r="M294" s="135"/>
      <c r="N294" s="135"/>
      <c r="O294" s="135"/>
      <c r="P294" s="135"/>
      <c r="Q294" s="135"/>
      <c r="R294" s="135"/>
      <c r="S294" s="135"/>
      <c r="T294" s="135"/>
      <c r="U294" s="135"/>
      <c r="V294" s="135"/>
      <c r="W294" s="135"/>
      <c r="X294" s="135"/>
      <c r="Y294" s="135"/>
      <c r="Z294" s="135"/>
    </row>
    <row r="295" spans="1:26">
      <c r="A295" s="135" t="str">
        <f ca="1">IFERROR(__xludf.DUMMYFUNCTION("""COMPUTED_VALUE"""),"Zionsville Meadows")</f>
        <v>Zionsville Meadows</v>
      </c>
      <c r="B295" s="135" t="str">
        <f ca="1">IFERROR(__xludf.DUMMYFUNCTION("""COMPUTED_VALUE"""),"ASC")</f>
        <v>ASC</v>
      </c>
      <c r="C295" s="135" t="str">
        <f ca="1">IFERROR(__xludf.DUMMYFUNCTION("""COMPUTED_VALUE"""),"   Tel: (317)873-5205")</f>
        <v xml:space="preserve">   Tel: (317)873-5205</v>
      </c>
      <c r="D295" s="135" t="str">
        <f ca="1">IFERROR(__xludf.DUMMYFUNCTION("""COMPUTED_VALUE"""),"   675 S Ford Rd")</f>
        <v xml:space="preserve">   675 S Ford Rd</v>
      </c>
      <c r="E295" s="135" t="str">
        <f ca="1">IFERROR(__xludf.DUMMYFUNCTION("""COMPUTED_VALUE"""),"   Zionsville, In 46077")</f>
        <v xml:space="preserve">   Zionsville, In 46077</v>
      </c>
      <c r="F295" s="135" t="str">
        <f ca="1">IFERROR(__xludf.DUMMYFUNCTION("""COMPUTED_VALUE"""),"")</f>
        <v/>
      </c>
      <c r="G295" s="135">
        <f ca="1">IFERROR(__xludf.DUMMYFUNCTION("""COMPUTED_VALUE"""),110)</f>
        <v>110</v>
      </c>
      <c r="H295" s="135" t="str">
        <f ca="1">IFERROR(__xludf.DUMMYFUNCTION("""COMPUTED_VALUE"""),"Optum Testing")</f>
        <v>Optum Testing</v>
      </c>
      <c r="I295" s="135" t="str">
        <f ca="1">IFERROR(__xludf.DUMMYFUNCTION("""COMPUTED_VALUE"""),"KITS")</f>
        <v>KITS</v>
      </c>
      <c r="J295" s="135" t="str">
        <f ca="1">IFERROR(__xludf.DUMMYFUNCTION("""COMPUTED_VALUE"""),"")</f>
        <v/>
      </c>
      <c r="K295" s="135"/>
      <c r="L295" s="135"/>
      <c r="M295" s="135"/>
      <c r="N295" s="135"/>
      <c r="O295" s="135"/>
      <c r="P295" s="135"/>
      <c r="Q295" s="135"/>
      <c r="R295" s="135"/>
      <c r="S295" s="135"/>
      <c r="T295" s="135"/>
      <c r="U295" s="135"/>
      <c r="V295" s="135"/>
      <c r="W295" s="135"/>
      <c r="X295" s="135"/>
      <c r="Y295" s="135"/>
      <c r="Z295" s="135"/>
    </row>
    <row r="296" spans="1:26">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spans="1:26">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spans="1:26">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spans="1:26">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spans="1:26">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spans="1:26">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spans="1:26">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spans="1:26">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spans="1:26">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spans="1:26">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spans="1:26">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spans="1:26">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spans="1:26">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spans="1:26">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spans="1:26">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spans="1:26">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spans="1:26">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spans="1:26">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spans="1:26">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spans="1:26">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spans="1:26">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spans="1:26">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spans="1:26">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spans="1:26">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spans="1:26">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spans="1:26">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spans="1:26">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spans="1:26">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spans="1:26">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spans="1:26">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spans="1:26">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spans="1:26">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spans="1:26">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spans="1:26">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spans="1:26">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spans="1:26">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spans="1:26">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spans="1:26">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spans="1:26">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spans="1:26">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spans="1:26">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spans="1:26">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spans="1:26">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spans="1:26">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spans="1:26">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spans="1:26">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spans="1:26">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spans="1:26">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spans="1:26">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spans="1:26">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spans="1:26">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spans="1:26">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spans="1:26">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spans="1:26">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spans="1:26">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spans="1:26">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spans="1:26">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spans="1:26">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spans="1:26">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spans="1:26">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spans="1:26">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spans="1:26">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spans="1:26">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spans="1:26">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spans="1:26">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spans="1:26">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spans="1:26">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spans="1:26">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spans="1:26">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spans="1:26">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spans="1:26">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spans="1:26">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spans="1:26">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spans="1:26">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row>
    <row r="370" spans="1:26">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spans="1:26">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spans="1:26">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spans="1:26">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spans="1:26">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spans="1:26">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spans="1:26">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spans="1:26">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spans="1:26">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spans="1:26">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spans="1:26">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spans="1:26">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spans="1:26">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spans="1:26">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spans="1:26">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spans="1:26">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spans="1:26">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spans="1:26">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spans="1:26">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spans="1:26">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spans="1:26">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spans="1:26">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spans="1:26">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spans="1:26">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spans="1:26">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spans="1:26">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spans="1:26">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spans="1:26">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spans="1:26">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spans="1:26">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spans="1:26">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spans="1:26">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spans="1:26">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spans="1:26">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spans="1:26">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spans="1:26">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spans="1:26">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spans="1:26">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spans="1:26">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spans="1:26">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spans="1:26">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spans="1:26">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spans="1:26">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spans="1:26">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spans="1:26">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spans="1:26">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spans="1:26">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spans="1:26">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spans="1:26">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spans="1:26">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spans="1:26">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spans="1:26">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spans="1:26">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spans="1:26">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spans="1:26">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spans="1:26">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spans="1:26">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spans="1:26">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spans="1:26">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spans="1:26">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spans="1:26">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spans="1:26">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spans="1:26">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spans="1:26">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spans="1:26">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spans="1:26">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spans="1:26">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spans="1:26">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spans="1:26">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spans="1:26">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spans="1:26">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spans="1:26">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spans="1:26">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spans="1:26">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spans="1:26">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spans="1:26">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spans="1:26">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spans="1:26">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spans="1:26">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spans="1:26">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spans="1:26">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spans="1:26">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spans="1:26">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spans="1:26">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spans="1:26">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spans="1:26">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spans="1:26">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spans="1:26">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spans="1:26">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spans="1:26">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spans="1:26">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spans="1:26">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spans="1:26">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spans="1:26">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spans="1:26">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spans="1:26">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spans="1:26">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spans="1:26">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spans="1:26">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spans="1:26">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spans="1:26">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spans="1:26">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spans="1:26">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spans="1:26">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spans="1:26">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spans="1:26">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spans="1:26">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spans="1:26">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spans="1:26">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spans="1:26">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spans="1:26">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spans="1:26">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spans="1:26">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spans="1:26">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spans="1:26">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spans="1:26">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spans="1:26">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spans="1:26">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spans="1:26">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spans="1:26">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spans="1:26">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spans="1:26">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spans="1:26">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spans="1:26">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spans="1:26">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spans="1:26">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spans="1:26">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spans="1:26">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spans="1:26">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spans="1:26">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spans="1:26">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spans="1:26">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spans="1:26">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spans="1:26">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spans="1:26">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spans="1:26">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spans="1:26">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spans="1:26">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spans="1:26">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spans="1:26">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spans="1:26">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spans="1:26">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spans="1:26">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spans="1:26">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spans="1:26">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spans="1:26">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spans="1:26">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spans="1:26">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spans="1:26">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spans="1:26">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spans="1:26">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spans="1:26">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spans="1:26">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spans="1:26">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spans="1:26">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spans="1:26">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spans="1:26">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spans="1:26">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spans="1:26">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spans="1:26">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spans="1:26">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spans="1:26">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spans="1:26">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spans="1:26">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spans="1:26">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spans="1:26">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spans="1:26">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spans="1:26">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spans="1:26">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spans="1:26">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spans="1:26">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spans="1:26">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spans="1:26">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spans="1:26">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spans="1:26">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spans="1:26">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spans="1:26">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spans="1:26">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spans="1:26">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spans="1:26">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spans="1:26">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spans="1:26">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spans="1:26">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spans="1:26">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spans="1:26">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spans="1:26">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spans="1:26">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spans="1:26">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spans="1:26">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spans="1:26">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spans="1:26">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spans="1:26">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spans="1:26">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spans="1:26">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spans="1:26">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spans="1:26">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spans="1:26">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spans="1:26">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spans="1:26">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spans="1:26">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spans="1:26">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spans="1:26">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spans="1:26">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spans="1:26">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spans="1:26">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spans="1:26">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spans="1:26">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spans="1:26">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spans="1:26">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spans="1:26">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spans="1:26">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spans="1:26">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spans="1:26">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spans="1:26">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spans="1:26">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spans="1:26">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spans="1:26">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spans="1:26">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spans="1:26">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spans="1:26">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spans="1:26">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spans="1:26">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spans="1:26">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spans="1:26">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spans="1:26">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spans="1:26">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spans="1:26">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spans="1:26">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spans="1:26">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spans="1:26">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spans="1:26">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spans="1:26">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spans="1:26">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spans="1:26">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spans="1:26">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spans="1:26">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spans="1:26">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spans="1:26">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spans="1:26">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spans="1:26">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spans="1:26">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spans="1:26">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spans="1:26">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spans="1:26">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spans="1:26">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spans="1:26">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spans="1:26">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spans="1:26">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spans="1:26">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spans="1:26">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spans="1:26">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spans="1:26">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spans="1:26">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spans="1:26">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spans="1:26">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spans="1:26">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spans="1:26">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spans="1:26">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spans="1:26">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spans="1:26">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spans="1:26">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spans="1:26">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spans="1:26">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spans="1:26">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spans="1:26">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spans="1:26">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spans="1:26">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spans="1:26">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spans="1:26">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spans="1:26">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spans="1:26">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spans="1:26">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spans="1:26">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spans="1:26">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spans="1:26">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spans="1:26">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spans="1:26">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spans="1:26">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spans="1:26">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spans="1:26">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spans="1:26">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spans="1:26">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spans="1:26">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spans="1:26">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spans="1:26">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spans="1:26">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spans="1:26">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spans="1:26">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spans="1:26">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spans="1:26">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spans="1:26">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spans="1:26">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spans="1:26">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spans="1:26">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spans="1:26">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spans="1:26">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spans="1:26">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spans="1:26">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spans="1:26">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spans="1:26">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spans="1:26">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spans="1:26">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spans="1:26">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spans="1:26">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spans="1:26">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spans="1:26">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spans="1:26">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spans="1:26">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spans="1:26">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spans="1:26">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spans="1:26">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spans="1:26">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spans="1:26">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spans="1:26">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spans="1:26">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spans="1:26">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spans="1:26">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spans="1:26">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spans="1:26">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spans="1:26">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spans="1:26">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spans="1:26">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spans="1:26">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spans="1:26">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spans="1:26">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spans="1:26">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spans="1:26">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spans="1:26">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spans="1:26">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spans="1:26">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spans="1:26">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spans="1:26">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spans="1:26">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spans="1:26">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spans="1:26">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spans="1:26">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spans="1:26">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spans="1:26">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spans="1:26">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spans="1:26">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spans="1:26">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spans="1:26">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spans="1:26">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spans="1:26">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spans="1:26">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spans="1:26">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spans="1:26">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spans="1:26">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spans="1:26">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spans="1:26">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spans="1:26">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spans="1:26">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spans="1:26">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spans="1:26">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spans="1:26">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spans="1:26">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spans="1:26">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spans="1:26">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spans="1:26">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spans="1:26">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spans="1:26">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spans="1:26">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spans="1:26">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spans="1:26">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spans="1:26">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spans="1:26">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spans="1:26">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spans="1:26">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spans="1:26">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spans="1:26">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spans="1:26">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spans="1:26">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spans="1:26">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spans="1:26">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spans="1:26">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spans="1:26">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spans="1:26">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spans="1:26">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spans="1:26">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spans="1:26">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spans="1:26">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spans="1:26">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spans="1:26">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spans="1:26">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spans="1:26">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spans="1:26">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spans="1:26">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spans="1:26">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spans="1:26">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spans="1:26">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spans="1:26">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spans="1:26">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spans="1:26">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spans="1:26">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spans="1:26">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spans="1:26">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spans="1:26">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spans="1:26">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spans="1:26">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spans="1:26">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spans="1:26">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spans="1:26">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spans="1:26">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spans="1:26">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spans="1:26">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spans="1:26">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spans="1:26">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spans="1:26">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spans="1:26">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spans="1:26">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spans="1:26">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spans="1:26">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spans="1:26">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spans="1:26">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spans="1:26">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spans="1:26">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spans="1:26">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spans="1:26">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spans="1:26">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spans="1:26">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spans="1:26">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spans="1:26">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spans="1:26">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spans="1:26">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spans="1:26">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spans="1:26">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spans="1:26">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spans="1:26">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spans="1:26">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spans="1:26">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spans="1:26">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spans="1:26">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spans="1:26">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spans="1:26">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spans="1:26">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spans="1:26">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spans="1:26">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spans="1:26">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spans="1:26">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spans="1:26">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spans="1:26">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spans="1:26">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spans="1:26">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spans="1:26">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spans="1:26">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spans="1:26">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spans="1:26">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spans="1:26">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spans="1:26">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spans="1:26">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spans="1:26">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spans="1:26">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spans="1:26">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spans="1:26">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spans="1:26">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spans="1:26">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spans="1:26">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spans="1:26">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spans="1:26">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spans="1:26">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spans="1:26">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spans="1:26">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spans="1:26">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spans="1:26">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spans="1:26">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spans="1:26">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spans="1:26">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spans="1:26">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spans="1:26">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spans="1:26">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spans="1:26">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spans="1:26">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spans="1:26">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spans="1:26">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spans="1:26">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spans="1:26">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spans="1:26">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spans="1:26">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spans="1:26">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spans="1:26">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spans="1:26">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spans="1:26">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spans="1:26">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spans="1:26">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spans="1:26">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spans="1:26">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spans="1:26">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spans="1:26">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spans="1:26">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spans="1:26">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spans="1:26">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spans="1:26">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spans="1:26">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spans="1:26">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spans="1:26">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spans="1:26">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spans="1:26">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spans="1:26">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spans="1:26">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spans="1:26">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spans="1:26">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spans="1:26">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spans="1:26">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spans="1:26">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spans="1:26">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spans="1:26">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spans="1:26">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spans="1:26">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spans="1:26">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spans="1:26">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spans="1:26">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spans="1:26">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spans="1:26">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spans="1:26">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spans="1:26">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spans="1:26">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spans="1:26">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spans="1:26">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spans="1:26">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spans="1:26">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spans="1:26">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spans="1:26">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spans="1:26">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spans="1:26">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spans="1:26">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spans="1:26">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spans="1:26">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spans="1:26">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spans="1:26">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spans="1:26">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spans="1:26">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spans="1:26">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spans="1:26">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spans="1:26">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spans="1:26">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spans="1:26">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spans="1:26">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spans="1:26">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spans="1:26">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spans="1:26">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spans="1:26">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spans="1:26">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spans="1:26">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spans="1:26">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spans="1:26">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spans="1:26">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spans="1:26">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spans="1:26">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spans="1:26">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spans="1:26">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spans="1:26">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spans="1:26">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spans="1:26">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spans="1:26">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spans="1:26">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spans="1:26">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spans="1:26">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spans="1:26">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spans="1:26">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spans="1:26">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spans="1:26">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spans="1:26">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spans="1:26">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spans="1:26">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spans="1:26">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spans="1:26">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spans="1:26">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spans="1:26">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spans="1:26">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spans="1:26">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spans="1:26">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spans="1:26">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spans="1:26">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spans="1:26">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spans="1:26">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spans="1:26">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spans="1:26">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spans="1:26">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spans="1:26">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spans="1:26">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spans="1:26">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spans="1:26">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spans="1:26">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spans="1:26">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spans="1:26">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spans="1:26">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spans="1:26">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spans="1:26">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spans="1:26">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spans="1:26">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spans="1:26">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spans="1:26">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spans="1:26">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spans="1:26">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spans="1:26">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spans="1:26">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spans="1:26">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spans="1:26">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spans="1:26">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spans="1:26">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spans="1:26">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spans="1:26">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spans="1:26">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spans="1:26">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spans="1:26">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spans="1:26">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spans="1:26">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spans="1:26">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spans="1:26">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spans="1:26">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spans="1:26">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spans="1:26">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spans="1:26">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spans="1:26">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spans="1:26">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spans="1:26">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spans="1:26">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spans="1:26">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spans="1:26">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spans="1:26">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spans="1:26">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spans="1:26">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spans="1:26">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spans="1:26">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spans="1:26">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spans="1:26">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spans="1:26">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spans="1:26">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spans="1:26">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spans="1:26">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spans="1:26">
      <c r="A1000" s="135"/>
      <c r="B1000" s="135"/>
      <c r="C1000" s="135"/>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outlinePr summaryBelow="0" summaryRight="0"/>
  </sheetPr>
  <dimension ref="A1:Z1000"/>
  <sheetViews>
    <sheetView workbookViewId="0"/>
  </sheetViews>
  <sheetFormatPr defaultColWidth="12.625" defaultRowHeight="15" customHeight="1"/>
  <cols>
    <col min="1" max="1" width="39.75" customWidth="1"/>
    <col min="3" max="3" width="15.75" customWidth="1"/>
    <col min="4" max="4" width="39" customWidth="1"/>
    <col min="5" max="5" width="21.875" customWidth="1"/>
    <col min="6" max="6" width="16.75" customWidth="1"/>
    <col min="8" max="8" width="27.125" customWidth="1"/>
    <col min="10" max="10" width="56.375" customWidth="1"/>
  </cols>
  <sheetData>
    <row r="1" spans="1:26">
      <c r="A1" s="2" t="str">
        <f ca="1">IFERROR(__xludf.DUMMYFUNCTION("query('Data Set'!1:99931, ""Select A,B,X,Y,Z,F,G,H,I,J,K,L,M,N,O Where I = 'ONSITE'"",1)"),"Facility")</f>
        <v>Facility</v>
      </c>
      <c r="B1" s="2" t="str">
        <f ca="1">IFERROR(__xludf.DUMMYFUNCTION("""COMPUTED_VALUE"""),"Corporation")</f>
        <v>Corporation</v>
      </c>
      <c r="C1" s="2" t="str">
        <f ca="1">IFERROR(__xludf.DUMMYFUNCTION("""COMPUTED_VALUE"""),"Phone")</f>
        <v>Phone</v>
      </c>
      <c r="D1" s="2" t="str">
        <f ca="1">IFERROR(__xludf.DUMMYFUNCTION("""COMPUTED_VALUE"""),"Address 1")</f>
        <v>Address 1</v>
      </c>
      <c r="E1" s="2" t="str">
        <f ca="1">IFERROR(__xludf.DUMMYFUNCTION("""COMPUTED_VALUE"""),"Address 2")</f>
        <v>Address 2</v>
      </c>
      <c r="F1" s="2" t="str">
        <f ca="1">IFERROR(__xludf.DUMMYFUNCTION("""COMPUTED_VALUE"""),"Within 10 mi OPTUM")</f>
        <v>Within 10 mi OPTUM</v>
      </c>
      <c r="G1" s="2" t="str">
        <f ca="1">IFERROR(__xludf.DUMMYFUNCTION("""COMPUTED_VALUE"""),"Number of Staff")</f>
        <v>Number of Staff</v>
      </c>
      <c r="H1" s="2" t="str">
        <f ca="1">IFERROR(__xludf.DUMMYFUNCTION("""COMPUTED_VALUE"""),"Status")</f>
        <v>Status</v>
      </c>
      <c r="I1" s="2" t="str">
        <f ca="1">IFERROR(__xludf.DUMMYFUNCTION("""COMPUTED_VALUE"""),"Designation")</f>
        <v>Designation</v>
      </c>
      <c r="J1" s="2" t="str">
        <f ca="1">IFERROR(__xludf.DUMMYFUNCTION("""COMPUTED_VALUE"""),"Notes")</f>
        <v>Notes</v>
      </c>
      <c r="K1" s="2" t="str">
        <f ca="1">IFERROR(__xludf.DUMMYFUNCTION("""COMPUTED_VALUE"""),"No test kits")</f>
        <v>No test kits</v>
      </c>
      <c r="L1" s="2" t="str">
        <f ca="1">IFERROR(__xludf.DUMMYFUNCTION("""COMPUTED_VALUE"""),"Lack personnel to adminster test")</f>
        <v>Lack personnel to adminster test</v>
      </c>
      <c r="M1" s="2" t="str">
        <f ca="1">IFERROR(__xludf.DUMMYFUNCTION("""COMPUTED_VALUE"""),"No nearby testing sites")</f>
        <v>No nearby testing sites</v>
      </c>
      <c r="N1" s="2" t="str">
        <f ca="1">IFERROR(__xludf.DUMMYFUNCTION("""COMPUTED_VALUE"""),"Not enough PPE")</f>
        <v>Not enough PPE</v>
      </c>
      <c r="O1" s="2" t="str">
        <f ca="1">IFERROR(__xludf.DUMMYFUNCTION("""COMPUTED_VALUE"""),"No established relationship with lab")</f>
        <v>No established relationship with lab</v>
      </c>
      <c r="P1" s="2"/>
      <c r="Q1" s="2"/>
      <c r="R1" s="2"/>
      <c r="S1" s="2"/>
      <c r="T1" s="2"/>
      <c r="U1" s="2"/>
      <c r="V1" s="2"/>
      <c r="W1" s="2"/>
      <c r="X1" s="2"/>
      <c r="Y1" s="2"/>
      <c r="Z1" s="2"/>
    </row>
    <row r="2" spans="1:26">
      <c r="A2" s="135" t="str">
        <f ca="1">IFERROR(__xludf.DUMMYFUNCTION("""COMPUTED_VALUE"""),"Aperion Care Angola")</f>
        <v>Aperion Care Angola</v>
      </c>
      <c r="B2" s="135" t="str">
        <f ca="1">IFERROR(__xludf.DUMMYFUNCTION("""COMPUTED_VALUE"""),"Aperion Care")</f>
        <v>Aperion Care</v>
      </c>
      <c r="C2" s="135" t="str">
        <f ca="1">IFERROR(__xludf.DUMMYFUNCTION("""COMPUTED_VALUE"""),"   Tel: (260)665-2161")</f>
        <v xml:space="preserve">   Tel: (260)665-2161</v>
      </c>
      <c r="D2" s="135" t="str">
        <f ca="1">IFERROR(__xludf.DUMMYFUNCTION("""COMPUTED_VALUE"""),"   500 N Williams St")</f>
        <v xml:space="preserve">   500 N Williams St</v>
      </c>
      <c r="E2" s="135" t="str">
        <f ca="1">IFERROR(__xludf.DUMMYFUNCTION("""COMPUTED_VALUE"""),"   Angola, In 46703")</f>
        <v xml:space="preserve">   Angola, In 46703</v>
      </c>
      <c r="F2" s="135" t="str">
        <f ca="1">IFERROR(__xludf.DUMMYFUNCTION("""COMPUTED_VALUE"""),"")</f>
        <v/>
      </c>
      <c r="G2" s="135">
        <f ca="1">IFERROR(__xludf.DUMMYFUNCTION("""COMPUTED_VALUE"""),100)</f>
        <v>100</v>
      </c>
      <c r="H2" s="135" t="str">
        <f ca="1">IFERROR(__xludf.DUMMYFUNCTION("""COMPUTED_VALUE"""),"Other/Need State Resources to help")</f>
        <v>Other/Need State Resources to help</v>
      </c>
      <c r="I2" s="135" t="str">
        <f ca="1">IFERROR(__xludf.DUMMYFUNCTION("""COMPUTED_VALUE"""),"ONSITE")</f>
        <v>ONSITE</v>
      </c>
      <c r="J2" s="135" t="str">
        <f ca="1">IFERROR(__xludf.DUMMYFUNCTION("""COMPUTED_VALUE"""),"")</f>
        <v/>
      </c>
      <c r="K2" s="135">
        <f ca="1">IFERROR(__xludf.DUMMYFUNCTION("""COMPUTED_VALUE"""),0)</f>
        <v>0</v>
      </c>
      <c r="L2" s="135">
        <f ca="1">IFERROR(__xludf.DUMMYFUNCTION("""COMPUTED_VALUE"""),0)</f>
        <v>0</v>
      </c>
      <c r="M2" s="135">
        <f ca="1">IFERROR(__xludf.DUMMYFUNCTION("""COMPUTED_VALUE"""),0)</f>
        <v>0</v>
      </c>
      <c r="N2" s="135">
        <f ca="1">IFERROR(__xludf.DUMMYFUNCTION("""COMPUTED_VALUE"""),0)</f>
        <v>0</v>
      </c>
      <c r="O2" s="135">
        <f ca="1">IFERROR(__xludf.DUMMYFUNCTION("""COMPUTED_VALUE"""),0)</f>
        <v>0</v>
      </c>
      <c r="P2" s="135"/>
      <c r="Q2" s="135"/>
      <c r="R2" s="135"/>
      <c r="S2" s="135"/>
      <c r="T2" s="135"/>
      <c r="U2" s="135"/>
      <c r="V2" s="135"/>
      <c r="W2" s="135"/>
      <c r="X2" s="135"/>
      <c r="Y2" s="135"/>
      <c r="Z2" s="135"/>
    </row>
    <row r="3" spans="1:26">
      <c r="A3" s="135" t="str">
        <f ca="1">IFERROR(__xludf.DUMMYFUNCTION("""COMPUTED_VALUE"""),"Aster Place")</f>
        <v>Aster Place</v>
      </c>
      <c r="B3" s="135" t="str">
        <f ca="1">IFERROR(__xludf.DUMMYFUNCTION("""COMPUTED_VALUE"""),"ASC")</f>
        <v>ASC</v>
      </c>
      <c r="C3" s="135" t="str">
        <f ca="1">IFERROR(__xludf.DUMMYFUNCTION("""COMPUTED_VALUE"""),"(765) 446-3540")</f>
        <v>(765) 446-3540</v>
      </c>
      <c r="D3" s="135" t="str">
        <f ca="1">IFERROR(__xludf.DUMMYFUNCTION("""COMPUTED_VALUE"""),"741 Park E Blvd")</f>
        <v>741 Park E Blvd</v>
      </c>
      <c r="E3" s="135" t="str">
        <f ca="1">IFERROR(__xludf.DUMMYFUNCTION("""COMPUTED_VALUE"""),"Lafayette, In  47905")</f>
        <v>Lafayette, In  47905</v>
      </c>
      <c r="F3" s="135" t="str">
        <f ca="1">IFERROR(__xludf.DUMMYFUNCTION("""COMPUTED_VALUE"""),"")</f>
        <v/>
      </c>
      <c r="G3" s="135">
        <f ca="1">IFERROR(__xludf.DUMMYFUNCTION("""COMPUTED_VALUE"""),70)</f>
        <v>70</v>
      </c>
      <c r="H3" s="135" t="str">
        <f ca="1">IFERROR(__xludf.DUMMYFUNCTION("""COMPUTED_VALUE"""),"Cannot Accomplish")</f>
        <v>Cannot Accomplish</v>
      </c>
      <c r="I3" s="135" t="str">
        <f ca="1">IFERROR(__xludf.DUMMYFUNCTION("""COMPUTED_VALUE"""),"ONSITE")</f>
        <v>ONSITE</v>
      </c>
      <c r="J3" s="135" t="str">
        <f ca="1">IFERROR(__xludf.DUMMYFUNCTION("""COMPUTED_VALUE"""),"")</f>
        <v/>
      </c>
      <c r="K3" s="135">
        <f ca="1">IFERROR(__xludf.DUMMYFUNCTION("""COMPUTED_VALUE"""),1)</f>
        <v>1</v>
      </c>
      <c r="L3" s="135">
        <f ca="1">IFERROR(__xludf.DUMMYFUNCTION("""COMPUTED_VALUE"""),0)</f>
        <v>0</v>
      </c>
      <c r="M3" s="135">
        <f ca="1">IFERROR(__xludf.DUMMYFUNCTION("""COMPUTED_VALUE"""),0)</f>
        <v>0</v>
      </c>
      <c r="N3" s="135">
        <f ca="1">IFERROR(__xludf.DUMMYFUNCTION("""COMPUTED_VALUE"""),0)</f>
        <v>0</v>
      </c>
      <c r="O3" s="135">
        <f ca="1">IFERROR(__xludf.DUMMYFUNCTION("""COMPUTED_VALUE"""),0)</f>
        <v>0</v>
      </c>
      <c r="P3" s="135"/>
      <c r="Q3" s="135"/>
      <c r="R3" s="135"/>
      <c r="S3" s="135"/>
      <c r="T3" s="135"/>
      <c r="U3" s="135"/>
      <c r="V3" s="135"/>
      <c r="W3" s="135"/>
      <c r="X3" s="135"/>
      <c r="Y3" s="135"/>
      <c r="Z3" s="135"/>
    </row>
    <row r="4" spans="1:26">
      <c r="A4" s="135" t="str">
        <f ca="1">IFERROR(__xludf.DUMMYFUNCTION("""COMPUTED_VALUE"""),"Bethel Manor")</f>
        <v>Bethel Manor</v>
      </c>
      <c r="B4" s="135" t="str">
        <f ca="1">IFERROR(__xludf.DUMMYFUNCTION("""COMPUTED_VALUE"""),"")</f>
        <v/>
      </c>
      <c r="C4" s="135" t="str">
        <f ca="1">IFERROR(__xludf.DUMMYFUNCTION("""COMPUTED_VALUE"""),"   Tel: (812)425-8182")</f>
        <v xml:space="preserve">   Tel: (812)425-8182</v>
      </c>
      <c r="D4" s="135" t="str">
        <f ca="1">IFERROR(__xludf.DUMMYFUNCTION("""COMPUTED_VALUE"""),"   6015 Kratzville Rd")</f>
        <v xml:space="preserve">   6015 Kratzville Rd</v>
      </c>
      <c r="E4" s="135" t="str">
        <f ca="1">IFERROR(__xludf.DUMMYFUNCTION("""COMPUTED_VALUE"""),"   Evansville, In 47710")</f>
        <v xml:space="preserve">   Evansville, In 47710</v>
      </c>
      <c r="F4" s="135" t="str">
        <f ca="1">IFERROR(__xludf.DUMMYFUNCTION("""COMPUTED_VALUE"""),"")</f>
        <v/>
      </c>
      <c r="G4" s="135">
        <f ca="1">IFERROR(__xludf.DUMMYFUNCTION("""COMPUTED_VALUE"""),100)</f>
        <v>100</v>
      </c>
      <c r="H4" s="135" t="str">
        <f ca="1">IFERROR(__xludf.DUMMYFUNCTION("""COMPUTED_VALUE"""),"Other/Need State Resources to help")</f>
        <v>Other/Need State Resources to help</v>
      </c>
      <c r="I4" s="135" t="str">
        <f ca="1">IFERROR(__xludf.DUMMYFUNCTION("""COMPUTED_VALUE"""),"ONSITE")</f>
        <v>ONSITE</v>
      </c>
      <c r="J4" s="135" t="str">
        <f ca="1">IFERROR(__xludf.DUMMYFUNCTION("""COMPUTED_VALUE"""),"")</f>
        <v/>
      </c>
      <c r="K4" s="135">
        <f ca="1">IFERROR(__xludf.DUMMYFUNCTION("""COMPUTED_VALUE"""),1)</f>
        <v>1</v>
      </c>
      <c r="L4" s="135">
        <f ca="1">IFERROR(__xludf.DUMMYFUNCTION("""COMPUTED_VALUE"""),0)</f>
        <v>0</v>
      </c>
      <c r="M4" s="135">
        <f ca="1">IFERROR(__xludf.DUMMYFUNCTION("""COMPUTED_VALUE"""),0)</f>
        <v>0</v>
      </c>
      <c r="N4" s="135">
        <f ca="1">IFERROR(__xludf.DUMMYFUNCTION("""COMPUTED_VALUE"""),0)</f>
        <v>0</v>
      </c>
      <c r="O4" s="135">
        <f ca="1">IFERROR(__xludf.DUMMYFUNCTION("""COMPUTED_VALUE"""),0)</f>
        <v>0</v>
      </c>
      <c r="P4" s="135"/>
      <c r="Q4" s="135"/>
      <c r="R4" s="135"/>
      <c r="S4" s="135"/>
      <c r="T4" s="135"/>
      <c r="U4" s="135"/>
      <c r="V4" s="135"/>
      <c r="W4" s="135"/>
      <c r="X4" s="135"/>
      <c r="Y4" s="135"/>
      <c r="Z4" s="135"/>
    </row>
    <row r="5" spans="1:26">
      <c r="A5" s="135" t="str">
        <f ca="1">IFERROR(__xludf.DUMMYFUNCTION("""COMPUTED_VALUE"""),"Bloomington Nursing And Rehabilitation Center")</f>
        <v>Bloomington Nursing And Rehabilitation Center</v>
      </c>
      <c r="B5" s="135" t="str">
        <f ca="1">IFERROR(__xludf.DUMMYFUNCTION("""COMPUTED_VALUE"""),"Chosen")</f>
        <v>Chosen</v>
      </c>
      <c r="C5" s="135" t="str">
        <f ca="1">IFERROR(__xludf.DUMMYFUNCTION("""COMPUTED_VALUE"""),"   Tel: (812)336-1055")</f>
        <v xml:space="preserve">   Tel: (812)336-1055</v>
      </c>
      <c r="D5" s="135" t="str">
        <f ca="1">IFERROR(__xludf.DUMMYFUNCTION("""COMPUTED_VALUE"""),"   120 E Miller Dr")</f>
        <v xml:space="preserve">   120 E Miller Dr</v>
      </c>
      <c r="E5" s="135" t="str">
        <f ca="1">IFERROR(__xludf.DUMMYFUNCTION("""COMPUTED_VALUE"""),"   Bloomington, In 47401")</f>
        <v xml:space="preserve">   Bloomington, In 47401</v>
      </c>
      <c r="F5" s="135" t="str">
        <f ca="1">IFERROR(__xludf.DUMMYFUNCTION("""COMPUTED_VALUE"""),"")</f>
        <v/>
      </c>
      <c r="G5" s="135">
        <f ca="1">IFERROR(__xludf.DUMMYFUNCTION("""COMPUTED_VALUE"""),36)</f>
        <v>36</v>
      </c>
      <c r="H5" s="135" t="str">
        <f ca="1">IFERROR(__xludf.DUMMYFUNCTION("""COMPUTED_VALUE"""),"Cannot Accomplish")</f>
        <v>Cannot Accomplish</v>
      </c>
      <c r="I5" s="135" t="str">
        <f ca="1">IFERROR(__xludf.DUMMYFUNCTION("""COMPUTED_VALUE"""),"ONSITE")</f>
        <v>ONSITE</v>
      </c>
      <c r="J5" s="135" t="str">
        <f ca="1">IFERROR(__xludf.DUMMYFUNCTION("""COMPUTED_VALUE"""),"")</f>
        <v/>
      </c>
      <c r="K5" s="135">
        <f ca="1">IFERROR(__xludf.DUMMYFUNCTION("""COMPUTED_VALUE"""),1)</f>
        <v>1</v>
      </c>
      <c r="L5" s="135">
        <f ca="1">IFERROR(__xludf.DUMMYFUNCTION("""COMPUTED_VALUE"""),0)</f>
        <v>0</v>
      </c>
      <c r="M5" s="135">
        <f ca="1">IFERROR(__xludf.DUMMYFUNCTION("""COMPUTED_VALUE"""),0)</f>
        <v>0</v>
      </c>
      <c r="N5" s="135">
        <f ca="1">IFERROR(__xludf.DUMMYFUNCTION("""COMPUTED_VALUE"""),0)</f>
        <v>0</v>
      </c>
      <c r="O5" s="135">
        <f ca="1">IFERROR(__xludf.DUMMYFUNCTION("""COMPUTED_VALUE"""),0)</f>
        <v>0</v>
      </c>
      <c r="P5" s="135"/>
      <c r="Q5" s="135"/>
      <c r="R5" s="135"/>
      <c r="S5" s="135"/>
      <c r="T5" s="135"/>
      <c r="U5" s="135"/>
      <c r="V5" s="135"/>
      <c r="W5" s="135"/>
      <c r="X5" s="135"/>
      <c r="Y5" s="135"/>
      <c r="Z5" s="135"/>
    </row>
    <row r="6" spans="1:26">
      <c r="A6" s="135" t="str">
        <f ca="1">IFERROR(__xludf.DUMMYFUNCTION("""COMPUTED_VALUE"""),"Bridgewater Healthcare Center")</f>
        <v>Bridgewater Healthcare Center</v>
      </c>
      <c r="B6" s="135" t="str">
        <f ca="1">IFERROR(__xludf.DUMMYFUNCTION("""COMPUTED_VALUE"""),"CommuniCare")</f>
        <v>CommuniCare</v>
      </c>
      <c r="C6" s="135" t="str">
        <f ca="1">IFERROR(__xludf.DUMMYFUNCTION("""COMPUTED_VALUE"""),"   Tel: (317)575-2208")</f>
        <v xml:space="preserve">   Tel: (317)575-2208</v>
      </c>
      <c r="D6" s="135" t="str">
        <f ca="1">IFERROR(__xludf.DUMMYFUNCTION("""COMPUTED_VALUE"""),"   14751 Carey Road")</f>
        <v xml:space="preserve">   14751 Carey Road</v>
      </c>
      <c r="E6" s="135" t="str">
        <f ca="1">IFERROR(__xludf.DUMMYFUNCTION("""COMPUTED_VALUE"""),"   Carmel, In 46033")</f>
        <v xml:space="preserve">   Carmel, In 46033</v>
      </c>
      <c r="F6" s="135" t="str">
        <f ca="1">IFERROR(__xludf.DUMMYFUNCTION("""COMPUTED_VALUE"""),"")</f>
        <v/>
      </c>
      <c r="G6" s="135">
        <f ca="1">IFERROR(__xludf.DUMMYFUNCTION("""COMPUTED_VALUE"""),160)</f>
        <v>160</v>
      </c>
      <c r="H6" s="135" t="str">
        <f ca="1">IFERROR(__xludf.DUMMYFUNCTION("""COMPUTED_VALUE"""),"Cannot Accomplish")</f>
        <v>Cannot Accomplish</v>
      </c>
      <c r="I6" s="135" t="str">
        <f ca="1">IFERROR(__xludf.DUMMYFUNCTION("""COMPUTED_VALUE"""),"ONSITE")</f>
        <v>ONSITE</v>
      </c>
      <c r="J6" s="135" t="str">
        <f ca="1">IFERROR(__xludf.DUMMYFUNCTION("""COMPUTED_VALUE"""),"")</f>
        <v/>
      </c>
      <c r="K6" s="135">
        <f ca="1">IFERROR(__xludf.DUMMYFUNCTION("""COMPUTED_VALUE"""),1)</f>
        <v>1</v>
      </c>
      <c r="L6" s="135">
        <f ca="1">IFERROR(__xludf.DUMMYFUNCTION("""COMPUTED_VALUE"""),0)</f>
        <v>0</v>
      </c>
      <c r="M6" s="135">
        <f ca="1">IFERROR(__xludf.DUMMYFUNCTION("""COMPUTED_VALUE"""),0)</f>
        <v>0</v>
      </c>
      <c r="N6" s="135">
        <f ca="1">IFERROR(__xludf.DUMMYFUNCTION("""COMPUTED_VALUE"""),0)</f>
        <v>0</v>
      </c>
      <c r="O6" s="135">
        <f ca="1">IFERROR(__xludf.DUMMYFUNCTION("""COMPUTED_VALUE"""),0)</f>
        <v>0</v>
      </c>
      <c r="P6" s="135"/>
      <c r="Q6" s="135"/>
      <c r="R6" s="135"/>
      <c r="S6" s="135"/>
      <c r="T6" s="135"/>
      <c r="U6" s="135"/>
      <c r="V6" s="135"/>
      <c r="W6" s="135"/>
      <c r="X6" s="135"/>
      <c r="Y6" s="135"/>
      <c r="Z6" s="135"/>
    </row>
    <row r="7" spans="1:26">
      <c r="A7" s="135" t="str">
        <f ca="1">IFERROR(__xludf.DUMMYFUNCTION("""COMPUTED_VALUE"""),"Brownsburg Health Care Center")</f>
        <v>Brownsburg Health Care Center</v>
      </c>
      <c r="B7" s="135" t="str">
        <f ca="1">IFERROR(__xludf.DUMMYFUNCTION("""COMPUTED_VALUE"""),"")</f>
        <v/>
      </c>
      <c r="C7" s="135" t="str">
        <f ca="1">IFERROR(__xludf.DUMMYFUNCTION("""COMPUTED_VALUE"""),"   Tel: (317)852-3123")</f>
        <v xml:space="preserve">   Tel: (317)852-3123</v>
      </c>
      <c r="D7" s="135" t="str">
        <f ca="1">IFERROR(__xludf.DUMMYFUNCTION("""COMPUTED_VALUE"""),"   1010 Hornaday Rd")</f>
        <v xml:space="preserve">   1010 Hornaday Rd</v>
      </c>
      <c r="E7" s="135" t="str">
        <f ca="1">IFERROR(__xludf.DUMMYFUNCTION("""COMPUTED_VALUE"""),"   Brownsburg, In 46112")</f>
        <v xml:space="preserve">   Brownsburg, In 46112</v>
      </c>
      <c r="F7" s="135" t="str">
        <f ca="1">IFERROR(__xludf.DUMMYFUNCTION("""COMPUTED_VALUE"""),"")</f>
        <v/>
      </c>
      <c r="G7" s="135">
        <f ca="1">IFERROR(__xludf.DUMMYFUNCTION("""COMPUTED_VALUE"""),100)</f>
        <v>100</v>
      </c>
      <c r="H7" s="135" t="str">
        <f ca="1">IFERROR(__xludf.DUMMYFUNCTION("""COMPUTED_VALUE"""),"Cannot Accomplish")</f>
        <v>Cannot Accomplish</v>
      </c>
      <c r="I7" s="135" t="str">
        <f ca="1">IFERROR(__xludf.DUMMYFUNCTION("""COMPUTED_VALUE"""),"ONSITE")</f>
        <v>ONSITE</v>
      </c>
      <c r="J7" s="135" t="str">
        <f ca="1">IFERROR(__xludf.DUMMYFUNCTION("""COMPUTED_VALUE"""),"")</f>
        <v/>
      </c>
      <c r="K7" s="135">
        <f ca="1">IFERROR(__xludf.DUMMYFUNCTION("""COMPUTED_VALUE"""),1)</f>
        <v>1</v>
      </c>
      <c r="L7" s="135">
        <f ca="1">IFERROR(__xludf.DUMMYFUNCTION("""COMPUTED_VALUE"""),1)</f>
        <v>1</v>
      </c>
      <c r="M7" s="135">
        <f ca="1">IFERROR(__xludf.DUMMYFUNCTION("""COMPUTED_VALUE"""),0)</f>
        <v>0</v>
      </c>
      <c r="N7" s="135">
        <f ca="1">IFERROR(__xludf.DUMMYFUNCTION("""COMPUTED_VALUE"""),1)</f>
        <v>1</v>
      </c>
      <c r="O7" s="135">
        <f ca="1">IFERROR(__xludf.DUMMYFUNCTION("""COMPUTED_VALUE"""),1)</f>
        <v>1</v>
      </c>
      <c r="P7" s="135"/>
      <c r="Q7" s="135"/>
      <c r="R7" s="135"/>
      <c r="S7" s="135"/>
      <c r="T7" s="135"/>
      <c r="U7" s="135"/>
      <c r="V7" s="135"/>
      <c r="W7" s="135"/>
      <c r="X7" s="135"/>
      <c r="Y7" s="135"/>
      <c r="Z7" s="135"/>
    </row>
    <row r="8" spans="1:26">
      <c r="A8" s="135" t="str">
        <f ca="1">IFERROR(__xludf.DUMMYFUNCTION("""COMPUTED_VALUE"""),"Byron Health Center")</f>
        <v>Byron Health Center</v>
      </c>
      <c r="B8" s="135" t="str">
        <f ca="1">IFERROR(__xludf.DUMMYFUNCTION("""COMPUTED_VALUE"""),"")</f>
        <v/>
      </c>
      <c r="C8" s="135" t="str">
        <f ca="1">IFERROR(__xludf.DUMMYFUNCTION("""COMPUTED_VALUE"""),"   Tel: (260)637-3166")</f>
        <v xml:space="preserve">   Tel: (260)637-3166</v>
      </c>
      <c r="D8" s="135" t="str">
        <f ca="1">IFERROR(__xludf.DUMMYFUNCTION("""COMPUTED_VALUE"""),"   12101 Lima Rd")</f>
        <v xml:space="preserve">   12101 Lima Rd</v>
      </c>
      <c r="E8" s="135" t="str">
        <f ca="1">IFERROR(__xludf.DUMMYFUNCTION("""COMPUTED_VALUE"""),"   Fort Wayne, In 46818")</f>
        <v xml:space="preserve">   Fort Wayne, In 46818</v>
      </c>
      <c r="F8" s="135" t="str">
        <f ca="1">IFERROR(__xludf.DUMMYFUNCTION("""COMPUTED_VALUE"""),"")</f>
        <v/>
      </c>
      <c r="G8" s="135">
        <f ca="1">IFERROR(__xludf.DUMMYFUNCTION("""COMPUTED_VALUE"""),140)</f>
        <v>140</v>
      </c>
      <c r="H8" s="135" t="str">
        <f ca="1">IFERROR(__xludf.DUMMYFUNCTION("""COMPUTED_VALUE"""),"Cannot Accomplish")</f>
        <v>Cannot Accomplish</v>
      </c>
      <c r="I8" s="135" t="str">
        <f ca="1">IFERROR(__xludf.DUMMYFUNCTION("""COMPUTED_VALUE"""),"ONSITE")</f>
        <v>ONSITE</v>
      </c>
      <c r="J8" s="135" t="str">
        <f ca="1">IFERROR(__xludf.DUMMYFUNCTION("""COMPUTED_VALUE"""),"")</f>
        <v/>
      </c>
      <c r="K8" s="135">
        <f ca="1">IFERROR(__xludf.DUMMYFUNCTION("""COMPUTED_VALUE"""),1)</f>
        <v>1</v>
      </c>
      <c r="L8" s="135">
        <f ca="1">IFERROR(__xludf.DUMMYFUNCTION("""COMPUTED_VALUE"""),1)</f>
        <v>1</v>
      </c>
      <c r="M8" s="135">
        <f ca="1">IFERROR(__xludf.DUMMYFUNCTION("""COMPUTED_VALUE"""),1)</f>
        <v>1</v>
      </c>
      <c r="N8" s="135">
        <f ca="1">IFERROR(__xludf.DUMMYFUNCTION("""COMPUTED_VALUE"""),1)</f>
        <v>1</v>
      </c>
      <c r="O8" s="135">
        <f ca="1">IFERROR(__xludf.DUMMYFUNCTION("""COMPUTED_VALUE"""),0)</f>
        <v>0</v>
      </c>
      <c r="P8" s="135"/>
      <c r="Q8" s="135"/>
      <c r="R8" s="135"/>
      <c r="S8" s="135"/>
      <c r="T8" s="135"/>
      <c r="U8" s="135"/>
      <c r="V8" s="135"/>
      <c r="W8" s="135"/>
      <c r="X8" s="135"/>
      <c r="Y8" s="135"/>
      <c r="Z8" s="135"/>
    </row>
    <row r="9" spans="1:26">
      <c r="A9" s="135" t="str">
        <f ca="1">IFERROR(__xludf.DUMMYFUNCTION("""COMPUTED_VALUE"""),"Castleton Health Care Center")</f>
        <v>Castleton Health Care Center</v>
      </c>
      <c r="B9" s="135" t="str">
        <f ca="1">IFERROR(__xludf.DUMMYFUNCTION("""COMPUTED_VALUE"""),"")</f>
        <v/>
      </c>
      <c r="C9" s="135" t="str">
        <f ca="1">IFERROR(__xludf.DUMMYFUNCTION("""COMPUTED_VALUE"""),"   Tel: (317)845-0032")</f>
        <v xml:space="preserve">   Tel: (317)845-0032</v>
      </c>
      <c r="D9" s="135" t="str">
        <f ca="1">IFERROR(__xludf.DUMMYFUNCTION("""COMPUTED_VALUE"""),"   7630 E 86Th St")</f>
        <v xml:space="preserve">   7630 E 86Th St</v>
      </c>
      <c r="E9" s="135" t="str">
        <f ca="1">IFERROR(__xludf.DUMMYFUNCTION("""COMPUTED_VALUE"""),"   Indianapolis, In 46256")</f>
        <v xml:space="preserve">   Indianapolis, In 46256</v>
      </c>
      <c r="F9" s="135" t="str">
        <f ca="1">IFERROR(__xludf.DUMMYFUNCTION("""COMPUTED_VALUE"""),"")</f>
        <v/>
      </c>
      <c r="G9" s="135">
        <f ca="1">IFERROR(__xludf.DUMMYFUNCTION("""COMPUTED_VALUE"""),57)</f>
        <v>57</v>
      </c>
      <c r="H9" s="135" t="str">
        <f ca="1">IFERROR(__xludf.DUMMYFUNCTION("""COMPUTED_VALUE"""),"Cannot Accomplish")</f>
        <v>Cannot Accomplish</v>
      </c>
      <c r="I9" s="135" t="str">
        <f ca="1">IFERROR(__xludf.DUMMYFUNCTION("""COMPUTED_VALUE"""),"ONSITE")</f>
        <v>ONSITE</v>
      </c>
      <c r="J9" s="135" t="str">
        <f ca="1">IFERROR(__xludf.DUMMYFUNCTION("""COMPUTED_VALUE"""),"")</f>
        <v/>
      </c>
      <c r="K9" s="135">
        <f ca="1">IFERROR(__xludf.DUMMYFUNCTION("""COMPUTED_VALUE"""),1)</f>
        <v>1</v>
      </c>
      <c r="L9" s="135">
        <f ca="1">IFERROR(__xludf.DUMMYFUNCTION("""COMPUTED_VALUE"""),1)</f>
        <v>1</v>
      </c>
      <c r="M9" s="135">
        <f ca="1">IFERROR(__xludf.DUMMYFUNCTION("""COMPUTED_VALUE"""),0)</f>
        <v>0</v>
      </c>
      <c r="N9" s="135">
        <f ca="1">IFERROR(__xludf.DUMMYFUNCTION("""COMPUTED_VALUE"""),1)</f>
        <v>1</v>
      </c>
      <c r="O9" s="135">
        <f ca="1">IFERROR(__xludf.DUMMYFUNCTION("""COMPUTED_VALUE"""),1)</f>
        <v>1</v>
      </c>
      <c r="P9" s="135"/>
      <c r="Q9" s="135"/>
      <c r="R9" s="135"/>
      <c r="S9" s="135"/>
      <c r="T9" s="135"/>
      <c r="U9" s="135"/>
      <c r="V9" s="135"/>
      <c r="W9" s="135"/>
      <c r="X9" s="135"/>
      <c r="Y9" s="135"/>
      <c r="Z9" s="135"/>
    </row>
    <row r="10" spans="1:26">
      <c r="A10" s="135" t="str">
        <f ca="1">IFERROR(__xludf.DUMMYFUNCTION("""COMPUTED_VALUE"""),"Chase Center")</f>
        <v>Chase Center</v>
      </c>
      <c r="B10" s="135" t="str">
        <f ca="1">IFERROR(__xludf.DUMMYFUNCTION("""COMPUTED_VALUE"""),"")</f>
        <v/>
      </c>
      <c r="C10" s="135" t="str">
        <f ca="1">IFERROR(__xludf.DUMMYFUNCTION("""COMPUTED_VALUE"""),"   Tel: (574)753-4137")</f>
        <v xml:space="preserve">   Tel: (574)753-4137</v>
      </c>
      <c r="D10" s="135" t="str">
        <f ca="1">IFERROR(__xludf.DUMMYFUNCTION("""COMPUTED_VALUE"""),"   2 Chase Park")</f>
        <v xml:space="preserve">   2 Chase Park</v>
      </c>
      <c r="E10" s="135" t="str">
        <f ca="1">IFERROR(__xludf.DUMMYFUNCTION("""COMPUTED_VALUE"""),"   Logansport, In 46947")</f>
        <v xml:space="preserve">   Logansport, In 46947</v>
      </c>
      <c r="F10" s="135" t="str">
        <f ca="1">IFERROR(__xludf.DUMMYFUNCTION("""COMPUTED_VALUE"""),"")</f>
        <v/>
      </c>
      <c r="G10" s="135">
        <f ca="1">IFERROR(__xludf.DUMMYFUNCTION("""COMPUTED_VALUE"""),90)</f>
        <v>90</v>
      </c>
      <c r="H10" s="135" t="str">
        <f ca="1">IFERROR(__xludf.DUMMYFUNCTION("""COMPUTED_VALUE"""),"Other/Need State Resources to help")</f>
        <v>Other/Need State Resources to help</v>
      </c>
      <c r="I10" s="135" t="str">
        <f ca="1">IFERROR(__xludf.DUMMYFUNCTION("""COMPUTED_VALUE"""),"ONSITE")</f>
        <v>ONSITE</v>
      </c>
      <c r="J10" s="135" t="str">
        <f ca="1">IFERROR(__xludf.DUMMYFUNCTION("""COMPUTED_VALUE"""),"")</f>
        <v/>
      </c>
      <c r="K10" s="135">
        <f ca="1">IFERROR(__xludf.DUMMYFUNCTION("""COMPUTED_VALUE"""),0)</f>
        <v>0</v>
      </c>
      <c r="L10" s="135">
        <f ca="1">IFERROR(__xludf.DUMMYFUNCTION("""COMPUTED_VALUE"""),0)</f>
        <v>0</v>
      </c>
      <c r="M10" s="135">
        <f ca="1">IFERROR(__xludf.DUMMYFUNCTION("""COMPUTED_VALUE"""),0)</f>
        <v>0</v>
      </c>
      <c r="N10" s="135">
        <f ca="1">IFERROR(__xludf.DUMMYFUNCTION("""COMPUTED_VALUE"""),0)</f>
        <v>0</v>
      </c>
      <c r="O10" s="135">
        <f ca="1">IFERROR(__xludf.DUMMYFUNCTION("""COMPUTED_VALUE"""),0)</f>
        <v>0</v>
      </c>
      <c r="P10" s="135"/>
      <c r="Q10" s="135"/>
      <c r="R10" s="135"/>
      <c r="S10" s="135"/>
      <c r="T10" s="135"/>
      <c r="U10" s="135"/>
      <c r="V10" s="135"/>
      <c r="W10" s="135"/>
      <c r="X10" s="135"/>
      <c r="Y10" s="135"/>
      <c r="Z10" s="135"/>
    </row>
    <row r="11" spans="1:26">
      <c r="A11" s="135" t="str">
        <f ca="1">IFERROR(__xludf.DUMMYFUNCTION("""COMPUTED_VALUE"""),"Crown Point Christian Village")</f>
        <v>Crown Point Christian Village</v>
      </c>
      <c r="B11" s="135" t="str">
        <f ca="1">IFERROR(__xludf.DUMMYFUNCTION("""COMPUTED_VALUE"""),"")</f>
        <v/>
      </c>
      <c r="C11" s="135" t="str">
        <f ca="1">IFERROR(__xludf.DUMMYFUNCTION("""COMPUTED_VALUE"""),"   Tel: (219)662-0642")</f>
        <v xml:space="preserve">   Tel: (219)662-0642</v>
      </c>
      <c r="D11" s="135" t="str">
        <f ca="1">IFERROR(__xludf.DUMMYFUNCTION("""COMPUTED_VALUE"""),"   6685 East 117Th Avenue")</f>
        <v xml:space="preserve">   6685 East 117Th Avenue</v>
      </c>
      <c r="E11" s="135" t="str">
        <f ca="1">IFERROR(__xludf.DUMMYFUNCTION("""COMPUTED_VALUE"""),"   Crown Point, In 46307")</f>
        <v xml:space="preserve">   Crown Point, In 46307</v>
      </c>
      <c r="F11" s="135" t="str">
        <f ca="1">IFERROR(__xludf.DUMMYFUNCTION("""COMPUTED_VALUE"""),"")</f>
        <v/>
      </c>
      <c r="G11" s="135">
        <f ca="1">IFERROR(__xludf.DUMMYFUNCTION("""COMPUTED_VALUE"""),169)</f>
        <v>169</v>
      </c>
      <c r="H11" s="135" t="str">
        <f ca="1">IFERROR(__xludf.DUMMYFUNCTION("""COMPUTED_VALUE"""),"Other/Need State Resources to help")</f>
        <v>Other/Need State Resources to help</v>
      </c>
      <c r="I11" s="135" t="str">
        <f ca="1">IFERROR(__xludf.DUMMYFUNCTION("""COMPUTED_VALUE"""),"ONSITE")</f>
        <v>ONSITE</v>
      </c>
      <c r="J11" s="135" t="str">
        <f ca="1">IFERROR(__xludf.DUMMYFUNCTION("""COMPUTED_VALUE"""),"")</f>
        <v/>
      </c>
      <c r="K11" s="135">
        <f ca="1">IFERROR(__xludf.DUMMYFUNCTION("""COMPUTED_VALUE"""),1)</f>
        <v>1</v>
      </c>
      <c r="L11" s="135">
        <f ca="1">IFERROR(__xludf.DUMMYFUNCTION("""COMPUTED_VALUE"""),0)</f>
        <v>0</v>
      </c>
      <c r="M11" s="135">
        <f ca="1">IFERROR(__xludf.DUMMYFUNCTION("""COMPUTED_VALUE"""),0)</f>
        <v>0</v>
      </c>
      <c r="N11" s="135">
        <f ca="1">IFERROR(__xludf.DUMMYFUNCTION("""COMPUTED_VALUE"""),0)</f>
        <v>0</v>
      </c>
      <c r="O11" s="135">
        <f ca="1">IFERROR(__xludf.DUMMYFUNCTION("""COMPUTED_VALUE"""),0)</f>
        <v>0</v>
      </c>
      <c r="P11" s="135"/>
      <c r="Q11" s="135"/>
      <c r="R11" s="135"/>
      <c r="S11" s="135"/>
      <c r="T11" s="135"/>
      <c r="U11" s="135"/>
      <c r="V11" s="135"/>
      <c r="W11" s="135"/>
      <c r="X11" s="135"/>
      <c r="Y11" s="135"/>
      <c r="Z11" s="135"/>
    </row>
    <row r="12" spans="1:26">
      <c r="A12" s="135" t="str">
        <f ca="1">IFERROR(__xludf.DUMMYFUNCTION("""COMPUTED_VALUE"""),"Eagle Creek Healthcare Center")</f>
        <v>Eagle Creek Healthcare Center</v>
      </c>
      <c r="B12" s="135" t="str">
        <f ca="1">IFERROR(__xludf.DUMMYFUNCTION("""COMPUTED_VALUE"""),"CommuniCare")</f>
        <v>CommuniCare</v>
      </c>
      <c r="C12" s="135" t="str">
        <f ca="1">IFERROR(__xludf.DUMMYFUNCTION("""COMPUTED_VALUE"""),"   Tel: (317)347-9051")</f>
        <v xml:space="preserve">   Tel: (317)347-9051</v>
      </c>
      <c r="D12" s="135" t="str">
        <f ca="1">IFERROR(__xludf.DUMMYFUNCTION("""COMPUTED_VALUE"""),"   4102 Shore Dr")</f>
        <v xml:space="preserve">   4102 Shore Dr</v>
      </c>
      <c r="E12" s="135" t="str">
        <f ca="1">IFERROR(__xludf.DUMMYFUNCTION("""COMPUTED_VALUE"""),"   Indianapolis, In 46254")</f>
        <v xml:space="preserve">   Indianapolis, In 46254</v>
      </c>
      <c r="F12" s="135" t="str">
        <f ca="1">IFERROR(__xludf.DUMMYFUNCTION("""COMPUTED_VALUE"""),"")</f>
        <v/>
      </c>
      <c r="G12" s="135">
        <f ca="1">IFERROR(__xludf.DUMMYFUNCTION("""COMPUTED_VALUE"""),200)</f>
        <v>200</v>
      </c>
      <c r="H12" s="135" t="str">
        <f ca="1">IFERROR(__xludf.DUMMYFUNCTION("""COMPUTED_VALUE"""),"Other/Need State Resources to help")</f>
        <v>Other/Need State Resources to help</v>
      </c>
      <c r="I12" s="135" t="str">
        <f ca="1">IFERROR(__xludf.DUMMYFUNCTION("""COMPUTED_VALUE"""),"ONSITE")</f>
        <v>ONSITE</v>
      </c>
      <c r="J12" s="135" t="str">
        <f ca="1">IFERROR(__xludf.DUMMYFUNCTION("""COMPUTED_VALUE"""),"")</f>
        <v/>
      </c>
      <c r="K12" s="135">
        <f ca="1">IFERROR(__xludf.DUMMYFUNCTION("""COMPUTED_VALUE"""),0)</f>
        <v>0</v>
      </c>
      <c r="L12" s="135">
        <f ca="1">IFERROR(__xludf.DUMMYFUNCTION("""COMPUTED_VALUE"""),0)</f>
        <v>0</v>
      </c>
      <c r="M12" s="135">
        <f ca="1">IFERROR(__xludf.DUMMYFUNCTION("""COMPUTED_VALUE"""),0)</f>
        <v>0</v>
      </c>
      <c r="N12" s="135">
        <f ca="1">IFERROR(__xludf.DUMMYFUNCTION("""COMPUTED_VALUE"""),0)</f>
        <v>0</v>
      </c>
      <c r="O12" s="135">
        <f ca="1">IFERROR(__xludf.DUMMYFUNCTION("""COMPUTED_VALUE"""),0)</f>
        <v>0</v>
      </c>
      <c r="P12" s="135"/>
      <c r="Q12" s="135"/>
      <c r="R12" s="135"/>
      <c r="S12" s="135"/>
      <c r="T12" s="135"/>
      <c r="U12" s="135"/>
      <c r="V12" s="135"/>
      <c r="W12" s="135"/>
      <c r="X12" s="135"/>
      <c r="Y12" s="135"/>
      <c r="Z12" s="135"/>
    </row>
    <row r="13" spans="1:26">
      <c r="A13" s="135" t="str">
        <f ca="1">IFERROR(__xludf.DUMMYFUNCTION("""COMPUTED_VALUE"""),"Evergreen Crossing And The Lofts")</f>
        <v>Evergreen Crossing And The Lofts</v>
      </c>
      <c r="B13" s="135" t="str">
        <f ca="1">IFERROR(__xludf.DUMMYFUNCTION("""COMPUTED_VALUE"""),"CommuniCare")</f>
        <v>CommuniCare</v>
      </c>
      <c r="C13" s="135" t="str">
        <f ca="1">IFERROR(__xludf.DUMMYFUNCTION("""COMPUTED_VALUE"""),"   Tel: (317)291-5404")</f>
        <v xml:space="preserve">   Tel: (317)291-5404</v>
      </c>
      <c r="D13" s="135" t="str">
        <f ca="1">IFERROR(__xludf.DUMMYFUNCTION("""COMPUTED_VALUE"""),"   5404 Georgetown Road")</f>
        <v xml:space="preserve">   5404 Georgetown Road</v>
      </c>
      <c r="E13" s="135" t="str">
        <f ca="1">IFERROR(__xludf.DUMMYFUNCTION("""COMPUTED_VALUE"""),"   Indianapolis, In 46254")</f>
        <v xml:space="preserve">   Indianapolis, In 46254</v>
      </c>
      <c r="F13" s="135" t="str">
        <f ca="1">IFERROR(__xludf.DUMMYFUNCTION("""COMPUTED_VALUE"""),"")</f>
        <v/>
      </c>
      <c r="G13" s="135">
        <f ca="1">IFERROR(__xludf.DUMMYFUNCTION("""COMPUTED_VALUE"""),150)</f>
        <v>150</v>
      </c>
      <c r="H13" s="135" t="str">
        <f ca="1">IFERROR(__xludf.DUMMYFUNCTION("""COMPUTED_VALUE"""),"Other/Need State Resources to help")</f>
        <v>Other/Need State Resources to help</v>
      </c>
      <c r="I13" s="135" t="str">
        <f ca="1">IFERROR(__xludf.DUMMYFUNCTION("""COMPUTED_VALUE"""),"ONSITE")</f>
        <v>ONSITE</v>
      </c>
      <c r="J13" s="135" t="str">
        <f ca="1">IFERROR(__xludf.DUMMYFUNCTION("""COMPUTED_VALUE"""),"")</f>
        <v/>
      </c>
      <c r="K13" s="135">
        <f ca="1">IFERROR(__xludf.DUMMYFUNCTION("""COMPUTED_VALUE"""),0)</f>
        <v>0</v>
      </c>
      <c r="L13" s="135">
        <f ca="1">IFERROR(__xludf.DUMMYFUNCTION("""COMPUTED_VALUE"""),0)</f>
        <v>0</v>
      </c>
      <c r="M13" s="135">
        <f ca="1">IFERROR(__xludf.DUMMYFUNCTION("""COMPUTED_VALUE"""),0)</f>
        <v>0</v>
      </c>
      <c r="N13" s="135">
        <f ca="1">IFERROR(__xludf.DUMMYFUNCTION("""COMPUTED_VALUE"""),0)</f>
        <v>0</v>
      </c>
      <c r="O13" s="135">
        <f ca="1">IFERROR(__xludf.DUMMYFUNCTION("""COMPUTED_VALUE"""),0)</f>
        <v>0</v>
      </c>
      <c r="P13" s="135"/>
      <c r="Q13" s="135"/>
      <c r="R13" s="135"/>
      <c r="S13" s="135"/>
      <c r="T13" s="135"/>
      <c r="U13" s="135"/>
      <c r="V13" s="135"/>
      <c r="W13" s="135"/>
      <c r="X13" s="135"/>
      <c r="Y13" s="135"/>
      <c r="Z13" s="135"/>
    </row>
    <row r="14" spans="1:26">
      <c r="A14" s="135" t="str">
        <f ca="1">IFERROR(__xludf.DUMMYFUNCTION("""COMPUTED_VALUE"""),"Garden Villa - Bloomington")</f>
        <v>Garden Villa - Bloomington</v>
      </c>
      <c r="B14" s="135" t="str">
        <f ca="1">IFERROR(__xludf.DUMMYFUNCTION("""COMPUTED_VALUE"""),"")</f>
        <v/>
      </c>
      <c r="C14" s="135" t="str">
        <f ca="1">IFERROR(__xludf.DUMMYFUNCTION("""COMPUTED_VALUE"""),"   Tel: (812)339-1657")</f>
        <v xml:space="preserve">   Tel: (812)339-1657</v>
      </c>
      <c r="D14" s="135" t="str">
        <f ca="1">IFERROR(__xludf.DUMMYFUNCTION("""COMPUTED_VALUE"""),"   1100 S Curry Pk")</f>
        <v xml:space="preserve">   1100 S Curry Pk</v>
      </c>
      <c r="E14" s="135" t="str">
        <f ca="1">IFERROR(__xludf.DUMMYFUNCTION("""COMPUTED_VALUE"""),"   Bloomington, In 47403")</f>
        <v xml:space="preserve">   Bloomington, In 47403</v>
      </c>
      <c r="F14" s="135" t="str">
        <f ca="1">IFERROR(__xludf.DUMMYFUNCTION("""COMPUTED_VALUE"""),"")</f>
        <v/>
      </c>
      <c r="G14" s="135">
        <f ca="1">IFERROR(__xludf.DUMMYFUNCTION("""COMPUTED_VALUE"""),170)</f>
        <v>170</v>
      </c>
      <c r="H14" s="135" t="str">
        <f ca="1">IFERROR(__xludf.DUMMYFUNCTION("""COMPUTED_VALUE"""),"Cannot Accomplish")</f>
        <v>Cannot Accomplish</v>
      </c>
      <c r="I14" s="135" t="str">
        <f ca="1">IFERROR(__xludf.DUMMYFUNCTION("""COMPUTED_VALUE"""),"ONSITE")</f>
        <v>ONSITE</v>
      </c>
      <c r="J14" s="135" t="str">
        <f ca="1">IFERROR(__xludf.DUMMYFUNCTION("""COMPUTED_VALUE"""),"")</f>
        <v/>
      </c>
      <c r="K14" s="135">
        <f ca="1">IFERROR(__xludf.DUMMYFUNCTION("""COMPUTED_VALUE"""),1)</f>
        <v>1</v>
      </c>
      <c r="L14" s="135">
        <f ca="1">IFERROR(__xludf.DUMMYFUNCTION("""COMPUTED_VALUE"""),0)</f>
        <v>0</v>
      </c>
      <c r="M14" s="135">
        <f ca="1">IFERROR(__xludf.DUMMYFUNCTION("""COMPUTED_VALUE"""),0)</f>
        <v>0</v>
      </c>
      <c r="N14" s="135">
        <f ca="1">IFERROR(__xludf.DUMMYFUNCTION("""COMPUTED_VALUE"""),0)</f>
        <v>0</v>
      </c>
      <c r="O14" s="135">
        <f ca="1">IFERROR(__xludf.DUMMYFUNCTION("""COMPUTED_VALUE"""),0)</f>
        <v>0</v>
      </c>
      <c r="P14" s="135"/>
      <c r="Q14" s="135"/>
      <c r="R14" s="135"/>
      <c r="S14" s="135"/>
      <c r="T14" s="135"/>
      <c r="U14" s="135"/>
      <c r="V14" s="135"/>
      <c r="W14" s="135"/>
      <c r="X14" s="135"/>
      <c r="Y14" s="135"/>
      <c r="Z14" s="135"/>
    </row>
    <row r="15" spans="1:26">
      <c r="A15" s="135" t="str">
        <f ca="1">IFERROR(__xludf.DUMMYFUNCTION("""COMPUTED_VALUE"""),"Golden Living Center-Elkhart")</f>
        <v>Golden Living Center-Elkhart</v>
      </c>
      <c r="B15" s="135" t="str">
        <f ca="1">IFERROR(__xludf.DUMMYFUNCTION("""COMPUTED_VALUE"""),"Golden Living")</f>
        <v>Golden Living</v>
      </c>
      <c r="C15" s="135" t="str">
        <f ca="1">IFERROR(__xludf.DUMMYFUNCTION("""COMPUTED_VALUE"""),"   Tel: (574)294-7641")</f>
        <v xml:space="preserve">   Tel: (574)294-7641</v>
      </c>
      <c r="D15" s="135" t="str">
        <f ca="1">IFERROR(__xludf.DUMMYFUNCTION("""COMPUTED_VALUE"""),"   1001 W Hively Ave")</f>
        <v xml:space="preserve">   1001 W Hively Ave</v>
      </c>
      <c r="E15" s="135" t="str">
        <f ca="1">IFERROR(__xludf.DUMMYFUNCTION("""COMPUTED_VALUE"""),"   Elkhart, In 46517")</f>
        <v xml:space="preserve">   Elkhart, In 46517</v>
      </c>
      <c r="F15" s="135" t="str">
        <f ca="1">IFERROR(__xludf.DUMMYFUNCTION("""COMPUTED_VALUE"""),"")</f>
        <v/>
      </c>
      <c r="G15" s="135">
        <f ca="1">IFERROR(__xludf.DUMMYFUNCTION("""COMPUTED_VALUE"""),120)</f>
        <v>120</v>
      </c>
      <c r="H15" s="135" t="str">
        <f ca="1">IFERROR(__xludf.DUMMYFUNCTION("""COMPUTED_VALUE"""),"Other/Need State Resources to help")</f>
        <v>Other/Need State Resources to help</v>
      </c>
      <c r="I15" s="135" t="str">
        <f ca="1">IFERROR(__xludf.DUMMYFUNCTION("""COMPUTED_VALUE"""),"ONSITE")</f>
        <v>ONSITE</v>
      </c>
      <c r="J15" s="135" t="str">
        <f ca="1">IFERROR(__xludf.DUMMYFUNCTION("""COMPUTED_VALUE"""),"")</f>
        <v/>
      </c>
      <c r="K15" s="135">
        <f ca="1">IFERROR(__xludf.DUMMYFUNCTION("""COMPUTED_VALUE"""),0)</f>
        <v>0</v>
      </c>
      <c r="L15" s="135">
        <f ca="1">IFERROR(__xludf.DUMMYFUNCTION("""COMPUTED_VALUE"""),0)</f>
        <v>0</v>
      </c>
      <c r="M15" s="135">
        <f ca="1">IFERROR(__xludf.DUMMYFUNCTION("""COMPUTED_VALUE"""),0)</f>
        <v>0</v>
      </c>
      <c r="N15" s="135">
        <f ca="1">IFERROR(__xludf.DUMMYFUNCTION("""COMPUTED_VALUE"""),0)</f>
        <v>0</v>
      </c>
      <c r="O15" s="135">
        <f ca="1">IFERROR(__xludf.DUMMYFUNCTION("""COMPUTED_VALUE"""),0)</f>
        <v>0</v>
      </c>
      <c r="P15" s="135"/>
      <c r="Q15" s="135"/>
      <c r="R15" s="135"/>
      <c r="S15" s="135"/>
      <c r="T15" s="135"/>
      <c r="U15" s="135"/>
      <c r="V15" s="135"/>
      <c r="W15" s="135"/>
      <c r="X15" s="135"/>
      <c r="Y15" s="135"/>
      <c r="Z15" s="135"/>
    </row>
    <row r="16" spans="1:26">
      <c r="A16" s="135" t="str">
        <f ca="1">IFERROR(__xludf.DUMMYFUNCTION("""COMPUTED_VALUE"""),"Golden Living Center-Richmond")</f>
        <v>Golden Living Center-Richmond</v>
      </c>
      <c r="B16" s="135" t="str">
        <f ca="1">IFERROR(__xludf.DUMMYFUNCTION("""COMPUTED_VALUE"""),"Golden Living")</f>
        <v>Golden Living</v>
      </c>
      <c r="C16" s="135" t="str">
        <f ca="1">IFERROR(__xludf.DUMMYFUNCTION("""COMPUTED_VALUE"""),"   Tel: (765)966-7788")</f>
        <v xml:space="preserve">   Tel: (765)966-7788</v>
      </c>
      <c r="D16" s="135" t="str">
        <f ca="1">IFERROR(__xludf.DUMMYFUNCTION("""COMPUTED_VALUE"""),"   1042 Oak Dr")</f>
        <v xml:space="preserve">   1042 Oak Dr</v>
      </c>
      <c r="E16" s="135" t="str">
        <f ca="1">IFERROR(__xludf.DUMMYFUNCTION("""COMPUTED_VALUE"""),"   Richmond, In 47374")</f>
        <v xml:space="preserve">   Richmond, In 47374</v>
      </c>
      <c r="F16" s="135" t="str">
        <f ca="1">IFERROR(__xludf.DUMMYFUNCTION("""COMPUTED_VALUE"""),"")</f>
        <v/>
      </c>
      <c r="G16" s="135">
        <f ca="1">IFERROR(__xludf.DUMMYFUNCTION("""COMPUTED_VALUE"""),100)</f>
        <v>100</v>
      </c>
      <c r="H16" s="135" t="str">
        <f ca="1">IFERROR(__xludf.DUMMYFUNCTION("""COMPUTED_VALUE"""),"Cannot Accomplish")</f>
        <v>Cannot Accomplish</v>
      </c>
      <c r="I16" s="135" t="str">
        <f ca="1">IFERROR(__xludf.DUMMYFUNCTION("""COMPUTED_VALUE"""),"ONSITE")</f>
        <v>ONSITE</v>
      </c>
      <c r="J16" s="135" t="str">
        <f ca="1">IFERROR(__xludf.DUMMYFUNCTION("""COMPUTED_VALUE"""),"")</f>
        <v/>
      </c>
      <c r="K16" s="135">
        <f ca="1">IFERROR(__xludf.DUMMYFUNCTION("""COMPUTED_VALUE"""),0)</f>
        <v>0</v>
      </c>
      <c r="L16" s="135">
        <f ca="1">IFERROR(__xludf.DUMMYFUNCTION("""COMPUTED_VALUE"""),0)</f>
        <v>0</v>
      </c>
      <c r="M16" s="135">
        <f ca="1">IFERROR(__xludf.DUMMYFUNCTION("""COMPUTED_VALUE"""),0)</f>
        <v>0</v>
      </c>
      <c r="N16" s="135">
        <f ca="1">IFERROR(__xludf.DUMMYFUNCTION("""COMPUTED_VALUE"""),0)</f>
        <v>0</v>
      </c>
      <c r="O16" s="135">
        <f ca="1">IFERROR(__xludf.DUMMYFUNCTION("""COMPUTED_VALUE"""),0)</f>
        <v>0</v>
      </c>
      <c r="P16" s="135"/>
      <c r="Q16" s="135"/>
      <c r="R16" s="135"/>
      <c r="S16" s="135"/>
      <c r="T16" s="135"/>
      <c r="U16" s="135"/>
      <c r="V16" s="135"/>
      <c r="W16" s="135"/>
      <c r="X16" s="135"/>
      <c r="Y16" s="135"/>
      <c r="Z16" s="135"/>
    </row>
    <row r="17" spans="1:26">
      <c r="A17" s="135" t="str">
        <f ca="1">IFERROR(__xludf.DUMMYFUNCTION("""COMPUTED_VALUE"""),"Golden Living Center-Valparaiso")</f>
        <v>Golden Living Center-Valparaiso</v>
      </c>
      <c r="B17" s="135" t="str">
        <f ca="1">IFERROR(__xludf.DUMMYFUNCTION("""COMPUTED_VALUE"""),"Golden Living")</f>
        <v>Golden Living</v>
      </c>
      <c r="C17" s="135" t="str">
        <f ca="1">IFERROR(__xludf.DUMMYFUNCTION("""COMPUTED_VALUE"""),"   Tel: (219)462-6158")</f>
        <v xml:space="preserve">   Tel: (219)462-6158</v>
      </c>
      <c r="D17" s="135" t="str">
        <f ca="1">IFERROR(__xludf.DUMMYFUNCTION("""COMPUTED_VALUE"""),"   251 Sturdy Rd")</f>
        <v xml:space="preserve">   251 Sturdy Rd</v>
      </c>
      <c r="E17" s="135" t="str">
        <f ca="1">IFERROR(__xludf.DUMMYFUNCTION("""COMPUTED_VALUE"""),"   Valparaiso, In 46383")</f>
        <v xml:space="preserve">   Valparaiso, In 46383</v>
      </c>
      <c r="F17" s="135" t="str">
        <f ca="1">IFERROR(__xludf.DUMMYFUNCTION("""COMPUTED_VALUE"""),"")</f>
        <v/>
      </c>
      <c r="G17" s="135">
        <f ca="1">IFERROR(__xludf.DUMMYFUNCTION("""COMPUTED_VALUE"""),100)</f>
        <v>100</v>
      </c>
      <c r="H17" s="135" t="str">
        <f ca="1">IFERROR(__xludf.DUMMYFUNCTION("""COMPUTED_VALUE"""),"Cannot Accomplish")</f>
        <v>Cannot Accomplish</v>
      </c>
      <c r="I17" s="135" t="str">
        <f ca="1">IFERROR(__xludf.DUMMYFUNCTION("""COMPUTED_VALUE"""),"ONSITE")</f>
        <v>ONSITE</v>
      </c>
      <c r="J17" s="135" t="str">
        <f ca="1">IFERROR(__xludf.DUMMYFUNCTION("""COMPUTED_VALUE"""),"")</f>
        <v/>
      </c>
      <c r="K17" s="135">
        <f ca="1">IFERROR(__xludf.DUMMYFUNCTION("""COMPUTED_VALUE"""),1)</f>
        <v>1</v>
      </c>
      <c r="L17" s="135">
        <f ca="1">IFERROR(__xludf.DUMMYFUNCTION("""COMPUTED_VALUE"""),1)</f>
        <v>1</v>
      </c>
      <c r="M17" s="135">
        <f ca="1">IFERROR(__xludf.DUMMYFUNCTION("""COMPUTED_VALUE"""),1)</f>
        <v>1</v>
      </c>
      <c r="N17" s="135">
        <f ca="1">IFERROR(__xludf.DUMMYFUNCTION("""COMPUTED_VALUE"""),0)</f>
        <v>0</v>
      </c>
      <c r="O17" s="135">
        <f ca="1">IFERROR(__xludf.DUMMYFUNCTION("""COMPUTED_VALUE"""),0)</f>
        <v>0</v>
      </c>
      <c r="P17" s="135"/>
      <c r="Q17" s="135"/>
      <c r="R17" s="135"/>
      <c r="S17" s="135"/>
      <c r="T17" s="135"/>
      <c r="U17" s="135"/>
      <c r="V17" s="135"/>
      <c r="W17" s="135"/>
      <c r="X17" s="135"/>
      <c r="Y17" s="135"/>
      <c r="Z17" s="135"/>
    </row>
    <row r="18" spans="1:26">
      <c r="A18" s="135" t="str">
        <f ca="1">IFERROR(__xludf.DUMMYFUNCTION("""COMPUTED_VALUE"""),"Great Lakes Healthcare Center")</f>
        <v>Great Lakes Healthcare Center</v>
      </c>
      <c r="B18" s="135" t="str">
        <f ca="1">IFERROR(__xludf.DUMMYFUNCTION("""COMPUTED_VALUE"""),"CommuniCare")</f>
        <v>CommuniCare</v>
      </c>
      <c r="C18" s="135" t="str">
        <f ca="1">IFERROR(__xludf.DUMMYFUNCTION("""COMPUTED_VALUE"""),"   Tel: (219)322-3555")</f>
        <v xml:space="preserve">   Tel: (219)322-3555</v>
      </c>
      <c r="D18" s="135" t="str">
        <f ca="1">IFERROR(__xludf.DUMMYFUNCTION("""COMPUTED_VALUE"""),"   2300 Great Lakes Dr")</f>
        <v xml:space="preserve">   2300 Great Lakes Dr</v>
      </c>
      <c r="E18" s="135" t="str">
        <f ca="1">IFERROR(__xludf.DUMMYFUNCTION("""COMPUTED_VALUE"""),"   Dyer, In 46311")</f>
        <v xml:space="preserve">   Dyer, In 46311</v>
      </c>
      <c r="F18" s="135" t="str">
        <f ca="1">IFERROR(__xludf.DUMMYFUNCTION("""COMPUTED_VALUE"""),"")</f>
        <v/>
      </c>
      <c r="G18" s="135">
        <f ca="1">IFERROR(__xludf.DUMMYFUNCTION("""COMPUTED_VALUE"""),180)</f>
        <v>180</v>
      </c>
      <c r="H18" s="135" t="str">
        <f ca="1">IFERROR(__xludf.DUMMYFUNCTION("""COMPUTED_VALUE"""),"Cannot Accomplish")</f>
        <v>Cannot Accomplish</v>
      </c>
      <c r="I18" s="135" t="str">
        <f ca="1">IFERROR(__xludf.DUMMYFUNCTION("""COMPUTED_VALUE"""),"ONSITE")</f>
        <v>ONSITE</v>
      </c>
      <c r="J18" s="135" t="str">
        <f ca="1">IFERROR(__xludf.DUMMYFUNCTION("""COMPUTED_VALUE"""),"")</f>
        <v/>
      </c>
      <c r="K18" s="135">
        <f ca="1">IFERROR(__xludf.DUMMYFUNCTION("""COMPUTED_VALUE"""),1)</f>
        <v>1</v>
      </c>
      <c r="L18" s="135">
        <f ca="1">IFERROR(__xludf.DUMMYFUNCTION("""COMPUTED_VALUE"""),0)</f>
        <v>0</v>
      </c>
      <c r="M18" s="135">
        <f ca="1">IFERROR(__xludf.DUMMYFUNCTION("""COMPUTED_VALUE"""),0)</f>
        <v>0</v>
      </c>
      <c r="N18" s="135">
        <f ca="1">IFERROR(__xludf.DUMMYFUNCTION("""COMPUTED_VALUE"""),0)</f>
        <v>0</v>
      </c>
      <c r="O18" s="135">
        <f ca="1">IFERROR(__xludf.DUMMYFUNCTION("""COMPUTED_VALUE"""),0)</f>
        <v>0</v>
      </c>
      <c r="P18" s="135"/>
      <c r="Q18" s="135"/>
      <c r="R18" s="135"/>
      <c r="S18" s="135"/>
      <c r="T18" s="135"/>
      <c r="U18" s="135"/>
      <c r="V18" s="135"/>
      <c r="W18" s="135"/>
      <c r="X18" s="135"/>
      <c r="Y18" s="135"/>
      <c r="Z18" s="135"/>
    </row>
    <row r="19" spans="1:26">
      <c r="A19" s="135" t="str">
        <f ca="1">IFERROR(__xludf.DUMMYFUNCTION("""COMPUTED_VALUE"""),"Greenwood Healthcare Center")</f>
        <v>Greenwood Healthcare Center</v>
      </c>
      <c r="B19" s="135" t="str">
        <f ca="1">IFERROR(__xludf.DUMMYFUNCTION("""COMPUTED_VALUE"""),"CommuniCare")</f>
        <v>CommuniCare</v>
      </c>
      <c r="C19" s="135" t="str">
        <f ca="1">IFERROR(__xludf.DUMMYFUNCTION("""COMPUTED_VALUE"""),"   Tel: (317)888-4948")</f>
        <v xml:space="preserve">   Tel: (317)888-4948</v>
      </c>
      <c r="D19" s="135" t="str">
        <f ca="1">IFERROR(__xludf.DUMMYFUNCTION("""COMPUTED_VALUE"""),"   377 Westridge Blvd")</f>
        <v xml:space="preserve">   377 Westridge Blvd</v>
      </c>
      <c r="E19" s="135" t="str">
        <f ca="1">IFERROR(__xludf.DUMMYFUNCTION("""COMPUTED_VALUE"""),"   Greenwood, In 46142")</f>
        <v xml:space="preserve">   Greenwood, In 46142</v>
      </c>
      <c r="F19" s="135" t="str">
        <f ca="1">IFERROR(__xludf.DUMMYFUNCTION("""COMPUTED_VALUE"""),"")</f>
        <v/>
      </c>
      <c r="G19" s="135">
        <f ca="1">IFERROR(__xludf.DUMMYFUNCTION("""COMPUTED_VALUE"""),230)</f>
        <v>230</v>
      </c>
      <c r="H19" s="135" t="str">
        <f ca="1">IFERROR(__xludf.DUMMYFUNCTION("""COMPUTED_VALUE"""),"Cannot Accomplish")</f>
        <v>Cannot Accomplish</v>
      </c>
      <c r="I19" s="135" t="str">
        <f ca="1">IFERROR(__xludf.DUMMYFUNCTION("""COMPUTED_VALUE"""),"ONSITE")</f>
        <v>ONSITE</v>
      </c>
      <c r="J19" s="135" t="str">
        <f ca="1">IFERROR(__xludf.DUMMYFUNCTION("""COMPUTED_VALUE"""),"")</f>
        <v/>
      </c>
      <c r="K19" s="135">
        <f ca="1">IFERROR(__xludf.DUMMYFUNCTION("""COMPUTED_VALUE"""),0)</f>
        <v>0</v>
      </c>
      <c r="L19" s="135">
        <f ca="1">IFERROR(__xludf.DUMMYFUNCTION("""COMPUTED_VALUE"""),0)</f>
        <v>0</v>
      </c>
      <c r="M19" s="135">
        <f ca="1">IFERROR(__xludf.DUMMYFUNCTION("""COMPUTED_VALUE"""),0)</f>
        <v>0</v>
      </c>
      <c r="N19" s="135">
        <f ca="1">IFERROR(__xludf.DUMMYFUNCTION("""COMPUTED_VALUE"""),0)</f>
        <v>0</v>
      </c>
      <c r="O19" s="135">
        <f ca="1">IFERROR(__xludf.DUMMYFUNCTION("""COMPUTED_VALUE"""),0)</f>
        <v>0</v>
      </c>
      <c r="P19" s="135"/>
      <c r="Q19" s="135"/>
      <c r="R19" s="135"/>
      <c r="S19" s="135"/>
      <c r="T19" s="135"/>
      <c r="U19" s="135"/>
      <c r="V19" s="135"/>
      <c r="W19" s="135"/>
      <c r="X19" s="135"/>
      <c r="Y19" s="135"/>
      <c r="Z19" s="135"/>
    </row>
    <row r="20" spans="1:26">
      <c r="A20" s="135" t="str">
        <f ca="1">IFERROR(__xludf.DUMMYFUNCTION("""COMPUTED_VALUE"""),"Greenwood Village South")</f>
        <v>Greenwood Village South</v>
      </c>
      <c r="B20" s="135" t="str">
        <f ca="1">IFERROR(__xludf.DUMMYFUNCTION("""COMPUTED_VALUE"""),"")</f>
        <v/>
      </c>
      <c r="C20" s="135" t="str">
        <f ca="1">IFERROR(__xludf.DUMMYFUNCTION("""COMPUTED_VALUE"""),"   Tel: (317)859-4444")</f>
        <v xml:space="preserve">   Tel: (317)859-4444</v>
      </c>
      <c r="D20" s="135" t="str">
        <f ca="1">IFERROR(__xludf.DUMMYFUNCTION("""COMPUTED_VALUE"""),"   295 Village Lane")</f>
        <v xml:space="preserve">   295 Village Lane</v>
      </c>
      <c r="E20" s="135" t="str">
        <f ca="1">IFERROR(__xludf.DUMMYFUNCTION("""COMPUTED_VALUE"""),"   Greenwood, In 46143")</f>
        <v xml:space="preserve">   Greenwood, In 46143</v>
      </c>
      <c r="F20" s="135" t="str">
        <f ca="1">IFERROR(__xludf.DUMMYFUNCTION("""COMPUTED_VALUE"""),"")</f>
        <v/>
      </c>
      <c r="G20" s="135">
        <f ca="1">IFERROR(__xludf.DUMMYFUNCTION("""COMPUTED_VALUE"""),290)</f>
        <v>290</v>
      </c>
      <c r="H20" s="135" t="str">
        <f ca="1">IFERROR(__xludf.DUMMYFUNCTION("""COMPUTED_VALUE"""),"Cannot Accomplish")</f>
        <v>Cannot Accomplish</v>
      </c>
      <c r="I20" s="135" t="str">
        <f ca="1">IFERROR(__xludf.DUMMYFUNCTION("""COMPUTED_VALUE"""),"ONSITE")</f>
        <v>ONSITE</v>
      </c>
      <c r="J20" s="135" t="str">
        <f ca="1">IFERROR(__xludf.DUMMYFUNCTION("""COMPUTED_VALUE"""),"")</f>
        <v/>
      </c>
      <c r="K20" s="135">
        <f ca="1">IFERROR(__xludf.DUMMYFUNCTION("""COMPUTED_VALUE"""),1)</f>
        <v>1</v>
      </c>
      <c r="L20" s="135">
        <f ca="1">IFERROR(__xludf.DUMMYFUNCTION("""COMPUTED_VALUE"""),0)</f>
        <v>0</v>
      </c>
      <c r="M20" s="135">
        <f ca="1">IFERROR(__xludf.DUMMYFUNCTION("""COMPUTED_VALUE"""),0)</f>
        <v>0</v>
      </c>
      <c r="N20" s="135">
        <f ca="1">IFERROR(__xludf.DUMMYFUNCTION("""COMPUTED_VALUE"""),0)</f>
        <v>0</v>
      </c>
      <c r="O20" s="135">
        <f ca="1">IFERROR(__xludf.DUMMYFUNCTION("""COMPUTED_VALUE"""),1)</f>
        <v>1</v>
      </c>
      <c r="P20" s="135"/>
      <c r="Q20" s="135"/>
      <c r="R20" s="135"/>
      <c r="S20" s="135"/>
      <c r="T20" s="135"/>
      <c r="U20" s="135"/>
      <c r="V20" s="135"/>
      <c r="W20" s="135"/>
      <c r="X20" s="135"/>
      <c r="Y20" s="135"/>
      <c r="Z20" s="135"/>
    </row>
    <row r="21" spans="1:26">
      <c r="A21" s="135" t="str">
        <f ca="1">IFERROR(__xludf.DUMMYFUNCTION("""COMPUTED_VALUE"""),"Heritage House Of Greensburg")</f>
        <v>Heritage House Of Greensburg</v>
      </c>
      <c r="B21" s="135" t="str">
        <f ca="1">IFERROR(__xludf.DUMMYFUNCTION("""COMPUTED_VALUE"""),"Heritage House")</f>
        <v>Heritage House</v>
      </c>
      <c r="C21" s="135" t="str">
        <f ca="1">IFERROR(__xludf.DUMMYFUNCTION("""COMPUTED_VALUE"""),"   Tel: (812)663-7543")</f>
        <v xml:space="preserve">   Tel: (812)663-7543</v>
      </c>
      <c r="D21" s="135" t="str">
        <f ca="1">IFERROR(__xludf.DUMMYFUNCTION("""COMPUTED_VALUE"""),"   410 Park Rd")</f>
        <v xml:space="preserve">   410 Park Rd</v>
      </c>
      <c r="E21" s="135" t="str">
        <f ca="1">IFERROR(__xludf.DUMMYFUNCTION("""COMPUTED_VALUE"""),"   Greensburg, In 47240")</f>
        <v xml:space="preserve">   Greensburg, In 47240</v>
      </c>
      <c r="F21" s="135" t="str">
        <f ca="1">IFERROR(__xludf.DUMMYFUNCTION("""COMPUTED_VALUE"""),"")</f>
        <v/>
      </c>
      <c r="G21" s="135">
        <f ca="1">IFERROR(__xludf.DUMMYFUNCTION("""COMPUTED_VALUE"""),89)</f>
        <v>89</v>
      </c>
      <c r="H21" s="135" t="str">
        <f ca="1">IFERROR(__xludf.DUMMYFUNCTION("""COMPUTED_VALUE"""),"Cannot Accomplish")</f>
        <v>Cannot Accomplish</v>
      </c>
      <c r="I21" s="135" t="str">
        <f ca="1">IFERROR(__xludf.DUMMYFUNCTION("""COMPUTED_VALUE"""),"ONSITE")</f>
        <v>ONSITE</v>
      </c>
      <c r="J21" s="135" t="str">
        <f ca="1">IFERROR(__xludf.DUMMYFUNCTION("""COMPUTED_VALUE"""),"")</f>
        <v/>
      </c>
      <c r="K21" s="135">
        <f ca="1">IFERROR(__xludf.DUMMYFUNCTION("""COMPUTED_VALUE"""),1)</f>
        <v>1</v>
      </c>
      <c r="L21" s="135">
        <f ca="1">IFERROR(__xludf.DUMMYFUNCTION("""COMPUTED_VALUE"""),1)</f>
        <v>1</v>
      </c>
      <c r="M21" s="135">
        <f ca="1">IFERROR(__xludf.DUMMYFUNCTION("""COMPUTED_VALUE"""),0)</f>
        <v>0</v>
      </c>
      <c r="N21" s="135">
        <f ca="1">IFERROR(__xludf.DUMMYFUNCTION("""COMPUTED_VALUE"""),1)</f>
        <v>1</v>
      </c>
      <c r="O21" s="135">
        <f ca="1">IFERROR(__xludf.DUMMYFUNCTION("""COMPUTED_VALUE"""),1)</f>
        <v>1</v>
      </c>
      <c r="P21" s="135"/>
      <c r="Q21" s="135"/>
      <c r="R21" s="135"/>
      <c r="S21" s="135"/>
      <c r="T21" s="135"/>
      <c r="U21" s="135"/>
      <c r="V21" s="135"/>
      <c r="W21" s="135"/>
      <c r="X21" s="135"/>
      <c r="Y21" s="135"/>
      <c r="Z21" s="135"/>
    </row>
    <row r="22" spans="1:26">
      <c r="A22" s="135" t="str">
        <f ca="1">IFERROR(__xludf.DUMMYFUNCTION("""COMPUTED_VALUE"""),"Heritage House Of New Castle")</f>
        <v>Heritage House Of New Castle</v>
      </c>
      <c r="B22" s="135" t="str">
        <f ca="1">IFERROR(__xludf.DUMMYFUNCTION("""COMPUTED_VALUE"""),"Heritage House")</f>
        <v>Heritage House</v>
      </c>
      <c r="C22" s="135" t="str">
        <f ca="1">IFERROR(__xludf.DUMMYFUNCTION("""COMPUTED_VALUE"""),"   Tel: (765)529-9694")</f>
        <v xml:space="preserve">   Tel: (765)529-9694</v>
      </c>
      <c r="D22" s="135" t="str">
        <f ca="1">IFERROR(__xludf.DUMMYFUNCTION("""COMPUTED_VALUE"""),"   1023 N 20Th St")</f>
        <v xml:space="preserve">   1023 N 20Th St</v>
      </c>
      <c r="E22" s="135" t="str">
        <f ca="1">IFERROR(__xludf.DUMMYFUNCTION("""COMPUTED_VALUE"""),"   New Castle, In 47362")</f>
        <v xml:space="preserve">   New Castle, In 47362</v>
      </c>
      <c r="F22" s="135" t="str">
        <f ca="1">IFERROR(__xludf.DUMMYFUNCTION("""COMPUTED_VALUE"""),"")</f>
        <v/>
      </c>
      <c r="G22" s="135">
        <f ca="1">IFERROR(__xludf.DUMMYFUNCTION("""COMPUTED_VALUE"""),111)</f>
        <v>111</v>
      </c>
      <c r="H22" s="135" t="str">
        <f ca="1">IFERROR(__xludf.DUMMYFUNCTION("""COMPUTED_VALUE"""),"Cannot Accomplish")</f>
        <v>Cannot Accomplish</v>
      </c>
      <c r="I22" s="135" t="str">
        <f ca="1">IFERROR(__xludf.DUMMYFUNCTION("""COMPUTED_VALUE"""),"ONSITE")</f>
        <v>ONSITE</v>
      </c>
      <c r="J22" s="135" t="str">
        <f ca="1">IFERROR(__xludf.DUMMYFUNCTION("""COMPUTED_VALUE"""),"")</f>
        <v/>
      </c>
      <c r="K22" s="135">
        <f ca="1">IFERROR(__xludf.DUMMYFUNCTION("""COMPUTED_VALUE"""),1)</f>
        <v>1</v>
      </c>
      <c r="L22" s="135">
        <f ca="1">IFERROR(__xludf.DUMMYFUNCTION("""COMPUTED_VALUE"""),1)</f>
        <v>1</v>
      </c>
      <c r="M22" s="135">
        <f ca="1">IFERROR(__xludf.DUMMYFUNCTION("""COMPUTED_VALUE"""),0)</f>
        <v>0</v>
      </c>
      <c r="N22" s="135">
        <f ca="1">IFERROR(__xludf.DUMMYFUNCTION("""COMPUTED_VALUE"""),1)</f>
        <v>1</v>
      </c>
      <c r="O22" s="135">
        <f ca="1">IFERROR(__xludf.DUMMYFUNCTION("""COMPUTED_VALUE"""),1)</f>
        <v>1</v>
      </c>
      <c r="P22" s="135"/>
      <c r="Q22" s="135"/>
      <c r="R22" s="135"/>
      <c r="S22" s="135"/>
      <c r="T22" s="135"/>
      <c r="U22" s="135"/>
      <c r="V22" s="135"/>
      <c r="W22" s="135"/>
      <c r="X22" s="135"/>
      <c r="Y22" s="135"/>
      <c r="Z22" s="135"/>
    </row>
    <row r="23" spans="1:26">
      <c r="A23" s="135" t="str">
        <f ca="1">IFERROR(__xludf.DUMMYFUNCTION("""COMPUTED_VALUE"""),"Heritage House Of Richmond")</f>
        <v>Heritage House Of Richmond</v>
      </c>
      <c r="B23" s="135" t="str">
        <f ca="1">IFERROR(__xludf.DUMMYFUNCTION("""COMPUTED_VALUE"""),"Heritage House")</f>
        <v>Heritage House</v>
      </c>
      <c r="C23" s="135" t="str">
        <f ca="1">IFERROR(__xludf.DUMMYFUNCTION("""COMPUTED_VALUE"""),"   Tel: (765)962-3543")</f>
        <v xml:space="preserve">   Tel: (765)962-3543</v>
      </c>
      <c r="D23" s="135" t="str">
        <f ca="1">IFERROR(__xludf.DUMMYFUNCTION("""COMPUTED_VALUE"""),"   2070 Chester Blvd")</f>
        <v xml:space="preserve">   2070 Chester Blvd</v>
      </c>
      <c r="E23" s="135" t="str">
        <f ca="1">IFERROR(__xludf.DUMMYFUNCTION("""COMPUTED_VALUE"""),"   Richmond, In 47374")</f>
        <v xml:space="preserve">   Richmond, In 47374</v>
      </c>
      <c r="F23" s="135" t="str">
        <f ca="1">IFERROR(__xludf.DUMMYFUNCTION("""COMPUTED_VALUE"""),"")</f>
        <v/>
      </c>
      <c r="G23" s="135">
        <f ca="1">IFERROR(__xludf.DUMMYFUNCTION("""COMPUTED_VALUE"""),83)</f>
        <v>83</v>
      </c>
      <c r="H23" s="135" t="str">
        <f ca="1">IFERROR(__xludf.DUMMYFUNCTION("""COMPUTED_VALUE"""),"Cannot Accomplish")</f>
        <v>Cannot Accomplish</v>
      </c>
      <c r="I23" s="135" t="str">
        <f ca="1">IFERROR(__xludf.DUMMYFUNCTION("""COMPUTED_VALUE"""),"ONSITE")</f>
        <v>ONSITE</v>
      </c>
      <c r="J23" s="135" t="str">
        <f ca="1">IFERROR(__xludf.DUMMYFUNCTION("""COMPUTED_VALUE"""),"")</f>
        <v/>
      </c>
      <c r="K23" s="135">
        <f ca="1">IFERROR(__xludf.DUMMYFUNCTION("""COMPUTED_VALUE"""),1)</f>
        <v>1</v>
      </c>
      <c r="L23" s="135">
        <f ca="1">IFERROR(__xludf.DUMMYFUNCTION("""COMPUTED_VALUE"""),1)</f>
        <v>1</v>
      </c>
      <c r="M23" s="135">
        <f ca="1">IFERROR(__xludf.DUMMYFUNCTION("""COMPUTED_VALUE"""),0)</f>
        <v>0</v>
      </c>
      <c r="N23" s="135">
        <f ca="1">IFERROR(__xludf.DUMMYFUNCTION("""COMPUTED_VALUE"""),1)</f>
        <v>1</v>
      </c>
      <c r="O23" s="135">
        <f ca="1">IFERROR(__xludf.DUMMYFUNCTION("""COMPUTED_VALUE"""),1)</f>
        <v>1</v>
      </c>
      <c r="P23" s="135"/>
      <c r="Q23" s="135"/>
      <c r="R23" s="135"/>
      <c r="S23" s="135"/>
      <c r="T23" s="135"/>
      <c r="U23" s="135"/>
      <c r="V23" s="135"/>
      <c r="W23" s="135"/>
      <c r="X23" s="135"/>
      <c r="Y23" s="135"/>
      <c r="Z23" s="135"/>
    </row>
    <row r="24" spans="1:26">
      <c r="A24" s="135" t="str">
        <f ca="1">IFERROR(__xludf.DUMMYFUNCTION("""COMPUTED_VALUE"""),"Heritage House Of Shelbyville")</f>
        <v>Heritage House Of Shelbyville</v>
      </c>
      <c r="B24" s="135" t="str">
        <f ca="1">IFERROR(__xludf.DUMMYFUNCTION("""COMPUTED_VALUE"""),"Heritage House")</f>
        <v>Heritage House</v>
      </c>
      <c r="C24" s="135" t="str">
        <f ca="1">IFERROR(__xludf.DUMMYFUNCTION("""COMPUTED_VALUE"""),"   Tel: (317)398-9781")</f>
        <v xml:space="preserve">   Tel: (317)398-9781</v>
      </c>
      <c r="D24" s="135" t="str">
        <f ca="1">IFERROR(__xludf.DUMMYFUNCTION("""COMPUTED_VALUE"""),"   2309 S Miller St")</f>
        <v xml:space="preserve">   2309 S Miller St</v>
      </c>
      <c r="E24" s="135" t="str">
        <f ca="1">IFERROR(__xludf.DUMMYFUNCTION("""COMPUTED_VALUE"""),"   Shelbyville, In 46176")</f>
        <v xml:space="preserve">   Shelbyville, In 46176</v>
      </c>
      <c r="F24" s="135" t="str">
        <f ca="1">IFERROR(__xludf.DUMMYFUNCTION("""COMPUTED_VALUE"""),"")</f>
        <v/>
      </c>
      <c r="G24" s="135">
        <f ca="1">IFERROR(__xludf.DUMMYFUNCTION("""COMPUTED_VALUE"""),93)</f>
        <v>93</v>
      </c>
      <c r="H24" s="135" t="str">
        <f ca="1">IFERROR(__xludf.DUMMYFUNCTION("""COMPUTED_VALUE"""),"Cannot Accomplish")</f>
        <v>Cannot Accomplish</v>
      </c>
      <c r="I24" s="135" t="str">
        <f ca="1">IFERROR(__xludf.DUMMYFUNCTION("""COMPUTED_VALUE"""),"ONSITE")</f>
        <v>ONSITE</v>
      </c>
      <c r="J24" s="135" t="str">
        <f ca="1">IFERROR(__xludf.DUMMYFUNCTION("""COMPUTED_VALUE"""),"")</f>
        <v/>
      </c>
      <c r="K24" s="135">
        <f ca="1">IFERROR(__xludf.DUMMYFUNCTION("""COMPUTED_VALUE"""),1)</f>
        <v>1</v>
      </c>
      <c r="L24" s="135">
        <f ca="1">IFERROR(__xludf.DUMMYFUNCTION("""COMPUTED_VALUE"""),1)</f>
        <v>1</v>
      </c>
      <c r="M24" s="135">
        <f ca="1">IFERROR(__xludf.DUMMYFUNCTION("""COMPUTED_VALUE"""),1)</f>
        <v>1</v>
      </c>
      <c r="N24" s="135">
        <f ca="1">IFERROR(__xludf.DUMMYFUNCTION("""COMPUTED_VALUE"""),1)</f>
        <v>1</v>
      </c>
      <c r="O24" s="135">
        <f ca="1">IFERROR(__xludf.DUMMYFUNCTION("""COMPUTED_VALUE"""),1)</f>
        <v>1</v>
      </c>
      <c r="P24" s="135"/>
      <c r="Q24" s="135"/>
      <c r="R24" s="135"/>
      <c r="S24" s="135"/>
      <c r="T24" s="135"/>
      <c r="U24" s="135"/>
      <c r="V24" s="135"/>
      <c r="W24" s="135"/>
      <c r="X24" s="135"/>
      <c r="Y24" s="135"/>
      <c r="Z24" s="135"/>
    </row>
    <row r="25" spans="1:26">
      <c r="A25" s="135" t="str">
        <f ca="1">IFERROR(__xludf.DUMMYFUNCTION("""COMPUTED_VALUE"""),"Holy Cross Village At Notre Dame Inc")</f>
        <v>Holy Cross Village At Notre Dame Inc</v>
      </c>
      <c r="B25" s="135" t="str">
        <f ca="1">IFERROR(__xludf.DUMMYFUNCTION("""COMPUTED_VALUE"""),"")</f>
        <v/>
      </c>
      <c r="C25" s="135" t="str">
        <f ca="1">IFERROR(__xludf.DUMMYFUNCTION("""COMPUTED_VALUE"""),"   Tel: (574)287-1838")</f>
        <v xml:space="preserve">   Tel: (574)287-1838</v>
      </c>
      <c r="D25" s="135" t="str">
        <f ca="1">IFERROR(__xludf.DUMMYFUNCTION("""COMPUTED_VALUE"""),"   54515 State Road 933 North")</f>
        <v xml:space="preserve">   54515 State Road 933 North</v>
      </c>
      <c r="E25" s="135" t="str">
        <f ca="1">IFERROR(__xludf.DUMMYFUNCTION("""COMPUTED_VALUE"""),"   Notre Dame, In 46556")</f>
        <v xml:space="preserve">   Notre Dame, In 46556</v>
      </c>
      <c r="F25" s="135" t="str">
        <f ca="1">IFERROR(__xludf.DUMMYFUNCTION("""COMPUTED_VALUE"""),"")</f>
        <v/>
      </c>
      <c r="G25" s="135">
        <f ca="1">IFERROR(__xludf.DUMMYFUNCTION("""COMPUTED_VALUE"""),99)</f>
        <v>99</v>
      </c>
      <c r="H25" s="135" t="str">
        <f ca="1">IFERROR(__xludf.DUMMYFUNCTION("""COMPUTED_VALUE"""),"Cannot Accomplish")</f>
        <v>Cannot Accomplish</v>
      </c>
      <c r="I25" s="135" t="str">
        <f ca="1">IFERROR(__xludf.DUMMYFUNCTION("""COMPUTED_VALUE"""),"ONSITE")</f>
        <v>ONSITE</v>
      </c>
      <c r="J25" s="135" t="str">
        <f ca="1">IFERROR(__xludf.DUMMYFUNCTION("""COMPUTED_VALUE"""),"")</f>
        <v/>
      </c>
      <c r="K25" s="135">
        <f ca="1">IFERROR(__xludf.DUMMYFUNCTION("""COMPUTED_VALUE"""),1)</f>
        <v>1</v>
      </c>
      <c r="L25" s="135">
        <f ca="1">IFERROR(__xludf.DUMMYFUNCTION("""COMPUTED_VALUE"""),0)</f>
        <v>0</v>
      </c>
      <c r="M25" s="135">
        <f ca="1">IFERROR(__xludf.DUMMYFUNCTION("""COMPUTED_VALUE"""),0)</f>
        <v>0</v>
      </c>
      <c r="N25" s="135">
        <f ca="1">IFERROR(__xludf.DUMMYFUNCTION("""COMPUTED_VALUE"""),1)</f>
        <v>1</v>
      </c>
      <c r="O25" s="135">
        <f ca="1">IFERROR(__xludf.DUMMYFUNCTION("""COMPUTED_VALUE"""),0)</f>
        <v>0</v>
      </c>
      <c r="P25" s="135"/>
      <c r="Q25" s="135"/>
      <c r="R25" s="135"/>
      <c r="S25" s="135"/>
      <c r="T25" s="135"/>
      <c r="U25" s="135"/>
      <c r="V25" s="135"/>
      <c r="W25" s="135"/>
      <c r="X25" s="135"/>
      <c r="Y25" s="135"/>
      <c r="Z25" s="135"/>
    </row>
    <row r="26" spans="1:26">
      <c r="A26" s="135" t="str">
        <f ca="1">IFERROR(__xludf.DUMMYFUNCTION("""COMPUTED_VALUE"""),"Homestead Healthcare Center")</f>
        <v>Homestead Healthcare Center</v>
      </c>
      <c r="B26" s="135" t="str">
        <f ca="1">IFERROR(__xludf.DUMMYFUNCTION("""COMPUTED_VALUE"""),"CommuniCare")</f>
        <v>CommuniCare</v>
      </c>
      <c r="C26" s="135" t="str">
        <f ca="1">IFERROR(__xludf.DUMMYFUNCTION("""COMPUTED_VALUE"""),"   Tel: (317)788-3000")</f>
        <v xml:space="preserve">   Tel: (317)788-3000</v>
      </c>
      <c r="D26" s="135" t="str">
        <f ca="1">IFERROR(__xludf.DUMMYFUNCTION("""COMPUTED_VALUE"""),"   7465 Madison Ave")</f>
        <v xml:space="preserve">   7465 Madison Ave</v>
      </c>
      <c r="E26" s="135" t="str">
        <f ca="1">IFERROR(__xludf.DUMMYFUNCTION("""COMPUTED_VALUE"""),"   Indianapolis, In 46227")</f>
        <v xml:space="preserve">   Indianapolis, In 46227</v>
      </c>
      <c r="F26" s="135" t="str">
        <f ca="1">IFERROR(__xludf.DUMMYFUNCTION("""COMPUTED_VALUE"""),"")</f>
        <v/>
      </c>
      <c r="G26" s="135">
        <f ca="1">IFERROR(__xludf.DUMMYFUNCTION("""COMPUTED_VALUE"""),80)</f>
        <v>80</v>
      </c>
      <c r="H26" s="135" t="str">
        <f ca="1">IFERROR(__xludf.DUMMYFUNCTION("""COMPUTED_VALUE"""),"Cannot Accomplish")</f>
        <v>Cannot Accomplish</v>
      </c>
      <c r="I26" s="135" t="str">
        <f ca="1">IFERROR(__xludf.DUMMYFUNCTION("""COMPUTED_VALUE"""),"ONSITE")</f>
        <v>ONSITE</v>
      </c>
      <c r="J26" s="135" t="str">
        <f ca="1">IFERROR(__xludf.DUMMYFUNCTION("""COMPUTED_VALUE"""),"")</f>
        <v/>
      </c>
      <c r="K26" s="135">
        <f ca="1">IFERROR(__xludf.DUMMYFUNCTION("""COMPUTED_VALUE"""),1)</f>
        <v>1</v>
      </c>
      <c r="L26" s="135">
        <f ca="1">IFERROR(__xludf.DUMMYFUNCTION("""COMPUTED_VALUE"""),0)</f>
        <v>0</v>
      </c>
      <c r="M26" s="135">
        <f ca="1">IFERROR(__xludf.DUMMYFUNCTION("""COMPUTED_VALUE"""),0)</f>
        <v>0</v>
      </c>
      <c r="N26" s="135">
        <f ca="1">IFERROR(__xludf.DUMMYFUNCTION("""COMPUTED_VALUE"""),0)</f>
        <v>0</v>
      </c>
      <c r="O26" s="135">
        <f ca="1">IFERROR(__xludf.DUMMYFUNCTION("""COMPUTED_VALUE"""),0)</f>
        <v>0</v>
      </c>
      <c r="P26" s="135"/>
      <c r="Q26" s="135"/>
      <c r="R26" s="135"/>
      <c r="S26" s="135"/>
      <c r="T26" s="135"/>
      <c r="U26" s="135"/>
      <c r="V26" s="135"/>
      <c r="W26" s="135"/>
      <c r="X26" s="135"/>
      <c r="Y26" s="135"/>
      <c r="Z26" s="135"/>
    </row>
    <row r="27" spans="1:26">
      <c r="A27" s="135" t="str">
        <f ca="1">IFERROR(__xludf.DUMMYFUNCTION("""COMPUTED_VALUE"""),"Kingston Residence Of Fort Wayne")</f>
        <v>Kingston Residence Of Fort Wayne</v>
      </c>
      <c r="B27" s="135" t="str">
        <f ca="1">IFERROR(__xludf.DUMMYFUNCTION("""COMPUTED_VALUE"""),"Kingston Care")</f>
        <v>Kingston Care</v>
      </c>
      <c r="C27" s="135" t="str">
        <f ca="1">IFERROR(__xludf.DUMMYFUNCTION("""COMPUTED_VALUE"""),"   Tel: (260)747-1523")</f>
        <v xml:space="preserve">   Tel: (260)747-1523</v>
      </c>
      <c r="D27" s="135" t="str">
        <f ca="1">IFERROR(__xludf.DUMMYFUNCTION("""COMPUTED_VALUE"""),"   7515 Winchester Rd")</f>
        <v xml:space="preserve">   7515 Winchester Rd</v>
      </c>
      <c r="E27" s="135" t="str">
        <f ca="1">IFERROR(__xludf.DUMMYFUNCTION("""COMPUTED_VALUE"""),"   Fort Wayne, In 46819")</f>
        <v xml:space="preserve">   Fort Wayne, In 46819</v>
      </c>
      <c r="F27" s="135" t="str">
        <f ca="1">IFERROR(__xludf.DUMMYFUNCTION("""COMPUTED_VALUE"""),"")</f>
        <v/>
      </c>
      <c r="G27" s="135">
        <f ca="1">IFERROR(__xludf.DUMMYFUNCTION("""COMPUTED_VALUE"""),55)</f>
        <v>55</v>
      </c>
      <c r="H27" s="135" t="str">
        <f ca="1">IFERROR(__xludf.DUMMYFUNCTION("""COMPUTED_VALUE"""),"Cannot Accomplish")</f>
        <v>Cannot Accomplish</v>
      </c>
      <c r="I27" s="135" t="str">
        <f ca="1">IFERROR(__xludf.DUMMYFUNCTION("""COMPUTED_VALUE"""),"ONSITE")</f>
        <v>ONSITE</v>
      </c>
      <c r="J27" s="135" t="str">
        <f ca="1">IFERROR(__xludf.DUMMYFUNCTION("""COMPUTED_VALUE"""),"")</f>
        <v/>
      </c>
      <c r="K27" s="135">
        <f ca="1">IFERROR(__xludf.DUMMYFUNCTION("""COMPUTED_VALUE"""),1)</f>
        <v>1</v>
      </c>
      <c r="L27" s="135">
        <f ca="1">IFERROR(__xludf.DUMMYFUNCTION("""COMPUTED_VALUE"""),1)</f>
        <v>1</v>
      </c>
      <c r="M27" s="135">
        <f ca="1">IFERROR(__xludf.DUMMYFUNCTION("""COMPUTED_VALUE"""),0)</f>
        <v>0</v>
      </c>
      <c r="N27" s="135">
        <f ca="1">IFERROR(__xludf.DUMMYFUNCTION("""COMPUTED_VALUE"""),1)</f>
        <v>1</v>
      </c>
      <c r="O27" s="135">
        <f ca="1">IFERROR(__xludf.DUMMYFUNCTION("""COMPUTED_VALUE"""),1)</f>
        <v>1</v>
      </c>
      <c r="P27" s="135"/>
      <c r="Q27" s="135"/>
      <c r="R27" s="135"/>
      <c r="S27" s="135"/>
      <c r="T27" s="135"/>
      <c r="U27" s="135"/>
      <c r="V27" s="135"/>
      <c r="W27" s="135"/>
      <c r="X27" s="135"/>
      <c r="Y27" s="135"/>
      <c r="Z27" s="135"/>
    </row>
    <row r="28" spans="1:26">
      <c r="A28" s="135" t="str">
        <f ca="1">IFERROR(__xludf.DUMMYFUNCTION("""COMPUTED_VALUE"""),"Lincoln Hills")</f>
        <v>Lincoln Hills</v>
      </c>
      <c r="B28" s="135" t="str">
        <f ca="1">IFERROR(__xludf.DUMMYFUNCTION("""COMPUTED_VALUE"""),"CarDon")</f>
        <v>CarDon</v>
      </c>
      <c r="C28" s="135" t="str">
        <f ca="1">IFERROR(__xludf.DUMMYFUNCTION("""COMPUTED_VALUE"""),"#N/A")</f>
        <v>#N/A</v>
      </c>
      <c r="D28" s="135" t="str">
        <f ca="1">IFERROR(__xludf.DUMMYFUNCTION("""COMPUTED_VALUE"""),"#N/A")</f>
        <v>#N/A</v>
      </c>
      <c r="E28" s="135" t="str">
        <f ca="1">IFERROR(__xludf.DUMMYFUNCTION("""COMPUTED_VALUE"""),"#N/A")</f>
        <v>#N/A</v>
      </c>
      <c r="F28" s="135" t="str">
        <f ca="1">IFERROR(__xludf.DUMMYFUNCTION("""COMPUTED_VALUE"""),"")</f>
        <v/>
      </c>
      <c r="G28" s="135">
        <f ca="1">IFERROR(__xludf.DUMMYFUNCTION("""COMPUTED_VALUE"""),79)</f>
        <v>79</v>
      </c>
      <c r="H28" s="135" t="str">
        <f ca="1">IFERROR(__xludf.DUMMYFUNCTION("""COMPUTED_VALUE"""),"Other/Need State Resources to help")</f>
        <v>Other/Need State Resources to help</v>
      </c>
      <c r="I28" s="135" t="str">
        <f ca="1">IFERROR(__xludf.DUMMYFUNCTION("""COMPUTED_VALUE"""),"ONSITE")</f>
        <v>ONSITE</v>
      </c>
      <c r="J28" s="135" t="str">
        <f ca="1">IFERROR(__xludf.DUMMYFUNCTION("""COMPUTED_VALUE"""),"")</f>
        <v/>
      </c>
      <c r="K28" s="135">
        <f ca="1">IFERROR(__xludf.DUMMYFUNCTION("""COMPUTED_VALUE"""),0)</f>
        <v>0</v>
      </c>
      <c r="L28" s="135">
        <f ca="1">IFERROR(__xludf.DUMMYFUNCTION("""COMPUTED_VALUE"""),0)</f>
        <v>0</v>
      </c>
      <c r="M28" s="135">
        <f ca="1">IFERROR(__xludf.DUMMYFUNCTION("""COMPUTED_VALUE"""),0)</f>
        <v>0</v>
      </c>
      <c r="N28" s="135">
        <f ca="1">IFERROR(__xludf.DUMMYFUNCTION("""COMPUTED_VALUE"""),0)</f>
        <v>0</v>
      </c>
      <c r="O28" s="135">
        <f ca="1">IFERROR(__xludf.DUMMYFUNCTION("""COMPUTED_VALUE"""),1)</f>
        <v>1</v>
      </c>
      <c r="P28" s="135"/>
      <c r="Q28" s="135"/>
      <c r="R28" s="135"/>
      <c r="S28" s="135"/>
      <c r="T28" s="135"/>
      <c r="U28" s="135"/>
      <c r="V28" s="135"/>
      <c r="W28" s="135"/>
      <c r="X28" s="135"/>
      <c r="Y28" s="135"/>
      <c r="Z28" s="135"/>
    </row>
    <row r="29" spans="1:26">
      <c r="A29" s="135" t="str">
        <f ca="1">IFERROR(__xludf.DUMMYFUNCTION("""COMPUTED_VALUE"""),"Majestic Care Of West Allen")</f>
        <v>Majestic Care Of West Allen</v>
      </c>
      <c r="B29" s="135" t="str">
        <f ca="1">IFERROR(__xludf.DUMMYFUNCTION("""COMPUTED_VALUE"""),"Majestic")</f>
        <v>Majestic</v>
      </c>
      <c r="C29" s="135" t="str">
        <f ca="1">IFERROR(__xludf.DUMMYFUNCTION("""COMPUTED_VALUE"""),"   Tel: (260)625-3545")</f>
        <v xml:space="preserve">   Tel: (260)625-3545</v>
      </c>
      <c r="D29" s="135" t="str">
        <f ca="1">IFERROR(__xludf.DUMMYFUNCTION("""COMPUTED_VALUE"""),"   6050 S Cr 800 E 92")</f>
        <v xml:space="preserve">   6050 S Cr 800 E 92</v>
      </c>
      <c r="E29" s="135" t="str">
        <f ca="1">IFERROR(__xludf.DUMMYFUNCTION("""COMPUTED_VALUE"""),"   Fort Wayne, In 46814")</f>
        <v xml:space="preserve">   Fort Wayne, In 46814</v>
      </c>
      <c r="F29" s="135" t="str">
        <f ca="1">IFERROR(__xludf.DUMMYFUNCTION("""COMPUTED_VALUE"""),"")</f>
        <v/>
      </c>
      <c r="G29" s="135">
        <f ca="1">IFERROR(__xludf.DUMMYFUNCTION("""COMPUTED_VALUE"""),77)</f>
        <v>77</v>
      </c>
      <c r="H29" s="135" t="str">
        <f ca="1">IFERROR(__xludf.DUMMYFUNCTION("""COMPUTED_VALUE"""),"Cannot Accomplish")</f>
        <v>Cannot Accomplish</v>
      </c>
      <c r="I29" s="135" t="str">
        <f ca="1">IFERROR(__xludf.DUMMYFUNCTION("""COMPUTED_VALUE"""),"ONSITE")</f>
        <v>ONSITE</v>
      </c>
      <c r="J29" s="135" t="str">
        <f ca="1">IFERROR(__xludf.DUMMYFUNCTION("""COMPUTED_VALUE"""),"")</f>
        <v/>
      </c>
      <c r="K29" s="135">
        <f ca="1">IFERROR(__xludf.DUMMYFUNCTION("""COMPUTED_VALUE"""),1)</f>
        <v>1</v>
      </c>
      <c r="L29" s="135">
        <f ca="1">IFERROR(__xludf.DUMMYFUNCTION("""COMPUTED_VALUE"""),1)</f>
        <v>1</v>
      </c>
      <c r="M29" s="135">
        <f ca="1">IFERROR(__xludf.DUMMYFUNCTION("""COMPUTED_VALUE"""),0)</f>
        <v>0</v>
      </c>
      <c r="N29" s="135">
        <f ca="1">IFERROR(__xludf.DUMMYFUNCTION("""COMPUTED_VALUE"""),0)</f>
        <v>0</v>
      </c>
      <c r="O29" s="135">
        <f ca="1">IFERROR(__xludf.DUMMYFUNCTION("""COMPUTED_VALUE"""),1)</f>
        <v>1</v>
      </c>
      <c r="P29" s="135"/>
      <c r="Q29" s="135"/>
      <c r="R29" s="135"/>
      <c r="S29" s="135"/>
      <c r="T29" s="135"/>
      <c r="U29" s="135"/>
      <c r="V29" s="135"/>
      <c r="W29" s="135"/>
      <c r="X29" s="135"/>
      <c r="Y29" s="135"/>
      <c r="Z29" s="135"/>
    </row>
    <row r="30" spans="1:26">
      <c r="A30" s="135" t="str">
        <f ca="1">IFERROR(__xludf.DUMMYFUNCTION("""COMPUTED_VALUE"""),"Northwood Retirement Community")</f>
        <v>Northwood Retirement Community</v>
      </c>
      <c r="B30" s="135" t="str">
        <f ca="1">IFERROR(__xludf.DUMMYFUNCTION("""COMPUTED_VALUE"""),"")</f>
        <v/>
      </c>
      <c r="C30" s="135" t="str">
        <f ca="1">IFERROR(__xludf.DUMMYFUNCTION("""COMPUTED_VALUE"""),"(812) 482-1722")</f>
        <v>(812) 482-1722</v>
      </c>
      <c r="D30" s="135" t="str">
        <f ca="1">IFERROR(__xludf.DUMMYFUNCTION("""COMPUTED_VALUE"""),"2515 N Newton St")</f>
        <v>2515 N Newton St</v>
      </c>
      <c r="E30" s="135" t="str">
        <f ca="1">IFERROR(__xludf.DUMMYFUNCTION("""COMPUTED_VALUE"""),"Jasper, In  47546")</f>
        <v>Jasper, In  47546</v>
      </c>
      <c r="F30" s="135" t="str">
        <f ca="1">IFERROR(__xludf.DUMMYFUNCTION("""COMPUTED_VALUE"""),"")</f>
        <v/>
      </c>
      <c r="G30" s="135">
        <f ca="1">IFERROR(__xludf.DUMMYFUNCTION("""COMPUTED_VALUE"""),180)</f>
        <v>180</v>
      </c>
      <c r="H30" s="135" t="str">
        <f ca="1">IFERROR(__xludf.DUMMYFUNCTION("""COMPUTED_VALUE"""),"Cannot Accomplish")</f>
        <v>Cannot Accomplish</v>
      </c>
      <c r="I30" s="135" t="str">
        <f ca="1">IFERROR(__xludf.DUMMYFUNCTION("""COMPUTED_VALUE"""),"ONSITE")</f>
        <v>ONSITE</v>
      </c>
      <c r="J30" s="135" t="str">
        <f ca="1">IFERROR(__xludf.DUMMYFUNCTION("""COMPUTED_VALUE"""),"")</f>
        <v/>
      </c>
      <c r="K30" s="135">
        <f ca="1">IFERROR(__xludf.DUMMYFUNCTION("""COMPUTED_VALUE"""),0)</f>
        <v>0</v>
      </c>
      <c r="L30" s="135">
        <f ca="1">IFERROR(__xludf.DUMMYFUNCTION("""COMPUTED_VALUE"""),1)</f>
        <v>1</v>
      </c>
      <c r="M30" s="135">
        <f ca="1">IFERROR(__xludf.DUMMYFUNCTION("""COMPUTED_VALUE"""),0)</f>
        <v>0</v>
      </c>
      <c r="N30" s="135">
        <f ca="1">IFERROR(__xludf.DUMMYFUNCTION("""COMPUTED_VALUE"""),0)</f>
        <v>0</v>
      </c>
      <c r="O30" s="135">
        <f ca="1">IFERROR(__xludf.DUMMYFUNCTION("""COMPUTED_VALUE"""),0)</f>
        <v>0</v>
      </c>
      <c r="P30" s="135"/>
      <c r="Q30" s="135"/>
      <c r="R30" s="135"/>
      <c r="S30" s="135"/>
      <c r="T30" s="135"/>
      <c r="U30" s="135"/>
      <c r="V30" s="135"/>
      <c r="W30" s="135"/>
      <c r="X30" s="135"/>
      <c r="Y30" s="135"/>
      <c r="Z30" s="135"/>
    </row>
    <row r="31" spans="1:26">
      <c r="A31" s="135" t="str">
        <f ca="1">IFERROR(__xludf.DUMMYFUNCTION("""COMPUTED_VALUE"""),"Oak Grove Christian Retirement Village")</f>
        <v>Oak Grove Christian Retirement Village</v>
      </c>
      <c r="B31" s="135" t="str">
        <f ca="1">IFERROR(__xludf.DUMMYFUNCTION("""COMPUTED_VALUE"""),"")</f>
        <v/>
      </c>
      <c r="C31" s="135" t="str">
        <f ca="1">IFERROR(__xludf.DUMMYFUNCTION("""COMPUTED_VALUE"""),"   Tel: (219)987-7005")</f>
        <v xml:space="preserve">   Tel: (219)987-7005</v>
      </c>
      <c r="D31" s="135" t="str">
        <f ca="1">IFERROR(__xludf.DUMMYFUNCTION("""COMPUTED_VALUE"""),"   221 W Division St")</f>
        <v xml:space="preserve">   221 W Division St</v>
      </c>
      <c r="E31" s="135" t="str">
        <f ca="1">IFERROR(__xludf.DUMMYFUNCTION("""COMPUTED_VALUE"""),"   Demotte, In 46310")</f>
        <v xml:space="preserve">   Demotte, In 46310</v>
      </c>
      <c r="F31" s="135" t="str">
        <f ca="1">IFERROR(__xludf.DUMMYFUNCTION("""COMPUTED_VALUE"""),"No")</f>
        <v>No</v>
      </c>
      <c r="G31" s="135">
        <f ca="1">IFERROR(__xludf.DUMMYFUNCTION("""COMPUTED_VALUE"""),120)</f>
        <v>120</v>
      </c>
      <c r="H31" s="135" t="str">
        <f ca="1">IFERROR(__xludf.DUMMYFUNCTION("""COMPUTED_VALUE"""),"Other/Need State Resources to help")</f>
        <v>Other/Need State Resources to help</v>
      </c>
      <c r="I31" s="135" t="str">
        <f ca="1">IFERROR(__xludf.DUMMYFUNCTION("""COMPUTED_VALUE"""),"ONSITE")</f>
        <v>ONSITE</v>
      </c>
      <c r="J31" s="135" t="str">
        <f ca="1">IFERROR(__xludf.DUMMYFUNCTION("""COMPUTED_VALUE"""),"")</f>
        <v/>
      </c>
      <c r="K31" s="135">
        <f ca="1">IFERROR(__xludf.DUMMYFUNCTION("""COMPUTED_VALUE"""),1)</f>
        <v>1</v>
      </c>
      <c r="L31" s="135">
        <f ca="1">IFERROR(__xludf.DUMMYFUNCTION("""COMPUTED_VALUE"""),0)</f>
        <v>0</v>
      </c>
      <c r="M31" s="135">
        <f ca="1">IFERROR(__xludf.DUMMYFUNCTION("""COMPUTED_VALUE"""),0)</f>
        <v>0</v>
      </c>
      <c r="N31" s="135">
        <f ca="1">IFERROR(__xludf.DUMMYFUNCTION("""COMPUTED_VALUE"""),0)</f>
        <v>0</v>
      </c>
      <c r="O31" s="135">
        <f ca="1">IFERROR(__xludf.DUMMYFUNCTION("""COMPUTED_VALUE"""),0)</f>
        <v>0</v>
      </c>
      <c r="P31" s="135"/>
      <c r="Q31" s="135"/>
      <c r="R31" s="135"/>
      <c r="S31" s="135"/>
      <c r="T31" s="135"/>
      <c r="U31" s="135"/>
      <c r="V31" s="135"/>
      <c r="W31" s="135"/>
      <c r="X31" s="135"/>
      <c r="Y31" s="135"/>
      <c r="Z31" s="135"/>
    </row>
    <row r="32" spans="1:26">
      <c r="A32" s="135" t="str">
        <f ca="1">IFERROR(__xludf.DUMMYFUNCTION("""COMPUTED_VALUE"""),"Parkview Haven")</f>
        <v>Parkview Haven</v>
      </c>
      <c r="B32" s="135" t="str">
        <f ca="1">IFERROR(__xludf.DUMMYFUNCTION("""COMPUTED_VALUE"""),"")</f>
        <v/>
      </c>
      <c r="C32" s="135" t="str">
        <f ca="1">IFERROR(__xludf.DUMMYFUNCTION("""COMPUTED_VALUE"""),"   Tel: (219)567-9149")</f>
        <v xml:space="preserve">   Tel: (219)567-9149</v>
      </c>
      <c r="D32" s="135" t="str">
        <f ca="1">IFERROR(__xludf.DUMMYFUNCTION("""COMPUTED_VALUE"""),"   101 Constitution Dr")</f>
        <v xml:space="preserve">   101 Constitution Dr</v>
      </c>
      <c r="E32" s="135" t="str">
        <f ca="1">IFERROR(__xludf.DUMMYFUNCTION("""COMPUTED_VALUE"""),"   Francesville, In 47946")</f>
        <v xml:space="preserve">   Francesville, In 47946</v>
      </c>
      <c r="F32" s="135" t="str">
        <f ca="1">IFERROR(__xludf.DUMMYFUNCTION("""COMPUTED_VALUE"""),"No")</f>
        <v>No</v>
      </c>
      <c r="G32" s="135">
        <f ca="1">IFERROR(__xludf.DUMMYFUNCTION("""COMPUTED_VALUE"""),85)</f>
        <v>85</v>
      </c>
      <c r="H32" s="135" t="str">
        <f ca="1">IFERROR(__xludf.DUMMYFUNCTION("""COMPUTED_VALUE"""),"Need Onsite Lab Team")</f>
        <v>Need Onsite Lab Team</v>
      </c>
      <c r="I32" s="135" t="str">
        <f ca="1">IFERROR(__xludf.DUMMYFUNCTION("""COMPUTED_VALUE"""),"ONSITE")</f>
        <v>ONSITE</v>
      </c>
      <c r="J32" s="135" t="str">
        <f ca="1">IFERROR(__xludf.DUMMYFUNCTION("""COMPUTED_VALUE"""),"Does not have trained staff and has not talked in detail with local hospital")</f>
        <v>Does not have trained staff and has not talked in detail with local hospital</v>
      </c>
      <c r="K32" s="135">
        <f ca="1">IFERROR(__xludf.DUMMYFUNCTION("""COMPUTED_VALUE"""),0)</f>
        <v>0</v>
      </c>
      <c r="L32" s="135">
        <f ca="1">IFERROR(__xludf.DUMMYFUNCTION("""COMPUTED_VALUE"""),0)</f>
        <v>0</v>
      </c>
      <c r="M32" s="135">
        <f ca="1">IFERROR(__xludf.DUMMYFUNCTION("""COMPUTED_VALUE"""),0)</f>
        <v>0</v>
      </c>
      <c r="N32" s="135">
        <f ca="1">IFERROR(__xludf.DUMMYFUNCTION("""COMPUTED_VALUE"""),0)</f>
        <v>0</v>
      </c>
      <c r="O32" s="135">
        <f ca="1">IFERROR(__xludf.DUMMYFUNCTION("""COMPUTED_VALUE"""),0)</f>
        <v>0</v>
      </c>
      <c r="P32" s="135"/>
      <c r="Q32" s="135"/>
      <c r="R32" s="135"/>
      <c r="S32" s="135"/>
      <c r="T32" s="135"/>
      <c r="U32" s="135"/>
      <c r="V32" s="135"/>
      <c r="W32" s="135"/>
      <c r="X32" s="135"/>
      <c r="Y32" s="135"/>
      <c r="Z32" s="135"/>
    </row>
    <row r="33" spans="1:26">
      <c r="A33" s="135" t="str">
        <f ca="1">IFERROR(__xludf.DUMMYFUNCTION("""COMPUTED_VALUE"""),"Plainfield Health Care Center")</f>
        <v>Plainfield Health Care Center</v>
      </c>
      <c r="B33" s="135" t="str">
        <f ca="1">IFERROR(__xludf.DUMMYFUNCTION("""COMPUTED_VALUE"""),"")</f>
        <v/>
      </c>
      <c r="C33" s="135" t="str">
        <f ca="1">IFERROR(__xludf.DUMMYFUNCTION("""COMPUTED_VALUE"""),"   Tel: (317)839-6577")</f>
        <v xml:space="preserve">   Tel: (317)839-6577</v>
      </c>
      <c r="D33" s="135" t="str">
        <f ca="1">IFERROR(__xludf.DUMMYFUNCTION("""COMPUTED_VALUE"""),"   3700 Clarks Creek Rd")</f>
        <v xml:space="preserve">   3700 Clarks Creek Rd</v>
      </c>
      <c r="E33" s="135" t="str">
        <f ca="1">IFERROR(__xludf.DUMMYFUNCTION("""COMPUTED_VALUE"""),"   Plainfield, In 46168")</f>
        <v xml:space="preserve">   Plainfield, In 46168</v>
      </c>
      <c r="F33" s="135" t="str">
        <f ca="1">IFERROR(__xludf.DUMMYFUNCTION("""COMPUTED_VALUE"""),"")</f>
        <v/>
      </c>
      <c r="G33" s="135">
        <f ca="1">IFERROR(__xludf.DUMMYFUNCTION("""COMPUTED_VALUE"""),93)</f>
        <v>93</v>
      </c>
      <c r="H33" s="135" t="str">
        <f ca="1">IFERROR(__xludf.DUMMYFUNCTION("""COMPUTED_VALUE"""),"Cannot Accomplish")</f>
        <v>Cannot Accomplish</v>
      </c>
      <c r="I33" s="135" t="str">
        <f ca="1">IFERROR(__xludf.DUMMYFUNCTION("""COMPUTED_VALUE"""),"ONSITE")</f>
        <v>ONSITE</v>
      </c>
      <c r="J33" s="135" t="str">
        <f ca="1">IFERROR(__xludf.DUMMYFUNCTION("""COMPUTED_VALUE"""),"")</f>
        <v/>
      </c>
      <c r="K33" s="135">
        <f ca="1">IFERROR(__xludf.DUMMYFUNCTION("""COMPUTED_VALUE"""),1)</f>
        <v>1</v>
      </c>
      <c r="L33" s="135">
        <f ca="1">IFERROR(__xludf.DUMMYFUNCTION("""COMPUTED_VALUE"""),1)</f>
        <v>1</v>
      </c>
      <c r="M33" s="135">
        <f ca="1">IFERROR(__xludf.DUMMYFUNCTION("""COMPUTED_VALUE"""),0)</f>
        <v>0</v>
      </c>
      <c r="N33" s="135">
        <f ca="1">IFERROR(__xludf.DUMMYFUNCTION("""COMPUTED_VALUE"""),1)</f>
        <v>1</v>
      </c>
      <c r="O33" s="135">
        <f ca="1">IFERROR(__xludf.DUMMYFUNCTION("""COMPUTED_VALUE"""),1)</f>
        <v>1</v>
      </c>
      <c r="P33" s="135"/>
      <c r="Q33" s="135"/>
      <c r="R33" s="135"/>
      <c r="S33" s="135"/>
      <c r="T33" s="135"/>
      <c r="U33" s="135"/>
      <c r="V33" s="135"/>
      <c r="W33" s="135"/>
      <c r="X33" s="135"/>
      <c r="Y33" s="135"/>
      <c r="Z33" s="135"/>
    </row>
    <row r="34" spans="1:26">
      <c r="A34" s="135" t="str">
        <f ca="1">IFERROR(__xludf.DUMMYFUNCTION("""COMPUTED_VALUE"""),"Rolling Hills Healthcare Center")</f>
        <v>Rolling Hills Healthcare Center</v>
      </c>
      <c r="B34" s="135" t="str">
        <f ca="1">IFERROR(__xludf.DUMMYFUNCTION("""COMPUTED_VALUE"""),"CommuniCare")</f>
        <v>CommuniCare</v>
      </c>
      <c r="C34" s="135" t="str">
        <f ca="1">IFERROR(__xludf.DUMMYFUNCTION("""COMPUTED_VALUE"""),"   Tel: (812)948-0670")</f>
        <v xml:space="preserve">   Tel: (812)948-0670</v>
      </c>
      <c r="D34" s="135" t="str">
        <f ca="1">IFERROR(__xludf.DUMMYFUNCTION("""COMPUTED_VALUE"""),"   3625 St Joseph Rd")</f>
        <v xml:space="preserve">   3625 St Joseph Rd</v>
      </c>
      <c r="E34" s="135" t="str">
        <f ca="1">IFERROR(__xludf.DUMMYFUNCTION("""COMPUTED_VALUE"""),"   New Albany, In 47150")</f>
        <v xml:space="preserve">   New Albany, In 47150</v>
      </c>
      <c r="F34" s="135" t="str">
        <f ca="1">IFERROR(__xludf.DUMMYFUNCTION("""COMPUTED_VALUE"""),"")</f>
        <v/>
      </c>
      <c r="G34" s="135">
        <f ca="1">IFERROR(__xludf.DUMMYFUNCTION("""COMPUTED_VALUE"""),108)</f>
        <v>108</v>
      </c>
      <c r="H34" s="135" t="str">
        <f ca="1">IFERROR(__xludf.DUMMYFUNCTION("""COMPUTED_VALUE"""),"Other/Need State Resources to help")</f>
        <v>Other/Need State Resources to help</v>
      </c>
      <c r="I34" s="135" t="str">
        <f ca="1">IFERROR(__xludf.DUMMYFUNCTION("""COMPUTED_VALUE"""),"ONSITE")</f>
        <v>ONSITE</v>
      </c>
      <c r="J34" s="135" t="str">
        <f ca="1">IFERROR(__xludf.DUMMYFUNCTION("""COMPUTED_VALUE"""),"")</f>
        <v/>
      </c>
      <c r="K34" s="135">
        <f ca="1">IFERROR(__xludf.DUMMYFUNCTION("""COMPUTED_VALUE"""),0)</f>
        <v>0</v>
      </c>
      <c r="L34" s="135">
        <f ca="1">IFERROR(__xludf.DUMMYFUNCTION("""COMPUTED_VALUE"""),0)</f>
        <v>0</v>
      </c>
      <c r="M34" s="135">
        <f ca="1">IFERROR(__xludf.DUMMYFUNCTION("""COMPUTED_VALUE"""),0)</f>
        <v>0</v>
      </c>
      <c r="N34" s="135">
        <f ca="1">IFERROR(__xludf.DUMMYFUNCTION("""COMPUTED_VALUE"""),0)</f>
        <v>0</v>
      </c>
      <c r="O34" s="135">
        <f ca="1">IFERROR(__xludf.DUMMYFUNCTION("""COMPUTED_VALUE"""),0)</f>
        <v>0</v>
      </c>
      <c r="P34" s="135"/>
      <c r="Q34" s="135"/>
      <c r="R34" s="135"/>
      <c r="S34" s="135"/>
      <c r="T34" s="135"/>
      <c r="U34" s="135"/>
      <c r="V34" s="135"/>
      <c r="W34" s="135"/>
      <c r="X34" s="135"/>
      <c r="Y34" s="135"/>
      <c r="Z34" s="135"/>
    </row>
    <row r="35" spans="1:26">
      <c r="A35" s="135" t="str">
        <f ca="1">IFERROR(__xludf.DUMMYFUNCTION("""COMPUTED_VALUE"""),"Rural Health Care Center")</f>
        <v>Rural Health Care Center</v>
      </c>
      <c r="B35" s="135" t="str">
        <f ca="1">IFERROR(__xludf.DUMMYFUNCTION("""COMPUTED_VALUE"""),"Chosen")</f>
        <v>Chosen</v>
      </c>
      <c r="C35" s="135" t="str">
        <f ca="1">IFERROR(__xludf.DUMMYFUNCTION("""COMPUTED_VALUE"""),"   Tel: (317)635-1355")</f>
        <v xml:space="preserve">   Tel: (317)635-1355</v>
      </c>
      <c r="D35" s="135" t="str">
        <f ca="1">IFERROR(__xludf.DUMMYFUNCTION("""COMPUTED_VALUE"""),"   1747 N Rural St")</f>
        <v xml:space="preserve">   1747 N Rural St</v>
      </c>
      <c r="E35" s="135" t="str">
        <f ca="1">IFERROR(__xludf.DUMMYFUNCTION("""COMPUTED_VALUE"""),"   Indianapolis, In 46218")</f>
        <v xml:space="preserve">   Indianapolis, In 46218</v>
      </c>
      <c r="F35" s="135" t="str">
        <f ca="1">IFERROR(__xludf.DUMMYFUNCTION("""COMPUTED_VALUE"""),"")</f>
        <v/>
      </c>
      <c r="G35" s="135">
        <f ca="1">IFERROR(__xludf.DUMMYFUNCTION("""COMPUTED_VALUE"""),50)</f>
        <v>50</v>
      </c>
      <c r="H35" s="135" t="str">
        <f ca="1">IFERROR(__xludf.DUMMYFUNCTION("""COMPUTED_VALUE"""),"Cannot Accomplish")</f>
        <v>Cannot Accomplish</v>
      </c>
      <c r="I35" s="135" t="str">
        <f ca="1">IFERROR(__xludf.DUMMYFUNCTION("""COMPUTED_VALUE"""),"ONSITE")</f>
        <v>ONSITE</v>
      </c>
      <c r="J35" s="135" t="str">
        <f ca="1">IFERROR(__xludf.DUMMYFUNCTION("""COMPUTED_VALUE"""),"")</f>
        <v/>
      </c>
      <c r="K35" s="135">
        <f ca="1">IFERROR(__xludf.DUMMYFUNCTION("""COMPUTED_VALUE"""),1)</f>
        <v>1</v>
      </c>
      <c r="L35" s="135">
        <f ca="1">IFERROR(__xludf.DUMMYFUNCTION("""COMPUTED_VALUE"""),0)</f>
        <v>0</v>
      </c>
      <c r="M35" s="135">
        <f ca="1">IFERROR(__xludf.DUMMYFUNCTION("""COMPUTED_VALUE"""),0)</f>
        <v>0</v>
      </c>
      <c r="N35" s="135">
        <f ca="1">IFERROR(__xludf.DUMMYFUNCTION("""COMPUTED_VALUE"""),1)</f>
        <v>1</v>
      </c>
      <c r="O35" s="135">
        <f ca="1">IFERROR(__xludf.DUMMYFUNCTION("""COMPUTED_VALUE"""),0)</f>
        <v>0</v>
      </c>
      <c r="P35" s="135"/>
      <c r="Q35" s="135"/>
      <c r="R35" s="135"/>
      <c r="S35" s="135"/>
      <c r="T35" s="135"/>
      <c r="U35" s="135"/>
      <c r="V35" s="135"/>
      <c r="W35" s="135"/>
      <c r="X35" s="135"/>
      <c r="Y35" s="135"/>
      <c r="Z35" s="135"/>
    </row>
    <row r="36" spans="1:26">
      <c r="A36" s="135" t="str">
        <f ca="1">IFERROR(__xludf.DUMMYFUNCTION("""COMPUTED_VALUE"""),"Sellersburg Healthcare Center")</f>
        <v>Sellersburg Healthcare Center</v>
      </c>
      <c r="B36" s="135" t="str">
        <f ca="1">IFERROR(__xludf.DUMMYFUNCTION("""COMPUTED_VALUE"""),"CommuniCare")</f>
        <v>CommuniCare</v>
      </c>
      <c r="C36" s="135" t="str">
        <f ca="1">IFERROR(__xludf.DUMMYFUNCTION("""COMPUTED_VALUE"""),"   Tel: (812)246-4272")</f>
        <v xml:space="preserve">   Tel: (812)246-4272</v>
      </c>
      <c r="D36" s="135" t="str">
        <f ca="1">IFERROR(__xludf.DUMMYFUNCTION("""COMPUTED_VALUE"""),"   7823 Old Hwy # 60")</f>
        <v xml:space="preserve">   7823 Old Hwy # 60</v>
      </c>
      <c r="E36" s="135" t="str">
        <f ca="1">IFERROR(__xludf.DUMMYFUNCTION("""COMPUTED_VALUE"""),"   Sellersburg, In 47172")</f>
        <v xml:space="preserve">   Sellersburg, In 47172</v>
      </c>
      <c r="F36" s="135" t="str">
        <f ca="1">IFERROR(__xludf.DUMMYFUNCTION("""COMPUTED_VALUE"""),"")</f>
        <v/>
      </c>
      <c r="G36" s="135">
        <f ca="1">IFERROR(__xludf.DUMMYFUNCTION("""COMPUTED_VALUE"""),75)</f>
        <v>75</v>
      </c>
      <c r="H36" s="135" t="str">
        <f ca="1">IFERROR(__xludf.DUMMYFUNCTION("""COMPUTED_VALUE"""),"Other/Need State Resources to help")</f>
        <v>Other/Need State Resources to help</v>
      </c>
      <c r="I36" s="135" t="str">
        <f ca="1">IFERROR(__xludf.DUMMYFUNCTION("""COMPUTED_VALUE"""),"ONSITE")</f>
        <v>ONSITE</v>
      </c>
      <c r="J36" s="135" t="str">
        <f ca="1">IFERROR(__xludf.DUMMYFUNCTION("""COMPUTED_VALUE"""),"")</f>
        <v/>
      </c>
      <c r="K36" s="135">
        <f ca="1">IFERROR(__xludf.DUMMYFUNCTION("""COMPUTED_VALUE"""),0)</f>
        <v>0</v>
      </c>
      <c r="L36" s="135">
        <f ca="1">IFERROR(__xludf.DUMMYFUNCTION("""COMPUTED_VALUE"""),0)</f>
        <v>0</v>
      </c>
      <c r="M36" s="135">
        <f ca="1">IFERROR(__xludf.DUMMYFUNCTION("""COMPUTED_VALUE"""),0)</f>
        <v>0</v>
      </c>
      <c r="N36" s="135">
        <f ca="1">IFERROR(__xludf.DUMMYFUNCTION("""COMPUTED_VALUE"""),0)</f>
        <v>0</v>
      </c>
      <c r="O36" s="135">
        <f ca="1">IFERROR(__xludf.DUMMYFUNCTION("""COMPUTED_VALUE"""),0)</f>
        <v>0</v>
      </c>
      <c r="P36" s="135"/>
      <c r="Q36" s="135"/>
      <c r="R36" s="135"/>
      <c r="S36" s="135"/>
      <c r="T36" s="135"/>
      <c r="U36" s="135"/>
      <c r="V36" s="135"/>
      <c r="W36" s="135"/>
      <c r="X36" s="135"/>
      <c r="Y36" s="135"/>
      <c r="Z36" s="135"/>
    </row>
    <row r="37" spans="1:26">
      <c r="A37" s="135" t="str">
        <f ca="1">IFERROR(__xludf.DUMMYFUNCTION("""COMPUTED_VALUE"""),"Southern Indiana Rehabilitation Hospital - Snf")</f>
        <v>Southern Indiana Rehabilitation Hospital - Snf</v>
      </c>
      <c r="B37" s="135" t="str">
        <f ca="1">IFERROR(__xludf.DUMMYFUNCTION("""COMPUTED_VALUE"""),"")</f>
        <v/>
      </c>
      <c r="C37" s="135" t="str">
        <f ca="1">IFERROR(__xludf.DUMMYFUNCTION("""COMPUTED_VALUE"""),"   Tel: (812)941-8300")</f>
        <v xml:space="preserve">   Tel: (812)941-8300</v>
      </c>
      <c r="D37" s="135" t="str">
        <f ca="1">IFERROR(__xludf.DUMMYFUNCTION("""COMPUTED_VALUE"""),"   3104 Blackiston Blvd - Progressive Care Unit")</f>
        <v xml:space="preserve">   3104 Blackiston Blvd - Progressive Care Unit</v>
      </c>
      <c r="E37" s="135" t="str">
        <f ca="1">IFERROR(__xludf.DUMMYFUNCTION("""COMPUTED_VALUE"""),"   New Albany, In 47150")</f>
        <v xml:space="preserve">   New Albany, In 47150</v>
      </c>
      <c r="F37" s="135" t="str">
        <f ca="1">IFERROR(__xludf.DUMMYFUNCTION("""COMPUTED_VALUE"""),"")</f>
        <v/>
      </c>
      <c r="G37" s="135">
        <f ca="1">IFERROR(__xludf.DUMMYFUNCTION("""COMPUTED_VALUE"""),155)</f>
        <v>155</v>
      </c>
      <c r="H37" s="135" t="str">
        <f ca="1">IFERROR(__xludf.DUMMYFUNCTION("""COMPUTED_VALUE"""),"Cannot Accomplish")</f>
        <v>Cannot Accomplish</v>
      </c>
      <c r="I37" s="135" t="str">
        <f ca="1">IFERROR(__xludf.DUMMYFUNCTION("""COMPUTED_VALUE"""),"ONSITE")</f>
        <v>ONSITE</v>
      </c>
      <c r="J37" s="135" t="str">
        <f ca="1">IFERROR(__xludf.DUMMYFUNCTION("""COMPUTED_VALUE"""),"")</f>
        <v/>
      </c>
      <c r="K37" s="135">
        <f ca="1">IFERROR(__xludf.DUMMYFUNCTION("""COMPUTED_VALUE"""),1)</f>
        <v>1</v>
      </c>
      <c r="L37" s="135">
        <f ca="1">IFERROR(__xludf.DUMMYFUNCTION("""COMPUTED_VALUE"""),0)</f>
        <v>0</v>
      </c>
      <c r="M37" s="135">
        <f ca="1">IFERROR(__xludf.DUMMYFUNCTION("""COMPUTED_VALUE"""),0)</f>
        <v>0</v>
      </c>
      <c r="N37" s="135">
        <f ca="1">IFERROR(__xludf.DUMMYFUNCTION("""COMPUTED_VALUE"""),0)</f>
        <v>0</v>
      </c>
      <c r="O37" s="135">
        <f ca="1">IFERROR(__xludf.DUMMYFUNCTION("""COMPUTED_VALUE"""),0)</f>
        <v>0</v>
      </c>
      <c r="P37" s="135"/>
      <c r="Q37" s="135"/>
      <c r="R37" s="135"/>
      <c r="S37" s="135"/>
      <c r="T37" s="135"/>
      <c r="U37" s="135"/>
      <c r="V37" s="135"/>
      <c r="W37" s="135"/>
      <c r="X37" s="135"/>
      <c r="Y37" s="135"/>
      <c r="Z37" s="135"/>
    </row>
    <row r="38" spans="1:26">
      <c r="A38" s="135" t="str">
        <f ca="1">IFERROR(__xludf.DUMMYFUNCTION("""COMPUTED_VALUE"""),"Southfield Village")</f>
        <v>Southfield Village</v>
      </c>
      <c r="B38" s="135" t="str">
        <f ca="1">IFERROR(__xludf.DUMMYFUNCTION("""COMPUTED_VALUE"""),"")</f>
        <v/>
      </c>
      <c r="C38" s="135" t="str">
        <f ca="1">IFERROR(__xludf.DUMMYFUNCTION("""COMPUTED_VALUE"""),"   Tel: (574)231-1000")</f>
        <v xml:space="preserve">   Tel: (574)231-1000</v>
      </c>
      <c r="D38" s="135" t="str">
        <f ca="1">IFERROR(__xludf.DUMMYFUNCTION("""COMPUTED_VALUE"""),"   6450 Miami Cir")</f>
        <v xml:space="preserve">   6450 Miami Cir</v>
      </c>
      <c r="E38" s="135" t="str">
        <f ca="1">IFERROR(__xludf.DUMMYFUNCTION("""COMPUTED_VALUE"""),"   South Bend, In 46614")</f>
        <v xml:space="preserve">   South Bend, In 46614</v>
      </c>
      <c r="F38" s="135" t="str">
        <f ca="1">IFERROR(__xludf.DUMMYFUNCTION("""COMPUTED_VALUE"""),"")</f>
        <v/>
      </c>
      <c r="G38" s="135">
        <f ca="1">IFERROR(__xludf.DUMMYFUNCTION("""COMPUTED_VALUE"""),120)</f>
        <v>120</v>
      </c>
      <c r="H38" s="135" t="str">
        <f ca="1">IFERROR(__xludf.DUMMYFUNCTION("""COMPUTED_VALUE"""),"Other/Need State Resources to help")</f>
        <v>Other/Need State Resources to help</v>
      </c>
      <c r="I38" s="135" t="str">
        <f ca="1">IFERROR(__xludf.DUMMYFUNCTION("""COMPUTED_VALUE"""),"ONSITE")</f>
        <v>ONSITE</v>
      </c>
      <c r="J38" s="135" t="str">
        <f ca="1">IFERROR(__xludf.DUMMYFUNCTION("""COMPUTED_VALUE"""),"")</f>
        <v/>
      </c>
      <c r="K38" s="135">
        <f ca="1">IFERROR(__xludf.DUMMYFUNCTION("""COMPUTED_VALUE"""),0)</f>
        <v>0</v>
      </c>
      <c r="L38" s="135">
        <f ca="1">IFERROR(__xludf.DUMMYFUNCTION("""COMPUTED_VALUE"""),0)</f>
        <v>0</v>
      </c>
      <c r="M38" s="135">
        <f ca="1">IFERROR(__xludf.DUMMYFUNCTION("""COMPUTED_VALUE"""),0)</f>
        <v>0</v>
      </c>
      <c r="N38" s="135">
        <f ca="1">IFERROR(__xludf.DUMMYFUNCTION("""COMPUTED_VALUE"""),0)</f>
        <v>0</v>
      </c>
      <c r="O38" s="135">
        <f ca="1">IFERROR(__xludf.DUMMYFUNCTION("""COMPUTED_VALUE"""),0)</f>
        <v>0</v>
      </c>
      <c r="P38" s="135"/>
      <c r="Q38" s="135"/>
      <c r="R38" s="135"/>
      <c r="S38" s="135"/>
      <c r="T38" s="135"/>
      <c r="U38" s="135"/>
      <c r="V38" s="135"/>
      <c r="W38" s="135"/>
      <c r="X38" s="135"/>
      <c r="Y38" s="135"/>
      <c r="Z38" s="135"/>
    </row>
    <row r="39" spans="1:26">
      <c r="A39" s="135" t="str">
        <f ca="1">IFERROR(__xludf.DUMMYFUNCTION("""COMPUTED_VALUE"""),"Southpointe Healthcare Center")</f>
        <v>Southpointe Healthcare Center</v>
      </c>
      <c r="B39" s="135" t="str">
        <f ca="1">IFERROR(__xludf.DUMMYFUNCTION("""COMPUTED_VALUE"""),"CommuniCare")</f>
        <v>CommuniCare</v>
      </c>
      <c r="C39" s="135" t="str">
        <f ca="1">IFERROR(__xludf.DUMMYFUNCTION("""COMPUTED_VALUE"""),"   Tel: (317)885-3333")</f>
        <v xml:space="preserve">   Tel: (317)885-3333</v>
      </c>
      <c r="D39" s="135" t="str">
        <f ca="1">IFERROR(__xludf.DUMMYFUNCTION("""COMPUTED_VALUE"""),"   4904 War Admiral Drive")</f>
        <v xml:space="preserve">   4904 War Admiral Drive</v>
      </c>
      <c r="E39" s="135" t="str">
        <f ca="1">IFERROR(__xludf.DUMMYFUNCTION("""COMPUTED_VALUE"""),"   Indianapolis, In 46237")</f>
        <v xml:space="preserve">   Indianapolis, In 46237</v>
      </c>
      <c r="F39" s="135" t="str">
        <f ca="1">IFERROR(__xludf.DUMMYFUNCTION("""COMPUTED_VALUE"""),"")</f>
        <v/>
      </c>
      <c r="G39" s="135">
        <f ca="1">IFERROR(__xludf.DUMMYFUNCTION("""COMPUTED_VALUE"""),110)</f>
        <v>110</v>
      </c>
      <c r="H39" s="135" t="str">
        <f ca="1">IFERROR(__xludf.DUMMYFUNCTION("""COMPUTED_VALUE"""),"Other/Need State Resources to help")</f>
        <v>Other/Need State Resources to help</v>
      </c>
      <c r="I39" s="135" t="str">
        <f ca="1">IFERROR(__xludf.DUMMYFUNCTION("""COMPUTED_VALUE"""),"ONSITE")</f>
        <v>ONSITE</v>
      </c>
      <c r="J39" s="135" t="str">
        <f ca="1">IFERROR(__xludf.DUMMYFUNCTION("""COMPUTED_VALUE"""),"")</f>
        <v/>
      </c>
      <c r="K39" s="135">
        <f ca="1">IFERROR(__xludf.DUMMYFUNCTION("""COMPUTED_VALUE"""),0)</f>
        <v>0</v>
      </c>
      <c r="L39" s="135">
        <f ca="1">IFERROR(__xludf.DUMMYFUNCTION("""COMPUTED_VALUE"""),0)</f>
        <v>0</v>
      </c>
      <c r="M39" s="135">
        <f ca="1">IFERROR(__xludf.DUMMYFUNCTION("""COMPUTED_VALUE"""),0)</f>
        <v>0</v>
      </c>
      <c r="N39" s="135">
        <f ca="1">IFERROR(__xludf.DUMMYFUNCTION("""COMPUTED_VALUE"""),0)</f>
        <v>0</v>
      </c>
      <c r="O39" s="135">
        <f ca="1">IFERROR(__xludf.DUMMYFUNCTION("""COMPUTED_VALUE"""),0)</f>
        <v>0</v>
      </c>
      <c r="P39" s="135"/>
      <c r="Q39" s="135"/>
      <c r="R39" s="135"/>
      <c r="S39" s="135"/>
      <c r="T39" s="135"/>
      <c r="U39" s="135"/>
      <c r="V39" s="135"/>
      <c r="W39" s="135"/>
      <c r="X39" s="135"/>
      <c r="Y39" s="135"/>
      <c r="Z39" s="135"/>
    </row>
    <row r="40" spans="1:26">
      <c r="A40" s="135" t="str">
        <f ca="1">IFERROR(__xludf.DUMMYFUNCTION("""COMPUTED_VALUE"""),"Southwood Healthcare Center")</f>
        <v>Southwood Healthcare Center</v>
      </c>
      <c r="B40" s="135" t="str">
        <f ca="1">IFERROR(__xludf.DUMMYFUNCTION("""COMPUTED_VALUE"""),"CommuniCare")</f>
        <v>CommuniCare</v>
      </c>
      <c r="C40" s="135" t="str">
        <f ca="1">IFERROR(__xludf.DUMMYFUNCTION("""COMPUTED_VALUE"""),"   Tel: (812)232-2223")</f>
        <v xml:space="preserve">   Tel: (812)232-2223</v>
      </c>
      <c r="D40" s="135" t="str">
        <f ca="1">IFERROR(__xludf.DUMMYFUNCTION("""COMPUTED_VALUE"""),"   2222 Margaret Ave")</f>
        <v xml:space="preserve">   2222 Margaret Ave</v>
      </c>
      <c r="E40" s="135" t="str">
        <f ca="1">IFERROR(__xludf.DUMMYFUNCTION("""COMPUTED_VALUE"""),"   Terre Haute, In 47802")</f>
        <v xml:space="preserve">   Terre Haute, In 47802</v>
      </c>
      <c r="F40" s="135" t="str">
        <f ca="1">IFERROR(__xludf.DUMMYFUNCTION("""COMPUTED_VALUE"""),"")</f>
        <v/>
      </c>
      <c r="G40" s="135">
        <f ca="1">IFERROR(__xludf.DUMMYFUNCTION("""COMPUTED_VALUE"""),140)</f>
        <v>140</v>
      </c>
      <c r="H40" s="135" t="str">
        <f ca="1">IFERROR(__xludf.DUMMYFUNCTION("""COMPUTED_VALUE"""),"Cannot Accomplish")</f>
        <v>Cannot Accomplish</v>
      </c>
      <c r="I40" s="135" t="str">
        <f ca="1">IFERROR(__xludf.DUMMYFUNCTION("""COMPUTED_VALUE"""),"ONSITE")</f>
        <v>ONSITE</v>
      </c>
      <c r="J40" s="135" t="str">
        <f ca="1">IFERROR(__xludf.DUMMYFUNCTION("""COMPUTED_VALUE"""),"")</f>
        <v/>
      </c>
      <c r="K40" s="135">
        <f ca="1">IFERROR(__xludf.DUMMYFUNCTION("""COMPUTED_VALUE"""),0)</f>
        <v>0</v>
      </c>
      <c r="L40" s="135">
        <f ca="1">IFERROR(__xludf.DUMMYFUNCTION("""COMPUTED_VALUE"""),0)</f>
        <v>0</v>
      </c>
      <c r="M40" s="135">
        <f ca="1">IFERROR(__xludf.DUMMYFUNCTION("""COMPUTED_VALUE"""),0)</f>
        <v>0</v>
      </c>
      <c r="N40" s="135">
        <f ca="1">IFERROR(__xludf.DUMMYFUNCTION("""COMPUTED_VALUE"""),0)</f>
        <v>0</v>
      </c>
      <c r="O40" s="135">
        <f ca="1">IFERROR(__xludf.DUMMYFUNCTION("""COMPUTED_VALUE"""),0)</f>
        <v>0</v>
      </c>
      <c r="P40" s="135"/>
      <c r="Q40" s="135"/>
      <c r="R40" s="135"/>
      <c r="S40" s="135"/>
      <c r="T40" s="135"/>
      <c r="U40" s="135"/>
      <c r="V40" s="135"/>
      <c r="W40" s="135"/>
      <c r="X40" s="135"/>
      <c r="Y40" s="135"/>
      <c r="Z40" s="135"/>
    </row>
    <row r="41" spans="1:26">
      <c r="A41" s="135" t="str">
        <f ca="1">IFERROR(__xludf.DUMMYFUNCTION("""COMPUTED_VALUE"""),"St Paul Hermitage")</f>
        <v>St Paul Hermitage</v>
      </c>
      <c r="B41" s="135" t="str">
        <f ca="1">IFERROR(__xludf.DUMMYFUNCTION("""COMPUTED_VALUE"""),"")</f>
        <v/>
      </c>
      <c r="C41" s="135" t="str">
        <f ca="1">IFERROR(__xludf.DUMMYFUNCTION("""COMPUTED_VALUE"""),"   Tel: (317)786-2261")</f>
        <v xml:space="preserve">   Tel: (317)786-2261</v>
      </c>
      <c r="D41" s="135" t="str">
        <f ca="1">IFERROR(__xludf.DUMMYFUNCTION("""COMPUTED_VALUE"""),"   501 N 17Th Ave")</f>
        <v xml:space="preserve">   501 N 17Th Ave</v>
      </c>
      <c r="E41" s="135" t="str">
        <f ca="1">IFERROR(__xludf.DUMMYFUNCTION("""COMPUTED_VALUE"""),"   Beech Grove, In 46107")</f>
        <v xml:space="preserve">   Beech Grove, In 46107</v>
      </c>
      <c r="F41" s="135" t="str">
        <f ca="1">IFERROR(__xludf.DUMMYFUNCTION("""COMPUTED_VALUE"""),"")</f>
        <v/>
      </c>
      <c r="G41" s="135">
        <f ca="1">IFERROR(__xludf.DUMMYFUNCTION("""COMPUTED_VALUE"""),100)</f>
        <v>100</v>
      </c>
      <c r="H41" s="135" t="str">
        <f ca="1">IFERROR(__xludf.DUMMYFUNCTION("""COMPUTED_VALUE"""),"Cannot Accomplish")</f>
        <v>Cannot Accomplish</v>
      </c>
      <c r="I41" s="135" t="str">
        <f ca="1">IFERROR(__xludf.DUMMYFUNCTION("""COMPUTED_VALUE"""),"ONSITE")</f>
        <v>ONSITE</v>
      </c>
      <c r="J41" s="135" t="str">
        <f ca="1">IFERROR(__xludf.DUMMYFUNCTION("""COMPUTED_VALUE"""),"")</f>
        <v/>
      </c>
      <c r="K41" s="135">
        <f ca="1">IFERROR(__xludf.DUMMYFUNCTION("""COMPUTED_VALUE"""),1)</f>
        <v>1</v>
      </c>
      <c r="L41" s="135">
        <f ca="1">IFERROR(__xludf.DUMMYFUNCTION("""COMPUTED_VALUE"""),0)</f>
        <v>0</v>
      </c>
      <c r="M41" s="135">
        <f ca="1">IFERROR(__xludf.DUMMYFUNCTION("""COMPUTED_VALUE"""),0)</f>
        <v>0</v>
      </c>
      <c r="N41" s="135">
        <f ca="1">IFERROR(__xludf.DUMMYFUNCTION("""COMPUTED_VALUE"""),1)</f>
        <v>1</v>
      </c>
      <c r="O41" s="135">
        <f ca="1">IFERROR(__xludf.DUMMYFUNCTION("""COMPUTED_VALUE"""),1)</f>
        <v>1</v>
      </c>
      <c r="P41" s="135"/>
      <c r="Q41" s="135"/>
      <c r="R41" s="135"/>
      <c r="S41" s="135"/>
      <c r="T41" s="135"/>
      <c r="U41" s="135"/>
      <c r="V41" s="135"/>
      <c r="W41" s="135"/>
      <c r="X41" s="135"/>
      <c r="Y41" s="135"/>
      <c r="Z41" s="135"/>
    </row>
    <row r="42" spans="1:26">
      <c r="A42" s="135" t="str">
        <f ca="1">IFERROR(__xludf.DUMMYFUNCTION("""COMPUTED_VALUE"""),"Summit Health And Living")</f>
        <v>Summit Health And Living</v>
      </c>
      <c r="B42" s="135" t="str">
        <f ca="1">IFERROR(__xludf.DUMMYFUNCTION("""COMPUTED_VALUE"""),"")</f>
        <v/>
      </c>
      <c r="C42" s="135" t="str">
        <f ca="1">IFERROR(__xludf.DUMMYFUNCTION("""COMPUTED_VALUE"""),"   Tel: (765)203-2671")</f>
        <v xml:space="preserve">   Tel: (765)203-2671</v>
      </c>
      <c r="D42" s="135" t="str">
        <f ca="1">IFERROR(__xludf.DUMMYFUNCTION("""COMPUTED_VALUE"""),"   701 S Main St")</f>
        <v xml:space="preserve">   701 S Main St</v>
      </c>
      <c r="E42" s="135" t="str">
        <f ca="1">IFERROR(__xludf.DUMMYFUNCTION("""COMPUTED_VALUE"""),"   Summitville, In 46070")</f>
        <v xml:space="preserve">   Summitville, In 46070</v>
      </c>
      <c r="F42" s="135" t="str">
        <f ca="1">IFERROR(__xludf.DUMMYFUNCTION("""COMPUTED_VALUE"""),"No")</f>
        <v>No</v>
      </c>
      <c r="G42" s="135">
        <f ca="1">IFERROR(__xludf.DUMMYFUNCTION("""COMPUTED_VALUE"""),52)</f>
        <v>52</v>
      </c>
      <c r="H42" s="135" t="str">
        <f ca="1">IFERROR(__xludf.DUMMYFUNCTION("""COMPUTED_VALUE"""),"Other/Need State Resources to help")</f>
        <v>Other/Need State Resources to help</v>
      </c>
      <c r="I42" s="135" t="str">
        <f ca="1">IFERROR(__xludf.DUMMYFUNCTION("""COMPUTED_VALUE"""),"ONSITE")</f>
        <v>ONSITE</v>
      </c>
      <c r="J42" s="135" t="str">
        <f ca="1">IFERROR(__xludf.DUMMYFUNCTION("""COMPUTED_VALUE"""),"")</f>
        <v/>
      </c>
      <c r="K42" s="135">
        <f ca="1">IFERROR(__xludf.DUMMYFUNCTION("""COMPUTED_VALUE"""),0)</f>
        <v>0</v>
      </c>
      <c r="L42" s="135">
        <f ca="1">IFERROR(__xludf.DUMMYFUNCTION("""COMPUTED_VALUE"""),0)</f>
        <v>0</v>
      </c>
      <c r="M42" s="135">
        <f ca="1">IFERROR(__xludf.DUMMYFUNCTION("""COMPUTED_VALUE"""),0)</f>
        <v>0</v>
      </c>
      <c r="N42" s="135">
        <f ca="1">IFERROR(__xludf.DUMMYFUNCTION("""COMPUTED_VALUE"""),0)</f>
        <v>0</v>
      </c>
      <c r="O42" s="135">
        <f ca="1">IFERROR(__xludf.DUMMYFUNCTION("""COMPUTED_VALUE"""),0)</f>
        <v>0</v>
      </c>
      <c r="P42" s="135"/>
      <c r="Q42" s="135"/>
      <c r="R42" s="135"/>
      <c r="S42" s="135"/>
      <c r="T42" s="135"/>
      <c r="U42" s="135"/>
      <c r="V42" s="135"/>
      <c r="W42" s="135"/>
      <c r="X42" s="135"/>
      <c r="Y42" s="135"/>
      <c r="Z42" s="135"/>
    </row>
    <row r="43" spans="1:26">
      <c r="A43" s="135" t="str">
        <f ca="1">IFERROR(__xludf.DUMMYFUNCTION("""COMPUTED_VALUE"""),"Symphony Of Chesterton Llc")</f>
        <v>Symphony Of Chesterton Llc</v>
      </c>
      <c r="B43" s="135" t="str">
        <f ca="1">IFERROR(__xludf.DUMMYFUNCTION("""COMPUTED_VALUE"""),"Symphony")</f>
        <v>Symphony</v>
      </c>
      <c r="C43" s="135" t="str">
        <f ca="1">IFERROR(__xludf.DUMMYFUNCTION("""COMPUTED_VALUE"""),"   Tel: (219)304-6700")</f>
        <v xml:space="preserve">   Tel: (219)304-6700</v>
      </c>
      <c r="D43" s="135" t="str">
        <f ca="1">IFERROR(__xludf.DUMMYFUNCTION("""COMPUTED_VALUE"""),"   2775 Village Point")</f>
        <v xml:space="preserve">   2775 Village Point</v>
      </c>
      <c r="E43" s="135" t="str">
        <f ca="1">IFERROR(__xludf.DUMMYFUNCTION("""COMPUTED_VALUE"""),"   Chesterton, In 46304")</f>
        <v xml:space="preserve">   Chesterton, In 46304</v>
      </c>
      <c r="F43" s="135" t="str">
        <f ca="1">IFERROR(__xludf.DUMMYFUNCTION("""COMPUTED_VALUE"""),"")</f>
        <v/>
      </c>
      <c r="G43" s="135">
        <f ca="1">IFERROR(__xludf.DUMMYFUNCTION("""COMPUTED_VALUE"""),135)</f>
        <v>135</v>
      </c>
      <c r="H43" s="135" t="str">
        <f ca="1">IFERROR(__xludf.DUMMYFUNCTION("""COMPUTED_VALUE"""),"Other/Need State Resources to help")</f>
        <v>Other/Need State Resources to help</v>
      </c>
      <c r="I43" s="135" t="str">
        <f ca="1">IFERROR(__xludf.DUMMYFUNCTION("""COMPUTED_VALUE"""),"ONSITE")</f>
        <v>ONSITE</v>
      </c>
      <c r="J43" s="135" t="str">
        <f ca="1">IFERROR(__xludf.DUMMYFUNCTION("""COMPUTED_VALUE"""),"")</f>
        <v/>
      </c>
      <c r="K43" s="135">
        <f ca="1">IFERROR(__xludf.DUMMYFUNCTION("""COMPUTED_VALUE"""),0)</f>
        <v>0</v>
      </c>
      <c r="L43" s="135">
        <f ca="1">IFERROR(__xludf.DUMMYFUNCTION("""COMPUTED_VALUE"""),0)</f>
        <v>0</v>
      </c>
      <c r="M43" s="135">
        <f ca="1">IFERROR(__xludf.DUMMYFUNCTION("""COMPUTED_VALUE"""),0)</f>
        <v>0</v>
      </c>
      <c r="N43" s="135">
        <f ca="1">IFERROR(__xludf.DUMMYFUNCTION("""COMPUTED_VALUE"""),0)</f>
        <v>0</v>
      </c>
      <c r="O43" s="135">
        <f ca="1">IFERROR(__xludf.DUMMYFUNCTION("""COMPUTED_VALUE"""),0)</f>
        <v>0</v>
      </c>
      <c r="P43" s="135"/>
      <c r="Q43" s="135"/>
      <c r="R43" s="135"/>
      <c r="S43" s="135"/>
      <c r="T43" s="135"/>
      <c r="U43" s="135"/>
      <c r="V43" s="135"/>
      <c r="W43" s="135"/>
      <c r="X43" s="135"/>
      <c r="Y43" s="135"/>
      <c r="Z43" s="135"/>
    </row>
    <row r="44" spans="1:26">
      <c r="A44" s="135" t="str">
        <f ca="1">IFERROR(__xludf.DUMMYFUNCTION("""COMPUTED_VALUE"""),"Transcendent Healthcare Of Boonville")</f>
        <v>Transcendent Healthcare Of Boonville</v>
      </c>
      <c r="B44" s="135" t="str">
        <f ca="1">IFERROR(__xludf.DUMMYFUNCTION("""COMPUTED_VALUE"""),"")</f>
        <v/>
      </c>
      <c r="C44" s="135" t="str">
        <f ca="1">IFERROR(__xludf.DUMMYFUNCTION("""COMPUTED_VALUE"""),"   Tel: (812)897-1375")</f>
        <v xml:space="preserve">   Tel: (812)897-1375</v>
      </c>
      <c r="D44" s="135" t="str">
        <f ca="1">IFERROR(__xludf.DUMMYFUNCTION("""COMPUTED_VALUE"""),"   725 S Second St")</f>
        <v xml:space="preserve">   725 S Second St</v>
      </c>
      <c r="E44" s="135" t="str">
        <f ca="1">IFERROR(__xludf.DUMMYFUNCTION("""COMPUTED_VALUE"""),"   Boonville, In 47601")</f>
        <v xml:space="preserve">   Boonville, In 47601</v>
      </c>
      <c r="F44" s="135" t="str">
        <f ca="1">IFERROR(__xludf.DUMMYFUNCTION("""COMPUTED_VALUE"""),"No")</f>
        <v>No</v>
      </c>
      <c r="G44" s="135">
        <f ca="1">IFERROR(__xludf.DUMMYFUNCTION("""COMPUTED_VALUE"""),90)</f>
        <v>90</v>
      </c>
      <c r="H44" s="135" t="str">
        <f ca="1">IFERROR(__xludf.DUMMYFUNCTION("""COMPUTED_VALUE"""),"Need Onsite Lab Team")</f>
        <v>Need Onsite Lab Team</v>
      </c>
      <c r="I44" s="135" t="str">
        <f ca="1">IFERROR(__xludf.DUMMYFUNCTION("""COMPUTED_VALUE"""),"ONSITE")</f>
        <v>ONSITE</v>
      </c>
      <c r="J44" s="135" t="str">
        <f ca="1">IFERROR(__xludf.DUMMYFUNCTION("""COMPUTED_VALUE"""),"Considering partner facility, may be good to have onsite help")</f>
        <v>Considering partner facility, may be good to have onsite help</v>
      </c>
      <c r="K44" s="135">
        <f ca="1">IFERROR(__xludf.DUMMYFUNCTION("""COMPUTED_VALUE"""),0)</f>
        <v>0</v>
      </c>
      <c r="L44" s="135">
        <f ca="1">IFERROR(__xludf.DUMMYFUNCTION("""COMPUTED_VALUE"""),0)</f>
        <v>0</v>
      </c>
      <c r="M44" s="135">
        <f ca="1">IFERROR(__xludf.DUMMYFUNCTION("""COMPUTED_VALUE"""),0)</f>
        <v>0</v>
      </c>
      <c r="N44" s="135">
        <f ca="1">IFERROR(__xludf.DUMMYFUNCTION("""COMPUTED_VALUE"""),0)</f>
        <v>0</v>
      </c>
      <c r="O44" s="135">
        <f ca="1">IFERROR(__xludf.DUMMYFUNCTION("""COMPUTED_VALUE"""),0)</f>
        <v>0</v>
      </c>
      <c r="P44" s="135"/>
      <c r="Q44" s="135"/>
      <c r="R44" s="135"/>
      <c r="S44" s="135"/>
      <c r="T44" s="135"/>
      <c r="U44" s="135"/>
      <c r="V44" s="135"/>
      <c r="W44" s="135"/>
      <c r="X44" s="135"/>
      <c r="Y44" s="135"/>
      <c r="Z44" s="135"/>
    </row>
    <row r="45" spans="1:26">
      <c r="A45" s="135" t="str">
        <f ca="1">IFERROR(__xludf.DUMMYFUNCTION("""COMPUTED_VALUE"""),"Transcendent Healthcare Of Boonville - North")</f>
        <v>Transcendent Healthcare Of Boonville - North</v>
      </c>
      <c r="B45" s="135" t="str">
        <f ca="1">IFERROR(__xludf.DUMMYFUNCTION("""COMPUTED_VALUE"""),"")</f>
        <v/>
      </c>
      <c r="C45" s="135" t="str">
        <f ca="1">IFERROR(__xludf.DUMMYFUNCTION("""COMPUTED_VALUE"""),"   Tel: (812)897-2810")</f>
        <v xml:space="preserve">   Tel: (812)897-2810</v>
      </c>
      <c r="D45" s="135" t="str">
        <f ca="1">IFERROR(__xludf.DUMMYFUNCTION("""COMPUTED_VALUE"""),"   305 E North St")</f>
        <v xml:space="preserve">   305 E North St</v>
      </c>
      <c r="E45" s="135" t="str">
        <f ca="1">IFERROR(__xludf.DUMMYFUNCTION("""COMPUTED_VALUE"""),"   Boonville, In 47601")</f>
        <v xml:space="preserve">   Boonville, In 47601</v>
      </c>
      <c r="F45" s="135" t="str">
        <f ca="1">IFERROR(__xludf.DUMMYFUNCTION("""COMPUTED_VALUE"""),"No")</f>
        <v>No</v>
      </c>
      <c r="G45" s="135">
        <f ca="1">IFERROR(__xludf.DUMMYFUNCTION("""COMPUTED_VALUE"""),63)</f>
        <v>63</v>
      </c>
      <c r="H45" s="135" t="str">
        <f ca="1">IFERROR(__xludf.DUMMYFUNCTION("""COMPUTED_VALUE"""),"Need Onsite Lab Team")</f>
        <v>Need Onsite Lab Team</v>
      </c>
      <c r="I45" s="135" t="str">
        <f ca="1">IFERROR(__xludf.DUMMYFUNCTION("""COMPUTED_VALUE"""),"ONSITE")</f>
        <v>ONSITE</v>
      </c>
      <c r="J45" s="135" t="str">
        <f ca="1">IFERROR(__xludf.DUMMYFUNCTION("""COMPUTED_VALUE"""),"Very uncertain of capabilities and local hospital")</f>
        <v>Very uncertain of capabilities and local hospital</v>
      </c>
      <c r="K45" s="135">
        <f ca="1">IFERROR(__xludf.DUMMYFUNCTION("""COMPUTED_VALUE"""),0)</f>
        <v>0</v>
      </c>
      <c r="L45" s="135">
        <f ca="1">IFERROR(__xludf.DUMMYFUNCTION("""COMPUTED_VALUE"""),0)</f>
        <v>0</v>
      </c>
      <c r="M45" s="135">
        <f ca="1">IFERROR(__xludf.DUMMYFUNCTION("""COMPUTED_VALUE"""),0)</f>
        <v>0</v>
      </c>
      <c r="N45" s="135">
        <f ca="1">IFERROR(__xludf.DUMMYFUNCTION("""COMPUTED_VALUE"""),0)</f>
        <v>0</v>
      </c>
      <c r="O45" s="135">
        <f ca="1">IFERROR(__xludf.DUMMYFUNCTION("""COMPUTED_VALUE"""),0)</f>
        <v>0</v>
      </c>
      <c r="P45" s="135"/>
      <c r="Q45" s="135"/>
      <c r="R45" s="135"/>
      <c r="S45" s="135"/>
      <c r="T45" s="135"/>
      <c r="U45" s="135"/>
      <c r="V45" s="135"/>
      <c r="W45" s="135"/>
      <c r="X45" s="135"/>
      <c r="Y45" s="135"/>
      <c r="Z45" s="135"/>
    </row>
    <row r="46" spans="1:26">
      <c r="A46" s="135" t="str">
        <f ca="1">IFERROR(__xludf.DUMMYFUNCTION("""COMPUTED_VALUE"""),"University Place Health Center And Assisted Living")</f>
        <v>University Place Health Center And Assisted Living</v>
      </c>
      <c r="B46" s="135" t="str">
        <f ca="1">IFERROR(__xludf.DUMMYFUNCTION("""COMPUTED_VALUE"""),"")</f>
        <v/>
      </c>
      <c r="C46" s="135" t="str">
        <f ca="1">IFERROR(__xludf.DUMMYFUNCTION("""COMPUTED_VALUE"""),"   Tel: (765)464-5600")</f>
        <v xml:space="preserve">   Tel: (765)464-5600</v>
      </c>
      <c r="D46" s="135" t="str">
        <f ca="1">IFERROR(__xludf.DUMMYFUNCTION("""COMPUTED_VALUE"""),"   1750 Lindberg Rd")</f>
        <v xml:space="preserve">   1750 Lindberg Rd</v>
      </c>
      <c r="E46" s="135" t="str">
        <f ca="1">IFERROR(__xludf.DUMMYFUNCTION("""COMPUTED_VALUE"""),"   West Lafayette, In 47906")</f>
        <v xml:space="preserve">   West Lafayette, In 47906</v>
      </c>
      <c r="F46" s="135" t="str">
        <f ca="1">IFERROR(__xludf.DUMMYFUNCTION("""COMPUTED_VALUE"""),"")</f>
        <v/>
      </c>
      <c r="G46" s="135">
        <f ca="1">IFERROR(__xludf.DUMMYFUNCTION("""COMPUTED_VALUE"""),140)</f>
        <v>140</v>
      </c>
      <c r="H46" s="135" t="str">
        <f ca="1">IFERROR(__xludf.DUMMYFUNCTION("""COMPUTED_VALUE"""),"Other/Need State Resources to help")</f>
        <v>Other/Need State Resources to help</v>
      </c>
      <c r="I46" s="135" t="str">
        <f ca="1">IFERROR(__xludf.DUMMYFUNCTION("""COMPUTED_VALUE"""),"ONSITE")</f>
        <v>ONSITE</v>
      </c>
      <c r="J46" s="135" t="str">
        <f ca="1">IFERROR(__xludf.DUMMYFUNCTION("""COMPUTED_VALUE"""),"")</f>
        <v/>
      </c>
      <c r="K46" s="135">
        <f ca="1">IFERROR(__xludf.DUMMYFUNCTION("""COMPUTED_VALUE"""),1)</f>
        <v>1</v>
      </c>
      <c r="L46" s="135">
        <f ca="1">IFERROR(__xludf.DUMMYFUNCTION("""COMPUTED_VALUE"""),0)</f>
        <v>0</v>
      </c>
      <c r="M46" s="135">
        <f ca="1">IFERROR(__xludf.DUMMYFUNCTION("""COMPUTED_VALUE"""),0)</f>
        <v>0</v>
      </c>
      <c r="N46" s="135">
        <f ca="1">IFERROR(__xludf.DUMMYFUNCTION("""COMPUTED_VALUE"""),0)</f>
        <v>0</v>
      </c>
      <c r="O46" s="135">
        <f ca="1">IFERROR(__xludf.DUMMYFUNCTION("""COMPUTED_VALUE"""),0)</f>
        <v>0</v>
      </c>
      <c r="P46" s="135"/>
      <c r="Q46" s="135"/>
      <c r="R46" s="135"/>
      <c r="S46" s="135"/>
      <c r="T46" s="135"/>
      <c r="U46" s="135"/>
      <c r="V46" s="135"/>
      <c r="W46" s="135"/>
      <c r="X46" s="135"/>
      <c r="Y46" s="135"/>
      <c r="Z46" s="135"/>
    </row>
    <row r="47" spans="1:26">
      <c r="A47" s="135" t="str">
        <f ca="1">IFERROR(__xludf.DUMMYFUNCTION("""COMPUTED_VALUE"""),"Valley View Healthcare Center")</f>
        <v>Valley View Healthcare Center</v>
      </c>
      <c r="B47" s="135" t="str">
        <f ca="1">IFERROR(__xludf.DUMMYFUNCTION("""COMPUTED_VALUE"""),"CommuniCare")</f>
        <v>CommuniCare</v>
      </c>
      <c r="C47" s="135" t="str">
        <f ca="1">IFERROR(__xludf.DUMMYFUNCTION("""COMPUTED_VALUE"""),"   Tel: (574)293-1550")</f>
        <v xml:space="preserve">   Tel: (574)293-1550</v>
      </c>
      <c r="D47" s="135" t="str">
        <f ca="1">IFERROR(__xludf.DUMMYFUNCTION("""COMPUTED_VALUE"""),"   333 W Mishawaka Rd")</f>
        <v xml:space="preserve">   333 W Mishawaka Rd</v>
      </c>
      <c r="E47" s="135" t="str">
        <f ca="1">IFERROR(__xludf.DUMMYFUNCTION("""COMPUTED_VALUE"""),"   Elkhart, In 46517")</f>
        <v xml:space="preserve">   Elkhart, In 46517</v>
      </c>
      <c r="F47" s="135" t="str">
        <f ca="1">IFERROR(__xludf.DUMMYFUNCTION("""COMPUTED_VALUE"""),"")</f>
        <v/>
      </c>
      <c r="G47" s="135">
        <f ca="1">IFERROR(__xludf.DUMMYFUNCTION("""COMPUTED_VALUE"""),130)</f>
        <v>130</v>
      </c>
      <c r="H47" s="135" t="str">
        <f ca="1">IFERROR(__xludf.DUMMYFUNCTION("""COMPUTED_VALUE"""),"Cannot Accomplish")</f>
        <v>Cannot Accomplish</v>
      </c>
      <c r="I47" s="135" t="str">
        <f ca="1">IFERROR(__xludf.DUMMYFUNCTION("""COMPUTED_VALUE"""),"ONSITE")</f>
        <v>ONSITE</v>
      </c>
      <c r="J47" s="135" t="str">
        <f ca="1">IFERROR(__xludf.DUMMYFUNCTION("""COMPUTED_VALUE"""),"")</f>
        <v/>
      </c>
      <c r="K47" s="135">
        <f ca="1">IFERROR(__xludf.DUMMYFUNCTION("""COMPUTED_VALUE"""),1)</f>
        <v>1</v>
      </c>
      <c r="L47" s="135">
        <f ca="1">IFERROR(__xludf.DUMMYFUNCTION("""COMPUTED_VALUE"""),0)</f>
        <v>0</v>
      </c>
      <c r="M47" s="135">
        <f ca="1">IFERROR(__xludf.DUMMYFUNCTION("""COMPUTED_VALUE"""),0)</f>
        <v>0</v>
      </c>
      <c r="N47" s="135">
        <f ca="1">IFERROR(__xludf.DUMMYFUNCTION("""COMPUTED_VALUE"""),0)</f>
        <v>0</v>
      </c>
      <c r="O47" s="135">
        <f ca="1">IFERROR(__xludf.DUMMYFUNCTION("""COMPUTED_VALUE"""),0)</f>
        <v>0</v>
      </c>
      <c r="P47" s="135"/>
      <c r="Q47" s="135"/>
      <c r="R47" s="135"/>
      <c r="S47" s="135"/>
      <c r="T47" s="135"/>
      <c r="U47" s="135"/>
      <c r="V47" s="135"/>
      <c r="W47" s="135"/>
      <c r="X47" s="135"/>
      <c r="Y47" s="135"/>
      <c r="Z47" s="135"/>
    </row>
    <row r="48" spans="1:26">
      <c r="A48" s="135" t="str">
        <f ca="1">IFERROR(__xludf.DUMMYFUNCTION("""COMPUTED_VALUE"""),"Villas Of Guerin Woods")</f>
        <v>Villas Of Guerin Woods</v>
      </c>
      <c r="B48" s="135" t="str">
        <f ca="1">IFERROR(__xludf.DUMMYFUNCTION("""COMPUTED_VALUE"""),"")</f>
        <v/>
      </c>
      <c r="C48" s="135" t="str">
        <f ca="1">IFERROR(__xludf.DUMMYFUNCTION("""COMPUTED_VALUE"""),"   Tel: (812)951-1878")</f>
        <v xml:space="preserve">   Tel: (812)951-1878</v>
      </c>
      <c r="D48" s="135" t="str">
        <f ca="1">IFERROR(__xludf.DUMMYFUNCTION("""COMPUTED_VALUE"""),"   1002 Sister Barbara Way")</f>
        <v xml:space="preserve">   1002 Sister Barbara Way</v>
      </c>
      <c r="E48" s="135" t="str">
        <f ca="1">IFERROR(__xludf.DUMMYFUNCTION("""COMPUTED_VALUE"""),"   Georgetown, In 47122")</f>
        <v xml:space="preserve">   Georgetown, In 47122</v>
      </c>
      <c r="F48" s="135" t="str">
        <f ca="1">IFERROR(__xludf.DUMMYFUNCTION("""COMPUTED_VALUE"""),"")</f>
        <v/>
      </c>
      <c r="G48" s="135">
        <f ca="1">IFERROR(__xludf.DUMMYFUNCTION("""COMPUTED_VALUE"""),150)</f>
        <v>150</v>
      </c>
      <c r="H48" s="135" t="str">
        <f ca="1">IFERROR(__xludf.DUMMYFUNCTION("""COMPUTED_VALUE"""),"Other/Need State Resources to help")</f>
        <v>Other/Need State Resources to help</v>
      </c>
      <c r="I48" s="135" t="str">
        <f ca="1">IFERROR(__xludf.DUMMYFUNCTION("""COMPUTED_VALUE"""),"ONSITE")</f>
        <v>ONSITE</v>
      </c>
      <c r="J48" s="135" t="str">
        <f ca="1">IFERROR(__xludf.DUMMYFUNCTION("""COMPUTED_VALUE"""),"")</f>
        <v/>
      </c>
      <c r="K48" s="135">
        <f ca="1">IFERROR(__xludf.DUMMYFUNCTION("""COMPUTED_VALUE"""),0)</f>
        <v>0</v>
      </c>
      <c r="L48" s="135">
        <f ca="1">IFERROR(__xludf.DUMMYFUNCTION("""COMPUTED_VALUE"""),0)</f>
        <v>0</v>
      </c>
      <c r="M48" s="135">
        <f ca="1">IFERROR(__xludf.DUMMYFUNCTION("""COMPUTED_VALUE"""),0)</f>
        <v>0</v>
      </c>
      <c r="N48" s="135">
        <f ca="1">IFERROR(__xludf.DUMMYFUNCTION("""COMPUTED_VALUE"""),0)</f>
        <v>0</v>
      </c>
      <c r="O48" s="135">
        <f ca="1">IFERROR(__xludf.DUMMYFUNCTION("""COMPUTED_VALUE"""),0)</f>
        <v>0</v>
      </c>
      <c r="P48" s="135"/>
      <c r="Q48" s="135"/>
      <c r="R48" s="135"/>
      <c r="S48" s="135"/>
      <c r="T48" s="135"/>
      <c r="U48" s="135"/>
      <c r="V48" s="135"/>
      <c r="W48" s="135"/>
      <c r="X48" s="135"/>
      <c r="Y48" s="135"/>
      <c r="Z48" s="135"/>
    </row>
    <row r="49" spans="1:26">
      <c r="A49" s="135" t="str">
        <f ca="1">IFERROR(__xludf.DUMMYFUNCTION("""COMPUTED_VALUE"""),"Westminster Village - West Lafayette")</f>
        <v>Westminster Village - West Lafayette</v>
      </c>
      <c r="B49" s="135" t="str">
        <f ca="1">IFERROR(__xludf.DUMMYFUNCTION("""COMPUTED_VALUE"""),"")</f>
        <v/>
      </c>
      <c r="C49" s="135" t="str">
        <f ca="1">IFERROR(__xludf.DUMMYFUNCTION("""COMPUTED_VALUE"""),"   Tel: (765)463-7546")</f>
        <v xml:space="preserve">   Tel: (765)463-7546</v>
      </c>
      <c r="D49" s="135" t="str">
        <f ca="1">IFERROR(__xludf.DUMMYFUNCTION("""COMPUTED_VALUE"""),"   2741 N Salisbury St")</f>
        <v xml:space="preserve">   2741 N Salisbury St</v>
      </c>
      <c r="E49" s="135" t="str">
        <f ca="1">IFERROR(__xludf.DUMMYFUNCTION("""COMPUTED_VALUE"""),"   West Lafayette, In 47906")</f>
        <v xml:space="preserve">   West Lafayette, In 47906</v>
      </c>
      <c r="F49" s="135" t="str">
        <f ca="1">IFERROR(__xludf.DUMMYFUNCTION("""COMPUTED_VALUE"""),"")</f>
        <v/>
      </c>
      <c r="G49" s="135">
        <f ca="1">IFERROR(__xludf.DUMMYFUNCTION("""COMPUTED_VALUE"""),317)</f>
        <v>317</v>
      </c>
      <c r="H49" s="135" t="str">
        <f ca="1">IFERROR(__xludf.DUMMYFUNCTION("""COMPUTED_VALUE"""),"Cannot Accomplish")</f>
        <v>Cannot Accomplish</v>
      </c>
      <c r="I49" s="135" t="str">
        <f ca="1">IFERROR(__xludf.DUMMYFUNCTION("""COMPUTED_VALUE"""),"ONSITE")</f>
        <v>ONSITE</v>
      </c>
      <c r="J49" s="135" t="str">
        <f ca="1">IFERROR(__xludf.DUMMYFUNCTION("""COMPUTED_VALUE"""),"")</f>
        <v/>
      </c>
      <c r="K49" s="135">
        <f ca="1">IFERROR(__xludf.DUMMYFUNCTION("""COMPUTED_VALUE"""),0)</f>
        <v>0</v>
      </c>
      <c r="L49" s="135">
        <f ca="1">IFERROR(__xludf.DUMMYFUNCTION("""COMPUTED_VALUE"""),0)</f>
        <v>0</v>
      </c>
      <c r="M49" s="135">
        <f ca="1">IFERROR(__xludf.DUMMYFUNCTION("""COMPUTED_VALUE"""),0)</f>
        <v>0</v>
      </c>
      <c r="N49" s="135">
        <f ca="1">IFERROR(__xludf.DUMMYFUNCTION("""COMPUTED_VALUE"""),0)</f>
        <v>0</v>
      </c>
      <c r="O49" s="135">
        <f ca="1">IFERROR(__xludf.DUMMYFUNCTION("""COMPUTED_VALUE"""),0)</f>
        <v>0</v>
      </c>
      <c r="P49" s="135"/>
      <c r="Q49" s="135"/>
      <c r="R49" s="135"/>
      <c r="S49" s="135"/>
      <c r="T49" s="135"/>
      <c r="U49" s="135"/>
      <c r="V49" s="135"/>
      <c r="W49" s="135"/>
      <c r="X49" s="135"/>
      <c r="Y49" s="135"/>
      <c r="Z49" s="135"/>
    </row>
    <row r="50" spans="1:26">
      <c r="A50" s="135" t="str">
        <f ca="1">IFERROR(__xludf.DUMMYFUNCTION("""COMPUTED_VALUE"""),"Westminster Village Health &amp; Rehab")</f>
        <v>Westminster Village Health &amp; Rehab</v>
      </c>
      <c r="B50" s="135" t="str">
        <f ca="1">IFERROR(__xludf.DUMMYFUNCTION("""COMPUTED_VALUE"""),"")</f>
        <v/>
      </c>
      <c r="C50" s="135" t="str">
        <f ca="1">IFERROR(__xludf.DUMMYFUNCTION("""COMPUTED_VALUE"""),"   Tel: (812)232-7533")</f>
        <v xml:space="preserve">   Tel: (812)232-7533</v>
      </c>
      <c r="D50" s="135" t="str">
        <f ca="1">IFERROR(__xludf.DUMMYFUNCTION("""COMPUTED_VALUE"""),"   1120 E Davis Dr")</f>
        <v xml:space="preserve">   1120 E Davis Dr</v>
      </c>
      <c r="E50" s="135" t="str">
        <f ca="1">IFERROR(__xludf.DUMMYFUNCTION("""COMPUTED_VALUE"""),"   Terre Haute, In 47802")</f>
        <v xml:space="preserve">   Terre Haute, In 47802</v>
      </c>
      <c r="F50" s="135" t="str">
        <f ca="1">IFERROR(__xludf.DUMMYFUNCTION("""COMPUTED_VALUE"""),"")</f>
        <v/>
      </c>
      <c r="G50" s="135">
        <f ca="1">IFERROR(__xludf.DUMMYFUNCTION("""COMPUTED_VALUE"""),190)</f>
        <v>190</v>
      </c>
      <c r="H50" s="135" t="str">
        <f ca="1">IFERROR(__xludf.DUMMYFUNCTION("""COMPUTED_VALUE"""),"Cannot Accomplish")</f>
        <v>Cannot Accomplish</v>
      </c>
      <c r="I50" s="135" t="str">
        <f ca="1">IFERROR(__xludf.DUMMYFUNCTION("""COMPUTED_VALUE"""),"ONSITE")</f>
        <v>ONSITE</v>
      </c>
      <c r="J50" s="135" t="str">
        <f ca="1">IFERROR(__xludf.DUMMYFUNCTION("""COMPUTED_VALUE"""),"")</f>
        <v/>
      </c>
      <c r="K50" s="135">
        <f ca="1">IFERROR(__xludf.DUMMYFUNCTION("""COMPUTED_VALUE"""),1)</f>
        <v>1</v>
      </c>
      <c r="L50" s="135">
        <f ca="1">IFERROR(__xludf.DUMMYFUNCTION("""COMPUTED_VALUE"""),1)</f>
        <v>1</v>
      </c>
      <c r="M50" s="135">
        <f ca="1">IFERROR(__xludf.DUMMYFUNCTION("""COMPUTED_VALUE"""),0)</f>
        <v>0</v>
      </c>
      <c r="N50" s="135">
        <f ca="1">IFERROR(__xludf.DUMMYFUNCTION("""COMPUTED_VALUE"""),0)</f>
        <v>0</v>
      </c>
      <c r="O50" s="135">
        <f ca="1">IFERROR(__xludf.DUMMYFUNCTION("""COMPUTED_VALUE"""),1)</f>
        <v>1</v>
      </c>
      <c r="P50" s="135"/>
      <c r="Q50" s="135"/>
      <c r="R50" s="135"/>
      <c r="S50" s="135"/>
      <c r="T50" s="135"/>
      <c r="U50" s="135"/>
      <c r="V50" s="135"/>
      <c r="W50" s="135"/>
      <c r="X50" s="135"/>
      <c r="Y50" s="135"/>
      <c r="Z50" s="135"/>
    </row>
    <row r="51" spans="1:26">
      <c r="A51" s="135" t="str">
        <f ca="1">IFERROR(__xludf.DUMMYFUNCTION("""COMPUTED_VALUE"""),"Westminster Village Muncie Inc")</f>
        <v>Westminster Village Muncie Inc</v>
      </c>
      <c r="B51" s="135" t="str">
        <f ca="1">IFERROR(__xludf.DUMMYFUNCTION("""COMPUTED_VALUE"""),"")</f>
        <v/>
      </c>
      <c r="C51" s="135" t="str">
        <f ca="1">IFERROR(__xludf.DUMMYFUNCTION("""COMPUTED_VALUE"""),"   Tel: (765)288-2155")</f>
        <v xml:space="preserve">   Tel: (765)288-2155</v>
      </c>
      <c r="D51" s="135" t="str">
        <f ca="1">IFERROR(__xludf.DUMMYFUNCTION("""COMPUTED_VALUE"""),"   5801 W Bethel Ave")</f>
        <v xml:space="preserve">   5801 W Bethel Ave</v>
      </c>
      <c r="E51" s="135" t="str">
        <f ca="1">IFERROR(__xludf.DUMMYFUNCTION("""COMPUTED_VALUE"""),"   Muncie, In 47304")</f>
        <v xml:space="preserve">   Muncie, In 47304</v>
      </c>
      <c r="F51" s="135" t="str">
        <f ca="1">IFERROR(__xludf.DUMMYFUNCTION("""COMPUTED_VALUE"""),"")</f>
        <v/>
      </c>
      <c r="G51" s="135">
        <f ca="1">IFERROR(__xludf.DUMMYFUNCTION("""COMPUTED_VALUE"""),226)</f>
        <v>226</v>
      </c>
      <c r="H51" s="135" t="str">
        <f ca="1">IFERROR(__xludf.DUMMYFUNCTION("""COMPUTED_VALUE"""),"Cannot Accomplish")</f>
        <v>Cannot Accomplish</v>
      </c>
      <c r="I51" s="135" t="str">
        <f ca="1">IFERROR(__xludf.DUMMYFUNCTION("""COMPUTED_VALUE"""),"ONSITE")</f>
        <v>ONSITE</v>
      </c>
      <c r="J51" s="135" t="str">
        <f ca="1">IFERROR(__xludf.DUMMYFUNCTION("""COMPUTED_VALUE"""),"")</f>
        <v/>
      </c>
      <c r="K51" s="135">
        <f ca="1">IFERROR(__xludf.DUMMYFUNCTION("""COMPUTED_VALUE"""),1)</f>
        <v>1</v>
      </c>
      <c r="L51" s="135">
        <f ca="1">IFERROR(__xludf.DUMMYFUNCTION("""COMPUTED_VALUE"""),0)</f>
        <v>0</v>
      </c>
      <c r="M51" s="135">
        <f ca="1">IFERROR(__xludf.DUMMYFUNCTION("""COMPUTED_VALUE"""),0)</f>
        <v>0</v>
      </c>
      <c r="N51" s="135">
        <f ca="1">IFERROR(__xludf.DUMMYFUNCTION("""COMPUTED_VALUE"""),0)</f>
        <v>0</v>
      </c>
      <c r="O51" s="135">
        <f ca="1">IFERROR(__xludf.DUMMYFUNCTION("""COMPUTED_VALUE"""),0)</f>
        <v>0</v>
      </c>
      <c r="P51" s="135"/>
      <c r="Q51" s="135"/>
      <c r="R51" s="135"/>
      <c r="S51" s="135"/>
      <c r="T51" s="135"/>
      <c r="U51" s="135"/>
      <c r="V51" s="135"/>
      <c r="W51" s="135"/>
      <c r="X51" s="135"/>
      <c r="Y51" s="135"/>
      <c r="Z51" s="135"/>
    </row>
    <row r="52" spans="1:26">
      <c r="A52" s="135" t="str">
        <f ca="1">IFERROR(__xludf.DUMMYFUNCTION("""COMPUTED_VALUE"""),"Woodview A Waters Community")</f>
        <v>Woodview A Waters Community</v>
      </c>
      <c r="B52" s="135" t="str">
        <f ca="1">IFERROR(__xludf.DUMMYFUNCTION("""COMPUTED_VALUE"""),"Waters")</f>
        <v>Waters</v>
      </c>
      <c r="C52" s="135" t="str">
        <f ca="1">IFERROR(__xludf.DUMMYFUNCTION("""COMPUTED_VALUE"""),"   Tel: (260)484-3120")</f>
        <v xml:space="preserve">   Tel: (260)484-3120</v>
      </c>
      <c r="D52" s="135" t="str">
        <f ca="1">IFERROR(__xludf.DUMMYFUNCTION("""COMPUTED_VALUE"""),"   3420 East State Blvd")</f>
        <v xml:space="preserve">   3420 East State Blvd</v>
      </c>
      <c r="E52" s="135" t="str">
        <f ca="1">IFERROR(__xludf.DUMMYFUNCTION("""COMPUTED_VALUE"""),"   Fort Wayne, In 46805")</f>
        <v xml:space="preserve">   Fort Wayne, In 46805</v>
      </c>
      <c r="F52" s="135" t="str">
        <f ca="1">IFERROR(__xludf.DUMMYFUNCTION("""COMPUTED_VALUE"""),"")</f>
        <v/>
      </c>
      <c r="G52" s="135">
        <f ca="1">IFERROR(__xludf.DUMMYFUNCTION("""COMPUTED_VALUE"""),76)</f>
        <v>76</v>
      </c>
      <c r="H52" s="135" t="str">
        <f ca="1">IFERROR(__xludf.DUMMYFUNCTION("""COMPUTED_VALUE"""),"Other/Need State Resources to help")</f>
        <v>Other/Need State Resources to help</v>
      </c>
      <c r="I52" s="135" t="str">
        <f ca="1">IFERROR(__xludf.DUMMYFUNCTION("""COMPUTED_VALUE"""),"ONSITE")</f>
        <v>ONSITE</v>
      </c>
      <c r="J52" s="135" t="str">
        <f ca="1">IFERROR(__xludf.DUMMYFUNCTION("""COMPUTED_VALUE"""),"")</f>
        <v/>
      </c>
      <c r="K52" s="135">
        <f ca="1">IFERROR(__xludf.DUMMYFUNCTION("""COMPUTED_VALUE"""),0)</f>
        <v>0</v>
      </c>
      <c r="L52" s="135">
        <f ca="1">IFERROR(__xludf.DUMMYFUNCTION("""COMPUTED_VALUE"""),0)</f>
        <v>0</v>
      </c>
      <c r="M52" s="135">
        <f ca="1">IFERROR(__xludf.DUMMYFUNCTION("""COMPUTED_VALUE"""),0)</f>
        <v>0</v>
      </c>
      <c r="N52" s="135">
        <f ca="1">IFERROR(__xludf.DUMMYFUNCTION("""COMPUTED_VALUE"""),0)</f>
        <v>0</v>
      </c>
      <c r="O52" s="135">
        <f ca="1">IFERROR(__xludf.DUMMYFUNCTION("""COMPUTED_VALUE"""),0)</f>
        <v>0</v>
      </c>
      <c r="P52" s="135"/>
      <c r="Q52" s="135"/>
      <c r="R52" s="135"/>
      <c r="S52" s="135"/>
      <c r="T52" s="135"/>
      <c r="U52" s="135"/>
      <c r="V52" s="135"/>
      <c r="W52" s="135"/>
      <c r="X52" s="135"/>
      <c r="Y52" s="135"/>
      <c r="Z52" s="135"/>
    </row>
    <row r="53" spans="1:26">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row>
    <row r="54" spans="1:26">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row>
    <row r="55" spans="1:26">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row>
    <row r="70" spans="1:26">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row>
    <row r="71" spans="1:26">
      <c r="A71" s="13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row>
    <row r="72" spans="1:26">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row>
    <row r="73" spans="1:26">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row>
    <row r="74" spans="1:26">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row>
    <row r="75" spans="1:26">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row>
    <row r="82" spans="1:26">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row>
    <row r="83" spans="1:26">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26">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26">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1:26">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row>
    <row r="87" spans="1:26">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row>
    <row r="88" spans="1:26">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row>
    <row r="89" spans="1:26">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row>
    <row r="90" spans="1:26">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row>
    <row r="91" spans="1:26">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row>
    <row r="92" spans="1:26">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row>
    <row r="93" spans="1:26">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row>
    <row r="94" spans="1:26">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row>
    <row r="95" spans="1:26">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row>
    <row r="96" spans="1:26">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row>
    <row r="97" spans="1:26">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row>
    <row r="98" spans="1:26">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row>
    <row r="99" spans="1:26">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row>
    <row r="100" spans="1:26">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row>
    <row r="101" spans="1:26">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row>
    <row r="102" spans="1:26">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row>
    <row r="103" spans="1:26">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row>
    <row r="104" spans="1:26">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row>
    <row r="105" spans="1:26">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row>
    <row r="106" spans="1:26">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row>
    <row r="107" spans="1:26">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row>
    <row r="108" spans="1:26">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row>
    <row r="109" spans="1:26">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row>
    <row r="110" spans="1:26">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row>
    <row r="111" spans="1:26">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row>
    <row r="112" spans="1:26">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row>
    <row r="113" spans="1:26">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row>
    <row r="114" spans="1:26">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row>
    <row r="115" spans="1:26">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row>
    <row r="116" spans="1:26">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row>
    <row r="117" spans="1:26">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row>
    <row r="118" spans="1:26">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row>
    <row r="119" spans="1:26">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row>
    <row r="120" spans="1:26">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row>
    <row r="121" spans="1:26">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row>
    <row r="122" spans="1:26">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row>
    <row r="123" spans="1:26">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row>
    <row r="124" spans="1:26">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row>
    <row r="125" spans="1:26">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row>
    <row r="126" spans="1:26">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row>
    <row r="127" spans="1:26">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row>
    <row r="128" spans="1:26">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row>
    <row r="129" spans="1:26">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row>
    <row r="130" spans="1:26">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row>
    <row r="131" spans="1:26">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row>
    <row r="132" spans="1:26">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row>
    <row r="133" spans="1:26">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row>
    <row r="134" spans="1:26">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row>
    <row r="135" spans="1:26">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row>
    <row r="136" spans="1:26">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row>
    <row r="137" spans="1:26">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row>
    <row r="138" spans="1:26">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row>
    <row r="139" spans="1:26">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row>
    <row r="140" spans="1:26">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row>
    <row r="141" spans="1:26">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row>
    <row r="142" spans="1:26">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row>
    <row r="143" spans="1:26">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row>
    <row r="144" spans="1:26">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row>
    <row r="145" spans="1:26">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row>
    <row r="146" spans="1:26">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row>
    <row r="147" spans="1:26">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row>
    <row r="148" spans="1:26">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row>
    <row r="149" spans="1:26">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row>
    <row r="150" spans="1:26">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row>
    <row r="151" spans="1:26">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row>
    <row r="152" spans="1:26">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row>
    <row r="153" spans="1:26">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row>
    <row r="154" spans="1:26">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row>
    <row r="155" spans="1:26">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row>
    <row r="156" spans="1:26">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row>
    <row r="157" spans="1:26">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row>
    <row r="158" spans="1:26">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row>
    <row r="159" spans="1:26">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row>
    <row r="160" spans="1:26">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row>
    <row r="161" spans="1:26">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row>
    <row r="162" spans="1:26">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row>
    <row r="163" spans="1:26">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row>
    <row r="164" spans="1:26">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row>
    <row r="165" spans="1:26">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row>
    <row r="166" spans="1:26">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row>
    <row r="167" spans="1:26">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row>
    <row r="168" spans="1:26">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row>
    <row r="169" spans="1:26">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row>
    <row r="170" spans="1:26">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row>
    <row r="171" spans="1:26">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row>
    <row r="172" spans="1:26">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row>
    <row r="173" spans="1:26">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row>
    <row r="174" spans="1:26">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row>
    <row r="175" spans="1:26">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row>
    <row r="176" spans="1:26">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row>
    <row r="177" spans="1:26">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row>
    <row r="178" spans="1:26">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row>
    <row r="179" spans="1:26">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row>
    <row r="180" spans="1:26">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row>
    <row r="181" spans="1:26">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row>
    <row r="182" spans="1:26">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row>
    <row r="183" spans="1:26">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row>
    <row r="184" spans="1:26">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row>
    <row r="185" spans="1:26">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row>
    <row r="186" spans="1:26">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row>
    <row r="187" spans="1:26">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row>
    <row r="188" spans="1:26">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row>
    <row r="189" spans="1:26">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row>
    <row r="190" spans="1:26">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row>
    <row r="191" spans="1:26">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row>
    <row r="192" spans="1:26">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row>
    <row r="193" spans="1:26">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row>
    <row r="194" spans="1:26">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row>
    <row r="195" spans="1:26">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spans="1:26">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row>
    <row r="197" spans="1:26">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row>
    <row r="198" spans="1:26">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row>
    <row r="199" spans="1:26">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row>
    <row r="200" spans="1:26">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row>
    <row r="201" spans="1:26">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row>
    <row r="202" spans="1:26">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row>
    <row r="203" spans="1:26">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row>
    <row r="204" spans="1:26">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row>
    <row r="205" spans="1:26">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row>
    <row r="206" spans="1:26">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row>
    <row r="207" spans="1:26">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row>
    <row r="208" spans="1:26">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row>
    <row r="209" spans="1:26">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row>
    <row r="210" spans="1:26">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row>
    <row r="211" spans="1:26">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row>
    <row r="212" spans="1:26">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row>
    <row r="213" spans="1:26">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row>
    <row r="214" spans="1:26">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row>
    <row r="215" spans="1:26">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row>
    <row r="216" spans="1:26">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row>
    <row r="217" spans="1:26">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row>
    <row r="218" spans="1:26">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row>
    <row r="219" spans="1:26">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row>
    <row r="220" spans="1:26">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row>
    <row r="221" spans="1:26">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row>
    <row r="222" spans="1:26">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row>
    <row r="223" spans="1:26">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row>
    <row r="224" spans="1:26">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row>
    <row r="225" spans="1:26">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row>
    <row r="226" spans="1:26">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row>
    <row r="227" spans="1:26">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row>
    <row r="228" spans="1:26">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row>
    <row r="229" spans="1:26">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row>
    <row r="230" spans="1:26">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row>
    <row r="231" spans="1:26">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row>
    <row r="232" spans="1:26">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row>
    <row r="233" spans="1:26">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row>
    <row r="234" spans="1:26">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row>
    <row r="235" spans="1:26">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spans="1:26">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row>
    <row r="237" spans="1:26">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row>
    <row r="238" spans="1:26">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row>
    <row r="239" spans="1:26">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row>
    <row r="240" spans="1:26">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row>
    <row r="241" spans="1:26">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row>
    <row r="242" spans="1:26">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row>
    <row r="243" spans="1:26">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row>
    <row r="244" spans="1:26">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row>
    <row r="245" spans="1:26">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row>
    <row r="246" spans="1:26">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row>
    <row r="247" spans="1:26">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row>
    <row r="248" spans="1:26">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row>
    <row r="249" spans="1:26">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row>
    <row r="250" spans="1:26">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row>
    <row r="251" spans="1:26">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row>
    <row r="252" spans="1:26">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row>
    <row r="253" spans="1:26">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row>
    <row r="254" spans="1:26">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row>
    <row r="255" spans="1:26">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row>
    <row r="256" spans="1:26">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row>
    <row r="257" spans="1:26">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row>
    <row r="258" spans="1:26">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row>
    <row r="259" spans="1:26">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row>
    <row r="260" spans="1:26">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row>
    <row r="261" spans="1:26">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row>
    <row r="262" spans="1:26">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row>
    <row r="263" spans="1:26">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row>
    <row r="264" spans="1:26">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row>
    <row r="265" spans="1:26">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row>
    <row r="266" spans="1:26">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row>
    <row r="267" spans="1:26">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row>
    <row r="268" spans="1:26">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row>
    <row r="269" spans="1:26">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row>
    <row r="270" spans="1:26">
      <c r="A270" s="135"/>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row>
    <row r="271" spans="1:26">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row>
    <row r="272" spans="1:26">
      <c r="A272" s="135"/>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row>
    <row r="273" spans="1:26">
      <c r="A273" s="135"/>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row>
    <row r="274" spans="1:26">
      <c r="A274" s="135"/>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row>
    <row r="275" spans="1:26">
      <c r="A275" s="135"/>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row>
    <row r="276" spans="1:26">
      <c r="A276" s="135"/>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row>
    <row r="277" spans="1:26">
      <c r="A277" s="135"/>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row>
    <row r="278" spans="1:26">
      <c r="A278" s="13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row>
    <row r="279" spans="1:26">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row>
    <row r="280" spans="1:26">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row>
    <row r="281" spans="1:26">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row>
    <row r="282" spans="1:26">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row>
    <row r="283" spans="1:26">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row>
    <row r="284" spans="1:26">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row>
    <row r="285" spans="1:26">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row>
    <row r="286" spans="1:26">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row>
    <row r="287" spans="1:26">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row>
    <row r="288" spans="1:26">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row>
    <row r="289" spans="1:26">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row>
    <row r="290" spans="1:26">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row>
    <row r="291" spans="1:26">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row>
    <row r="292" spans="1:26">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row>
    <row r="293" spans="1:26">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row>
    <row r="294" spans="1:26">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row>
    <row r="295" spans="1:26">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row>
    <row r="296" spans="1:26">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spans="1:26">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spans="1:26">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spans="1:26">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spans="1:26">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spans="1:26">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spans="1:26">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spans="1:26">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spans="1:26">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spans="1:26">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spans="1:26">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spans="1:26">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spans="1:26">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spans="1:26">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spans="1:26">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spans="1:26">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spans="1:26">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spans="1:26">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spans="1:26">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spans="1:26">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spans="1:26">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spans="1:26">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spans="1:26">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spans="1:26">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spans="1:26">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spans="1:26">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spans="1:26">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spans="1:26">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spans="1:26">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spans="1:26">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spans="1:26">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spans="1:26">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spans="1:26">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spans="1:26">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spans="1:26">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spans="1:26">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spans="1:26">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spans="1:26">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spans="1:26">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spans="1:26">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spans="1:26">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spans="1:26">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spans="1:26">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spans="1:26">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spans="1:26">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spans="1:26">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spans="1:26">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spans="1:26">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spans="1:26">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spans="1:26">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spans="1:26">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spans="1:26">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spans="1:26">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spans="1:26">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spans="1:26">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spans="1:26">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spans="1:26">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spans="1:26">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spans="1:26">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spans="1:26">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spans="1:26">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spans="1:26">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spans="1:26">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spans="1:26">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spans="1:26">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spans="1:26">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spans="1:26">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spans="1:26">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spans="1:26">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spans="1:26">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spans="1:26">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spans="1:26">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spans="1:26">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spans="1:26">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row>
    <row r="370" spans="1:26">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spans="1:26">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spans="1:26">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spans="1:26">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spans="1:26">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spans="1:26">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spans="1:26">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spans="1:26">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spans="1:26">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spans="1:26">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spans="1:26">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spans="1:26">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spans="1:26">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spans="1:26">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spans="1:26">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spans="1:26">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spans="1:26">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spans="1:26">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spans="1:26">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spans="1:26">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spans="1:26">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spans="1:26">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spans="1:26">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spans="1:26">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spans="1:26">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spans="1:26">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spans="1:26">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spans="1:26">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spans="1:26">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spans="1:26">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spans="1:26">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spans="1:26">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spans="1:26">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spans="1:26">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spans="1:26">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spans="1:26">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spans="1:26">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spans="1:26">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spans="1:26">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spans="1:26">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spans="1:26">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spans="1:26">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spans="1:26">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spans="1:26">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spans="1:26">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spans="1:26">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spans="1:26">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spans="1:26">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spans="1:26">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spans="1:26">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spans="1:26">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spans="1:26">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spans="1:26">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spans="1:26">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spans="1:26">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spans="1:26">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spans="1:26">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spans="1:26">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spans="1:26">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spans="1:26">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spans="1:26">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spans="1:26">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spans="1:26">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spans="1:26">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spans="1:26">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spans="1:26">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spans="1:26">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spans="1:26">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spans="1:26">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spans="1:26">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spans="1:26">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spans="1:26">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spans="1:26">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spans="1:26">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spans="1:26">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spans="1:26">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spans="1:26">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spans="1:26">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spans="1:26">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spans="1:26">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spans="1:26">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spans="1:26">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spans="1:26">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spans="1:26">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spans="1:26">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spans="1:26">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spans="1:26">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spans="1:26">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spans="1:26">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spans="1:26">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spans="1:26">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spans="1:26">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spans="1:26">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spans="1:26">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spans="1:26">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spans="1:26">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spans="1:26">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spans="1:26">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spans="1:26">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spans="1:26">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spans="1:26">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spans="1:26">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spans="1:26">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spans="1:26">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spans="1:26">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spans="1:26">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spans="1:26">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spans="1:26">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spans="1:26">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spans="1:26">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spans="1:26">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spans="1:26">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spans="1:26">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spans="1:26">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spans="1:26">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spans="1:26">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spans="1:26">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spans="1:26">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spans="1:26">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spans="1:26">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spans="1:26">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spans="1:26">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spans="1:26">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spans="1:26">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spans="1:26">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spans="1:26">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spans="1:26">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spans="1:26">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spans="1:26">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spans="1:26">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spans="1:26">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spans="1:26">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spans="1:26">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spans="1:26">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spans="1:26">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spans="1:26">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spans="1:26">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spans="1:26">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spans="1:26">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spans="1:26">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spans="1:26">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spans="1:26">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spans="1:26">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spans="1:26">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spans="1:26">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spans="1:26">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spans="1:26">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spans="1:26">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spans="1:26">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spans="1:26">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spans="1:26">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spans="1:26">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spans="1:26">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spans="1:26">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spans="1:26">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spans="1:26">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spans="1:26">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spans="1:26">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spans="1:26">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spans="1:26">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spans="1:26">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spans="1:26">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spans="1:26">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spans="1:26">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spans="1:26">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spans="1:26">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spans="1:26">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spans="1:26">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spans="1:26">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spans="1:26">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spans="1:26">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spans="1:26">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spans="1:26">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spans="1:26">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spans="1:26">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spans="1:26">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spans="1:26">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spans="1:26">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spans="1:26">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spans="1:26">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spans="1:26">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spans="1:26">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spans="1:26">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spans="1:26">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spans="1:26">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spans="1:26">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spans="1:26">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spans="1:26">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spans="1:26">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spans="1:26">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spans="1:26">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spans="1:26">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spans="1:26">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spans="1:26">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spans="1:26">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spans="1:26">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spans="1:26">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spans="1:26">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spans="1:26">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spans="1:26">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spans="1:26">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spans="1:26">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spans="1:26">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spans="1:26">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spans="1:26">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spans="1:26">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spans="1:26">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spans="1:26">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spans="1:26">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spans="1:26">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spans="1:26">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spans="1:26">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spans="1:26">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spans="1:26">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spans="1:26">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spans="1:26">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spans="1:26">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spans="1:26">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spans="1:26">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spans="1:26">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spans="1:26">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spans="1:26">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spans="1:26">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spans="1:26">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spans="1:26">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spans="1:26">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spans="1:26">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spans="1:26">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spans="1:26">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spans="1:26">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spans="1:26">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spans="1:26">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spans="1:26">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spans="1:26">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spans="1:26">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spans="1:26">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spans="1:26">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spans="1:26">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spans="1:26">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spans="1:26">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spans="1:26">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spans="1:26">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spans="1:26">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spans="1:26">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spans="1:26">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spans="1:26">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spans="1:26">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spans="1:26">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spans="1:26">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spans="1:26">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spans="1:26">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spans="1:26">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spans="1:26">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spans="1:26">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spans="1:26">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spans="1:26">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spans="1:26">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spans="1:26">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spans="1:26">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spans="1:26">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spans="1:26">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spans="1:26">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spans="1:26">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spans="1:26">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spans="1:26">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spans="1:26">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spans="1:26">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spans="1:26">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spans="1:26">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spans="1:26">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spans="1:26">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spans="1:26">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spans="1:26">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spans="1:26">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spans="1:26">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spans="1:26">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spans="1:26">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spans="1:26">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spans="1:26">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spans="1:26">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spans="1:26">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spans="1:26">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spans="1:26">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spans="1:26">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spans="1:26">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spans="1:26">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spans="1:26">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spans="1:26">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spans="1:26">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spans="1:26">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spans="1:26">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spans="1:26">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spans="1:26">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spans="1:26">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spans="1:26">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spans="1:26">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spans="1:26">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spans="1:26">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spans="1:26">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spans="1:26">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spans="1:26">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spans="1:26">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spans="1:26">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spans="1:26">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spans="1:26">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spans="1:26">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spans="1:26">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spans="1:26">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spans="1:26">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spans="1:26">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spans="1:26">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spans="1:26">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spans="1:26">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spans="1:26">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spans="1:26">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spans="1:26">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spans="1:26">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spans="1:26">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spans="1:26">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spans="1:26">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spans="1:26">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spans="1:26">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spans="1:26">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spans="1:26">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spans="1:26">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spans="1:26">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spans="1:26">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spans="1:26">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spans="1:26">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spans="1:26">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spans="1:26">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spans="1:26">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spans="1:26">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spans="1:26">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spans="1:26">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spans="1:26">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spans="1:26">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spans="1:26">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spans="1:26">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spans="1:26">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spans="1:26">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spans="1:26">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spans="1:26">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spans="1:26">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spans="1:26">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spans="1:26">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spans="1:26">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spans="1:26">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spans="1:26">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spans="1:26">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spans="1:26">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spans="1:26">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spans="1:26">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spans="1:26">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spans="1:26">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spans="1:26">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spans="1:26">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spans="1:26">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spans="1:26">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spans="1:26">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spans="1:26">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spans="1:26">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spans="1:26">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spans="1:26">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spans="1:26">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spans="1:26">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spans="1:26">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spans="1:26">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spans="1:26">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spans="1:26">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spans="1:26">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spans="1:26">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spans="1:26">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spans="1:26">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spans="1:26">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spans="1:26">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spans="1:26">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spans="1:26">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spans="1:26">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spans="1:26">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spans="1:26">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spans="1:26">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spans="1:26">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spans="1:26">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spans="1:26">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spans="1:26">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spans="1:26">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spans="1:26">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spans="1:26">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spans="1:26">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spans="1:26">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spans="1:26">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spans="1:26">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spans="1:26">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spans="1:26">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spans="1:26">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spans="1:26">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spans="1:26">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spans="1:26">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spans="1:26">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spans="1:26">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spans="1:26">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spans="1:26">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spans="1:26">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spans="1:26">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spans="1:26">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spans="1:26">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spans="1:26">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spans="1:26">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spans="1:26">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spans="1:26">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spans="1:26">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spans="1:26">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spans="1:26">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spans="1:26">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spans="1:26">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spans="1:26">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spans="1:26">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spans="1:26">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spans="1:26">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spans="1:26">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spans="1:26">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spans="1:26">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spans="1:26">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spans="1:26">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spans="1:26">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spans="1:26">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spans="1:26">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spans="1:26">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spans="1:26">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spans="1:26">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spans="1:26">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spans="1:26">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spans="1:26">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spans="1:26">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spans="1:26">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spans="1:26">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spans="1:26">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spans="1:26">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spans="1:26">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spans="1:26">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spans="1:26">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spans="1:26">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spans="1:26">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spans="1:26">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spans="1:26">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spans="1:26">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spans="1:26">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spans="1:26">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spans="1:26">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spans="1:26">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spans="1:26">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spans="1:26">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spans="1:26">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spans="1:26">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spans="1:26">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spans="1:26">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spans="1:26">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spans="1:26">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spans="1:26">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spans="1:26">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spans="1:26">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spans="1:26">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spans="1:26">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spans="1:26">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spans="1:26">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spans="1:26">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spans="1:26">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spans="1:26">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spans="1:26">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spans="1:26">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spans="1:26">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spans="1:26">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spans="1:26">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spans="1:26">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spans="1:26">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spans="1:26">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spans="1:26">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spans="1:26">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spans="1:26">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spans="1:26">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spans="1:26">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spans="1:26">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spans="1:26">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spans="1:26">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spans="1:26">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spans="1:26">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spans="1:26">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spans="1:26">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spans="1:26">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spans="1:26">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spans="1:26">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spans="1:26">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spans="1:26">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spans="1:26">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spans="1:26">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spans="1:26">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spans="1:26">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spans="1:26">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spans="1:26">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spans="1:26">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spans="1:26">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spans="1:26">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spans="1:26">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spans="1:26">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spans="1:26">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spans="1:26">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spans="1:26">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spans="1:26">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spans="1:26">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spans="1:26">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spans="1:26">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spans="1:26">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spans="1:26">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spans="1:26">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spans="1:26">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spans="1:26">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spans="1:26">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spans="1:26">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spans="1:26">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spans="1:26">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spans="1:26">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spans="1:26">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spans="1:26">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spans="1:26">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spans="1:26">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spans="1:26">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spans="1:26">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spans="1:26">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spans="1:26">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spans="1:26">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spans="1:26">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spans="1:26">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spans="1:26">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spans="1:26">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spans="1:26">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spans="1:26">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spans="1:26">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spans="1:26">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spans="1:26">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spans="1:26">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spans="1:26">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spans="1:26">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spans="1:26">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spans="1:26">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spans="1:26">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spans="1:26">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spans="1:26">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spans="1:26">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spans="1:26">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spans="1:26">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spans="1:26">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spans="1:26">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spans="1:26">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spans="1:26">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spans="1:26">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spans="1:26">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spans="1:26">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spans="1:26">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spans="1:26">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spans="1:26">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spans="1:26">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spans="1:26">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spans="1:26">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spans="1:26">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spans="1:26">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spans="1:26">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spans="1:26">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spans="1:26">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spans="1:26">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spans="1:26">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spans="1:26">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spans="1:26">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spans="1:26">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spans="1:26">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spans="1:26">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spans="1:26">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spans="1:26">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spans="1:26">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spans="1:26">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spans="1:26">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spans="1:26">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spans="1:26">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spans="1:26">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spans="1:26">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spans="1:26">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spans="1:26">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spans="1:26">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spans="1:26">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spans="1:26">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spans="1:26">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spans="1:26">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spans="1:26">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spans="1:26">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spans="1:26">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spans="1:26">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spans="1:26">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spans="1:26">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spans="1:26">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spans="1:26">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spans="1:26">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spans="1:26">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spans="1:26">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spans="1:26">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spans="1:26">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spans="1:26">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spans="1:26">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spans="1:26">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spans="1:26">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spans="1:26">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spans="1:26">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spans="1:26">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spans="1:26">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spans="1:26">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spans="1:26">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spans="1:26">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spans="1:26">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spans="1:26">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spans="1:26">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spans="1:26">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spans="1:26">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spans="1:26">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spans="1:26">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spans="1:26">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spans="1:26">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spans="1:26">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spans="1:26">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spans="1:26">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spans="1:26">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spans="1:26">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spans="1:26">
      <c r="A1000" s="135"/>
      <c r="B1000" s="135"/>
      <c r="C1000" s="135"/>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C19"/>
  <sheetViews>
    <sheetView workbookViewId="0"/>
  </sheetViews>
  <sheetFormatPr defaultColWidth="12.625" defaultRowHeight="15" customHeight="1"/>
  <cols>
    <col min="2" max="2" width="31.75" customWidth="1"/>
  </cols>
  <sheetData>
    <row r="1" spans="1:3">
      <c r="A1" s="322" t="s">
        <v>3986</v>
      </c>
      <c r="B1" s="322" t="s">
        <v>3987</v>
      </c>
    </row>
    <row r="2" spans="1:3">
      <c r="A2" s="323">
        <v>1</v>
      </c>
      <c r="B2" s="322" t="s">
        <v>1326</v>
      </c>
      <c r="C2" s="4" t="s">
        <v>3988</v>
      </c>
    </row>
    <row r="3" spans="1:3">
      <c r="A3" s="323">
        <v>2</v>
      </c>
      <c r="B3" s="322" t="s">
        <v>1276</v>
      </c>
      <c r="C3" s="4" t="s">
        <v>3989</v>
      </c>
    </row>
    <row r="4" spans="1:3">
      <c r="A4" s="323">
        <v>3</v>
      </c>
      <c r="B4" s="322" t="s">
        <v>1282</v>
      </c>
      <c r="C4" s="4" t="s">
        <v>3990</v>
      </c>
    </row>
    <row r="5" spans="1:3">
      <c r="A5" s="323">
        <v>4</v>
      </c>
      <c r="B5" s="322" t="s">
        <v>1465</v>
      </c>
      <c r="C5" s="4" t="s">
        <v>3989</v>
      </c>
    </row>
    <row r="6" spans="1:3">
      <c r="A6" s="323">
        <v>5</v>
      </c>
      <c r="B6" s="322" t="s">
        <v>1268</v>
      </c>
      <c r="C6" s="4" t="s">
        <v>3990</v>
      </c>
    </row>
    <row r="7" spans="1:3">
      <c r="A7" s="323">
        <v>6</v>
      </c>
      <c r="B7" s="322" t="s">
        <v>1253</v>
      </c>
      <c r="C7" s="4" t="s">
        <v>3990</v>
      </c>
    </row>
    <row r="8" spans="1:3">
      <c r="A8" s="323">
        <v>7</v>
      </c>
      <c r="B8" s="322" t="s">
        <v>1425</v>
      </c>
      <c r="C8" s="4" t="s">
        <v>3988</v>
      </c>
    </row>
    <row r="9" spans="1:3">
      <c r="A9" s="4">
        <v>8</v>
      </c>
      <c r="B9" s="4" t="s">
        <v>2426</v>
      </c>
      <c r="C9" s="4" t="s">
        <v>3990</v>
      </c>
    </row>
    <row r="10" spans="1:3">
      <c r="A10" s="4">
        <v>9</v>
      </c>
      <c r="B10" s="4" t="s">
        <v>1585</v>
      </c>
      <c r="C10" s="4" t="s">
        <v>3990</v>
      </c>
    </row>
    <row r="11" spans="1:3">
      <c r="A11" s="4">
        <v>10</v>
      </c>
      <c r="B11" s="4" t="s">
        <v>1860</v>
      </c>
      <c r="C11" s="4" t="s">
        <v>3990</v>
      </c>
    </row>
    <row r="12" spans="1:3">
      <c r="A12" s="4">
        <v>11</v>
      </c>
      <c r="B12" s="4" t="s">
        <v>2142</v>
      </c>
      <c r="C12" s="4" t="s">
        <v>3990</v>
      </c>
    </row>
    <row r="13" spans="1:3">
      <c r="A13" s="4">
        <v>12</v>
      </c>
      <c r="B13" s="4" t="s">
        <v>3016</v>
      </c>
      <c r="C13" s="4" t="s">
        <v>3990</v>
      </c>
    </row>
    <row r="14" spans="1:3">
      <c r="A14" s="4">
        <v>13</v>
      </c>
      <c r="B14" s="4" t="s">
        <v>2699</v>
      </c>
      <c r="C14" s="4" t="s">
        <v>3988</v>
      </c>
    </row>
    <row r="18" spans="1:1">
      <c r="A18" s="4" t="s">
        <v>19</v>
      </c>
    </row>
    <row r="19" spans="1:1">
      <c r="A19" s="4" t="s">
        <v>30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dimension ref="A1:Z1000"/>
  <sheetViews>
    <sheetView workbookViewId="0">
      <pane ySplit="1" topLeftCell="A2" activePane="bottomLeft" state="frozen"/>
      <selection pane="bottomLeft" activeCell="B3" sqref="B3"/>
    </sheetView>
  </sheetViews>
  <sheetFormatPr defaultColWidth="12.625" defaultRowHeight="15" customHeight="1"/>
  <cols>
    <col min="1" max="1" width="47.5" customWidth="1"/>
    <col min="2" max="2" width="40.375" customWidth="1"/>
    <col min="3" max="3" width="18.5" customWidth="1"/>
    <col min="4" max="4" width="33.75" customWidth="1"/>
    <col min="5" max="5" width="30.625" customWidth="1"/>
    <col min="6" max="6" width="12.625" hidden="1" customWidth="1"/>
    <col min="7" max="7" width="19.375" hidden="1" customWidth="1"/>
    <col min="8" max="26" width="7.625" customWidth="1"/>
  </cols>
  <sheetData>
    <row r="1" spans="1:26" ht="18.75">
      <c r="A1" s="12" t="s">
        <v>1224</v>
      </c>
      <c r="B1" s="12" t="s">
        <v>15</v>
      </c>
      <c r="C1" s="12" t="s">
        <v>3991</v>
      </c>
      <c r="D1" s="12" t="s">
        <v>1247</v>
      </c>
      <c r="E1" s="12" t="s">
        <v>1248</v>
      </c>
      <c r="F1" s="12" t="s">
        <v>3992</v>
      </c>
      <c r="G1" s="12" t="s">
        <v>3993</v>
      </c>
      <c r="H1" s="12"/>
      <c r="I1" s="12"/>
      <c r="J1" s="12"/>
      <c r="K1" s="12"/>
      <c r="L1" s="12"/>
      <c r="M1" s="12"/>
      <c r="N1" s="12"/>
      <c r="O1" s="12"/>
      <c r="P1" s="12"/>
      <c r="Q1" s="12"/>
      <c r="R1" s="12"/>
      <c r="S1" s="12"/>
      <c r="T1" s="12"/>
      <c r="U1" s="12"/>
      <c r="V1" s="12"/>
      <c r="W1" s="12"/>
      <c r="X1" s="12"/>
      <c r="Y1" s="12"/>
      <c r="Z1" s="12"/>
    </row>
    <row r="2" spans="1:26" hidden="1">
      <c r="A2" s="13" t="s">
        <v>3994</v>
      </c>
      <c r="B2" s="13" t="s">
        <v>3995</v>
      </c>
      <c r="C2" s="13" t="s">
        <v>3996</v>
      </c>
      <c r="D2" s="13" t="s">
        <v>3997</v>
      </c>
      <c r="E2" s="13" t="s">
        <v>3998</v>
      </c>
      <c r="F2" s="134" t="str">
        <f t="shared" ref="F2:F738" si="0">IFERROR(VLOOKUP(G2,#REF!,6,FALSE),"")</f>
        <v/>
      </c>
      <c r="G2" s="134" t="str">
        <f t="shared" ref="G2:G738" si="1">TRIM(A2)</f>
        <v>1717 SENIOR LIVING LLC</v>
      </c>
      <c r="H2" s="134"/>
      <c r="I2" s="134"/>
      <c r="J2" s="134"/>
      <c r="K2" s="134"/>
      <c r="L2" s="134"/>
      <c r="M2" s="134"/>
      <c r="N2" s="134"/>
      <c r="O2" s="134"/>
      <c r="P2" s="134"/>
      <c r="Q2" s="134"/>
      <c r="R2" s="134"/>
      <c r="S2" s="134"/>
      <c r="T2" s="134"/>
      <c r="U2" s="134"/>
      <c r="V2" s="134"/>
      <c r="W2" s="134"/>
      <c r="X2" s="134"/>
      <c r="Y2" s="134"/>
      <c r="Z2" s="134"/>
    </row>
    <row r="3" spans="1:26">
      <c r="A3" s="13" t="s">
        <v>3999</v>
      </c>
      <c r="B3" s="13" t="s">
        <v>4000</v>
      </c>
      <c r="C3" s="13" t="s">
        <v>1256</v>
      </c>
      <c r="D3" s="13" t="s">
        <v>4001</v>
      </c>
      <c r="E3" s="13" t="s">
        <v>4002</v>
      </c>
      <c r="F3" s="134" t="str">
        <f t="shared" si="0"/>
        <v/>
      </c>
      <c r="G3" s="134" t="str">
        <f t="shared" si="1"/>
        <v>ADAMS HERITAGE</v>
      </c>
      <c r="H3" s="134"/>
      <c r="I3" s="134"/>
      <c r="J3" s="134"/>
      <c r="K3" s="134"/>
      <c r="L3" s="134"/>
      <c r="M3" s="134"/>
      <c r="N3" s="134"/>
      <c r="O3" s="134"/>
      <c r="P3" s="134"/>
      <c r="Q3" s="134"/>
      <c r="R3" s="134"/>
      <c r="S3" s="134"/>
      <c r="T3" s="134"/>
      <c r="U3" s="134"/>
      <c r="V3" s="134"/>
      <c r="W3" s="134"/>
      <c r="X3" s="134"/>
      <c r="Y3" s="134"/>
      <c r="Z3" s="134"/>
    </row>
    <row r="4" spans="1:26">
      <c r="A4" s="13" t="s">
        <v>4003</v>
      </c>
      <c r="B4" s="13" t="s">
        <v>4004</v>
      </c>
      <c r="C4" s="13" t="s">
        <v>1262</v>
      </c>
      <c r="D4" s="13" t="s">
        <v>4005</v>
      </c>
      <c r="E4" s="13" t="s">
        <v>4006</v>
      </c>
      <c r="F4" s="134" t="str">
        <f t="shared" si="0"/>
        <v/>
      </c>
      <c r="G4" s="134" t="str">
        <f t="shared" si="1"/>
        <v>ADAMS WOODCREST</v>
      </c>
      <c r="H4" s="134"/>
      <c r="I4" s="134"/>
      <c r="J4" s="134"/>
      <c r="K4" s="134"/>
      <c r="L4" s="134"/>
      <c r="M4" s="134"/>
      <c r="N4" s="134"/>
      <c r="O4" s="134"/>
      <c r="P4" s="134"/>
      <c r="Q4" s="134"/>
      <c r="R4" s="134"/>
      <c r="S4" s="134"/>
      <c r="T4" s="134"/>
      <c r="U4" s="134"/>
      <c r="V4" s="134"/>
      <c r="W4" s="134"/>
      <c r="X4" s="134"/>
      <c r="Y4" s="134"/>
      <c r="Z4" s="134"/>
    </row>
    <row r="5" spans="1:26">
      <c r="A5" s="13" t="s">
        <v>4007</v>
      </c>
      <c r="B5" s="13" t="s">
        <v>4008</v>
      </c>
      <c r="C5" s="13" t="s">
        <v>4009</v>
      </c>
      <c r="D5" s="13" t="s">
        <v>4010</v>
      </c>
      <c r="E5" s="13" t="s">
        <v>4011</v>
      </c>
      <c r="F5" s="134" t="str">
        <f t="shared" si="0"/>
        <v/>
      </c>
      <c r="G5" s="134" t="str">
        <f t="shared" si="1"/>
        <v>ADDISON PLACE</v>
      </c>
      <c r="H5" s="134"/>
      <c r="I5" s="134"/>
      <c r="J5" s="134"/>
      <c r="K5" s="134"/>
      <c r="L5" s="134"/>
      <c r="M5" s="134"/>
      <c r="N5" s="134"/>
      <c r="O5" s="134"/>
      <c r="P5" s="134"/>
      <c r="Q5" s="134"/>
      <c r="R5" s="134"/>
      <c r="S5" s="134"/>
      <c r="T5" s="134"/>
      <c r="U5" s="134"/>
      <c r="V5" s="134"/>
      <c r="W5" s="134"/>
      <c r="X5" s="134"/>
      <c r="Y5" s="134"/>
      <c r="Z5" s="134"/>
    </row>
    <row r="6" spans="1:26">
      <c r="A6" s="13" t="s">
        <v>4012</v>
      </c>
      <c r="B6" s="13" t="s">
        <v>4013</v>
      </c>
      <c r="C6" s="13" t="s">
        <v>1271</v>
      </c>
      <c r="D6" s="13" t="s">
        <v>4014</v>
      </c>
      <c r="E6" s="13" t="s">
        <v>4015</v>
      </c>
      <c r="F6" s="134" t="str">
        <f t="shared" si="0"/>
        <v/>
      </c>
      <c r="G6" s="134" t="str">
        <f t="shared" si="1"/>
        <v>ADDISON POINTE HEALTH &amp; REHABILITATION CENTER</v>
      </c>
      <c r="H6" s="134"/>
      <c r="I6" s="134"/>
      <c r="J6" s="134"/>
      <c r="K6" s="134"/>
      <c r="L6" s="134"/>
      <c r="M6" s="134"/>
      <c r="N6" s="134"/>
      <c r="O6" s="134"/>
      <c r="P6" s="134"/>
      <c r="Q6" s="134"/>
      <c r="R6" s="134"/>
      <c r="S6" s="134"/>
      <c r="T6" s="134"/>
      <c r="U6" s="134"/>
      <c r="V6" s="134"/>
      <c r="W6" s="134"/>
      <c r="X6" s="134"/>
      <c r="Y6" s="134"/>
      <c r="Z6" s="134"/>
    </row>
    <row r="7" spans="1:26">
      <c r="A7" s="13" t="s">
        <v>4016</v>
      </c>
      <c r="B7" s="13" t="s">
        <v>4017</v>
      </c>
      <c r="C7" s="13" t="s">
        <v>1277</v>
      </c>
      <c r="D7" s="13" t="s">
        <v>4018</v>
      </c>
      <c r="E7" s="13" t="s">
        <v>4019</v>
      </c>
      <c r="F7" s="134" t="str">
        <f t="shared" si="0"/>
        <v/>
      </c>
      <c r="G7" s="134" t="str">
        <f t="shared" si="1"/>
        <v>ALBANY HEALTH CARE &amp; REHABILITATION CENTER</v>
      </c>
      <c r="H7" s="134"/>
      <c r="I7" s="134"/>
      <c r="J7" s="134"/>
      <c r="K7" s="134"/>
      <c r="L7" s="134"/>
      <c r="M7" s="134"/>
      <c r="N7" s="134"/>
      <c r="O7" s="134"/>
      <c r="P7" s="134"/>
      <c r="Q7" s="134"/>
      <c r="R7" s="134"/>
      <c r="S7" s="134"/>
      <c r="T7" s="134"/>
      <c r="U7" s="134"/>
      <c r="V7" s="134"/>
      <c r="W7" s="134"/>
      <c r="X7" s="134"/>
      <c r="Y7" s="134"/>
      <c r="Z7" s="134"/>
    </row>
    <row r="8" spans="1:26">
      <c r="A8" s="13" t="s">
        <v>4020</v>
      </c>
      <c r="B8" s="13" t="s">
        <v>4021</v>
      </c>
      <c r="C8" s="13" t="s">
        <v>1284</v>
      </c>
      <c r="D8" s="13" t="s">
        <v>4022</v>
      </c>
      <c r="E8" s="13" t="s">
        <v>4023</v>
      </c>
      <c r="F8" s="134" t="str">
        <f t="shared" si="0"/>
        <v/>
      </c>
      <c r="G8" s="134" t="str">
        <f t="shared" si="1"/>
        <v>ALEXANDRIA CARE CENTER</v>
      </c>
      <c r="H8" s="134"/>
      <c r="I8" s="134"/>
      <c r="J8" s="134"/>
      <c r="K8" s="134"/>
      <c r="L8" s="134"/>
      <c r="M8" s="134"/>
      <c r="N8" s="134"/>
      <c r="O8" s="134"/>
      <c r="P8" s="134"/>
      <c r="Q8" s="134"/>
      <c r="R8" s="134"/>
      <c r="S8" s="134"/>
      <c r="T8" s="134"/>
      <c r="U8" s="134"/>
      <c r="V8" s="134"/>
      <c r="W8" s="134"/>
      <c r="X8" s="134"/>
      <c r="Y8" s="134"/>
      <c r="Z8" s="134"/>
    </row>
    <row r="9" spans="1:26">
      <c r="A9" s="13" t="s">
        <v>4024</v>
      </c>
      <c r="B9" s="13" t="s">
        <v>4025</v>
      </c>
      <c r="C9" s="13" t="s">
        <v>4026</v>
      </c>
      <c r="D9" s="13" t="s">
        <v>4027</v>
      </c>
      <c r="E9" s="13" t="s">
        <v>4028</v>
      </c>
      <c r="F9" s="134" t="str">
        <f t="shared" si="0"/>
        <v/>
      </c>
      <c r="G9" s="134" t="str">
        <f t="shared" si="1"/>
        <v>ALLISON POINTE HEALTHCARE CENTER</v>
      </c>
      <c r="H9" s="134"/>
      <c r="I9" s="134"/>
      <c r="J9" s="134"/>
      <c r="K9" s="134"/>
      <c r="L9" s="134"/>
      <c r="M9" s="134"/>
      <c r="N9" s="134"/>
      <c r="O9" s="134"/>
      <c r="P9" s="134"/>
      <c r="Q9" s="134"/>
      <c r="R9" s="134"/>
      <c r="S9" s="134"/>
      <c r="T9" s="134"/>
      <c r="U9" s="134"/>
      <c r="V9" s="134"/>
      <c r="W9" s="134"/>
      <c r="X9" s="134"/>
      <c r="Y9" s="134"/>
      <c r="Z9" s="134"/>
    </row>
    <row r="10" spans="1:26">
      <c r="A10" s="13" t="s">
        <v>4029</v>
      </c>
      <c r="B10" s="13" t="s">
        <v>4030</v>
      </c>
      <c r="C10" s="13" t="s">
        <v>1295</v>
      </c>
      <c r="D10" s="13" t="s">
        <v>4031</v>
      </c>
      <c r="E10" s="13" t="s">
        <v>4032</v>
      </c>
      <c r="F10" s="134" t="str">
        <f t="shared" si="0"/>
        <v/>
      </c>
      <c r="G10" s="134" t="str">
        <f t="shared" si="1"/>
        <v>ALLISONVILLE MEADOWS</v>
      </c>
      <c r="H10" s="134"/>
      <c r="I10" s="134"/>
      <c r="J10" s="134"/>
      <c r="K10" s="134"/>
      <c r="L10" s="134"/>
      <c r="M10" s="134"/>
      <c r="N10" s="134"/>
      <c r="O10" s="134"/>
      <c r="P10" s="134"/>
      <c r="Q10" s="134"/>
      <c r="R10" s="134"/>
      <c r="S10" s="134"/>
      <c r="T10" s="134"/>
      <c r="U10" s="134"/>
      <c r="V10" s="134"/>
      <c r="W10" s="134"/>
      <c r="X10" s="134"/>
      <c r="Y10" s="134"/>
      <c r="Z10" s="134"/>
    </row>
    <row r="11" spans="1:26" hidden="1">
      <c r="A11" s="13" t="s">
        <v>4033</v>
      </c>
      <c r="B11" s="13" t="s">
        <v>4034</v>
      </c>
      <c r="C11" s="13" t="s">
        <v>4035</v>
      </c>
      <c r="D11" s="13" t="s">
        <v>4036</v>
      </c>
      <c r="E11" s="13" t="s">
        <v>4032</v>
      </c>
      <c r="F11" s="134" t="str">
        <f t="shared" si="0"/>
        <v/>
      </c>
      <c r="G11" s="134" t="str">
        <f t="shared" si="1"/>
        <v>ALLISONVILLE MEADOWS ASSISTED LIVING</v>
      </c>
      <c r="H11" s="134"/>
      <c r="I11" s="134"/>
      <c r="J11" s="134"/>
      <c r="K11" s="134"/>
      <c r="L11" s="134"/>
      <c r="M11" s="134"/>
      <c r="N11" s="134"/>
      <c r="O11" s="134"/>
      <c r="P11" s="134"/>
      <c r="Q11" s="134"/>
      <c r="R11" s="134"/>
      <c r="S11" s="134"/>
      <c r="T11" s="134"/>
      <c r="U11" s="134"/>
      <c r="V11" s="134"/>
      <c r="W11" s="134"/>
      <c r="X11" s="134"/>
      <c r="Y11" s="134"/>
      <c r="Z11" s="134"/>
    </row>
    <row r="12" spans="1:26">
      <c r="A12" s="13" t="s">
        <v>4037</v>
      </c>
      <c r="B12" s="13" t="s">
        <v>4038</v>
      </c>
      <c r="C12" s="13" t="s">
        <v>4039</v>
      </c>
      <c r="D12" s="13" t="s">
        <v>4040</v>
      </c>
      <c r="E12" s="13" t="s">
        <v>4041</v>
      </c>
      <c r="F12" s="134" t="str">
        <f t="shared" si="0"/>
        <v/>
      </c>
      <c r="G12" s="134" t="str">
        <f t="shared" si="1"/>
        <v>ALPHA HOME - A WATERS COMMUNITY</v>
      </c>
      <c r="H12" s="134"/>
      <c r="I12" s="134"/>
      <c r="J12" s="134"/>
      <c r="K12" s="134"/>
      <c r="L12" s="134"/>
      <c r="M12" s="134"/>
      <c r="N12" s="134"/>
      <c r="O12" s="134"/>
      <c r="P12" s="134"/>
      <c r="Q12" s="134"/>
      <c r="R12" s="134"/>
      <c r="S12" s="134"/>
      <c r="T12" s="134"/>
      <c r="U12" s="134"/>
      <c r="V12" s="134"/>
      <c r="W12" s="134"/>
      <c r="X12" s="134"/>
      <c r="Y12" s="134"/>
      <c r="Z12" s="134"/>
    </row>
    <row r="13" spans="1:26">
      <c r="A13" s="13" t="s">
        <v>4042</v>
      </c>
      <c r="B13" s="13" t="s">
        <v>4043</v>
      </c>
      <c r="C13" s="13" t="s">
        <v>4044</v>
      </c>
      <c r="D13" s="13" t="s">
        <v>4045</v>
      </c>
      <c r="E13" s="13" t="s">
        <v>4046</v>
      </c>
      <c r="F13" s="134" t="str">
        <f t="shared" si="0"/>
        <v/>
      </c>
      <c r="G13" s="134" t="str">
        <f t="shared" si="1"/>
        <v>ALTENHEIM HEALTH &amp; LIVING COMMUNITY</v>
      </c>
      <c r="H13" s="134"/>
      <c r="I13" s="134"/>
      <c r="J13" s="134"/>
      <c r="K13" s="134"/>
      <c r="L13" s="134"/>
      <c r="M13" s="134"/>
      <c r="N13" s="134"/>
      <c r="O13" s="134"/>
      <c r="P13" s="134"/>
      <c r="Q13" s="134"/>
      <c r="R13" s="134"/>
      <c r="S13" s="134"/>
      <c r="T13" s="134"/>
      <c r="U13" s="134"/>
      <c r="V13" s="134"/>
      <c r="W13" s="134"/>
      <c r="X13" s="134"/>
      <c r="Y13" s="134"/>
      <c r="Z13" s="134"/>
    </row>
    <row r="14" spans="1:26">
      <c r="A14" s="13" t="s">
        <v>4047</v>
      </c>
      <c r="B14" s="13" t="s">
        <v>4048</v>
      </c>
      <c r="C14" s="13" t="s">
        <v>1308</v>
      </c>
      <c r="D14" s="13" t="s">
        <v>4049</v>
      </c>
      <c r="E14" s="13" t="s">
        <v>4050</v>
      </c>
      <c r="F14" s="134" t="str">
        <f t="shared" si="0"/>
        <v/>
      </c>
      <c r="G14" s="134" t="str">
        <f t="shared" si="1"/>
        <v>AMBASSADOR HEALTHCARE</v>
      </c>
      <c r="H14" s="134"/>
      <c r="I14" s="134"/>
      <c r="J14" s="134"/>
      <c r="K14" s="134"/>
      <c r="L14" s="134"/>
      <c r="M14" s="134"/>
      <c r="N14" s="134"/>
      <c r="O14" s="134"/>
      <c r="P14" s="134"/>
      <c r="Q14" s="134"/>
      <c r="R14" s="134"/>
      <c r="S14" s="134"/>
      <c r="T14" s="134"/>
      <c r="U14" s="134"/>
      <c r="V14" s="134"/>
      <c r="W14" s="134"/>
      <c r="X14" s="134"/>
      <c r="Y14" s="134"/>
      <c r="Z14" s="134"/>
    </row>
    <row r="15" spans="1:26">
      <c r="A15" s="13" t="s">
        <v>4051</v>
      </c>
      <c r="B15" s="13" t="s">
        <v>4052</v>
      </c>
      <c r="C15" s="13" t="s">
        <v>1316</v>
      </c>
      <c r="D15" s="13" t="s">
        <v>4053</v>
      </c>
      <c r="E15" s="13" t="s">
        <v>4054</v>
      </c>
      <c r="F15" s="134" t="str">
        <f t="shared" si="0"/>
        <v/>
      </c>
      <c r="G15" s="134" t="str">
        <f t="shared" si="1"/>
        <v>AMBER MANOR CARE CENTER</v>
      </c>
      <c r="H15" s="134"/>
      <c r="I15" s="134"/>
      <c r="J15" s="134"/>
      <c r="K15" s="134"/>
      <c r="L15" s="134"/>
      <c r="M15" s="134"/>
      <c r="N15" s="134"/>
      <c r="O15" s="134"/>
      <c r="P15" s="134"/>
      <c r="Q15" s="134"/>
      <c r="R15" s="134"/>
      <c r="S15" s="134"/>
      <c r="T15" s="134"/>
      <c r="U15" s="134"/>
      <c r="V15" s="134"/>
      <c r="W15" s="134"/>
      <c r="X15" s="134"/>
      <c r="Y15" s="134"/>
      <c r="Z15" s="134"/>
    </row>
    <row r="16" spans="1:26">
      <c r="A16" s="13" t="s">
        <v>4055</v>
      </c>
      <c r="B16" s="13" t="s">
        <v>4056</v>
      </c>
      <c r="C16" s="13" t="s">
        <v>1320</v>
      </c>
      <c r="D16" s="13" t="s">
        <v>4057</v>
      </c>
      <c r="E16" s="13" t="s">
        <v>4058</v>
      </c>
      <c r="F16" s="134" t="str">
        <f t="shared" si="0"/>
        <v/>
      </c>
      <c r="G16" s="134" t="str">
        <f t="shared" si="1"/>
        <v>AMERICAN VILLAGE</v>
      </c>
      <c r="H16" s="134"/>
      <c r="I16" s="134"/>
      <c r="J16" s="134"/>
      <c r="K16" s="134"/>
      <c r="L16" s="134"/>
      <c r="M16" s="134"/>
      <c r="N16" s="134"/>
      <c r="O16" s="134"/>
      <c r="P16" s="134"/>
      <c r="Q16" s="134"/>
      <c r="R16" s="134"/>
      <c r="S16" s="134"/>
      <c r="T16" s="134"/>
      <c r="U16" s="134"/>
      <c r="V16" s="134"/>
      <c r="W16" s="134"/>
      <c r="X16" s="134"/>
      <c r="Y16" s="134"/>
      <c r="Z16" s="134"/>
    </row>
    <row r="17" spans="1:26" hidden="1">
      <c r="A17" s="13" t="s">
        <v>4059</v>
      </c>
      <c r="B17" s="13" t="s">
        <v>4060</v>
      </c>
      <c r="C17" s="13" t="s">
        <v>4061</v>
      </c>
      <c r="D17" s="13" t="s">
        <v>4062</v>
      </c>
      <c r="E17" s="13" t="s">
        <v>4063</v>
      </c>
      <c r="F17" s="134" t="str">
        <f t="shared" si="0"/>
        <v/>
      </c>
      <c r="G17" s="134" t="str">
        <f t="shared" si="1"/>
        <v>ANSON SENIOR LIVING</v>
      </c>
      <c r="H17" s="134"/>
      <c r="I17" s="134"/>
      <c r="J17" s="134"/>
      <c r="K17" s="134"/>
      <c r="L17" s="134"/>
      <c r="M17" s="134"/>
      <c r="N17" s="134"/>
      <c r="O17" s="134"/>
      <c r="P17" s="134"/>
      <c r="Q17" s="134"/>
      <c r="R17" s="134"/>
      <c r="S17" s="134"/>
      <c r="T17" s="134"/>
      <c r="U17" s="134"/>
      <c r="V17" s="134"/>
      <c r="W17" s="134"/>
      <c r="X17" s="134"/>
      <c r="Y17" s="134"/>
      <c r="Z17" s="134"/>
    </row>
    <row r="18" spans="1:26">
      <c r="A18" s="13" t="s">
        <v>4064</v>
      </c>
      <c r="B18" s="13" t="s">
        <v>4065</v>
      </c>
      <c r="C18" s="13" t="s">
        <v>4066</v>
      </c>
      <c r="D18" s="13" t="s">
        <v>4067</v>
      </c>
      <c r="E18" s="13" t="s">
        <v>3998</v>
      </c>
      <c r="F18" s="134" t="str">
        <f t="shared" si="0"/>
        <v/>
      </c>
      <c r="G18" s="134" t="str">
        <f t="shared" si="1"/>
        <v>ANTHOLOGY OF MERIDIAN HILLS</v>
      </c>
      <c r="H18" s="134"/>
      <c r="I18" s="134"/>
      <c r="J18" s="134"/>
      <c r="K18" s="134"/>
      <c r="L18" s="134"/>
      <c r="M18" s="134"/>
      <c r="N18" s="134"/>
      <c r="O18" s="134"/>
      <c r="P18" s="134"/>
      <c r="Q18" s="134"/>
      <c r="R18" s="134"/>
      <c r="S18" s="134"/>
      <c r="T18" s="134"/>
      <c r="U18" s="134"/>
      <c r="V18" s="134"/>
      <c r="W18" s="134"/>
      <c r="X18" s="134"/>
      <c r="Y18" s="134"/>
      <c r="Z18" s="134"/>
    </row>
    <row r="19" spans="1:26">
      <c r="A19" s="13" t="s">
        <v>4068</v>
      </c>
      <c r="B19" s="13" t="s">
        <v>4069</v>
      </c>
      <c r="C19" s="13" t="s">
        <v>1329</v>
      </c>
      <c r="D19" s="13" t="s">
        <v>4070</v>
      </c>
      <c r="E19" s="13" t="s">
        <v>4071</v>
      </c>
      <c r="F19" s="134" t="str">
        <f t="shared" si="0"/>
        <v/>
      </c>
      <c r="G19" s="134" t="str">
        <f t="shared" si="1"/>
        <v>APERION CARE ANGOLA</v>
      </c>
      <c r="H19" s="134"/>
      <c r="I19" s="134"/>
      <c r="J19" s="134"/>
      <c r="K19" s="134"/>
      <c r="L19" s="134"/>
      <c r="M19" s="134"/>
      <c r="N19" s="134"/>
      <c r="O19" s="134"/>
      <c r="P19" s="134"/>
      <c r="Q19" s="134"/>
      <c r="R19" s="134"/>
      <c r="S19" s="134"/>
      <c r="T19" s="134"/>
      <c r="U19" s="134"/>
      <c r="V19" s="134"/>
      <c r="W19" s="134"/>
      <c r="X19" s="134"/>
      <c r="Y19" s="134"/>
      <c r="Z19" s="134"/>
    </row>
    <row r="20" spans="1:26">
      <c r="A20" s="13" t="s">
        <v>4072</v>
      </c>
      <c r="B20" s="13" t="s">
        <v>4073</v>
      </c>
      <c r="C20" s="13" t="s">
        <v>1334</v>
      </c>
      <c r="D20" s="13" t="s">
        <v>4074</v>
      </c>
      <c r="E20" s="13" t="s">
        <v>4075</v>
      </c>
      <c r="F20" s="134" t="str">
        <f t="shared" si="0"/>
        <v/>
      </c>
      <c r="G20" s="134" t="str">
        <f t="shared" si="1"/>
        <v>APERION CARE ARBORS MICHIGAN CITY</v>
      </c>
      <c r="H20" s="134"/>
      <c r="I20" s="134"/>
      <c r="J20" s="134"/>
      <c r="K20" s="134"/>
      <c r="L20" s="134"/>
      <c r="M20" s="134"/>
      <c r="N20" s="134"/>
      <c r="O20" s="134"/>
      <c r="P20" s="134"/>
      <c r="Q20" s="134"/>
      <c r="R20" s="134"/>
      <c r="S20" s="134"/>
      <c r="T20" s="134"/>
      <c r="U20" s="134"/>
      <c r="V20" s="134"/>
      <c r="W20" s="134"/>
      <c r="X20" s="134"/>
      <c r="Y20" s="134"/>
      <c r="Z20" s="134"/>
    </row>
    <row r="21" spans="1:26" ht="15.75" customHeight="1">
      <c r="A21" s="13" t="s">
        <v>4076</v>
      </c>
      <c r="B21" s="13" t="s">
        <v>4077</v>
      </c>
      <c r="C21" s="13" t="s">
        <v>1340</v>
      </c>
      <c r="D21" s="13" t="s">
        <v>4078</v>
      </c>
      <c r="E21" s="13" t="s">
        <v>4079</v>
      </c>
      <c r="F21" s="134" t="str">
        <f t="shared" si="0"/>
        <v/>
      </c>
      <c r="G21" s="134" t="str">
        <f t="shared" si="1"/>
        <v>APERION CARE DEMOTTE</v>
      </c>
      <c r="H21" s="134"/>
      <c r="I21" s="134"/>
      <c r="J21" s="134"/>
      <c r="K21" s="134"/>
      <c r="L21" s="134"/>
      <c r="M21" s="134"/>
      <c r="N21" s="134"/>
      <c r="O21" s="134"/>
      <c r="P21" s="134"/>
      <c r="Q21" s="134"/>
      <c r="R21" s="134"/>
      <c r="S21" s="134"/>
      <c r="T21" s="134"/>
      <c r="U21" s="134"/>
      <c r="V21" s="134"/>
      <c r="W21" s="134"/>
      <c r="X21" s="134"/>
      <c r="Y21" s="134"/>
      <c r="Z21" s="134"/>
    </row>
    <row r="22" spans="1:26" ht="15.75" customHeight="1">
      <c r="A22" s="13" t="s">
        <v>4080</v>
      </c>
      <c r="B22" s="13" t="s">
        <v>4081</v>
      </c>
      <c r="C22" s="13" t="s">
        <v>1345</v>
      </c>
      <c r="D22" s="13" t="s">
        <v>4082</v>
      </c>
      <c r="E22" s="13" t="s">
        <v>4083</v>
      </c>
      <c r="F22" s="134" t="str">
        <f t="shared" si="0"/>
        <v/>
      </c>
      <c r="G22" s="134" t="str">
        <f t="shared" si="1"/>
        <v>APERION CARE FORT WAYNE</v>
      </c>
      <c r="H22" s="134"/>
      <c r="I22" s="134"/>
      <c r="J22" s="134"/>
      <c r="K22" s="134"/>
      <c r="L22" s="134"/>
      <c r="M22" s="134"/>
      <c r="N22" s="134"/>
      <c r="O22" s="134"/>
      <c r="P22" s="134"/>
      <c r="Q22" s="134"/>
      <c r="R22" s="134"/>
      <c r="S22" s="134"/>
      <c r="T22" s="134"/>
      <c r="U22" s="134"/>
      <c r="V22" s="134"/>
      <c r="W22" s="134"/>
      <c r="X22" s="134"/>
      <c r="Y22" s="134"/>
      <c r="Z22" s="134"/>
    </row>
    <row r="23" spans="1:26" ht="15.75" customHeight="1">
      <c r="A23" s="13" t="s">
        <v>4084</v>
      </c>
      <c r="B23" s="13" t="s">
        <v>4085</v>
      </c>
      <c r="C23" s="13" t="s">
        <v>1352</v>
      </c>
      <c r="D23" s="13" t="s">
        <v>4086</v>
      </c>
      <c r="E23" s="13" t="s">
        <v>4087</v>
      </c>
      <c r="F23" s="134" t="str">
        <f t="shared" si="0"/>
        <v/>
      </c>
      <c r="G23" s="134" t="str">
        <f t="shared" si="1"/>
        <v>APERION CARE FRANKFORT</v>
      </c>
      <c r="H23" s="134"/>
      <c r="I23" s="134"/>
      <c r="J23" s="134"/>
      <c r="K23" s="134"/>
      <c r="L23" s="134"/>
      <c r="M23" s="134"/>
      <c r="N23" s="134"/>
      <c r="O23" s="134"/>
      <c r="P23" s="134"/>
      <c r="Q23" s="134"/>
      <c r="R23" s="134"/>
      <c r="S23" s="134"/>
      <c r="T23" s="134"/>
      <c r="U23" s="134"/>
      <c r="V23" s="134"/>
      <c r="W23" s="134"/>
      <c r="X23" s="134"/>
      <c r="Y23" s="134"/>
      <c r="Z23" s="134"/>
    </row>
    <row r="24" spans="1:26" ht="15.75" customHeight="1">
      <c r="A24" s="13" t="s">
        <v>4088</v>
      </c>
      <c r="B24" s="13" t="s">
        <v>4089</v>
      </c>
      <c r="C24" s="13" t="s">
        <v>1357</v>
      </c>
      <c r="D24" s="13" t="s">
        <v>4090</v>
      </c>
      <c r="E24" s="13" t="s">
        <v>4091</v>
      </c>
      <c r="F24" s="134" t="str">
        <f t="shared" si="0"/>
        <v/>
      </c>
      <c r="G24" s="134" t="str">
        <f t="shared" si="1"/>
        <v>APERION CARE KOKOMO</v>
      </c>
      <c r="H24" s="134"/>
      <c r="I24" s="134"/>
      <c r="J24" s="134"/>
      <c r="K24" s="134"/>
      <c r="L24" s="134"/>
      <c r="M24" s="134"/>
      <c r="N24" s="134"/>
      <c r="O24" s="134"/>
      <c r="P24" s="134"/>
      <c r="Q24" s="134"/>
      <c r="R24" s="134"/>
      <c r="S24" s="134"/>
      <c r="T24" s="134"/>
      <c r="U24" s="134"/>
      <c r="V24" s="134"/>
      <c r="W24" s="134"/>
      <c r="X24" s="134"/>
      <c r="Y24" s="134"/>
      <c r="Z24" s="134"/>
    </row>
    <row r="25" spans="1:26" ht="15.75" customHeight="1">
      <c r="A25" s="13" t="s">
        <v>4092</v>
      </c>
      <c r="B25" s="13" t="s">
        <v>4093</v>
      </c>
      <c r="C25" s="13" t="s">
        <v>1361</v>
      </c>
      <c r="D25" s="13" t="s">
        <v>4094</v>
      </c>
      <c r="E25" s="13" t="s">
        <v>4095</v>
      </c>
      <c r="F25" s="134" t="str">
        <f t="shared" si="0"/>
        <v/>
      </c>
      <c r="G25" s="134" t="str">
        <f t="shared" si="1"/>
        <v>APERION CARE MARION LLC</v>
      </c>
      <c r="H25" s="134"/>
      <c r="I25" s="134"/>
      <c r="J25" s="134"/>
      <c r="K25" s="134"/>
      <c r="L25" s="134"/>
      <c r="M25" s="134"/>
      <c r="N25" s="134"/>
      <c r="O25" s="134"/>
      <c r="P25" s="134"/>
      <c r="Q25" s="134"/>
      <c r="R25" s="134"/>
      <c r="S25" s="134"/>
      <c r="T25" s="134"/>
      <c r="U25" s="134"/>
      <c r="V25" s="134"/>
      <c r="W25" s="134"/>
      <c r="X25" s="134"/>
      <c r="Y25" s="134"/>
      <c r="Z25" s="134"/>
    </row>
    <row r="26" spans="1:26" ht="15.75" customHeight="1">
      <c r="A26" s="13" t="s">
        <v>4096</v>
      </c>
      <c r="B26" s="13" t="s">
        <v>4097</v>
      </c>
      <c r="C26" s="13" t="s">
        <v>1367</v>
      </c>
      <c r="D26" s="13" t="s">
        <v>4098</v>
      </c>
      <c r="E26" s="13" t="s">
        <v>4099</v>
      </c>
      <c r="F26" s="134" t="str">
        <f t="shared" si="0"/>
        <v/>
      </c>
      <c r="G26" s="134" t="str">
        <f t="shared" si="1"/>
        <v>APERION CARE PERU</v>
      </c>
      <c r="H26" s="134"/>
      <c r="I26" s="134"/>
      <c r="J26" s="134"/>
      <c r="K26" s="134"/>
      <c r="L26" s="134"/>
      <c r="M26" s="134"/>
      <c r="N26" s="134"/>
      <c r="O26" s="134"/>
      <c r="P26" s="134"/>
      <c r="Q26" s="134"/>
      <c r="R26" s="134"/>
      <c r="S26" s="134"/>
      <c r="T26" s="134"/>
      <c r="U26" s="134"/>
      <c r="V26" s="134"/>
      <c r="W26" s="134"/>
      <c r="X26" s="134"/>
      <c r="Y26" s="134"/>
      <c r="Z26" s="134"/>
    </row>
    <row r="27" spans="1:26" ht="15.75" customHeight="1">
      <c r="A27" s="13" t="s">
        <v>4100</v>
      </c>
      <c r="B27" s="13" t="s">
        <v>4101</v>
      </c>
      <c r="C27" s="13" t="s">
        <v>4102</v>
      </c>
      <c r="D27" s="13" t="s">
        <v>4103</v>
      </c>
      <c r="E27" s="13" t="s">
        <v>4104</v>
      </c>
      <c r="F27" s="134" t="str">
        <f t="shared" si="0"/>
        <v/>
      </c>
      <c r="G27" s="134" t="str">
        <f t="shared" si="1"/>
        <v>APERION CARE SPENCER LLC</v>
      </c>
      <c r="H27" s="134"/>
      <c r="I27" s="134"/>
      <c r="J27" s="134"/>
      <c r="K27" s="134"/>
      <c r="L27" s="134"/>
      <c r="M27" s="134"/>
      <c r="N27" s="134"/>
      <c r="O27" s="134"/>
      <c r="P27" s="134"/>
      <c r="Q27" s="134"/>
      <c r="R27" s="134"/>
      <c r="S27" s="134"/>
      <c r="T27" s="134"/>
      <c r="U27" s="134"/>
      <c r="V27" s="134"/>
      <c r="W27" s="134"/>
      <c r="X27" s="134"/>
      <c r="Y27" s="134"/>
      <c r="Z27" s="134"/>
    </row>
    <row r="28" spans="1:26" ht="15.75" customHeight="1">
      <c r="A28" s="13" t="s">
        <v>4105</v>
      </c>
      <c r="B28" s="13" t="s">
        <v>4106</v>
      </c>
      <c r="C28" s="13" t="s">
        <v>4107</v>
      </c>
      <c r="D28" s="13" t="s">
        <v>4108</v>
      </c>
      <c r="E28" s="13" t="s">
        <v>4109</v>
      </c>
      <c r="F28" s="134" t="str">
        <f t="shared" si="0"/>
        <v/>
      </c>
      <c r="G28" s="134" t="str">
        <f t="shared" si="1"/>
        <v>APERION CARE TOLLESTON PARK</v>
      </c>
      <c r="H28" s="134"/>
      <c r="I28" s="134"/>
      <c r="J28" s="134"/>
      <c r="K28" s="134"/>
      <c r="L28" s="134"/>
      <c r="M28" s="134"/>
      <c r="N28" s="134"/>
      <c r="O28" s="134"/>
      <c r="P28" s="134"/>
      <c r="Q28" s="134"/>
      <c r="R28" s="134"/>
      <c r="S28" s="134"/>
      <c r="T28" s="134"/>
      <c r="U28" s="134"/>
      <c r="V28" s="134"/>
      <c r="W28" s="134"/>
      <c r="X28" s="134"/>
      <c r="Y28" s="134"/>
      <c r="Z28" s="134"/>
    </row>
    <row r="29" spans="1:26" ht="15.75" customHeight="1">
      <c r="A29" s="13" t="s">
        <v>4110</v>
      </c>
      <c r="B29" s="13" t="s">
        <v>4111</v>
      </c>
      <c r="C29" s="13" t="s">
        <v>1377</v>
      </c>
      <c r="D29" s="13" t="s">
        <v>4112</v>
      </c>
      <c r="E29" s="13" t="s">
        <v>4113</v>
      </c>
      <c r="F29" s="134" t="str">
        <f t="shared" si="0"/>
        <v/>
      </c>
      <c r="G29" s="134" t="str">
        <f t="shared" si="1"/>
        <v>APERION CARE UNIVERSITY PARK</v>
      </c>
      <c r="H29" s="134"/>
      <c r="I29" s="134"/>
      <c r="J29" s="134"/>
      <c r="K29" s="134"/>
      <c r="L29" s="134"/>
      <c r="M29" s="134"/>
      <c r="N29" s="134"/>
      <c r="O29" s="134"/>
      <c r="P29" s="134"/>
      <c r="Q29" s="134"/>
      <c r="R29" s="134"/>
      <c r="S29" s="134"/>
      <c r="T29" s="134"/>
      <c r="U29" s="134"/>
      <c r="V29" s="134"/>
      <c r="W29" s="134"/>
      <c r="X29" s="134"/>
      <c r="Y29" s="134"/>
      <c r="Z29" s="134"/>
    </row>
    <row r="30" spans="1:26" ht="15.75" customHeight="1">
      <c r="A30" s="13" t="s">
        <v>4114</v>
      </c>
      <c r="B30" s="13" t="s">
        <v>4115</v>
      </c>
      <c r="C30" s="13" t="s">
        <v>4116</v>
      </c>
      <c r="D30" s="13" t="s">
        <v>4117</v>
      </c>
      <c r="E30" s="13" t="s">
        <v>4118</v>
      </c>
      <c r="F30" s="134" t="str">
        <f t="shared" si="0"/>
        <v/>
      </c>
      <c r="G30" s="134" t="str">
        <f t="shared" si="1"/>
        <v>APERION CARE WALDRON LLC</v>
      </c>
      <c r="H30" s="134"/>
      <c r="I30" s="134"/>
      <c r="J30" s="134"/>
      <c r="K30" s="134"/>
      <c r="L30" s="134"/>
      <c r="M30" s="134"/>
      <c r="N30" s="134"/>
      <c r="O30" s="134"/>
      <c r="P30" s="134"/>
      <c r="Q30" s="134"/>
      <c r="R30" s="134"/>
      <c r="S30" s="134"/>
      <c r="T30" s="134"/>
      <c r="U30" s="134"/>
      <c r="V30" s="134"/>
      <c r="W30" s="134"/>
      <c r="X30" s="134"/>
      <c r="Y30" s="134"/>
      <c r="Z30" s="134"/>
    </row>
    <row r="31" spans="1:26" ht="15.75" customHeight="1">
      <c r="A31" s="13" t="s">
        <v>4119</v>
      </c>
      <c r="B31" s="13" t="s">
        <v>4120</v>
      </c>
      <c r="C31" s="13" t="s">
        <v>1385</v>
      </c>
      <c r="D31" s="13" t="s">
        <v>4121</v>
      </c>
      <c r="E31" s="13" t="s">
        <v>4099</v>
      </c>
      <c r="F31" s="134" t="str">
        <f t="shared" si="0"/>
        <v/>
      </c>
      <c r="G31" s="134" t="str">
        <f t="shared" si="1"/>
        <v>APERION ESTATES PERU, LLC</v>
      </c>
      <c r="H31" s="134"/>
      <c r="I31" s="134"/>
      <c r="J31" s="134"/>
      <c r="K31" s="134"/>
      <c r="L31" s="134"/>
      <c r="M31" s="134"/>
      <c r="N31" s="134"/>
      <c r="O31" s="134"/>
      <c r="P31" s="134"/>
      <c r="Q31" s="134"/>
      <c r="R31" s="134"/>
      <c r="S31" s="134"/>
      <c r="T31" s="134"/>
      <c r="U31" s="134"/>
      <c r="V31" s="134"/>
      <c r="W31" s="134"/>
      <c r="X31" s="134"/>
      <c r="Y31" s="134"/>
      <c r="Z31" s="134"/>
    </row>
    <row r="32" spans="1:26" ht="15.75" hidden="1" customHeight="1">
      <c r="A32" s="13" t="s">
        <v>4122</v>
      </c>
      <c r="B32" s="13" t="s">
        <v>4123</v>
      </c>
      <c r="C32" s="13" t="s">
        <v>4124</v>
      </c>
      <c r="D32" s="13" t="s">
        <v>4125</v>
      </c>
      <c r="E32" s="13" t="s">
        <v>4126</v>
      </c>
      <c r="F32" s="134" t="str">
        <f t="shared" si="0"/>
        <v/>
      </c>
      <c r="G32" s="134" t="str">
        <f t="shared" si="1"/>
        <v>APPLE RIDGE ASSISTED LIVING AND MEMORY CARE</v>
      </c>
      <c r="H32" s="134"/>
      <c r="I32" s="134"/>
      <c r="J32" s="134"/>
      <c r="K32" s="134"/>
      <c r="L32" s="134"/>
      <c r="M32" s="134"/>
      <c r="N32" s="134"/>
      <c r="O32" s="134"/>
      <c r="P32" s="134"/>
      <c r="Q32" s="134"/>
      <c r="R32" s="134"/>
      <c r="S32" s="134"/>
      <c r="T32" s="134"/>
      <c r="U32" s="134"/>
      <c r="V32" s="134"/>
      <c r="W32" s="134"/>
      <c r="X32" s="134"/>
      <c r="Y32" s="134"/>
      <c r="Z32" s="134"/>
    </row>
    <row r="33" spans="1:26" ht="15.75" customHeight="1">
      <c r="A33" s="13" t="s">
        <v>4127</v>
      </c>
      <c r="B33" s="13" t="s">
        <v>4128</v>
      </c>
      <c r="C33" s="13" t="s">
        <v>1390</v>
      </c>
      <c r="D33" s="13" t="s">
        <v>4129</v>
      </c>
      <c r="E33" s="13" t="s">
        <v>4130</v>
      </c>
      <c r="F33" s="134" t="str">
        <f t="shared" si="0"/>
        <v/>
      </c>
      <c r="G33" s="134" t="str">
        <f t="shared" si="1"/>
        <v>ARBOR GROVE VILLAGE</v>
      </c>
      <c r="H33" s="134"/>
      <c r="I33" s="134"/>
      <c r="J33" s="134"/>
      <c r="K33" s="134"/>
      <c r="L33" s="134"/>
      <c r="M33" s="134"/>
      <c r="N33" s="134"/>
      <c r="O33" s="134"/>
      <c r="P33" s="134"/>
      <c r="Q33" s="134"/>
      <c r="R33" s="134"/>
      <c r="S33" s="134"/>
      <c r="T33" s="134"/>
      <c r="U33" s="134"/>
      <c r="V33" s="134"/>
      <c r="W33" s="134"/>
      <c r="X33" s="134"/>
      <c r="Y33" s="134"/>
      <c r="Z33" s="134"/>
    </row>
    <row r="34" spans="1:26" ht="15.75" customHeight="1">
      <c r="A34" s="13" t="s">
        <v>4131</v>
      </c>
      <c r="B34" s="13" t="s">
        <v>4132</v>
      </c>
      <c r="C34" s="13" t="s">
        <v>1396</v>
      </c>
      <c r="D34" s="13" t="s">
        <v>4133</v>
      </c>
      <c r="E34" s="13" t="s">
        <v>4134</v>
      </c>
      <c r="F34" s="134" t="str">
        <f t="shared" si="0"/>
        <v/>
      </c>
      <c r="G34" s="134" t="str">
        <f t="shared" si="1"/>
        <v>ARBOR TRACE HEALTH &amp; LIVING COMMUNITY</v>
      </c>
      <c r="H34" s="134"/>
      <c r="I34" s="134"/>
      <c r="J34" s="134"/>
      <c r="K34" s="134"/>
      <c r="L34" s="134"/>
      <c r="M34" s="134"/>
      <c r="N34" s="134"/>
      <c r="O34" s="134"/>
      <c r="P34" s="134"/>
      <c r="Q34" s="134"/>
      <c r="R34" s="134"/>
      <c r="S34" s="134"/>
      <c r="T34" s="134"/>
      <c r="U34" s="134"/>
      <c r="V34" s="134"/>
      <c r="W34" s="134"/>
      <c r="X34" s="134"/>
      <c r="Y34" s="134"/>
      <c r="Z34" s="134"/>
    </row>
    <row r="35" spans="1:26" ht="15.75" customHeight="1">
      <c r="A35" s="13" t="s">
        <v>4135</v>
      </c>
      <c r="B35" s="13" t="s">
        <v>4136</v>
      </c>
      <c r="C35" s="13" t="s">
        <v>1400</v>
      </c>
      <c r="D35" s="13" t="s">
        <v>4137</v>
      </c>
      <c r="E35" s="13" t="s">
        <v>4138</v>
      </c>
      <c r="F35" s="134" t="str">
        <f t="shared" si="0"/>
        <v/>
      </c>
      <c r="G35" s="134" t="str">
        <f t="shared" si="1"/>
        <v>ARLINGTON PLACE HEALTH CAMPUS</v>
      </c>
      <c r="H35" s="134"/>
      <c r="I35" s="134"/>
      <c r="J35" s="134"/>
      <c r="K35" s="134"/>
      <c r="L35" s="134"/>
      <c r="M35" s="134"/>
      <c r="N35" s="134"/>
      <c r="O35" s="134"/>
      <c r="P35" s="134"/>
      <c r="Q35" s="134"/>
      <c r="R35" s="134"/>
      <c r="S35" s="134"/>
      <c r="T35" s="134"/>
      <c r="U35" s="134"/>
      <c r="V35" s="134"/>
      <c r="W35" s="134"/>
      <c r="X35" s="134"/>
      <c r="Y35" s="134"/>
      <c r="Z35" s="134"/>
    </row>
    <row r="36" spans="1:26" ht="15.75" customHeight="1">
      <c r="A36" s="13" t="s">
        <v>4139</v>
      </c>
      <c r="B36" s="13" t="s">
        <v>4140</v>
      </c>
      <c r="C36" s="13" t="s">
        <v>1406</v>
      </c>
      <c r="D36" s="13" t="s">
        <v>4141</v>
      </c>
      <c r="E36" s="13" t="s">
        <v>4142</v>
      </c>
      <c r="F36" s="134" t="str">
        <f t="shared" si="0"/>
        <v/>
      </c>
      <c r="G36" s="134" t="str">
        <f t="shared" si="1"/>
        <v>ASBURY TOWERS HEALTH CARE CENTER</v>
      </c>
      <c r="H36" s="134"/>
      <c r="I36" s="134"/>
      <c r="J36" s="134"/>
      <c r="K36" s="134"/>
      <c r="L36" s="134"/>
      <c r="M36" s="134"/>
      <c r="N36" s="134"/>
      <c r="O36" s="134"/>
      <c r="P36" s="134"/>
      <c r="Q36" s="134"/>
      <c r="R36" s="134"/>
      <c r="S36" s="134"/>
      <c r="T36" s="134"/>
      <c r="U36" s="134"/>
      <c r="V36" s="134"/>
      <c r="W36" s="134"/>
      <c r="X36" s="134"/>
      <c r="Y36" s="134"/>
      <c r="Z36" s="134"/>
    </row>
    <row r="37" spans="1:26" ht="15.75" customHeight="1">
      <c r="A37" s="13" t="s">
        <v>4143</v>
      </c>
      <c r="B37" s="13" t="s">
        <v>4144</v>
      </c>
      <c r="C37" s="13" t="s">
        <v>1411</v>
      </c>
      <c r="D37" s="13" t="s">
        <v>4145</v>
      </c>
      <c r="E37" s="13" t="s">
        <v>4146</v>
      </c>
      <c r="F37" s="134" t="str">
        <f t="shared" si="0"/>
        <v/>
      </c>
      <c r="G37" s="134" t="str">
        <f t="shared" si="1"/>
        <v>ASHFORD PLACE HEALTH CAMPUS</v>
      </c>
      <c r="H37" s="134"/>
      <c r="I37" s="134"/>
      <c r="J37" s="134"/>
      <c r="K37" s="134"/>
      <c r="L37" s="134"/>
      <c r="M37" s="134"/>
      <c r="N37" s="134"/>
      <c r="O37" s="134"/>
      <c r="P37" s="134"/>
      <c r="Q37" s="134"/>
      <c r="R37" s="134"/>
      <c r="S37" s="134"/>
      <c r="T37" s="134"/>
      <c r="U37" s="134"/>
      <c r="V37" s="134"/>
      <c r="W37" s="134"/>
      <c r="X37" s="134"/>
      <c r="Y37" s="134"/>
      <c r="Z37" s="134"/>
    </row>
    <row r="38" spans="1:26" ht="15.75" customHeight="1">
      <c r="A38" s="13" t="s">
        <v>4147</v>
      </c>
      <c r="B38" s="13" t="s">
        <v>4148</v>
      </c>
      <c r="C38" s="13" t="s">
        <v>4149</v>
      </c>
      <c r="D38" s="13" t="s">
        <v>4150</v>
      </c>
      <c r="E38" s="13" t="s">
        <v>4151</v>
      </c>
      <c r="F38" s="134" t="str">
        <f t="shared" si="0"/>
        <v/>
      </c>
      <c r="G38" s="134" t="str">
        <f t="shared" si="1"/>
        <v>ASHTON CREEK HEALTH AND REHABILITATION CENTER</v>
      </c>
      <c r="H38" s="134"/>
      <c r="I38" s="134"/>
      <c r="J38" s="134"/>
      <c r="K38" s="134"/>
      <c r="L38" s="134"/>
      <c r="M38" s="134"/>
      <c r="N38" s="134"/>
      <c r="O38" s="134"/>
      <c r="P38" s="134"/>
      <c r="Q38" s="134"/>
      <c r="R38" s="134"/>
      <c r="S38" s="134"/>
      <c r="T38" s="134"/>
      <c r="U38" s="134"/>
      <c r="V38" s="134"/>
      <c r="W38" s="134"/>
      <c r="X38" s="134"/>
      <c r="Y38" s="134"/>
      <c r="Z38" s="134"/>
    </row>
    <row r="39" spans="1:26" ht="15.75" customHeight="1">
      <c r="A39" s="13" t="s">
        <v>4152</v>
      </c>
      <c r="B39" s="13" t="s">
        <v>4153</v>
      </c>
      <c r="C39" s="13" t="s">
        <v>1416</v>
      </c>
      <c r="D39" s="13" t="s">
        <v>4154</v>
      </c>
      <c r="E39" s="13" t="s">
        <v>4130</v>
      </c>
      <c r="F39" s="134" t="str">
        <f t="shared" si="0"/>
        <v/>
      </c>
      <c r="G39" s="134" t="str">
        <f t="shared" si="1"/>
        <v>ASPEN PLACE HEALTH CAMPUS</v>
      </c>
      <c r="H39" s="134"/>
      <c r="I39" s="134"/>
      <c r="J39" s="134"/>
      <c r="K39" s="134"/>
      <c r="L39" s="134"/>
      <c r="M39" s="134"/>
      <c r="N39" s="134"/>
      <c r="O39" s="134"/>
      <c r="P39" s="134"/>
      <c r="Q39" s="134"/>
      <c r="R39" s="134"/>
      <c r="S39" s="134"/>
      <c r="T39" s="134"/>
      <c r="U39" s="134"/>
      <c r="V39" s="134"/>
      <c r="W39" s="134"/>
      <c r="X39" s="134"/>
      <c r="Y39" s="134"/>
      <c r="Z39" s="134"/>
    </row>
    <row r="40" spans="1:26" ht="15.75" customHeight="1">
      <c r="A40" s="13" t="s">
        <v>4155</v>
      </c>
      <c r="B40" s="13" t="s">
        <v>4156</v>
      </c>
      <c r="C40" s="13" t="s">
        <v>4157</v>
      </c>
      <c r="D40" s="13" t="s">
        <v>4158</v>
      </c>
      <c r="E40" s="13" t="s">
        <v>4159</v>
      </c>
      <c r="F40" s="134" t="str">
        <f t="shared" si="0"/>
        <v/>
      </c>
      <c r="G40" s="134" t="str">
        <f t="shared" si="1"/>
        <v>ASPEN TRACE HEALTH &amp; LIVING COMMUNITY</v>
      </c>
      <c r="H40" s="134"/>
      <c r="I40" s="134"/>
      <c r="J40" s="134"/>
      <c r="K40" s="134"/>
      <c r="L40" s="134"/>
      <c r="M40" s="134"/>
      <c r="N40" s="134"/>
      <c r="O40" s="134"/>
      <c r="P40" s="134"/>
      <c r="Q40" s="134"/>
      <c r="R40" s="134"/>
      <c r="S40" s="134"/>
      <c r="T40" s="134"/>
      <c r="U40" s="134"/>
      <c r="V40" s="134"/>
      <c r="W40" s="134"/>
      <c r="X40" s="134"/>
      <c r="Y40" s="134"/>
      <c r="Z40" s="134"/>
    </row>
    <row r="41" spans="1:26" ht="15.75" hidden="1" customHeight="1">
      <c r="A41" s="13" t="s">
        <v>4160</v>
      </c>
      <c r="B41" s="13" t="s">
        <v>4161</v>
      </c>
      <c r="C41" s="13" t="s">
        <v>4162</v>
      </c>
      <c r="D41" s="13" t="s">
        <v>4163</v>
      </c>
      <c r="E41" s="13" t="s">
        <v>4164</v>
      </c>
      <c r="F41" s="134" t="str">
        <f t="shared" si="0"/>
        <v/>
      </c>
      <c r="G41" s="134" t="str">
        <f t="shared" si="1"/>
        <v>ASSISTED LIVING AT HARTSFIELD VILLAGE</v>
      </c>
      <c r="H41" s="134"/>
      <c r="I41" s="134"/>
      <c r="J41" s="134"/>
      <c r="K41" s="134"/>
      <c r="L41" s="134"/>
      <c r="M41" s="134"/>
      <c r="N41" s="134"/>
      <c r="O41" s="134"/>
      <c r="P41" s="134"/>
      <c r="Q41" s="134"/>
      <c r="R41" s="134"/>
      <c r="S41" s="134"/>
      <c r="T41" s="134"/>
      <c r="U41" s="134"/>
      <c r="V41" s="134"/>
      <c r="W41" s="134"/>
      <c r="X41" s="134"/>
      <c r="Y41" s="134"/>
      <c r="Z41" s="134"/>
    </row>
    <row r="42" spans="1:26" ht="15.75" customHeight="1">
      <c r="A42" s="13" t="s">
        <v>4165</v>
      </c>
      <c r="B42" s="13" t="s">
        <v>4166</v>
      </c>
      <c r="C42" s="13" t="s">
        <v>4167</v>
      </c>
      <c r="D42" s="13" t="s">
        <v>4168</v>
      </c>
      <c r="E42" s="13" t="s">
        <v>4169</v>
      </c>
      <c r="F42" s="134" t="str">
        <f t="shared" si="0"/>
        <v/>
      </c>
      <c r="G42" s="134" t="str">
        <f t="shared" si="1"/>
        <v>ASSISTED LIVING AT ROMWEBER FLATS</v>
      </c>
      <c r="H42" s="134"/>
      <c r="I42" s="134"/>
      <c r="J42" s="134"/>
      <c r="K42" s="134"/>
      <c r="L42" s="134"/>
      <c r="M42" s="134"/>
      <c r="N42" s="134"/>
      <c r="O42" s="134"/>
      <c r="P42" s="134"/>
      <c r="Q42" s="134"/>
      <c r="R42" s="134"/>
      <c r="S42" s="134"/>
      <c r="T42" s="134"/>
      <c r="U42" s="134"/>
      <c r="V42" s="134"/>
      <c r="W42" s="134"/>
      <c r="X42" s="134"/>
      <c r="Y42" s="134"/>
      <c r="Z42" s="134"/>
    </row>
    <row r="43" spans="1:26" ht="15.75" hidden="1" customHeight="1">
      <c r="A43" s="13" t="s">
        <v>4170</v>
      </c>
      <c r="B43" s="13" t="s">
        <v>4171</v>
      </c>
      <c r="C43" s="13" t="s">
        <v>4172</v>
      </c>
      <c r="D43" s="13" t="s">
        <v>4173</v>
      </c>
      <c r="E43" s="13" t="s">
        <v>4174</v>
      </c>
      <c r="F43" s="134" t="str">
        <f t="shared" si="0"/>
        <v/>
      </c>
      <c r="G43" s="134" t="str">
        <f t="shared" si="1"/>
        <v>ASTER PLACE</v>
      </c>
      <c r="H43" s="134"/>
      <c r="I43" s="134"/>
      <c r="J43" s="134"/>
      <c r="K43" s="134"/>
      <c r="L43" s="134"/>
      <c r="M43" s="134"/>
      <c r="N43" s="134"/>
      <c r="O43" s="134"/>
      <c r="P43" s="134"/>
      <c r="Q43" s="134"/>
      <c r="R43" s="134"/>
      <c r="S43" s="134"/>
      <c r="T43" s="134"/>
      <c r="U43" s="134"/>
      <c r="V43" s="134"/>
      <c r="W43" s="134"/>
      <c r="X43" s="134"/>
      <c r="Y43" s="134"/>
      <c r="Z43" s="134"/>
    </row>
    <row r="44" spans="1:26" ht="15.75" customHeight="1">
      <c r="A44" s="13" t="s">
        <v>4175</v>
      </c>
      <c r="B44" s="13" t="s">
        <v>4176</v>
      </c>
      <c r="C44" s="13" t="s">
        <v>1432</v>
      </c>
      <c r="D44" s="13" t="s">
        <v>4177</v>
      </c>
      <c r="E44" s="13" t="s">
        <v>4178</v>
      </c>
      <c r="F44" s="134" t="str">
        <f t="shared" si="0"/>
        <v/>
      </c>
      <c r="G44" s="134" t="str">
        <f t="shared" si="1"/>
        <v>AUBURN VILLAGE</v>
      </c>
      <c r="H44" s="134"/>
      <c r="I44" s="134"/>
      <c r="J44" s="134"/>
      <c r="K44" s="134"/>
      <c r="L44" s="134"/>
      <c r="M44" s="134"/>
      <c r="N44" s="134"/>
      <c r="O44" s="134"/>
      <c r="P44" s="134"/>
      <c r="Q44" s="134"/>
      <c r="R44" s="134"/>
      <c r="S44" s="134"/>
      <c r="T44" s="134"/>
      <c r="U44" s="134"/>
      <c r="V44" s="134"/>
      <c r="W44" s="134"/>
      <c r="X44" s="134"/>
      <c r="Y44" s="134"/>
      <c r="Z44" s="134"/>
    </row>
    <row r="45" spans="1:26" ht="15.75" customHeight="1">
      <c r="A45" s="13" t="s">
        <v>4179</v>
      </c>
      <c r="B45" s="13" t="s">
        <v>4180</v>
      </c>
      <c r="C45" s="13" t="s">
        <v>4181</v>
      </c>
      <c r="D45" s="13" t="s">
        <v>4182</v>
      </c>
      <c r="E45" s="13" t="s">
        <v>4142</v>
      </c>
      <c r="F45" s="134" t="str">
        <f t="shared" si="0"/>
        <v/>
      </c>
      <c r="G45" s="134" t="str">
        <f t="shared" si="1"/>
        <v>AUTUMN GLEN</v>
      </c>
      <c r="H45" s="134"/>
      <c r="I45" s="134"/>
      <c r="J45" s="134"/>
      <c r="K45" s="134"/>
      <c r="L45" s="134"/>
      <c r="M45" s="134"/>
      <c r="N45" s="134"/>
      <c r="O45" s="134"/>
      <c r="P45" s="134"/>
      <c r="Q45" s="134"/>
      <c r="R45" s="134"/>
      <c r="S45" s="134"/>
      <c r="T45" s="134"/>
      <c r="U45" s="134"/>
      <c r="V45" s="134"/>
      <c r="W45" s="134"/>
      <c r="X45" s="134"/>
      <c r="Y45" s="134"/>
      <c r="Z45" s="134"/>
    </row>
    <row r="46" spans="1:26" ht="15.75" hidden="1" customHeight="1">
      <c r="A46" s="13" t="s">
        <v>4183</v>
      </c>
      <c r="B46" s="13" t="s">
        <v>4184</v>
      </c>
      <c r="C46" s="13" t="s">
        <v>4185</v>
      </c>
      <c r="D46" s="13" t="s">
        <v>4186</v>
      </c>
      <c r="E46" s="13" t="s">
        <v>4187</v>
      </c>
      <c r="F46" s="134" t="str">
        <f t="shared" si="0"/>
        <v/>
      </c>
      <c r="G46" s="134" t="str">
        <f t="shared" si="1"/>
        <v>AUTUMN HILLS ALZHEIMER'S SPECIAL CARE CENTER</v>
      </c>
      <c r="H46" s="134"/>
      <c r="I46" s="134"/>
      <c r="J46" s="134"/>
      <c r="K46" s="134"/>
      <c r="L46" s="134"/>
      <c r="M46" s="134"/>
      <c r="N46" s="134"/>
      <c r="O46" s="134"/>
      <c r="P46" s="134"/>
      <c r="Q46" s="134"/>
      <c r="R46" s="134"/>
      <c r="S46" s="134"/>
      <c r="T46" s="134"/>
      <c r="U46" s="134"/>
      <c r="V46" s="134"/>
      <c r="W46" s="134"/>
      <c r="X46" s="134"/>
      <c r="Y46" s="134"/>
      <c r="Z46" s="134"/>
    </row>
    <row r="47" spans="1:26" ht="15.75" customHeight="1">
      <c r="A47" s="13" t="s">
        <v>4188</v>
      </c>
      <c r="B47" s="13" t="s">
        <v>4189</v>
      </c>
      <c r="C47" s="13" t="s">
        <v>1437</v>
      </c>
      <c r="D47" s="13" t="s">
        <v>4190</v>
      </c>
      <c r="E47" s="13" t="s">
        <v>4191</v>
      </c>
      <c r="F47" s="134" t="str">
        <f t="shared" si="0"/>
        <v/>
      </c>
      <c r="G47" s="134" t="str">
        <f t="shared" si="1"/>
        <v>AUTUMN RIDGE REHABILITATION CENTRE</v>
      </c>
      <c r="H47" s="134"/>
      <c r="I47" s="134"/>
      <c r="J47" s="134"/>
      <c r="K47" s="134"/>
      <c r="L47" s="134"/>
      <c r="M47" s="134"/>
      <c r="N47" s="134"/>
      <c r="O47" s="134"/>
      <c r="P47" s="134"/>
      <c r="Q47" s="134"/>
      <c r="R47" s="134"/>
      <c r="S47" s="134"/>
      <c r="T47" s="134"/>
      <c r="U47" s="134"/>
      <c r="V47" s="134"/>
      <c r="W47" s="134"/>
      <c r="X47" s="134"/>
      <c r="Y47" s="134"/>
      <c r="Z47" s="134"/>
    </row>
    <row r="48" spans="1:26" ht="15.75" customHeight="1">
      <c r="A48" s="13" t="s">
        <v>4192</v>
      </c>
      <c r="B48" s="13" t="s">
        <v>4193</v>
      </c>
      <c r="C48" s="13" t="s">
        <v>1443</v>
      </c>
      <c r="D48" s="13" t="s">
        <v>4194</v>
      </c>
      <c r="E48" s="13" t="s">
        <v>4195</v>
      </c>
      <c r="F48" s="134" t="str">
        <f t="shared" si="0"/>
        <v/>
      </c>
      <c r="G48" s="134" t="str">
        <f t="shared" si="1"/>
        <v>AUTUMN WOODS HEALTH CAMPUS</v>
      </c>
      <c r="H48" s="134"/>
      <c r="I48" s="134"/>
      <c r="J48" s="134"/>
      <c r="K48" s="134"/>
      <c r="L48" s="134"/>
      <c r="M48" s="134"/>
      <c r="N48" s="134"/>
      <c r="O48" s="134"/>
      <c r="P48" s="134"/>
      <c r="Q48" s="134"/>
      <c r="R48" s="134"/>
      <c r="S48" s="134"/>
      <c r="T48" s="134"/>
      <c r="U48" s="134"/>
      <c r="V48" s="134"/>
      <c r="W48" s="134"/>
      <c r="X48" s="134"/>
      <c r="Y48" s="134"/>
      <c r="Z48" s="134"/>
    </row>
    <row r="49" spans="1:26" ht="15.75" customHeight="1">
      <c r="A49" s="13" t="s">
        <v>4196</v>
      </c>
      <c r="B49" s="13" t="s">
        <v>4197</v>
      </c>
      <c r="C49" s="13" t="s">
        <v>1448</v>
      </c>
      <c r="D49" s="13" t="s">
        <v>4198</v>
      </c>
      <c r="E49" s="13" t="s">
        <v>4199</v>
      </c>
      <c r="F49" s="134" t="str">
        <f t="shared" si="0"/>
        <v/>
      </c>
      <c r="G49" s="134" t="str">
        <f t="shared" si="1"/>
        <v>AVALON SPRINGS HEALTH CAMPUS</v>
      </c>
      <c r="H49" s="134"/>
      <c r="I49" s="134"/>
      <c r="J49" s="134"/>
      <c r="K49" s="134"/>
      <c r="L49" s="134"/>
      <c r="M49" s="134"/>
      <c r="N49" s="134"/>
      <c r="O49" s="134"/>
      <c r="P49" s="134"/>
      <c r="Q49" s="134"/>
      <c r="R49" s="134"/>
      <c r="S49" s="134"/>
      <c r="T49" s="134"/>
      <c r="U49" s="134"/>
      <c r="V49" s="134"/>
      <c r="W49" s="134"/>
      <c r="X49" s="134"/>
      <c r="Y49" s="134"/>
      <c r="Z49" s="134"/>
    </row>
    <row r="50" spans="1:26" ht="15.75" customHeight="1">
      <c r="A50" s="13" t="s">
        <v>4200</v>
      </c>
      <c r="B50" s="13" t="s">
        <v>4201</v>
      </c>
      <c r="C50" s="13" t="s">
        <v>1454</v>
      </c>
      <c r="D50" s="13" t="s">
        <v>4202</v>
      </c>
      <c r="E50" s="13" t="s">
        <v>4203</v>
      </c>
      <c r="F50" s="134" t="str">
        <f t="shared" si="0"/>
        <v/>
      </c>
      <c r="G50" s="134" t="str">
        <f t="shared" si="1"/>
        <v>AVALON VILLAGE</v>
      </c>
      <c r="H50" s="134"/>
      <c r="I50" s="134"/>
      <c r="J50" s="134"/>
      <c r="K50" s="134"/>
      <c r="L50" s="134"/>
      <c r="M50" s="134"/>
      <c r="N50" s="134"/>
      <c r="O50" s="134"/>
      <c r="P50" s="134"/>
      <c r="Q50" s="134"/>
      <c r="R50" s="134"/>
      <c r="S50" s="134"/>
      <c r="T50" s="134"/>
      <c r="U50" s="134"/>
      <c r="V50" s="134"/>
      <c r="W50" s="134"/>
      <c r="X50" s="134"/>
      <c r="Y50" s="134"/>
      <c r="Z50" s="134"/>
    </row>
    <row r="51" spans="1:26" ht="15.75" customHeight="1">
      <c r="A51" s="13" t="s">
        <v>4204</v>
      </c>
      <c r="B51" s="13" t="s">
        <v>4205</v>
      </c>
      <c r="C51" s="13" t="s">
        <v>1459</v>
      </c>
      <c r="D51" s="13" t="s">
        <v>4206</v>
      </c>
      <c r="E51" s="13" t="s">
        <v>4207</v>
      </c>
      <c r="F51" s="134" t="str">
        <f t="shared" si="0"/>
        <v/>
      </c>
      <c r="G51" s="134" t="str">
        <f t="shared" si="1"/>
        <v>AVON HEALTH &amp; REHABILITATION CENTER</v>
      </c>
      <c r="H51" s="134"/>
      <c r="I51" s="134"/>
      <c r="J51" s="134"/>
      <c r="K51" s="134"/>
      <c r="L51" s="134"/>
      <c r="M51" s="134"/>
      <c r="N51" s="134"/>
      <c r="O51" s="134"/>
      <c r="P51" s="134"/>
      <c r="Q51" s="134"/>
      <c r="R51" s="134"/>
      <c r="S51" s="134"/>
      <c r="T51" s="134"/>
      <c r="U51" s="134"/>
      <c r="V51" s="134"/>
      <c r="W51" s="134"/>
      <c r="X51" s="134"/>
      <c r="Y51" s="134"/>
      <c r="Z51" s="134"/>
    </row>
    <row r="52" spans="1:26" ht="15.75" customHeight="1">
      <c r="A52" s="13" t="s">
        <v>4208</v>
      </c>
      <c r="B52" s="13" t="s">
        <v>4209</v>
      </c>
      <c r="C52" s="13" t="s">
        <v>4210</v>
      </c>
      <c r="D52" s="13" t="s">
        <v>4211</v>
      </c>
      <c r="E52" s="13" t="s">
        <v>4212</v>
      </c>
      <c r="F52" s="134" t="str">
        <f t="shared" si="0"/>
        <v/>
      </c>
      <c r="G52" s="134" t="str">
        <f t="shared" si="1"/>
        <v>AZALEA HILLS</v>
      </c>
      <c r="H52" s="134"/>
      <c r="I52" s="134"/>
      <c r="J52" s="134"/>
      <c r="K52" s="134"/>
      <c r="L52" s="134"/>
      <c r="M52" s="134"/>
      <c r="N52" s="134"/>
      <c r="O52" s="134"/>
      <c r="P52" s="134"/>
      <c r="Q52" s="134"/>
      <c r="R52" s="134"/>
      <c r="S52" s="134"/>
      <c r="T52" s="134"/>
      <c r="U52" s="134"/>
      <c r="V52" s="134"/>
      <c r="W52" s="134"/>
      <c r="X52" s="134"/>
      <c r="Y52" s="134"/>
      <c r="Z52" s="134"/>
    </row>
    <row r="53" spans="1:26" ht="15.75" customHeight="1">
      <c r="A53" s="13" t="s">
        <v>4213</v>
      </c>
      <c r="B53" s="13" t="s">
        <v>4214</v>
      </c>
      <c r="C53" s="13" t="s">
        <v>1467</v>
      </c>
      <c r="D53" s="13" t="s">
        <v>4215</v>
      </c>
      <c r="E53" s="13" t="s">
        <v>4216</v>
      </c>
      <c r="F53" s="134" t="str">
        <f t="shared" si="0"/>
        <v/>
      </c>
      <c r="G53" s="134" t="str">
        <f t="shared" si="1"/>
        <v>BARRINGTON OF CARMEL, THE</v>
      </c>
      <c r="H53" s="134"/>
      <c r="I53" s="134"/>
      <c r="J53" s="134"/>
      <c r="K53" s="134"/>
      <c r="L53" s="134"/>
      <c r="M53" s="134"/>
      <c r="N53" s="134"/>
      <c r="O53" s="134"/>
      <c r="P53" s="134"/>
      <c r="Q53" s="134"/>
      <c r="R53" s="134"/>
      <c r="S53" s="134"/>
      <c r="T53" s="134"/>
      <c r="U53" s="134"/>
      <c r="V53" s="134"/>
      <c r="W53" s="134"/>
      <c r="X53" s="134"/>
      <c r="Y53" s="134"/>
      <c r="Z53" s="134"/>
    </row>
    <row r="54" spans="1:26" ht="15.75" customHeight="1">
      <c r="A54" s="13" t="s">
        <v>4217</v>
      </c>
      <c r="B54" s="13" t="s">
        <v>4218</v>
      </c>
      <c r="C54" s="13" t="s">
        <v>1472</v>
      </c>
      <c r="D54" s="13" t="s">
        <v>4219</v>
      </c>
      <c r="E54" s="13" t="s">
        <v>4220</v>
      </c>
      <c r="F54" s="134" t="str">
        <f t="shared" si="0"/>
        <v/>
      </c>
      <c r="G54" s="134" t="str">
        <f t="shared" si="1"/>
        <v>BEECH GROVE MEADOWS</v>
      </c>
      <c r="H54" s="134"/>
      <c r="I54" s="134"/>
      <c r="J54" s="134"/>
      <c r="K54" s="134"/>
      <c r="L54" s="134"/>
      <c r="M54" s="134"/>
      <c r="N54" s="134"/>
      <c r="O54" s="134"/>
      <c r="P54" s="134"/>
      <c r="Q54" s="134"/>
      <c r="R54" s="134"/>
      <c r="S54" s="134"/>
      <c r="T54" s="134"/>
      <c r="U54" s="134"/>
      <c r="V54" s="134"/>
      <c r="W54" s="134"/>
      <c r="X54" s="134"/>
      <c r="Y54" s="134"/>
      <c r="Z54" s="134"/>
    </row>
    <row r="55" spans="1:26" ht="15.75" customHeight="1">
      <c r="A55" s="13" t="s">
        <v>4221</v>
      </c>
      <c r="B55" s="13" t="s">
        <v>4222</v>
      </c>
      <c r="C55" s="13" t="s">
        <v>4223</v>
      </c>
      <c r="D55" s="13" t="s">
        <v>4224</v>
      </c>
      <c r="E55" s="13" t="s">
        <v>4225</v>
      </c>
      <c r="F55" s="134" t="str">
        <f t="shared" si="0"/>
        <v/>
      </c>
      <c r="G55" s="134" t="str">
        <f t="shared" si="1"/>
        <v>BELL OAKS PLACE</v>
      </c>
      <c r="H55" s="134"/>
      <c r="I55" s="134"/>
      <c r="J55" s="134"/>
      <c r="K55" s="134"/>
      <c r="L55" s="134"/>
      <c r="M55" s="134"/>
      <c r="N55" s="134"/>
      <c r="O55" s="134"/>
      <c r="P55" s="134"/>
      <c r="Q55" s="134"/>
      <c r="R55" s="134"/>
      <c r="S55" s="134"/>
      <c r="T55" s="134"/>
      <c r="U55" s="134"/>
      <c r="V55" s="134"/>
      <c r="W55" s="134"/>
      <c r="X55" s="134"/>
      <c r="Y55" s="134"/>
      <c r="Z55" s="134"/>
    </row>
    <row r="56" spans="1:26" ht="15.75" customHeight="1">
      <c r="A56" s="13" t="s">
        <v>4226</v>
      </c>
      <c r="B56" s="13" t="s">
        <v>4227</v>
      </c>
      <c r="C56" s="13" t="s">
        <v>4228</v>
      </c>
      <c r="D56" s="13" t="s">
        <v>4229</v>
      </c>
      <c r="E56" s="13" t="s">
        <v>4230</v>
      </c>
      <c r="F56" s="134" t="str">
        <f t="shared" si="0"/>
        <v/>
      </c>
      <c r="G56" s="134" t="str">
        <f t="shared" si="1"/>
        <v>BELL TRACE HEALTH AND LIVING CENTER</v>
      </c>
      <c r="H56" s="134"/>
      <c r="I56" s="134"/>
      <c r="J56" s="134"/>
      <c r="K56" s="134"/>
      <c r="L56" s="134"/>
      <c r="M56" s="134"/>
      <c r="N56" s="134"/>
      <c r="O56" s="134"/>
      <c r="P56" s="134"/>
      <c r="Q56" s="134"/>
      <c r="R56" s="134"/>
      <c r="S56" s="134"/>
      <c r="T56" s="134"/>
      <c r="U56" s="134"/>
      <c r="V56" s="134"/>
      <c r="W56" s="134"/>
      <c r="X56" s="134"/>
      <c r="Y56" s="134"/>
      <c r="Z56" s="134"/>
    </row>
    <row r="57" spans="1:26" ht="15.75" customHeight="1">
      <c r="A57" s="13" t="s">
        <v>4231</v>
      </c>
      <c r="B57" s="13" t="s">
        <v>4232</v>
      </c>
      <c r="C57" s="13" t="s">
        <v>1482</v>
      </c>
      <c r="D57" s="13" t="s">
        <v>4233</v>
      </c>
      <c r="E57" s="13" t="s">
        <v>4234</v>
      </c>
      <c r="F57" s="134" t="str">
        <f t="shared" si="0"/>
        <v/>
      </c>
      <c r="G57" s="134" t="str">
        <f t="shared" si="1"/>
        <v>BELLTOWER HEALTH &amp; REHABILITATION CENTER</v>
      </c>
      <c r="H57" s="134"/>
      <c r="I57" s="134"/>
      <c r="J57" s="134"/>
      <c r="K57" s="134"/>
      <c r="L57" s="134"/>
      <c r="M57" s="134"/>
      <c r="N57" s="134"/>
      <c r="O57" s="134"/>
      <c r="P57" s="134"/>
      <c r="Q57" s="134"/>
      <c r="R57" s="134"/>
      <c r="S57" s="134"/>
      <c r="T57" s="134"/>
      <c r="U57" s="134"/>
      <c r="V57" s="134"/>
      <c r="W57" s="134"/>
      <c r="X57" s="134"/>
      <c r="Y57" s="134"/>
      <c r="Z57" s="134"/>
    </row>
    <row r="58" spans="1:26" ht="15.75" customHeight="1">
      <c r="A58" s="13" t="s">
        <v>4235</v>
      </c>
      <c r="B58" s="13" t="s">
        <v>4236</v>
      </c>
      <c r="C58" s="13" t="s">
        <v>4237</v>
      </c>
      <c r="D58" s="13" t="s">
        <v>4238</v>
      </c>
      <c r="E58" s="13" t="s">
        <v>4239</v>
      </c>
      <c r="F58" s="134" t="str">
        <f t="shared" si="0"/>
        <v/>
      </c>
      <c r="G58" s="134" t="str">
        <f t="shared" si="1"/>
        <v>BELVEDERE SENIOR HOUSING</v>
      </c>
      <c r="H58" s="134"/>
      <c r="I58" s="134"/>
      <c r="J58" s="134"/>
      <c r="K58" s="134"/>
      <c r="L58" s="134"/>
      <c r="M58" s="134"/>
      <c r="N58" s="134"/>
      <c r="O58" s="134"/>
      <c r="P58" s="134"/>
      <c r="Q58" s="134"/>
      <c r="R58" s="134"/>
      <c r="S58" s="134"/>
      <c r="T58" s="134"/>
      <c r="U58" s="134"/>
      <c r="V58" s="134"/>
      <c r="W58" s="134"/>
      <c r="X58" s="134"/>
      <c r="Y58" s="134"/>
      <c r="Z58" s="134"/>
    </row>
    <row r="59" spans="1:26" ht="15.75" customHeight="1">
      <c r="A59" s="13" t="s">
        <v>4240</v>
      </c>
      <c r="B59" s="13" t="s">
        <v>4241</v>
      </c>
      <c r="C59" s="13" t="s">
        <v>1488</v>
      </c>
      <c r="D59" s="13" t="s">
        <v>4242</v>
      </c>
      <c r="E59" s="13" t="s">
        <v>4243</v>
      </c>
      <c r="F59" s="134" t="str">
        <f t="shared" si="0"/>
        <v/>
      </c>
      <c r="G59" s="134" t="str">
        <f t="shared" si="1"/>
        <v>BEN HUR HEALTH AND REHABILITATION</v>
      </c>
      <c r="H59" s="134"/>
      <c r="I59" s="134"/>
      <c r="J59" s="134"/>
      <c r="K59" s="134"/>
      <c r="L59" s="134"/>
      <c r="M59" s="134"/>
      <c r="N59" s="134"/>
      <c r="O59" s="134"/>
      <c r="P59" s="134"/>
      <c r="Q59" s="134"/>
      <c r="R59" s="134"/>
      <c r="S59" s="134"/>
      <c r="T59" s="134"/>
      <c r="U59" s="134"/>
      <c r="V59" s="134"/>
      <c r="W59" s="134"/>
      <c r="X59" s="134"/>
      <c r="Y59" s="134"/>
      <c r="Z59" s="134"/>
    </row>
    <row r="60" spans="1:26" ht="15.75" customHeight="1">
      <c r="A60" s="13" t="s">
        <v>4244</v>
      </c>
      <c r="B60" s="13" t="s">
        <v>4245</v>
      </c>
      <c r="C60" s="13" t="s">
        <v>4246</v>
      </c>
      <c r="D60" s="13" t="s">
        <v>4247</v>
      </c>
      <c r="E60" s="13" t="s">
        <v>4195</v>
      </c>
      <c r="F60" s="134" t="str">
        <f t="shared" si="0"/>
        <v/>
      </c>
      <c r="G60" s="134" t="str">
        <f t="shared" si="1"/>
        <v>BENNETT PLACE</v>
      </c>
      <c r="H60" s="134"/>
      <c r="I60" s="134"/>
      <c r="J60" s="134"/>
      <c r="K60" s="134"/>
      <c r="L60" s="134"/>
      <c r="M60" s="134"/>
      <c r="N60" s="134"/>
      <c r="O60" s="134"/>
      <c r="P60" s="134"/>
      <c r="Q60" s="134"/>
      <c r="R60" s="134"/>
      <c r="S60" s="134"/>
      <c r="T60" s="134"/>
      <c r="U60" s="134"/>
      <c r="V60" s="134"/>
      <c r="W60" s="134"/>
      <c r="X60" s="134"/>
      <c r="Y60" s="134"/>
      <c r="Z60" s="134"/>
    </row>
    <row r="61" spans="1:26" ht="15.75" customHeight="1">
      <c r="A61" s="13" t="s">
        <v>4248</v>
      </c>
      <c r="B61" s="13" t="s">
        <v>4249</v>
      </c>
      <c r="C61" s="13" t="s">
        <v>1494</v>
      </c>
      <c r="D61" s="13" t="s">
        <v>4250</v>
      </c>
      <c r="E61" s="13" t="s">
        <v>4251</v>
      </c>
      <c r="F61" s="134" t="str">
        <f t="shared" si="0"/>
        <v/>
      </c>
      <c r="G61" s="134" t="str">
        <f t="shared" si="1"/>
        <v>BERTHA D GARTEN KETCHAM MEMORIAL CENTER</v>
      </c>
      <c r="H61" s="134"/>
      <c r="I61" s="134"/>
      <c r="J61" s="134"/>
      <c r="K61" s="134"/>
      <c r="L61" s="134"/>
      <c r="M61" s="134"/>
      <c r="N61" s="134"/>
      <c r="O61" s="134"/>
      <c r="P61" s="134"/>
      <c r="Q61" s="134"/>
      <c r="R61" s="134"/>
      <c r="S61" s="134"/>
      <c r="T61" s="134"/>
      <c r="U61" s="134"/>
      <c r="V61" s="134"/>
      <c r="W61" s="134"/>
      <c r="X61" s="134"/>
      <c r="Y61" s="134"/>
      <c r="Z61" s="134"/>
    </row>
    <row r="62" spans="1:26" ht="15.75" customHeight="1">
      <c r="A62" s="13" t="s">
        <v>4252</v>
      </c>
      <c r="B62" s="13" t="s">
        <v>4253</v>
      </c>
      <c r="C62" s="13" t="s">
        <v>1499</v>
      </c>
      <c r="D62" s="13" t="s">
        <v>4254</v>
      </c>
      <c r="E62" s="13" t="s">
        <v>4255</v>
      </c>
      <c r="F62" s="134" t="str">
        <f t="shared" si="0"/>
        <v/>
      </c>
      <c r="G62" s="134" t="str">
        <f t="shared" si="1"/>
        <v>BETHANY POINTE HEALTH CAMPUS</v>
      </c>
      <c r="H62" s="134"/>
      <c r="I62" s="134"/>
      <c r="J62" s="134"/>
      <c r="K62" s="134"/>
      <c r="L62" s="134"/>
      <c r="M62" s="134"/>
      <c r="N62" s="134"/>
      <c r="O62" s="134"/>
      <c r="P62" s="134"/>
      <c r="Q62" s="134"/>
      <c r="R62" s="134"/>
      <c r="S62" s="134"/>
      <c r="T62" s="134"/>
      <c r="U62" s="134"/>
      <c r="V62" s="134"/>
      <c r="W62" s="134"/>
      <c r="X62" s="134"/>
      <c r="Y62" s="134"/>
      <c r="Z62" s="134"/>
    </row>
    <row r="63" spans="1:26" ht="15.75" customHeight="1">
      <c r="A63" s="13" t="s">
        <v>4256</v>
      </c>
      <c r="B63" s="13" t="s">
        <v>4257</v>
      </c>
      <c r="C63" s="13" t="s">
        <v>1503</v>
      </c>
      <c r="D63" s="13" t="s">
        <v>4258</v>
      </c>
      <c r="E63" s="13" t="s">
        <v>4259</v>
      </c>
      <c r="F63" s="134" t="str">
        <f t="shared" si="0"/>
        <v/>
      </c>
      <c r="G63" s="134" t="str">
        <f t="shared" si="1"/>
        <v>BETHANY VILLAGE</v>
      </c>
      <c r="H63" s="134"/>
      <c r="I63" s="134"/>
      <c r="J63" s="134"/>
      <c r="K63" s="134"/>
      <c r="L63" s="134"/>
      <c r="M63" s="134"/>
      <c r="N63" s="134"/>
      <c r="O63" s="134"/>
      <c r="P63" s="134"/>
      <c r="Q63" s="134"/>
      <c r="R63" s="134"/>
      <c r="S63" s="134"/>
      <c r="T63" s="134"/>
      <c r="U63" s="134"/>
      <c r="V63" s="134"/>
      <c r="W63" s="134"/>
      <c r="X63" s="134"/>
      <c r="Y63" s="134"/>
      <c r="Z63" s="134"/>
    </row>
    <row r="64" spans="1:26" ht="15.75" customHeight="1">
      <c r="A64" s="13" t="s">
        <v>4260</v>
      </c>
      <c r="B64" s="13" t="s">
        <v>4261</v>
      </c>
      <c r="C64" s="13" t="s">
        <v>4262</v>
      </c>
      <c r="D64" s="13" t="s">
        <v>4263</v>
      </c>
      <c r="E64" s="13" t="s">
        <v>4259</v>
      </c>
      <c r="F64" s="134" t="str">
        <f t="shared" si="0"/>
        <v/>
      </c>
      <c r="G64" s="134" t="str">
        <f t="shared" si="1"/>
        <v>BETHANY VILLAGE ASSISTED LIVING</v>
      </c>
      <c r="H64" s="134"/>
      <c r="I64" s="134"/>
      <c r="J64" s="134"/>
      <c r="K64" s="134"/>
      <c r="L64" s="134"/>
      <c r="M64" s="134"/>
      <c r="N64" s="134"/>
      <c r="O64" s="134"/>
      <c r="P64" s="134"/>
      <c r="Q64" s="134"/>
      <c r="R64" s="134"/>
      <c r="S64" s="134"/>
      <c r="T64" s="134"/>
      <c r="U64" s="134"/>
      <c r="V64" s="134"/>
      <c r="W64" s="134"/>
      <c r="X64" s="134"/>
      <c r="Y64" s="134"/>
      <c r="Z64" s="134"/>
    </row>
    <row r="65" spans="1:26" ht="15.75" customHeight="1">
      <c r="A65" s="13" t="s">
        <v>4264</v>
      </c>
      <c r="B65" s="13" t="s">
        <v>4265</v>
      </c>
      <c r="C65" s="13" t="s">
        <v>1510</v>
      </c>
      <c r="D65" s="13" t="s">
        <v>4266</v>
      </c>
      <c r="E65" s="13" t="s">
        <v>4267</v>
      </c>
      <c r="F65" s="134" t="str">
        <f t="shared" si="0"/>
        <v/>
      </c>
      <c r="G65" s="134" t="str">
        <f t="shared" si="1"/>
        <v>BETHEL MANOR</v>
      </c>
      <c r="H65" s="134"/>
      <c r="I65" s="134"/>
      <c r="J65" s="134"/>
      <c r="K65" s="134"/>
      <c r="L65" s="134"/>
      <c r="M65" s="134"/>
      <c r="N65" s="134"/>
      <c r="O65" s="134"/>
      <c r="P65" s="134"/>
      <c r="Q65" s="134"/>
      <c r="R65" s="134"/>
      <c r="S65" s="134"/>
      <c r="T65" s="134"/>
      <c r="U65" s="134"/>
      <c r="V65" s="134"/>
      <c r="W65" s="134"/>
      <c r="X65" s="134"/>
      <c r="Y65" s="134"/>
      <c r="Z65" s="134"/>
    </row>
    <row r="66" spans="1:26" ht="15.75" customHeight="1">
      <c r="A66" s="13" t="s">
        <v>4268</v>
      </c>
      <c r="B66" s="13" t="s">
        <v>4269</v>
      </c>
      <c r="C66" s="13" t="s">
        <v>1514</v>
      </c>
      <c r="D66" s="13" t="s">
        <v>4270</v>
      </c>
      <c r="E66" s="13" t="s">
        <v>4271</v>
      </c>
      <c r="F66" s="134" t="str">
        <f t="shared" si="0"/>
        <v/>
      </c>
      <c r="G66" s="134" t="str">
        <f t="shared" si="1"/>
        <v>BETHEL POINTE HEALTH AND REHAB</v>
      </c>
      <c r="H66" s="134"/>
      <c r="I66" s="134"/>
      <c r="J66" s="134"/>
      <c r="K66" s="134"/>
      <c r="L66" s="134"/>
      <c r="M66" s="134"/>
      <c r="N66" s="134"/>
      <c r="O66" s="134"/>
      <c r="P66" s="134"/>
      <c r="Q66" s="134"/>
      <c r="R66" s="134"/>
      <c r="S66" s="134"/>
      <c r="T66" s="134"/>
      <c r="U66" s="134"/>
      <c r="V66" s="134"/>
      <c r="W66" s="134"/>
      <c r="X66" s="134"/>
      <c r="Y66" s="134"/>
      <c r="Z66" s="134"/>
    </row>
    <row r="67" spans="1:26" ht="15.75" customHeight="1">
      <c r="A67" s="13" t="s">
        <v>4272</v>
      </c>
      <c r="B67" s="13" t="s">
        <v>4273</v>
      </c>
      <c r="C67" s="13" t="s">
        <v>1518</v>
      </c>
      <c r="D67" s="13" t="s">
        <v>4274</v>
      </c>
      <c r="E67" s="13" t="s">
        <v>4275</v>
      </c>
      <c r="F67" s="134" t="str">
        <f t="shared" si="0"/>
        <v/>
      </c>
      <c r="G67" s="134" t="str">
        <f t="shared" si="1"/>
        <v>BETHLEHEM WOODS NURSING AND REHABILITATION</v>
      </c>
      <c r="H67" s="134"/>
      <c r="I67" s="134"/>
      <c r="J67" s="134"/>
      <c r="K67" s="134"/>
      <c r="L67" s="134"/>
      <c r="M67" s="134"/>
      <c r="N67" s="134"/>
      <c r="O67" s="134"/>
      <c r="P67" s="134"/>
      <c r="Q67" s="134"/>
      <c r="R67" s="134"/>
      <c r="S67" s="134"/>
      <c r="T67" s="134"/>
      <c r="U67" s="134"/>
      <c r="V67" s="134"/>
      <c r="W67" s="134"/>
      <c r="X67" s="134"/>
      <c r="Y67" s="134"/>
      <c r="Z67" s="134"/>
    </row>
    <row r="68" spans="1:26" ht="15.75" customHeight="1">
      <c r="A68" s="13" t="s">
        <v>4276</v>
      </c>
      <c r="B68" s="13" t="s">
        <v>4277</v>
      </c>
      <c r="C68" s="13" t="s">
        <v>1522</v>
      </c>
      <c r="D68" s="13" t="s">
        <v>4278</v>
      </c>
      <c r="E68" s="13" t="s">
        <v>4178</v>
      </c>
      <c r="F68" s="134" t="str">
        <f t="shared" si="0"/>
        <v/>
      </c>
      <c r="G68" s="134" t="str">
        <f t="shared" si="1"/>
        <v>BETZ NURSING HOME</v>
      </c>
      <c r="H68" s="134"/>
      <c r="I68" s="134"/>
      <c r="J68" s="134"/>
      <c r="K68" s="134"/>
      <c r="L68" s="134"/>
      <c r="M68" s="134"/>
      <c r="N68" s="134"/>
      <c r="O68" s="134"/>
      <c r="P68" s="134"/>
      <c r="Q68" s="134"/>
      <c r="R68" s="134"/>
      <c r="S68" s="134"/>
      <c r="T68" s="134"/>
      <c r="U68" s="134"/>
      <c r="V68" s="134"/>
      <c r="W68" s="134"/>
      <c r="X68" s="134"/>
      <c r="Y68" s="134"/>
      <c r="Z68" s="134"/>
    </row>
    <row r="69" spans="1:26" ht="15.75" hidden="1" customHeight="1">
      <c r="A69" s="13" t="s">
        <v>4279</v>
      </c>
      <c r="B69" s="13" t="s">
        <v>4280</v>
      </c>
      <c r="C69" s="13" t="s">
        <v>4281</v>
      </c>
      <c r="D69" s="13" t="s">
        <v>4282</v>
      </c>
      <c r="E69" s="13" t="s">
        <v>4283</v>
      </c>
      <c r="F69" s="134" t="str">
        <f t="shared" si="0"/>
        <v/>
      </c>
      <c r="G69" s="134" t="str">
        <f t="shared" si="1"/>
        <v>BICKFORD OF CARMEL</v>
      </c>
      <c r="H69" s="134"/>
      <c r="I69" s="134"/>
      <c r="J69" s="134"/>
      <c r="K69" s="134"/>
      <c r="L69" s="134"/>
      <c r="M69" s="134"/>
      <c r="N69" s="134"/>
      <c r="O69" s="134"/>
      <c r="P69" s="134"/>
      <c r="Q69" s="134"/>
      <c r="R69" s="134"/>
      <c r="S69" s="134"/>
      <c r="T69" s="134"/>
      <c r="U69" s="134"/>
      <c r="V69" s="134"/>
      <c r="W69" s="134"/>
      <c r="X69" s="134"/>
      <c r="Y69" s="134"/>
      <c r="Z69" s="134"/>
    </row>
    <row r="70" spans="1:26" ht="15.75" hidden="1" customHeight="1">
      <c r="A70" s="13" t="s">
        <v>4284</v>
      </c>
      <c r="B70" s="13" t="s">
        <v>4285</v>
      </c>
      <c r="C70" s="13" t="s">
        <v>4286</v>
      </c>
      <c r="D70" s="13" t="s">
        <v>4287</v>
      </c>
      <c r="E70" s="13" t="s">
        <v>4288</v>
      </c>
      <c r="F70" s="134" t="str">
        <f t="shared" si="0"/>
        <v/>
      </c>
      <c r="G70" s="134" t="str">
        <f t="shared" si="1"/>
        <v>BICKFORD OF CROWN POINT</v>
      </c>
      <c r="H70" s="134"/>
      <c r="I70" s="134"/>
      <c r="J70" s="134"/>
      <c r="K70" s="134"/>
      <c r="L70" s="134"/>
      <c r="M70" s="134"/>
      <c r="N70" s="134"/>
      <c r="O70" s="134"/>
      <c r="P70" s="134"/>
      <c r="Q70" s="134"/>
      <c r="R70" s="134"/>
      <c r="S70" s="134"/>
      <c r="T70" s="134"/>
      <c r="U70" s="134"/>
      <c r="V70" s="134"/>
      <c r="W70" s="134"/>
      <c r="X70" s="134"/>
      <c r="Y70" s="134"/>
      <c r="Z70" s="134"/>
    </row>
    <row r="71" spans="1:26" ht="15.75" customHeight="1">
      <c r="A71" s="13" t="s">
        <v>4289</v>
      </c>
      <c r="B71" s="13" t="s">
        <v>4290</v>
      </c>
      <c r="C71" s="13" t="s">
        <v>4291</v>
      </c>
      <c r="D71" s="13" t="s">
        <v>4292</v>
      </c>
      <c r="E71" s="13" t="s">
        <v>4159</v>
      </c>
      <c r="F71" s="134" t="str">
        <f t="shared" si="0"/>
        <v/>
      </c>
      <c r="G71" s="134" t="str">
        <f t="shared" si="1"/>
        <v>BICKFORD OF GREENWOOD</v>
      </c>
      <c r="H71" s="134"/>
      <c r="I71" s="134"/>
      <c r="J71" s="134"/>
      <c r="K71" s="134"/>
      <c r="L71" s="134"/>
      <c r="M71" s="134"/>
      <c r="N71" s="134"/>
      <c r="O71" s="134"/>
      <c r="P71" s="134"/>
      <c r="Q71" s="134"/>
      <c r="R71" s="134"/>
      <c r="S71" s="134"/>
      <c r="T71" s="134"/>
      <c r="U71" s="134"/>
      <c r="V71" s="134"/>
      <c r="W71" s="134"/>
      <c r="X71" s="134"/>
      <c r="Y71" s="134"/>
      <c r="Z71" s="134"/>
    </row>
    <row r="72" spans="1:26" ht="15.75" customHeight="1">
      <c r="A72" s="13" t="s">
        <v>4293</v>
      </c>
      <c r="B72" s="13" t="s">
        <v>4294</v>
      </c>
      <c r="C72" s="13" t="s">
        <v>1525</v>
      </c>
      <c r="D72" s="13" t="s">
        <v>4295</v>
      </c>
      <c r="E72" s="13" t="s">
        <v>4099</v>
      </c>
      <c r="F72" s="134" t="str">
        <f t="shared" si="0"/>
        <v/>
      </c>
      <c r="G72" s="134" t="str">
        <f t="shared" si="1"/>
        <v>BLAIR RIDGE HEALTH CAMPUS</v>
      </c>
      <c r="H72" s="134"/>
      <c r="I72" s="134"/>
      <c r="J72" s="134"/>
      <c r="K72" s="134"/>
      <c r="L72" s="134"/>
      <c r="M72" s="134"/>
      <c r="N72" s="134"/>
      <c r="O72" s="134"/>
      <c r="P72" s="134"/>
      <c r="Q72" s="134"/>
      <c r="R72" s="134"/>
      <c r="S72" s="134"/>
      <c r="T72" s="134"/>
      <c r="U72" s="134"/>
      <c r="V72" s="134"/>
      <c r="W72" s="134"/>
      <c r="X72" s="134"/>
      <c r="Y72" s="134"/>
      <c r="Z72" s="134"/>
    </row>
    <row r="73" spans="1:26" ht="15.75" customHeight="1">
      <c r="A73" s="13" t="s">
        <v>4296</v>
      </c>
      <c r="B73" s="13" t="s">
        <v>4297</v>
      </c>
      <c r="C73" s="13" t="s">
        <v>4298</v>
      </c>
      <c r="D73" s="13" t="s">
        <v>4299</v>
      </c>
      <c r="E73" s="13" t="s">
        <v>4300</v>
      </c>
      <c r="F73" s="134" t="str">
        <f t="shared" si="0"/>
        <v/>
      </c>
      <c r="G73" s="134" t="str">
        <f t="shared" si="1"/>
        <v>BLISS PLACE</v>
      </c>
      <c r="H73" s="134"/>
      <c r="I73" s="134"/>
      <c r="J73" s="134"/>
      <c r="K73" s="134"/>
      <c r="L73" s="134"/>
      <c r="M73" s="134"/>
      <c r="N73" s="134"/>
      <c r="O73" s="134"/>
      <c r="P73" s="134"/>
      <c r="Q73" s="134"/>
      <c r="R73" s="134"/>
      <c r="S73" s="134"/>
      <c r="T73" s="134"/>
      <c r="U73" s="134"/>
      <c r="V73" s="134"/>
      <c r="W73" s="134"/>
      <c r="X73" s="134"/>
      <c r="Y73" s="134"/>
      <c r="Z73" s="134"/>
    </row>
    <row r="74" spans="1:26" ht="15.75" customHeight="1">
      <c r="A74" s="13" t="s">
        <v>4301</v>
      </c>
      <c r="B74" s="13" t="s">
        <v>4302</v>
      </c>
      <c r="C74" s="13" t="s">
        <v>4303</v>
      </c>
      <c r="D74" s="13" t="s">
        <v>4304</v>
      </c>
      <c r="E74" s="13" t="s">
        <v>4305</v>
      </c>
      <c r="F74" s="134" t="str">
        <f t="shared" si="0"/>
        <v/>
      </c>
      <c r="G74" s="134" t="str">
        <f t="shared" si="1"/>
        <v>BLOOM AT EAGLE CREEK</v>
      </c>
      <c r="H74" s="134"/>
      <c r="I74" s="134"/>
      <c r="J74" s="134"/>
      <c r="K74" s="134"/>
      <c r="L74" s="134"/>
      <c r="M74" s="134"/>
      <c r="N74" s="134"/>
      <c r="O74" s="134"/>
      <c r="P74" s="134"/>
      <c r="Q74" s="134"/>
      <c r="R74" s="134"/>
      <c r="S74" s="134"/>
      <c r="T74" s="134"/>
      <c r="U74" s="134"/>
      <c r="V74" s="134"/>
      <c r="W74" s="134"/>
      <c r="X74" s="134"/>
      <c r="Y74" s="134"/>
      <c r="Z74" s="134"/>
    </row>
    <row r="75" spans="1:26" ht="15.75" customHeight="1">
      <c r="A75" s="13" t="s">
        <v>4306</v>
      </c>
      <c r="B75" s="13" t="s">
        <v>4307</v>
      </c>
      <c r="C75" s="13" t="s">
        <v>4308</v>
      </c>
      <c r="D75" s="13" t="s">
        <v>4309</v>
      </c>
      <c r="E75" s="13" t="s">
        <v>4310</v>
      </c>
      <c r="F75" s="134" t="str">
        <f t="shared" si="0"/>
        <v/>
      </c>
      <c r="G75" s="134" t="str">
        <f t="shared" si="1"/>
        <v>BLOOM AT GERMAN CHURCH</v>
      </c>
      <c r="H75" s="134"/>
      <c r="I75" s="134"/>
      <c r="J75" s="134"/>
      <c r="K75" s="134"/>
      <c r="L75" s="134"/>
      <c r="M75" s="134"/>
      <c r="N75" s="134"/>
      <c r="O75" s="134"/>
      <c r="P75" s="134"/>
      <c r="Q75" s="134"/>
      <c r="R75" s="134"/>
      <c r="S75" s="134"/>
      <c r="T75" s="134"/>
      <c r="U75" s="134"/>
      <c r="V75" s="134"/>
      <c r="W75" s="134"/>
      <c r="X75" s="134"/>
      <c r="Y75" s="134"/>
      <c r="Z75" s="134"/>
    </row>
    <row r="76" spans="1:26" ht="15.75" customHeight="1">
      <c r="A76" s="13" t="s">
        <v>4311</v>
      </c>
      <c r="B76" s="13" t="s">
        <v>4312</v>
      </c>
      <c r="C76" s="13" t="s">
        <v>4313</v>
      </c>
      <c r="D76" s="13" t="s">
        <v>4314</v>
      </c>
      <c r="E76" s="13" t="s">
        <v>4091</v>
      </c>
      <c r="F76" s="134" t="str">
        <f t="shared" si="0"/>
        <v/>
      </c>
      <c r="G76" s="134" t="str">
        <f t="shared" si="1"/>
        <v>BLOOM AT KOKOMO</v>
      </c>
      <c r="H76" s="134"/>
      <c r="I76" s="134"/>
      <c r="J76" s="134"/>
      <c r="K76" s="134"/>
      <c r="L76" s="134"/>
      <c r="M76" s="134"/>
      <c r="N76" s="134"/>
      <c r="O76" s="134"/>
      <c r="P76" s="134"/>
      <c r="Q76" s="134"/>
      <c r="R76" s="134"/>
      <c r="S76" s="134"/>
      <c r="T76" s="134"/>
      <c r="U76" s="134"/>
      <c r="V76" s="134"/>
      <c r="W76" s="134"/>
      <c r="X76" s="134"/>
      <c r="Y76" s="134"/>
      <c r="Z76" s="134"/>
    </row>
    <row r="77" spans="1:26" ht="15.75" customHeight="1">
      <c r="A77" s="13" t="s">
        <v>4315</v>
      </c>
      <c r="B77" s="13" t="s">
        <v>4316</v>
      </c>
      <c r="C77" s="13" t="s">
        <v>1529</v>
      </c>
      <c r="D77" s="13" t="s">
        <v>4317</v>
      </c>
      <c r="E77" s="13" t="s">
        <v>4187</v>
      </c>
      <c r="F77" s="134" t="str">
        <f t="shared" si="0"/>
        <v/>
      </c>
      <c r="G77" s="134" t="str">
        <f t="shared" si="1"/>
        <v>BLOOMINGTON NURSING AND REHABILITATION CENTER</v>
      </c>
      <c r="H77" s="134"/>
      <c r="I77" s="134"/>
      <c r="J77" s="134"/>
      <c r="K77" s="134"/>
      <c r="L77" s="134"/>
      <c r="M77" s="134"/>
      <c r="N77" s="134"/>
      <c r="O77" s="134"/>
      <c r="P77" s="134"/>
      <c r="Q77" s="134"/>
      <c r="R77" s="134"/>
      <c r="S77" s="134"/>
      <c r="T77" s="134"/>
      <c r="U77" s="134"/>
      <c r="V77" s="134"/>
      <c r="W77" s="134"/>
      <c r="X77" s="134"/>
      <c r="Y77" s="134"/>
      <c r="Z77" s="134"/>
    </row>
    <row r="78" spans="1:26" ht="15.75" customHeight="1">
      <c r="A78" s="13" t="s">
        <v>4318</v>
      </c>
      <c r="B78" s="13" t="s">
        <v>4319</v>
      </c>
      <c r="C78" s="13" t="s">
        <v>1536</v>
      </c>
      <c r="D78" s="13" t="s">
        <v>4320</v>
      </c>
      <c r="E78" s="13" t="s">
        <v>4321</v>
      </c>
      <c r="F78" s="134" t="str">
        <f t="shared" si="0"/>
        <v/>
      </c>
      <c r="G78" s="134" t="str">
        <f t="shared" si="1"/>
        <v>BLUFFTON REGIONAL MEDICAL CENTER CARE CENTER</v>
      </c>
      <c r="H78" s="134"/>
      <c r="I78" s="134"/>
      <c r="J78" s="134"/>
      <c r="K78" s="134"/>
      <c r="L78" s="134"/>
      <c r="M78" s="134"/>
      <c r="N78" s="134"/>
      <c r="O78" s="134"/>
      <c r="P78" s="134"/>
      <c r="Q78" s="134"/>
      <c r="R78" s="134"/>
      <c r="S78" s="134"/>
      <c r="T78" s="134"/>
      <c r="U78" s="134"/>
      <c r="V78" s="134"/>
      <c r="W78" s="134"/>
      <c r="X78" s="134"/>
      <c r="Y78" s="134"/>
      <c r="Z78" s="134"/>
    </row>
    <row r="79" spans="1:26" ht="15.75" customHeight="1">
      <c r="A79" s="13" t="s">
        <v>4322</v>
      </c>
      <c r="B79" s="13" t="s">
        <v>4323</v>
      </c>
      <c r="C79" s="13" t="s">
        <v>1540</v>
      </c>
      <c r="D79" s="13" t="s">
        <v>4324</v>
      </c>
      <c r="E79" s="13" t="s">
        <v>4267</v>
      </c>
      <c r="F79" s="134" t="str">
        <f t="shared" si="0"/>
        <v/>
      </c>
      <c r="G79" s="134" t="str">
        <f t="shared" si="1"/>
        <v>BRAUN'S NURSING HOME</v>
      </c>
      <c r="H79" s="134"/>
      <c r="I79" s="134"/>
      <c r="J79" s="134"/>
      <c r="K79" s="134"/>
      <c r="L79" s="134"/>
      <c r="M79" s="134"/>
      <c r="N79" s="134"/>
      <c r="O79" s="134"/>
      <c r="P79" s="134"/>
      <c r="Q79" s="134"/>
      <c r="R79" s="134"/>
      <c r="S79" s="134"/>
      <c r="T79" s="134"/>
      <c r="U79" s="134"/>
      <c r="V79" s="134"/>
      <c r="W79" s="134"/>
      <c r="X79" s="134"/>
      <c r="Y79" s="134"/>
      <c r="Z79" s="134"/>
    </row>
    <row r="80" spans="1:26" ht="15.75" customHeight="1">
      <c r="A80" s="13" t="s">
        <v>4325</v>
      </c>
      <c r="B80" s="13" t="s">
        <v>4326</v>
      </c>
      <c r="C80" s="13" t="s">
        <v>4327</v>
      </c>
      <c r="D80" s="13" t="s">
        <v>4328</v>
      </c>
      <c r="E80" s="13" t="s">
        <v>4329</v>
      </c>
      <c r="F80" s="134" t="str">
        <f t="shared" si="0"/>
        <v/>
      </c>
      <c r="G80" s="134" t="str">
        <f t="shared" si="1"/>
        <v>BRECKENRIDGE COMMONS</v>
      </c>
      <c r="H80" s="134"/>
      <c r="I80" s="134"/>
      <c r="J80" s="134"/>
      <c r="K80" s="134"/>
      <c r="L80" s="134"/>
      <c r="M80" s="134"/>
      <c r="N80" s="134"/>
      <c r="O80" s="134"/>
      <c r="P80" s="134"/>
      <c r="Q80" s="134"/>
      <c r="R80" s="134"/>
      <c r="S80" s="134"/>
      <c r="T80" s="134"/>
      <c r="U80" s="134"/>
      <c r="V80" s="134"/>
      <c r="W80" s="134"/>
      <c r="X80" s="134"/>
      <c r="Y80" s="134"/>
      <c r="Z80" s="134"/>
    </row>
    <row r="81" spans="1:26" ht="15.75" customHeight="1">
      <c r="A81" s="13" t="s">
        <v>4330</v>
      </c>
      <c r="B81" s="13" t="s">
        <v>4331</v>
      </c>
      <c r="C81" s="13" t="s">
        <v>1544</v>
      </c>
      <c r="D81" s="13" t="s">
        <v>4332</v>
      </c>
      <c r="E81" s="13" t="s">
        <v>4329</v>
      </c>
      <c r="F81" s="134" t="str">
        <f t="shared" si="0"/>
        <v/>
      </c>
      <c r="G81" s="134" t="str">
        <f t="shared" si="1"/>
        <v>BRECKENRIDGE HEALTH &amp; REHABILITATION</v>
      </c>
      <c r="H81" s="134"/>
      <c r="I81" s="134"/>
      <c r="J81" s="134"/>
      <c r="K81" s="134"/>
      <c r="L81" s="134"/>
      <c r="M81" s="134"/>
      <c r="N81" s="134"/>
      <c r="O81" s="134"/>
      <c r="P81" s="134"/>
      <c r="Q81" s="134"/>
      <c r="R81" s="134"/>
      <c r="S81" s="134"/>
      <c r="T81" s="134"/>
      <c r="U81" s="134"/>
      <c r="V81" s="134"/>
      <c r="W81" s="134"/>
      <c r="X81" s="134"/>
      <c r="Y81" s="134"/>
      <c r="Z81" s="134"/>
    </row>
    <row r="82" spans="1:26" ht="15.75" hidden="1" customHeight="1">
      <c r="A82" s="13" t="s">
        <v>4333</v>
      </c>
      <c r="B82" s="13" t="s">
        <v>4334</v>
      </c>
      <c r="C82" s="13" t="s">
        <v>4335</v>
      </c>
      <c r="D82" s="13" t="s">
        <v>4336</v>
      </c>
      <c r="E82" s="13" t="s">
        <v>4337</v>
      </c>
      <c r="F82" s="134" t="str">
        <f t="shared" si="0"/>
        <v/>
      </c>
      <c r="G82" s="134" t="str">
        <f t="shared" si="1"/>
        <v>BRENTWOOD AT HOBART</v>
      </c>
      <c r="H82" s="134"/>
      <c r="I82" s="134"/>
      <c r="J82" s="134"/>
      <c r="K82" s="134"/>
      <c r="L82" s="134"/>
      <c r="M82" s="134"/>
      <c r="N82" s="134"/>
      <c r="O82" s="134"/>
      <c r="P82" s="134"/>
      <c r="Q82" s="134"/>
      <c r="R82" s="134"/>
      <c r="S82" s="134"/>
      <c r="T82" s="134"/>
      <c r="U82" s="134"/>
      <c r="V82" s="134"/>
      <c r="W82" s="134"/>
      <c r="X82" s="134"/>
      <c r="Y82" s="134"/>
      <c r="Z82" s="134"/>
    </row>
    <row r="83" spans="1:26" ht="15.75" hidden="1" customHeight="1">
      <c r="A83" s="13" t="s">
        <v>4338</v>
      </c>
      <c r="B83" s="13" t="s">
        <v>4339</v>
      </c>
      <c r="C83" s="13" t="s">
        <v>4340</v>
      </c>
      <c r="D83" s="13" t="s">
        <v>4341</v>
      </c>
      <c r="E83" s="13" t="s">
        <v>4342</v>
      </c>
      <c r="F83" s="134" t="str">
        <f t="shared" si="0"/>
        <v/>
      </c>
      <c r="G83" s="134" t="str">
        <f t="shared" si="1"/>
        <v>BRENTWOOD AT LAPORTE</v>
      </c>
      <c r="H83" s="134"/>
      <c r="I83" s="134"/>
      <c r="J83" s="134"/>
      <c r="K83" s="134"/>
      <c r="L83" s="134"/>
      <c r="M83" s="134"/>
      <c r="N83" s="134"/>
      <c r="O83" s="134"/>
      <c r="P83" s="134"/>
      <c r="Q83" s="134"/>
      <c r="R83" s="134"/>
      <c r="S83" s="134"/>
      <c r="T83" s="134"/>
      <c r="U83" s="134"/>
      <c r="V83" s="134"/>
      <c r="W83" s="134"/>
      <c r="X83" s="134"/>
      <c r="Y83" s="134"/>
      <c r="Z83" s="134"/>
    </row>
    <row r="84" spans="1:26" ht="15.75" customHeight="1">
      <c r="A84" s="13" t="s">
        <v>4343</v>
      </c>
      <c r="B84" s="13" t="s">
        <v>4344</v>
      </c>
      <c r="C84" s="13" t="s">
        <v>1548</v>
      </c>
      <c r="D84" s="13" t="s">
        <v>4345</v>
      </c>
      <c r="E84" s="13" t="s">
        <v>4346</v>
      </c>
      <c r="F84" s="134" t="str">
        <f t="shared" si="0"/>
        <v/>
      </c>
      <c r="G84" s="134" t="str">
        <f t="shared" si="1"/>
        <v>BRIARCLIFF HEALTH &amp; REHABILITATION CENTER</v>
      </c>
      <c r="H84" s="134"/>
      <c r="I84" s="134"/>
      <c r="J84" s="134"/>
      <c r="K84" s="134"/>
      <c r="L84" s="134"/>
      <c r="M84" s="134"/>
      <c r="N84" s="134"/>
      <c r="O84" s="134"/>
      <c r="P84" s="134"/>
      <c r="Q84" s="134"/>
      <c r="R84" s="134"/>
      <c r="S84" s="134"/>
      <c r="T84" s="134"/>
      <c r="U84" s="134"/>
      <c r="V84" s="134"/>
      <c r="W84" s="134"/>
      <c r="X84" s="134"/>
      <c r="Y84" s="134"/>
      <c r="Z84" s="134"/>
    </row>
    <row r="85" spans="1:26" ht="15.75" customHeight="1">
      <c r="A85" s="13" t="s">
        <v>4347</v>
      </c>
      <c r="B85" s="13" t="s">
        <v>4348</v>
      </c>
      <c r="C85" s="13" t="s">
        <v>4349</v>
      </c>
      <c r="D85" s="13" t="s">
        <v>4350</v>
      </c>
      <c r="E85" s="13" t="s">
        <v>4351</v>
      </c>
      <c r="F85" s="134" t="str">
        <f t="shared" si="0"/>
        <v/>
      </c>
      <c r="G85" s="134" t="str">
        <f t="shared" si="1"/>
        <v>BRIDGE AT GARDEN PLAZA</v>
      </c>
      <c r="H85" s="134"/>
      <c r="I85" s="134"/>
      <c r="J85" s="134"/>
      <c r="K85" s="134"/>
      <c r="L85" s="134"/>
      <c r="M85" s="134"/>
      <c r="N85" s="134"/>
      <c r="O85" s="134"/>
      <c r="P85" s="134"/>
      <c r="Q85" s="134"/>
      <c r="R85" s="134"/>
      <c r="S85" s="134"/>
      <c r="T85" s="134"/>
      <c r="U85" s="134"/>
      <c r="V85" s="134"/>
      <c r="W85" s="134"/>
      <c r="X85" s="134"/>
      <c r="Y85" s="134"/>
      <c r="Z85" s="134"/>
    </row>
    <row r="86" spans="1:26" ht="15.75" customHeight="1">
      <c r="A86" s="13" t="s">
        <v>4352</v>
      </c>
      <c r="B86" s="13" t="s">
        <v>4353</v>
      </c>
      <c r="C86" s="13" t="s">
        <v>1554</v>
      </c>
      <c r="D86" s="13" t="s">
        <v>4354</v>
      </c>
      <c r="E86" s="13" t="s">
        <v>4355</v>
      </c>
      <c r="F86" s="134" t="str">
        <f t="shared" si="0"/>
        <v/>
      </c>
      <c r="G86" s="134" t="str">
        <f t="shared" si="1"/>
        <v>BRIDGEPOINTE HEALTH CAMPUS</v>
      </c>
      <c r="H86" s="134"/>
      <c r="I86" s="134"/>
      <c r="J86" s="134"/>
      <c r="K86" s="134"/>
      <c r="L86" s="134"/>
      <c r="M86" s="134"/>
      <c r="N86" s="134"/>
      <c r="O86" s="134"/>
      <c r="P86" s="134"/>
      <c r="Q86" s="134"/>
      <c r="R86" s="134"/>
      <c r="S86" s="134"/>
      <c r="T86" s="134"/>
      <c r="U86" s="134"/>
      <c r="V86" s="134"/>
      <c r="W86" s="134"/>
      <c r="X86" s="134"/>
      <c r="Y86" s="134"/>
      <c r="Z86" s="134"/>
    </row>
    <row r="87" spans="1:26" ht="15.75" customHeight="1">
      <c r="A87" s="13" t="s">
        <v>4356</v>
      </c>
      <c r="B87" s="13" t="s">
        <v>4357</v>
      </c>
      <c r="C87" s="13" t="s">
        <v>1558</v>
      </c>
      <c r="D87" s="13" t="s">
        <v>4358</v>
      </c>
      <c r="E87" s="13" t="s">
        <v>4283</v>
      </c>
      <c r="F87" s="134" t="str">
        <f t="shared" si="0"/>
        <v/>
      </c>
      <c r="G87" s="134" t="str">
        <f t="shared" si="1"/>
        <v>BRIDGEWATER HEALTHCARE CENTER</v>
      </c>
      <c r="H87" s="134"/>
      <c r="I87" s="134"/>
      <c r="J87" s="134"/>
      <c r="K87" s="134"/>
      <c r="L87" s="134"/>
      <c r="M87" s="134"/>
      <c r="N87" s="134"/>
      <c r="O87" s="134"/>
      <c r="P87" s="134"/>
      <c r="Q87" s="134"/>
      <c r="R87" s="134"/>
      <c r="S87" s="134"/>
      <c r="T87" s="134"/>
      <c r="U87" s="134"/>
      <c r="V87" s="134"/>
      <c r="W87" s="134"/>
      <c r="X87" s="134"/>
      <c r="Y87" s="134"/>
      <c r="Z87" s="134"/>
    </row>
    <row r="88" spans="1:26" ht="15.75" customHeight="1">
      <c r="A88" s="13" t="s">
        <v>4359</v>
      </c>
      <c r="B88" s="13" t="s">
        <v>4360</v>
      </c>
      <c r="C88" s="13" t="s">
        <v>1565</v>
      </c>
      <c r="D88" s="13" t="s">
        <v>4361</v>
      </c>
      <c r="E88" s="13" t="s">
        <v>4362</v>
      </c>
      <c r="F88" s="134" t="str">
        <f t="shared" si="0"/>
        <v/>
      </c>
      <c r="G88" s="134" t="str">
        <f t="shared" si="1"/>
        <v>BRIDGEWATER REHABILITATION CENTRE</v>
      </c>
      <c r="H88" s="134"/>
      <c r="I88" s="134"/>
      <c r="J88" s="134"/>
      <c r="K88" s="134"/>
      <c r="L88" s="134"/>
      <c r="M88" s="134"/>
      <c r="N88" s="134"/>
      <c r="O88" s="134"/>
      <c r="P88" s="134"/>
      <c r="Q88" s="134"/>
      <c r="R88" s="134"/>
      <c r="S88" s="134"/>
      <c r="T88" s="134"/>
      <c r="U88" s="134"/>
      <c r="V88" s="134"/>
      <c r="W88" s="134"/>
      <c r="X88" s="134"/>
      <c r="Y88" s="134"/>
      <c r="Z88" s="134"/>
    </row>
    <row r="89" spans="1:26" ht="15.75" customHeight="1">
      <c r="A89" s="13" t="s">
        <v>4363</v>
      </c>
      <c r="B89" s="13" t="s">
        <v>4364</v>
      </c>
      <c r="C89" s="13" t="s">
        <v>4365</v>
      </c>
      <c r="D89" s="13" t="s">
        <v>4366</v>
      </c>
      <c r="E89" s="13" t="s">
        <v>4151</v>
      </c>
      <c r="F89" s="134" t="str">
        <f t="shared" si="0"/>
        <v/>
      </c>
      <c r="G89" s="134" t="str">
        <f t="shared" si="1"/>
        <v>BRIGHTSTAR SENIOR LIVING OF FORT WAYNE</v>
      </c>
      <c r="H89" s="134"/>
      <c r="I89" s="134"/>
      <c r="J89" s="134"/>
      <c r="K89" s="134"/>
      <c r="L89" s="134"/>
      <c r="M89" s="134"/>
      <c r="N89" s="134"/>
      <c r="O89" s="134"/>
      <c r="P89" s="134"/>
      <c r="Q89" s="134"/>
      <c r="R89" s="134"/>
      <c r="S89" s="134"/>
      <c r="T89" s="134"/>
      <c r="U89" s="134"/>
      <c r="V89" s="134"/>
      <c r="W89" s="134"/>
      <c r="X89" s="134"/>
      <c r="Y89" s="134"/>
      <c r="Z89" s="134"/>
    </row>
    <row r="90" spans="1:26" ht="15.75" customHeight="1">
      <c r="A90" s="13" t="s">
        <v>4367</v>
      </c>
      <c r="B90" s="13" t="s">
        <v>4368</v>
      </c>
      <c r="C90" s="13" t="s">
        <v>4369</v>
      </c>
      <c r="D90" s="13" t="s">
        <v>4370</v>
      </c>
      <c r="E90" s="13" t="s">
        <v>4187</v>
      </c>
      <c r="F90" s="134" t="str">
        <f t="shared" si="0"/>
        <v/>
      </c>
      <c r="G90" s="134" t="str">
        <f t="shared" si="1"/>
        <v>BROOKDALE BLOOMINGTON</v>
      </c>
      <c r="H90" s="134"/>
      <c r="I90" s="134"/>
      <c r="J90" s="134"/>
      <c r="K90" s="134"/>
      <c r="L90" s="134"/>
      <c r="M90" s="134"/>
      <c r="N90" s="134"/>
      <c r="O90" s="134"/>
      <c r="P90" s="134"/>
      <c r="Q90" s="134"/>
      <c r="R90" s="134"/>
      <c r="S90" s="134"/>
      <c r="T90" s="134"/>
      <c r="U90" s="134"/>
      <c r="V90" s="134"/>
      <c r="W90" s="134"/>
      <c r="X90" s="134"/>
      <c r="Y90" s="134"/>
      <c r="Z90" s="134"/>
    </row>
    <row r="91" spans="1:26" ht="15.75" customHeight="1">
      <c r="A91" s="13" t="s">
        <v>4371</v>
      </c>
      <c r="B91" s="13" t="s">
        <v>4372</v>
      </c>
      <c r="C91" s="13" t="s">
        <v>4373</v>
      </c>
      <c r="D91" s="13" t="s">
        <v>4374</v>
      </c>
      <c r="E91" s="13" t="s">
        <v>4216</v>
      </c>
      <c r="F91" s="134" t="str">
        <f t="shared" si="0"/>
        <v/>
      </c>
      <c r="G91" s="134" t="str">
        <f t="shared" si="1"/>
        <v>BROOKDALE CARMEL</v>
      </c>
      <c r="H91" s="134"/>
      <c r="I91" s="134"/>
      <c r="J91" s="134"/>
      <c r="K91" s="134"/>
      <c r="L91" s="134"/>
      <c r="M91" s="134"/>
      <c r="N91" s="134"/>
      <c r="O91" s="134"/>
      <c r="P91" s="134"/>
      <c r="Q91" s="134"/>
      <c r="R91" s="134"/>
      <c r="S91" s="134"/>
      <c r="T91" s="134"/>
      <c r="U91" s="134"/>
      <c r="V91" s="134"/>
      <c r="W91" s="134"/>
      <c r="X91" s="134"/>
      <c r="Y91" s="134"/>
      <c r="Z91" s="134"/>
    </row>
    <row r="92" spans="1:26" ht="15.75" customHeight="1">
      <c r="A92" s="13" t="s">
        <v>4375</v>
      </c>
      <c r="B92" s="13" t="s">
        <v>4376</v>
      </c>
      <c r="C92" s="13" t="s">
        <v>4377</v>
      </c>
      <c r="D92" s="13" t="s">
        <v>4378</v>
      </c>
      <c r="E92" s="13" t="s">
        <v>4379</v>
      </c>
      <c r="F92" s="134" t="str">
        <f t="shared" si="0"/>
        <v/>
      </c>
      <c r="G92" s="134" t="str">
        <f t="shared" si="1"/>
        <v>BROOKDALE FORT WAYNE</v>
      </c>
      <c r="H92" s="134"/>
      <c r="I92" s="134"/>
      <c r="J92" s="134"/>
      <c r="K92" s="134"/>
      <c r="L92" s="134"/>
      <c r="M92" s="134"/>
      <c r="N92" s="134"/>
      <c r="O92" s="134"/>
      <c r="P92" s="134"/>
      <c r="Q92" s="134"/>
      <c r="R92" s="134"/>
      <c r="S92" s="134"/>
      <c r="T92" s="134"/>
      <c r="U92" s="134"/>
      <c r="V92" s="134"/>
      <c r="W92" s="134"/>
      <c r="X92" s="134"/>
      <c r="Y92" s="134"/>
      <c r="Z92" s="134"/>
    </row>
    <row r="93" spans="1:26" ht="15.75" customHeight="1">
      <c r="A93" s="13" t="s">
        <v>4380</v>
      </c>
      <c r="B93" s="13" t="s">
        <v>4381</v>
      </c>
      <c r="C93" s="13" t="s">
        <v>4382</v>
      </c>
      <c r="D93" s="13" t="s">
        <v>4383</v>
      </c>
      <c r="E93" s="13" t="s">
        <v>4234</v>
      </c>
      <c r="F93" s="134" t="str">
        <f t="shared" si="0"/>
        <v/>
      </c>
      <c r="G93" s="134" t="str">
        <f t="shared" si="1"/>
        <v>BROOKDALE GRANGER</v>
      </c>
      <c r="H93" s="134"/>
      <c r="I93" s="134"/>
      <c r="J93" s="134"/>
      <c r="K93" s="134"/>
      <c r="L93" s="134"/>
      <c r="M93" s="134"/>
      <c r="N93" s="134"/>
      <c r="O93" s="134"/>
      <c r="P93" s="134"/>
      <c r="Q93" s="134"/>
      <c r="R93" s="134"/>
      <c r="S93" s="134"/>
      <c r="T93" s="134"/>
      <c r="U93" s="134"/>
      <c r="V93" s="134"/>
      <c r="W93" s="134"/>
      <c r="X93" s="134"/>
      <c r="Y93" s="134"/>
      <c r="Z93" s="134"/>
    </row>
    <row r="94" spans="1:26" ht="15.75" customHeight="1">
      <c r="A94" s="13" t="s">
        <v>4384</v>
      </c>
      <c r="B94" s="13" t="s">
        <v>4385</v>
      </c>
      <c r="C94" s="13" t="s">
        <v>4386</v>
      </c>
      <c r="D94" s="13" t="s">
        <v>4387</v>
      </c>
      <c r="E94" s="13" t="s">
        <v>4134</v>
      </c>
      <c r="F94" s="134" t="str">
        <f t="shared" si="0"/>
        <v/>
      </c>
      <c r="G94" s="134" t="str">
        <f t="shared" si="1"/>
        <v>BROOKDALE RICHMOND</v>
      </c>
      <c r="H94" s="134"/>
      <c r="I94" s="134"/>
      <c r="J94" s="134"/>
      <c r="K94" s="134"/>
      <c r="L94" s="134"/>
      <c r="M94" s="134"/>
      <c r="N94" s="134"/>
      <c r="O94" s="134"/>
      <c r="P94" s="134"/>
      <c r="Q94" s="134"/>
      <c r="R94" s="134"/>
      <c r="S94" s="134"/>
      <c r="T94" s="134"/>
      <c r="U94" s="134"/>
      <c r="V94" s="134"/>
      <c r="W94" s="134"/>
      <c r="X94" s="134"/>
      <c r="Y94" s="134"/>
      <c r="Z94" s="134"/>
    </row>
    <row r="95" spans="1:26" ht="15.75" customHeight="1">
      <c r="A95" s="13" t="s">
        <v>4388</v>
      </c>
      <c r="B95" s="13" t="s">
        <v>4389</v>
      </c>
      <c r="C95" s="13" t="s">
        <v>4390</v>
      </c>
      <c r="D95" s="13" t="s">
        <v>4391</v>
      </c>
      <c r="E95" s="13" t="s">
        <v>4392</v>
      </c>
      <c r="F95" s="134" t="str">
        <f t="shared" si="0"/>
        <v/>
      </c>
      <c r="G95" s="134" t="str">
        <f t="shared" si="1"/>
        <v>BROOKDALE SOUTH BEND</v>
      </c>
      <c r="H95" s="134"/>
      <c r="I95" s="134"/>
      <c r="J95" s="134"/>
      <c r="K95" s="134"/>
      <c r="L95" s="134"/>
      <c r="M95" s="134"/>
      <c r="N95" s="134"/>
      <c r="O95" s="134"/>
      <c r="P95" s="134"/>
      <c r="Q95" s="134"/>
      <c r="R95" s="134"/>
      <c r="S95" s="134"/>
      <c r="T95" s="134"/>
      <c r="U95" s="134"/>
      <c r="V95" s="134"/>
      <c r="W95" s="134"/>
      <c r="X95" s="134"/>
      <c r="Y95" s="134"/>
      <c r="Z95" s="134"/>
    </row>
    <row r="96" spans="1:26" ht="15.75" customHeight="1">
      <c r="A96" s="13" t="s">
        <v>4393</v>
      </c>
      <c r="B96" s="13" t="s">
        <v>4394</v>
      </c>
      <c r="C96" s="13" t="s">
        <v>4395</v>
      </c>
      <c r="D96" s="13" t="s">
        <v>4396</v>
      </c>
      <c r="E96" s="13" t="s">
        <v>4199</v>
      </c>
      <c r="F96" s="134" t="str">
        <f t="shared" si="0"/>
        <v/>
      </c>
      <c r="G96" s="134" t="str">
        <f t="shared" si="1"/>
        <v>BROOKDALE VALPARAISO</v>
      </c>
      <c r="H96" s="134"/>
      <c r="I96" s="134"/>
      <c r="J96" s="134"/>
      <c r="K96" s="134"/>
      <c r="L96" s="134"/>
      <c r="M96" s="134"/>
      <c r="N96" s="134"/>
      <c r="O96" s="134"/>
      <c r="P96" s="134"/>
      <c r="Q96" s="134"/>
      <c r="R96" s="134"/>
      <c r="S96" s="134"/>
      <c r="T96" s="134"/>
      <c r="U96" s="134"/>
      <c r="V96" s="134"/>
      <c r="W96" s="134"/>
      <c r="X96" s="134"/>
      <c r="Y96" s="134"/>
      <c r="Z96" s="134"/>
    </row>
    <row r="97" spans="1:26" ht="15.75" customHeight="1">
      <c r="A97" s="13" t="s">
        <v>4397</v>
      </c>
      <c r="B97" s="13" t="s">
        <v>4398</v>
      </c>
      <c r="C97" s="13" t="s">
        <v>1568</v>
      </c>
      <c r="D97" s="13" t="s">
        <v>4399</v>
      </c>
      <c r="E97" s="13" t="s">
        <v>4207</v>
      </c>
      <c r="F97" s="134" t="str">
        <f t="shared" si="0"/>
        <v/>
      </c>
      <c r="G97" s="134" t="str">
        <f t="shared" si="1"/>
        <v>BROOKE KNOLL VILLAGE</v>
      </c>
      <c r="H97" s="134"/>
      <c r="I97" s="134"/>
      <c r="J97" s="134"/>
      <c r="K97" s="134"/>
      <c r="L97" s="134"/>
      <c r="M97" s="134"/>
      <c r="N97" s="134"/>
      <c r="O97" s="134"/>
      <c r="P97" s="134"/>
      <c r="Q97" s="134"/>
      <c r="R97" s="134"/>
      <c r="S97" s="134"/>
      <c r="T97" s="134"/>
      <c r="U97" s="134"/>
      <c r="V97" s="134"/>
      <c r="W97" s="134"/>
      <c r="X97" s="134"/>
      <c r="Y97" s="134"/>
      <c r="Z97" s="134"/>
    </row>
    <row r="98" spans="1:26" ht="15.75" customHeight="1">
      <c r="A98" s="13" t="s">
        <v>4400</v>
      </c>
      <c r="B98" s="13" t="s">
        <v>4401</v>
      </c>
      <c r="C98" s="13" t="s">
        <v>1570</v>
      </c>
      <c r="D98" s="13" t="s">
        <v>4402</v>
      </c>
      <c r="E98" s="13" t="s">
        <v>4403</v>
      </c>
      <c r="F98" s="134" t="str">
        <f t="shared" si="0"/>
        <v/>
      </c>
      <c r="G98" s="134" t="str">
        <f t="shared" si="1"/>
        <v>BROOKSIDE CARE STRATEGIES</v>
      </c>
      <c r="H98" s="134"/>
      <c r="I98" s="134"/>
      <c r="J98" s="134"/>
      <c r="K98" s="134"/>
      <c r="L98" s="134"/>
      <c r="M98" s="134"/>
      <c r="N98" s="134"/>
      <c r="O98" s="134"/>
      <c r="P98" s="134"/>
      <c r="Q98" s="134"/>
      <c r="R98" s="134"/>
      <c r="S98" s="134"/>
      <c r="T98" s="134"/>
      <c r="U98" s="134"/>
      <c r="V98" s="134"/>
      <c r="W98" s="134"/>
      <c r="X98" s="134"/>
      <c r="Y98" s="134"/>
      <c r="Z98" s="134"/>
    </row>
    <row r="99" spans="1:26" ht="15.75" customHeight="1">
      <c r="A99" s="13" t="s">
        <v>4404</v>
      </c>
      <c r="B99" s="13" t="s">
        <v>4405</v>
      </c>
      <c r="C99" s="13" t="s">
        <v>4406</v>
      </c>
      <c r="D99" s="13" t="s">
        <v>4407</v>
      </c>
      <c r="E99" s="13" t="s">
        <v>4408</v>
      </c>
      <c r="F99" s="134" t="str">
        <f t="shared" si="0"/>
        <v/>
      </c>
      <c r="G99" s="134" t="str">
        <f t="shared" si="1"/>
        <v>BROOKSIDE VILLAGE INC</v>
      </c>
      <c r="H99" s="134"/>
      <c r="I99" s="134"/>
      <c r="J99" s="134"/>
      <c r="K99" s="134"/>
      <c r="L99" s="134"/>
      <c r="M99" s="134"/>
      <c r="N99" s="134"/>
      <c r="O99" s="134"/>
      <c r="P99" s="134"/>
      <c r="Q99" s="134"/>
      <c r="R99" s="134"/>
      <c r="S99" s="134"/>
      <c r="T99" s="134"/>
      <c r="U99" s="134"/>
      <c r="V99" s="134"/>
      <c r="W99" s="134"/>
      <c r="X99" s="134"/>
      <c r="Y99" s="134"/>
      <c r="Z99" s="134"/>
    </row>
    <row r="100" spans="1:26" ht="15.75" customHeight="1">
      <c r="A100" s="13" t="s">
        <v>4409</v>
      </c>
      <c r="B100" s="13" t="s">
        <v>4410</v>
      </c>
      <c r="C100" s="13" t="s">
        <v>1579</v>
      </c>
      <c r="D100" s="13" t="s">
        <v>4411</v>
      </c>
      <c r="E100" s="13" t="s">
        <v>4412</v>
      </c>
      <c r="F100" s="134" t="str">
        <f t="shared" si="0"/>
        <v/>
      </c>
      <c r="G100" s="134" t="str">
        <f t="shared" si="1"/>
        <v>BROOKVILLE HEALTHCARE CENTER</v>
      </c>
      <c r="H100" s="134"/>
      <c r="I100" s="134"/>
      <c r="J100" s="134"/>
      <c r="K100" s="134"/>
      <c r="L100" s="134"/>
      <c r="M100" s="134"/>
      <c r="N100" s="134"/>
      <c r="O100" s="134"/>
      <c r="P100" s="134"/>
      <c r="Q100" s="134"/>
      <c r="R100" s="134"/>
      <c r="S100" s="134"/>
      <c r="T100" s="134"/>
      <c r="U100" s="134"/>
      <c r="V100" s="134"/>
      <c r="W100" s="134"/>
      <c r="X100" s="134"/>
      <c r="Y100" s="134"/>
      <c r="Z100" s="134"/>
    </row>
    <row r="101" spans="1:26" ht="15.75" customHeight="1">
      <c r="A101" s="13" t="s">
        <v>4413</v>
      </c>
      <c r="B101" s="13" t="s">
        <v>4414</v>
      </c>
      <c r="C101" s="13" t="s">
        <v>1586</v>
      </c>
      <c r="D101" s="13" t="s">
        <v>4415</v>
      </c>
      <c r="E101" s="13" t="s">
        <v>4416</v>
      </c>
      <c r="F101" s="134" t="str">
        <f t="shared" si="0"/>
        <v/>
      </c>
      <c r="G101" s="134" t="str">
        <f t="shared" si="1"/>
        <v>BROWN COUNTY HEALTH AND LIVING COMMUNITY</v>
      </c>
      <c r="H101" s="134"/>
      <c r="I101" s="134"/>
      <c r="J101" s="134"/>
      <c r="K101" s="134"/>
      <c r="L101" s="134"/>
      <c r="M101" s="134"/>
      <c r="N101" s="134"/>
      <c r="O101" s="134"/>
      <c r="P101" s="134"/>
      <c r="Q101" s="134"/>
      <c r="R101" s="134"/>
      <c r="S101" s="134"/>
      <c r="T101" s="134"/>
      <c r="U101" s="134"/>
      <c r="V101" s="134"/>
      <c r="W101" s="134"/>
      <c r="X101" s="134"/>
      <c r="Y101" s="134"/>
      <c r="Z101" s="134"/>
    </row>
    <row r="102" spans="1:26" ht="15.75" customHeight="1">
      <c r="A102" s="13" t="s">
        <v>4417</v>
      </c>
      <c r="B102" s="13" t="s">
        <v>4418</v>
      </c>
      <c r="C102" s="13" t="s">
        <v>1590</v>
      </c>
      <c r="D102" s="13" t="s">
        <v>4419</v>
      </c>
      <c r="E102" s="13" t="s">
        <v>4420</v>
      </c>
      <c r="F102" s="134" t="str">
        <f t="shared" si="0"/>
        <v/>
      </c>
      <c r="G102" s="134" t="str">
        <f t="shared" si="1"/>
        <v>BROWNSBURG HEALTH CARE CENTER</v>
      </c>
      <c r="H102" s="134"/>
      <c r="I102" s="134"/>
      <c r="J102" s="134"/>
      <c r="K102" s="134"/>
      <c r="L102" s="134"/>
      <c r="M102" s="134"/>
      <c r="N102" s="134"/>
      <c r="O102" s="134"/>
      <c r="P102" s="134"/>
      <c r="Q102" s="134"/>
      <c r="R102" s="134"/>
      <c r="S102" s="134"/>
      <c r="T102" s="134"/>
      <c r="U102" s="134"/>
      <c r="V102" s="134"/>
      <c r="W102" s="134"/>
      <c r="X102" s="134"/>
      <c r="Y102" s="134"/>
      <c r="Z102" s="134"/>
    </row>
    <row r="103" spans="1:26" ht="15.75" customHeight="1">
      <c r="A103" s="13" t="s">
        <v>4421</v>
      </c>
      <c r="B103" s="13" t="s">
        <v>4422</v>
      </c>
      <c r="C103" s="13" t="s">
        <v>1594</v>
      </c>
      <c r="D103" s="13" t="s">
        <v>4423</v>
      </c>
      <c r="E103" s="13" t="s">
        <v>4420</v>
      </c>
      <c r="F103" s="134" t="str">
        <f t="shared" si="0"/>
        <v/>
      </c>
      <c r="G103" s="134" t="str">
        <f t="shared" si="1"/>
        <v>BROWNSBURG MEADOWS</v>
      </c>
      <c r="H103" s="134"/>
      <c r="I103" s="134"/>
      <c r="J103" s="134"/>
      <c r="K103" s="134"/>
      <c r="L103" s="134"/>
      <c r="M103" s="134"/>
      <c r="N103" s="134"/>
      <c r="O103" s="134"/>
      <c r="P103" s="134"/>
      <c r="Q103" s="134"/>
      <c r="R103" s="134"/>
      <c r="S103" s="134"/>
      <c r="T103" s="134"/>
      <c r="U103" s="134"/>
      <c r="V103" s="134"/>
      <c r="W103" s="134"/>
      <c r="X103" s="134"/>
      <c r="Y103" s="134"/>
      <c r="Z103" s="134"/>
    </row>
    <row r="104" spans="1:26" ht="15.75" customHeight="1">
      <c r="A104" s="13" t="s">
        <v>4424</v>
      </c>
      <c r="B104" s="13" t="s">
        <v>4425</v>
      </c>
      <c r="C104" s="13" t="s">
        <v>4426</v>
      </c>
      <c r="D104" s="13" t="s">
        <v>4427</v>
      </c>
      <c r="E104" s="13" t="s">
        <v>4420</v>
      </c>
      <c r="F104" s="134" t="str">
        <f t="shared" si="0"/>
        <v/>
      </c>
      <c r="G104" s="134" t="str">
        <f t="shared" si="1"/>
        <v>BROWNSBURG MEADOWS ASSISTED LIVING</v>
      </c>
      <c r="H104" s="134"/>
      <c r="I104" s="134"/>
      <c r="J104" s="134"/>
      <c r="K104" s="134"/>
      <c r="L104" s="134"/>
      <c r="M104" s="134"/>
      <c r="N104" s="134"/>
      <c r="O104" s="134"/>
      <c r="P104" s="134"/>
      <c r="Q104" s="134"/>
      <c r="R104" s="134"/>
      <c r="S104" s="134"/>
      <c r="T104" s="134"/>
      <c r="U104" s="134"/>
      <c r="V104" s="134"/>
      <c r="W104" s="134"/>
      <c r="X104" s="134"/>
      <c r="Y104" s="134"/>
      <c r="Z104" s="134"/>
    </row>
    <row r="105" spans="1:26" ht="15.75" customHeight="1">
      <c r="A105" s="13" t="s">
        <v>4428</v>
      </c>
      <c r="B105" s="13" t="s">
        <v>4429</v>
      </c>
      <c r="C105" s="13" t="s">
        <v>1597</v>
      </c>
      <c r="D105" s="13" t="s">
        <v>4430</v>
      </c>
      <c r="E105" s="13" t="s">
        <v>4431</v>
      </c>
      <c r="F105" s="134" t="str">
        <f t="shared" si="0"/>
        <v/>
      </c>
      <c r="G105" s="134" t="str">
        <f t="shared" si="1"/>
        <v>BYRON HEALTH CENTER</v>
      </c>
      <c r="H105" s="134"/>
      <c r="I105" s="134"/>
      <c r="J105" s="134"/>
      <c r="K105" s="134"/>
      <c r="L105" s="134"/>
      <c r="M105" s="134"/>
      <c r="N105" s="134"/>
      <c r="O105" s="134"/>
      <c r="P105" s="134"/>
      <c r="Q105" s="134"/>
      <c r="R105" s="134"/>
      <c r="S105" s="134"/>
      <c r="T105" s="134"/>
      <c r="U105" s="134"/>
      <c r="V105" s="134"/>
      <c r="W105" s="134"/>
      <c r="X105" s="134"/>
      <c r="Y105" s="134"/>
      <c r="Z105" s="134"/>
    </row>
    <row r="106" spans="1:26" ht="15.75" customHeight="1">
      <c r="A106" s="13" t="s">
        <v>4432</v>
      </c>
      <c r="B106" s="13" t="s">
        <v>4433</v>
      </c>
      <c r="C106" s="13" t="s">
        <v>1603</v>
      </c>
      <c r="D106" s="13" t="s">
        <v>4434</v>
      </c>
      <c r="E106" s="13" t="s">
        <v>4435</v>
      </c>
      <c r="F106" s="134" t="str">
        <f t="shared" si="0"/>
        <v/>
      </c>
      <c r="G106" s="134" t="str">
        <f t="shared" si="1"/>
        <v>CAMELOT CARE CENTER</v>
      </c>
      <c r="H106" s="134"/>
      <c r="I106" s="134"/>
      <c r="J106" s="134"/>
      <c r="K106" s="134"/>
      <c r="L106" s="134"/>
      <c r="M106" s="134"/>
      <c r="N106" s="134"/>
      <c r="O106" s="134"/>
      <c r="P106" s="134"/>
      <c r="Q106" s="134"/>
      <c r="R106" s="134"/>
      <c r="S106" s="134"/>
      <c r="T106" s="134"/>
      <c r="U106" s="134"/>
      <c r="V106" s="134"/>
      <c r="W106" s="134"/>
      <c r="X106" s="134"/>
      <c r="Y106" s="134"/>
      <c r="Z106" s="134"/>
    </row>
    <row r="107" spans="1:26" ht="15.75" customHeight="1">
      <c r="A107" s="13" t="s">
        <v>4436</v>
      </c>
      <c r="B107" s="13" t="s">
        <v>4437</v>
      </c>
      <c r="C107" s="13" t="s">
        <v>1607</v>
      </c>
      <c r="D107" s="13" t="s">
        <v>4438</v>
      </c>
      <c r="E107" s="13" t="s">
        <v>4275</v>
      </c>
      <c r="F107" s="134" t="str">
        <f t="shared" si="0"/>
        <v/>
      </c>
      <c r="G107" s="134" t="str">
        <f t="shared" si="1"/>
        <v>CANTERBURY NURSING AND REHABILITATION CENTER</v>
      </c>
      <c r="H107" s="134"/>
      <c r="I107" s="134"/>
      <c r="J107" s="134"/>
      <c r="K107" s="134"/>
      <c r="L107" s="134"/>
      <c r="M107" s="134"/>
      <c r="N107" s="134"/>
      <c r="O107" s="134"/>
      <c r="P107" s="134"/>
      <c r="Q107" s="134"/>
      <c r="R107" s="134"/>
      <c r="S107" s="134"/>
      <c r="T107" s="134"/>
      <c r="U107" s="134"/>
      <c r="V107" s="134"/>
      <c r="W107" s="134"/>
      <c r="X107" s="134"/>
      <c r="Y107" s="134"/>
      <c r="Z107" s="134"/>
    </row>
    <row r="108" spans="1:26" ht="15.75" customHeight="1">
      <c r="A108" s="13" t="s">
        <v>4439</v>
      </c>
      <c r="B108" s="13" t="s">
        <v>4440</v>
      </c>
      <c r="C108" s="13" t="s">
        <v>1610</v>
      </c>
      <c r="D108" s="13" t="s">
        <v>4441</v>
      </c>
      <c r="E108" s="13" t="s">
        <v>4442</v>
      </c>
      <c r="F108" s="134" t="str">
        <f t="shared" si="0"/>
        <v/>
      </c>
      <c r="G108" s="134" t="str">
        <f t="shared" si="1"/>
        <v>CARDINAL NURSING AND REHABILITATION CENTER</v>
      </c>
      <c r="H108" s="134"/>
      <c r="I108" s="134"/>
      <c r="J108" s="134"/>
      <c r="K108" s="134"/>
      <c r="L108" s="134"/>
      <c r="M108" s="134"/>
      <c r="N108" s="134"/>
      <c r="O108" s="134"/>
      <c r="P108" s="134"/>
      <c r="Q108" s="134"/>
      <c r="R108" s="134"/>
      <c r="S108" s="134"/>
      <c r="T108" s="134"/>
      <c r="U108" s="134"/>
      <c r="V108" s="134"/>
      <c r="W108" s="134"/>
      <c r="X108" s="134"/>
      <c r="Y108" s="134"/>
      <c r="Z108" s="134"/>
    </row>
    <row r="109" spans="1:26" ht="15.75" customHeight="1">
      <c r="A109" s="13" t="s">
        <v>4443</v>
      </c>
      <c r="B109" s="13" t="s">
        <v>4444</v>
      </c>
      <c r="C109" s="13" t="s">
        <v>1614</v>
      </c>
      <c r="D109" s="13" t="s">
        <v>4445</v>
      </c>
      <c r="E109" s="13" t="s">
        <v>4216</v>
      </c>
      <c r="F109" s="134" t="str">
        <f t="shared" si="0"/>
        <v/>
      </c>
      <c r="G109" s="134" t="str">
        <f t="shared" si="1"/>
        <v>CARMEL HEALTH &amp; LIVING COMMUNITY</v>
      </c>
      <c r="H109" s="134"/>
      <c r="I109" s="134"/>
      <c r="J109" s="134"/>
      <c r="K109" s="134"/>
      <c r="L109" s="134"/>
      <c r="M109" s="134"/>
      <c r="N109" s="134"/>
      <c r="O109" s="134"/>
      <c r="P109" s="134"/>
      <c r="Q109" s="134"/>
      <c r="R109" s="134"/>
      <c r="S109" s="134"/>
      <c r="T109" s="134"/>
      <c r="U109" s="134"/>
      <c r="V109" s="134"/>
      <c r="W109" s="134"/>
      <c r="X109" s="134"/>
      <c r="Y109" s="134"/>
      <c r="Z109" s="134"/>
    </row>
    <row r="110" spans="1:26" ht="15.75" customHeight="1">
      <c r="A110" s="13" t="s">
        <v>4446</v>
      </c>
      <c r="B110" s="13" t="s">
        <v>4447</v>
      </c>
      <c r="C110" s="13" t="s">
        <v>4448</v>
      </c>
      <c r="D110" s="13" t="s">
        <v>4449</v>
      </c>
      <c r="E110" s="13" t="s">
        <v>4216</v>
      </c>
      <c r="F110" s="134" t="str">
        <f t="shared" si="0"/>
        <v/>
      </c>
      <c r="G110" s="134" t="str">
        <f t="shared" si="1"/>
        <v>CARMEL SENIOR LIVING</v>
      </c>
      <c r="H110" s="134"/>
      <c r="I110" s="134"/>
      <c r="J110" s="134"/>
      <c r="K110" s="134"/>
      <c r="L110" s="134"/>
      <c r="M110" s="134"/>
      <c r="N110" s="134"/>
      <c r="O110" s="134"/>
      <c r="P110" s="134"/>
      <c r="Q110" s="134"/>
      <c r="R110" s="134"/>
      <c r="S110" s="134"/>
      <c r="T110" s="134"/>
      <c r="U110" s="134"/>
      <c r="V110" s="134"/>
      <c r="W110" s="134"/>
      <c r="X110" s="134"/>
      <c r="Y110" s="134"/>
      <c r="Z110" s="134"/>
    </row>
    <row r="111" spans="1:26" ht="15.75" customHeight="1">
      <c r="A111" s="13" t="s">
        <v>4450</v>
      </c>
      <c r="B111" s="13" t="s">
        <v>4451</v>
      </c>
      <c r="C111" s="13" t="s">
        <v>1618</v>
      </c>
      <c r="D111" s="13" t="s">
        <v>4452</v>
      </c>
      <c r="E111" s="13" t="s">
        <v>4453</v>
      </c>
      <c r="F111" s="134" t="str">
        <f t="shared" si="0"/>
        <v/>
      </c>
      <c r="G111" s="134" t="str">
        <f t="shared" si="1"/>
        <v>CAROLETON HEALTHCARE CENTER</v>
      </c>
      <c r="H111" s="134"/>
      <c r="I111" s="134"/>
      <c r="J111" s="134"/>
      <c r="K111" s="134"/>
      <c r="L111" s="134"/>
      <c r="M111" s="134"/>
      <c r="N111" s="134"/>
      <c r="O111" s="134"/>
      <c r="P111" s="134"/>
      <c r="Q111" s="134"/>
      <c r="R111" s="134"/>
      <c r="S111" s="134"/>
      <c r="T111" s="134"/>
      <c r="U111" s="134"/>
      <c r="V111" s="134"/>
      <c r="W111" s="134"/>
      <c r="X111" s="134"/>
      <c r="Y111" s="134"/>
      <c r="Z111" s="134"/>
    </row>
    <row r="112" spans="1:26" ht="15.75" customHeight="1">
      <c r="A112" s="13" t="s">
        <v>4454</v>
      </c>
      <c r="B112" s="13" t="s">
        <v>4455</v>
      </c>
      <c r="C112" s="13" t="s">
        <v>1621</v>
      </c>
      <c r="D112" s="13" t="s">
        <v>4456</v>
      </c>
      <c r="E112" s="13" t="s">
        <v>4457</v>
      </c>
      <c r="F112" s="134" t="str">
        <f t="shared" si="0"/>
        <v/>
      </c>
      <c r="G112" s="134" t="str">
        <f t="shared" si="1"/>
        <v>CASTLETON HEALTH CARE CENTER</v>
      </c>
      <c r="H112" s="134"/>
      <c r="I112" s="134"/>
      <c r="J112" s="134"/>
      <c r="K112" s="134"/>
      <c r="L112" s="134"/>
      <c r="M112" s="134"/>
      <c r="N112" s="134"/>
      <c r="O112" s="134"/>
      <c r="P112" s="134"/>
      <c r="Q112" s="134"/>
      <c r="R112" s="134"/>
      <c r="S112" s="134"/>
      <c r="T112" s="134"/>
      <c r="U112" s="134"/>
      <c r="V112" s="134"/>
      <c r="W112" s="134"/>
      <c r="X112" s="134"/>
      <c r="Y112" s="134"/>
      <c r="Z112" s="134"/>
    </row>
    <row r="113" spans="1:26" ht="15.75" customHeight="1">
      <c r="A113" s="13" t="s">
        <v>4458</v>
      </c>
      <c r="B113" s="13" t="s">
        <v>4459</v>
      </c>
      <c r="C113" s="13" t="s">
        <v>1626</v>
      </c>
      <c r="D113" s="13" t="s">
        <v>4460</v>
      </c>
      <c r="E113" s="13" t="s">
        <v>4408</v>
      </c>
      <c r="F113" s="134" t="str">
        <f t="shared" si="0"/>
        <v/>
      </c>
      <c r="G113" s="134" t="str">
        <f t="shared" si="1"/>
        <v>CATHEDRAL HEALTH CARE CENTER</v>
      </c>
      <c r="H113" s="134"/>
      <c r="I113" s="134"/>
      <c r="J113" s="134"/>
      <c r="K113" s="134"/>
      <c r="L113" s="134"/>
      <c r="M113" s="134"/>
      <c r="N113" s="134"/>
      <c r="O113" s="134"/>
      <c r="P113" s="134"/>
      <c r="Q113" s="134"/>
      <c r="R113" s="134"/>
      <c r="S113" s="134"/>
      <c r="T113" s="134"/>
      <c r="U113" s="134"/>
      <c r="V113" s="134"/>
      <c r="W113" s="134"/>
      <c r="X113" s="134"/>
      <c r="Y113" s="134"/>
      <c r="Z113" s="134"/>
    </row>
    <row r="114" spans="1:26" ht="15.75" customHeight="1">
      <c r="A114" s="13" t="s">
        <v>4461</v>
      </c>
      <c r="B114" s="13" t="s">
        <v>4462</v>
      </c>
      <c r="C114" s="13" t="s">
        <v>1631</v>
      </c>
      <c r="D114" s="13" t="s">
        <v>4463</v>
      </c>
      <c r="E114" s="13" t="s">
        <v>4464</v>
      </c>
      <c r="F114" s="134" t="str">
        <f t="shared" si="0"/>
        <v/>
      </c>
      <c r="G114" s="134" t="str">
        <f t="shared" si="1"/>
        <v>CATHERINE KASPER HOME</v>
      </c>
      <c r="H114" s="134"/>
      <c r="I114" s="134"/>
      <c r="J114" s="134"/>
      <c r="K114" s="134"/>
      <c r="L114" s="134"/>
      <c r="M114" s="134"/>
      <c r="N114" s="134"/>
      <c r="O114" s="134"/>
      <c r="P114" s="134"/>
      <c r="Q114" s="134"/>
      <c r="R114" s="134"/>
      <c r="S114" s="134"/>
      <c r="T114" s="134"/>
      <c r="U114" s="134"/>
      <c r="V114" s="134"/>
      <c r="W114" s="134"/>
      <c r="X114" s="134"/>
      <c r="Y114" s="134"/>
      <c r="Z114" s="134"/>
    </row>
    <row r="115" spans="1:26" ht="15.75" customHeight="1">
      <c r="A115" s="13" t="s">
        <v>4465</v>
      </c>
      <c r="B115" s="13" t="s">
        <v>4466</v>
      </c>
      <c r="C115" s="13" t="s">
        <v>1637</v>
      </c>
      <c r="D115" s="13" t="s">
        <v>4467</v>
      </c>
      <c r="E115" s="13" t="s">
        <v>4468</v>
      </c>
      <c r="F115" s="134" t="str">
        <f t="shared" si="0"/>
        <v/>
      </c>
      <c r="G115" s="134" t="str">
        <f t="shared" si="1"/>
        <v>CEDAR CREEK HEALTH CAMPUS</v>
      </c>
      <c r="H115" s="134"/>
      <c r="I115" s="134"/>
      <c r="J115" s="134"/>
      <c r="K115" s="134"/>
      <c r="L115" s="134"/>
      <c r="M115" s="134"/>
      <c r="N115" s="134"/>
      <c r="O115" s="134"/>
      <c r="P115" s="134"/>
      <c r="Q115" s="134"/>
      <c r="R115" s="134"/>
      <c r="S115" s="134"/>
      <c r="T115" s="134"/>
      <c r="U115" s="134"/>
      <c r="V115" s="134"/>
      <c r="W115" s="134"/>
      <c r="X115" s="134"/>
      <c r="Y115" s="134"/>
      <c r="Z115" s="134"/>
    </row>
    <row r="116" spans="1:26" ht="15.75" customHeight="1">
      <c r="A116" s="13" t="s">
        <v>4469</v>
      </c>
      <c r="B116" s="13" t="s">
        <v>4470</v>
      </c>
      <c r="C116" s="13" t="s">
        <v>1643</v>
      </c>
      <c r="D116" s="13" t="s">
        <v>4471</v>
      </c>
      <c r="E116" s="13" t="s">
        <v>4472</v>
      </c>
      <c r="F116" s="134" t="str">
        <f t="shared" si="0"/>
        <v/>
      </c>
      <c r="G116" s="134" t="str">
        <f t="shared" si="1"/>
        <v>CEDARS THE</v>
      </c>
      <c r="H116" s="134"/>
      <c r="I116" s="134"/>
      <c r="J116" s="134"/>
      <c r="K116" s="134"/>
      <c r="L116" s="134"/>
      <c r="M116" s="134"/>
      <c r="N116" s="134"/>
      <c r="O116" s="134"/>
      <c r="P116" s="134"/>
      <c r="Q116" s="134"/>
      <c r="R116" s="134"/>
      <c r="S116" s="134"/>
      <c r="T116" s="134"/>
      <c r="U116" s="134"/>
      <c r="V116" s="134"/>
      <c r="W116" s="134"/>
      <c r="X116" s="134"/>
      <c r="Y116" s="134"/>
      <c r="Z116" s="134"/>
    </row>
    <row r="117" spans="1:26" ht="15.75" customHeight="1">
      <c r="A117" s="13" t="s">
        <v>4473</v>
      </c>
      <c r="B117" s="13" t="s">
        <v>4474</v>
      </c>
      <c r="C117" s="13" t="s">
        <v>4475</v>
      </c>
      <c r="D117" s="13" t="s">
        <v>4476</v>
      </c>
      <c r="E117" s="13" t="s">
        <v>4477</v>
      </c>
      <c r="F117" s="134" t="str">
        <f t="shared" si="0"/>
        <v/>
      </c>
      <c r="G117" s="134" t="str">
        <f t="shared" si="1"/>
        <v>CENTURY VILLA HEALTH CARE</v>
      </c>
      <c r="H117" s="134"/>
      <c r="I117" s="134"/>
      <c r="J117" s="134"/>
      <c r="K117" s="134"/>
      <c r="L117" s="134"/>
      <c r="M117" s="134"/>
      <c r="N117" s="134"/>
      <c r="O117" s="134"/>
      <c r="P117" s="134"/>
      <c r="Q117" s="134"/>
      <c r="R117" s="134"/>
      <c r="S117" s="134"/>
      <c r="T117" s="134"/>
      <c r="U117" s="134"/>
      <c r="V117" s="134"/>
      <c r="W117" s="134"/>
      <c r="X117" s="134"/>
      <c r="Y117" s="134"/>
      <c r="Z117" s="134"/>
    </row>
    <row r="118" spans="1:26" ht="15.75" customHeight="1">
      <c r="A118" s="13" t="s">
        <v>4478</v>
      </c>
      <c r="B118" s="13" t="s">
        <v>4479</v>
      </c>
      <c r="C118" s="13" t="s">
        <v>1650</v>
      </c>
      <c r="D118" s="13" t="s">
        <v>4480</v>
      </c>
      <c r="E118" s="13" t="s">
        <v>4481</v>
      </c>
      <c r="F118" s="134" t="str">
        <f t="shared" si="0"/>
        <v/>
      </c>
      <c r="G118" s="134" t="str">
        <f t="shared" si="1"/>
        <v>CHALET VILLAGE HEALTH AND REHABILITATION CENTER</v>
      </c>
      <c r="H118" s="134"/>
      <c r="I118" s="134"/>
      <c r="J118" s="134"/>
      <c r="K118" s="134"/>
      <c r="L118" s="134"/>
      <c r="M118" s="134"/>
      <c r="N118" s="134"/>
      <c r="O118" s="134"/>
      <c r="P118" s="134"/>
      <c r="Q118" s="134"/>
      <c r="R118" s="134"/>
      <c r="S118" s="134"/>
      <c r="T118" s="134"/>
      <c r="U118" s="134"/>
      <c r="V118" s="134"/>
      <c r="W118" s="134"/>
      <c r="X118" s="134"/>
      <c r="Y118" s="134"/>
      <c r="Z118" s="134"/>
    </row>
    <row r="119" spans="1:26" ht="15.75" customHeight="1">
      <c r="A119" s="13" t="s">
        <v>4482</v>
      </c>
      <c r="B119" s="13" t="s">
        <v>4483</v>
      </c>
      <c r="C119" s="13" t="s">
        <v>4484</v>
      </c>
      <c r="D119" s="13" t="s">
        <v>4485</v>
      </c>
      <c r="E119" s="13" t="s">
        <v>4486</v>
      </c>
      <c r="F119" s="134" t="str">
        <f t="shared" si="0"/>
        <v/>
      </c>
      <c r="G119" s="134" t="str">
        <f t="shared" si="1"/>
        <v>CHANDLER PLACE</v>
      </c>
      <c r="H119" s="134"/>
      <c r="I119" s="134"/>
      <c r="J119" s="134"/>
      <c r="K119" s="134"/>
      <c r="L119" s="134"/>
      <c r="M119" s="134"/>
      <c r="N119" s="134"/>
      <c r="O119" s="134"/>
      <c r="P119" s="134"/>
      <c r="Q119" s="134"/>
      <c r="R119" s="134"/>
      <c r="S119" s="134"/>
      <c r="T119" s="134"/>
      <c r="U119" s="134"/>
      <c r="V119" s="134"/>
      <c r="W119" s="134"/>
      <c r="X119" s="134"/>
      <c r="Y119" s="134"/>
      <c r="Z119" s="134"/>
    </row>
    <row r="120" spans="1:26" ht="15.75" hidden="1" customHeight="1">
      <c r="A120" s="13" t="s">
        <v>4487</v>
      </c>
      <c r="B120" s="13" t="s">
        <v>4488</v>
      </c>
      <c r="C120" s="13" t="s">
        <v>4489</v>
      </c>
      <c r="D120" s="13" t="s">
        <v>4490</v>
      </c>
      <c r="E120" s="13" t="s">
        <v>4126</v>
      </c>
      <c r="F120" s="134" t="str">
        <f t="shared" si="0"/>
        <v/>
      </c>
      <c r="G120" s="134" t="str">
        <f t="shared" si="1"/>
        <v>CHAPMAN PLACE</v>
      </c>
      <c r="H120" s="134"/>
      <c r="I120" s="134"/>
      <c r="J120" s="134"/>
      <c r="K120" s="134"/>
      <c r="L120" s="134"/>
      <c r="M120" s="134"/>
      <c r="N120" s="134"/>
      <c r="O120" s="134"/>
      <c r="P120" s="134"/>
      <c r="Q120" s="134"/>
      <c r="R120" s="134"/>
      <c r="S120" s="134"/>
      <c r="T120" s="134"/>
      <c r="U120" s="134"/>
      <c r="V120" s="134"/>
      <c r="W120" s="134"/>
      <c r="X120" s="134"/>
      <c r="Y120" s="134"/>
      <c r="Z120" s="134"/>
    </row>
    <row r="121" spans="1:26" ht="15.75" customHeight="1">
      <c r="A121" s="13" t="s">
        <v>4491</v>
      </c>
      <c r="B121" s="13" t="s">
        <v>4492</v>
      </c>
      <c r="C121" s="13" t="s">
        <v>4493</v>
      </c>
      <c r="D121" s="13" t="s">
        <v>4494</v>
      </c>
      <c r="E121" s="13" t="s">
        <v>4495</v>
      </c>
      <c r="F121" s="134" t="str">
        <f t="shared" si="0"/>
        <v/>
      </c>
      <c r="G121" s="134" t="str">
        <f t="shared" si="1"/>
        <v>CHARLES FORD MEMORIAL HOME INC</v>
      </c>
      <c r="H121" s="134"/>
      <c r="I121" s="134"/>
      <c r="J121" s="134"/>
      <c r="K121" s="134"/>
      <c r="L121" s="134"/>
      <c r="M121" s="134"/>
      <c r="N121" s="134"/>
      <c r="O121" s="134"/>
      <c r="P121" s="134"/>
      <c r="Q121" s="134"/>
      <c r="R121" s="134"/>
      <c r="S121" s="134"/>
      <c r="T121" s="134"/>
      <c r="U121" s="134"/>
      <c r="V121" s="134"/>
      <c r="W121" s="134"/>
      <c r="X121" s="134"/>
      <c r="Y121" s="134"/>
      <c r="Z121" s="134"/>
    </row>
    <row r="122" spans="1:26" ht="15.75" customHeight="1">
      <c r="A122" s="13" t="s">
        <v>4496</v>
      </c>
      <c r="B122" s="13" t="s">
        <v>4497</v>
      </c>
      <c r="C122" s="13" t="s">
        <v>1655</v>
      </c>
      <c r="D122" s="13" t="s">
        <v>4498</v>
      </c>
      <c r="E122" s="13" t="s">
        <v>4435</v>
      </c>
      <c r="F122" s="134" t="str">
        <f t="shared" si="0"/>
        <v/>
      </c>
      <c r="G122" s="134" t="str">
        <f t="shared" si="1"/>
        <v>CHASE CENTER</v>
      </c>
      <c r="H122" s="134"/>
      <c r="I122" s="134"/>
      <c r="J122" s="134"/>
      <c r="K122" s="134"/>
      <c r="L122" s="134"/>
      <c r="M122" s="134"/>
      <c r="N122" s="134"/>
      <c r="O122" s="134"/>
      <c r="P122" s="134"/>
      <c r="Q122" s="134"/>
      <c r="R122" s="134"/>
      <c r="S122" s="134"/>
      <c r="T122" s="134"/>
      <c r="U122" s="134"/>
      <c r="V122" s="134"/>
      <c r="W122" s="134"/>
      <c r="X122" s="134"/>
      <c r="Y122" s="134"/>
      <c r="Z122" s="134"/>
    </row>
    <row r="123" spans="1:26" ht="15.75" customHeight="1">
      <c r="A123" s="13" t="s">
        <v>4499</v>
      </c>
      <c r="B123" s="13" t="s">
        <v>4500</v>
      </c>
      <c r="C123" s="13" t="s">
        <v>4501</v>
      </c>
      <c r="D123" s="13" t="s">
        <v>4502</v>
      </c>
      <c r="E123" s="13" t="s">
        <v>4169</v>
      </c>
      <c r="F123" s="134" t="str">
        <f t="shared" si="0"/>
        <v/>
      </c>
      <c r="G123" s="134" t="str">
        <f t="shared" si="1"/>
        <v>CHATEAU OF BATESVILLE</v>
      </c>
      <c r="H123" s="134"/>
      <c r="I123" s="134"/>
      <c r="J123" s="134"/>
      <c r="K123" s="134"/>
      <c r="L123" s="134"/>
      <c r="M123" s="134"/>
      <c r="N123" s="134"/>
      <c r="O123" s="134"/>
      <c r="P123" s="134"/>
      <c r="Q123" s="134"/>
      <c r="R123" s="134"/>
      <c r="S123" s="134"/>
      <c r="T123" s="134"/>
      <c r="U123" s="134"/>
      <c r="V123" s="134"/>
      <c r="W123" s="134"/>
      <c r="X123" s="134"/>
      <c r="Y123" s="134"/>
      <c r="Z123" s="134"/>
    </row>
    <row r="124" spans="1:26" ht="15.75" customHeight="1">
      <c r="A124" s="13" t="s">
        <v>4503</v>
      </c>
      <c r="B124" s="13" t="s">
        <v>4504</v>
      </c>
      <c r="C124" s="13" t="s">
        <v>1658</v>
      </c>
      <c r="D124" s="13" t="s">
        <v>4505</v>
      </c>
      <c r="E124" s="13" t="s">
        <v>4015</v>
      </c>
      <c r="F124" s="134" t="str">
        <f t="shared" si="0"/>
        <v/>
      </c>
      <c r="G124" s="134" t="str">
        <f t="shared" si="1"/>
        <v>CHESTERTON MANOR</v>
      </c>
      <c r="H124" s="134"/>
      <c r="I124" s="134"/>
      <c r="J124" s="134"/>
      <c r="K124" s="134"/>
      <c r="L124" s="134"/>
      <c r="M124" s="134"/>
      <c r="N124" s="134"/>
      <c r="O124" s="134"/>
      <c r="P124" s="134"/>
      <c r="Q124" s="134"/>
      <c r="R124" s="134"/>
      <c r="S124" s="134"/>
      <c r="T124" s="134"/>
      <c r="U124" s="134"/>
      <c r="V124" s="134"/>
      <c r="W124" s="134"/>
      <c r="X124" s="134"/>
      <c r="Y124" s="134"/>
      <c r="Z124" s="134"/>
    </row>
    <row r="125" spans="1:26" ht="15.75" customHeight="1">
      <c r="A125" s="13" t="s">
        <v>4506</v>
      </c>
      <c r="B125" s="13" t="s">
        <v>4507</v>
      </c>
      <c r="C125" s="13" t="s">
        <v>1661</v>
      </c>
      <c r="D125" s="13" t="s">
        <v>4508</v>
      </c>
      <c r="E125" s="13" t="s">
        <v>4321</v>
      </c>
      <c r="F125" s="134" t="str">
        <f t="shared" si="0"/>
        <v/>
      </c>
      <c r="G125" s="134" t="str">
        <f t="shared" si="1"/>
        <v>CHRISTIAN CARE RETIREMENT COMMUNITY</v>
      </c>
      <c r="H125" s="134"/>
      <c r="I125" s="134"/>
      <c r="J125" s="134"/>
      <c r="K125" s="134"/>
      <c r="L125" s="134"/>
      <c r="M125" s="134"/>
      <c r="N125" s="134"/>
      <c r="O125" s="134"/>
      <c r="P125" s="134"/>
      <c r="Q125" s="134"/>
      <c r="R125" s="134"/>
      <c r="S125" s="134"/>
      <c r="T125" s="134"/>
      <c r="U125" s="134"/>
      <c r="V125" s="134"/>
      <c r="W125" s="134"/>
      <c r="X125" s="134"/>
      <c r="Y125" s="134"/>
      <c r="Z125" s="134"/>
    </row>
    <row r="126" spans="1:26" ht="15.75" customHeight="1">
      <c r="A126" s="13" t="s">
        <v>4509</v>
      </c>
      <c r="B126" s="13" t="s">
        <v>4510</v>
      </c>
      <c r="C126" s="13" t="s">
        <v>4511</v>
      </c>
      <c r="D126" s="13" t="s">
        <v>4512</v>
      </c>
      <c r="E126" s="13" t="s">
        <v>4513</v>
      </c>
      <c r="F126" s="134" t="str">
        <f t="shared" si="0"/>
        <v/>
      </c>
      <c r="G126" s="134" t="str">
        <f t="shared" si="1"/>
        <v>CHRISTINA PLACE</v>
      </c>
      <c r="H126" s="134"/>
      <c r="I126" s="134"/>
      <c r="J126" s="134"/>
      <c r="K126" s="134"/>
      <c r="L126" s="134"/>
      <c r="M126" s="134"/>
      <c r="N126" s="134"/>
      <c r="O126" s="134"/>
      <c r="P126" s="134"/>
      <c r="Q126" s="134"/>
      <c r="R126" s="134"/>
      <c r="S126" s="134"/>
      <c r="T126" s="134"/>
      <c r="U126" s="134"/>
      <c r="V126" s="134"/>
      <c r="W126" s="134"/>
      <c r="X126" s="134"/>
      <c r="Y126" s="134"/>
      <c r="Z126" s="134"/>
    </row>
    <row r="127" spans="1:26" ht="16.5" hidden="1" customHeight="1">
      <c r="A127" s="13" t="s">
        <v>4514</v>
      </c>
      <c r="B127" s="13" t="s">
        <v>4515</v>
      </c>
      <c r="C127" s="13" t="s">
        <v>4516</v>
      </c>
      <c r="D127" s="13" t="s">
        <v>4517</v>
      </c>
      <c r="E127" s="13" t="s">
        <v>4518</v>
      </c>
      <c r="F127" s="134" t="str">
        <f t="shared" si="0"/>
        <v/>
      </c>
      <c r="G127" s="134" t="str">
        <f t="shared" si="1"/>
        <v>CLARENDALE OF SCHERERVILLE</v>
      </c>
      <c r="H127" s="134"/>
      <c r="I127" s="134"/>
      <c r="J127" s="134"/>
      <c r="K127" s="134"/>
      <c r="L127" s="134"/>
      <c r="M127" s="134"/>
      <c r="N127" s="134"/>
      <c r="O127" s="134"/>
      <c r="P127" s="134"/>
      <c r="Q127" s="134"/>
      <c r="R127" s="134"/>
      <c r="S127" s="134"/>
      <c r="T127" s="134"/>
      <c r="U127" s="134"/>
      <c r="V127" s="134"/>
      <c r="W127" s="134"/>
      <c r="X127" s="134"/>
      <c r="Y127" s="134"/>
      <c r="Z127" s="134"/>
    </row>
    <row r="128" spans="1:26" ht="16.5" customHeight="1">
      <c r="A128" s="13" t="s">
        <v>4519</v>
      </c>
      <c r="B128" s="13" t="s">
        <v>4520</v>
      </c>
      <c r="C128" s="13" t="s">
        <v>1667</v>
      </c>
      <c r="D128" s="13" t="s">
        <v>4521</v>
      </c>
      <c r="E128" s="13" t="s">
        <v>4522</v>
      </c>
      <c r="F128" s="134" t="str">
        <f t="shared" si="0"/>
        <v/>
      </c>
      <c r="G128" s="134" t="str">
        <f t="shared" si="1"/>
        <v>CLARK REHABILITATION AND SKILLED NURSING CENTER</v>
      </c>
      <c r="H128" s="134"/>
      <c r="I128" s="134"/>
      <c r="J128" s="134"/>
      <c r="K128" s="134"/>
      <c r="L128" s="134"/>
      <c r="M128" s="134"/>
      <c r="N128" s="134"/>
      <c r="O128" s="134"/>
      <c r="P128" s="134"/>
      <c r="Q128" s="134"/>
      <c r="R128" s="134"/>
      <c r="S128" s="134"/>
      <c r="T128" s="134"/>
      <c r="U128" s="134"/>
      <c r="V128" s="134"/>
      <c r="W128" s="134"/>
      <c r="X128" s="134"/>
      <c r="Y128" s="134"/>
      <c r="Z128" s="134"/>
    </row>
    <row r="129" spans="1:26" ht="16.5" hidden="1" customHeight="1">
      <c r="A129" s="13" t="s">
        <v>4523</v>
      </c>
      <c r="B129" s="13" t="s">
        <v>4524</v>
      </c>
      <c r="C129" s="13" t="s">
        <v>4525</v>
      </c>
      <c r="D129" s="13" t="s">
        <v>4526</v>
      </c>
      <c r="E129" s="13" t="s">
        <v>4527</v>
      </c>
      <c r="F129" s="134" t="str">
        <f t="shared" si="0"/>
        <v/>
      </c>
      <c r="G129" s="134" t="str">
        <f t="shared" si="1"/>
        <v>CLARKSVILLE SENIOR LIVING LLC</v>
      </c>
      <c r="H129" s="134"/>
      <c r="I129" s="134"/>
      <c r="J129" s="134"/>
      <c r="K129" s="134"/>
      <c r="L129" s="134"/>
      <c r="M129" s="134"/>
      <c r="N129" s="134"/>
      <c r="O129" s="134"/>
      <c r="P129" s="134"/>
      <c r="Q129" s="134"/>
      <c r="R129" s="134"/>
      <c r="S129" s="134"/>
      <c r="T129" s="134"/>
      <c r="U129" s="134"/>
      <c r="V129" s="134"/>
      <c r="W129" s="134"/>
      <c r="X129" s="134"/>
      <c r="Y129" s="134"/>
      <c r="Z129" s="134"/>
    </row>
    <row r="130" spans="1:26" ht="15.75" customHeight="1">
      <c r="A130" s="13" t="s">
        <v>4528</v>
      </c>
      <c r="B130" s="13" t="s">
        <v>4529</v>
      </c>
      <c r="C130" s="13" t="s">
        <v>1671</v>
      </c>
      <c r="D130" s="13" t="s">
        <v>4530</v>
      </c>
      <c r="E130" s="13" t="s">
        <v>4457</v>
      </c>
      <c r="F130" s="134" t="str">
        <f t="shared" si="0"/>
        <v/>
      </c>
      <c r="G130" s="134" t="str">
        <f t="shared" si="1"/>
        <v>CLEARVISTA LAKE HEALTH CAMPUS</v>
      </c>
      <c r="H130" s="134"/>
      <c r="I130" s="134"/>
      <c r="J130" s="134"/>
      <c r="K130" s="134"/>
      <c r="L130" s="134"/>
      <c r="M130" s="134"/>
      <c r="N130" s="134"/>
      <c r="O130" s="134"/>
      <c r="P130" s="134"/>
      <c r="Q130" s="134"/>
      <c r="R130" s="134"/>
      <c r="S130" s="134"/>
      <c r="T130" s="134"/>
      <c r="U130" s="134"/>
      <c r="V130" s="134"/>
      <c r="W130" s="134"/>
      <c r="X130" s="134"/>
      <c r="Y130" s="134"/>
      <c r="Z130" s="134"/>
    </row>
    <row r="131" spans="1:26" ht="15.75" customHeight="1">
      <c r="A131" s="13" t="s">
        <v>4531</v>
      </c>
      <c r="B131" s="13" t="s">
        <v>4532</v>
      </c>
      <c r="C131" s="13" t="s">
        <v>1675</v>
      </c>
      <c r="D131" s="13" t="s">
        <v>4533</v>
      </c>
      <c r="E131" s="13" t="s">
        <v>4534</v>
      </c>
      <c r="F131" s="134" t="str">
        <f t="shared" si="0"/>
        <v/>
      </c>
      <c r="G131" s="134" t="str">
        <f t="shared" si="1"/>
        <v>CLINTON GARDENS</v>
      </c>
      <c r="H131" s="134"/>
      <c r="I131" s="134"/>
      <c r="J131" s="134"/>
      <c r="K131" s="134"/>
      <c r="L131" s="134"/>
      <c r="M131" s="134"/>
      <c r="N131" s="134"/>
      <c r="O131" s="134"/>
      <c r="P131" s="134"/>
      <c r="Q131" s="134"/>
      <c r="R131" s="134"/>
      <c r="S131" s="134"/>
      <c r="T131" s="134"/>
      <c r="U131" s="134"/>
      <c r="V131" s="134"/>
      <c r="W131" s="134"/>
      <c r="X131" s="134"/>
      <c r="Y131" s="134"/>
      <c r="Z131" s="134"/>
    </row>
    <row r="132" spans="1:26" ht="15.75" customHeight="1">
      <c r="A132" s="13" t="s">
        <v>4535</v>
      </c>
      <c r="B132" s="13" t="s">
        <v>4536</v>
      </c>
      <c r="C132" s="13" t="s">
        <v>1680</v>
      </c>
      <c r="D132" s="13" t="s">
        <v>4537</v>
      </c>
      <c r="E132" s="13" t="s">
        <v>4538</v>
      </c>
      <c r="F132" s="134" t="str">
        <f t="shared" si="0"/>
        <v/>
      </c>
      <c r="G132" s="134" t="str">
        <f t="shared" si="1"/>
        <v>CLOVERLEAF OF KNIGHTSVILLE</v>
      </c>
      <c r="H132" s="134"/>
      <c r="I132" s="134"/>
      <c r="J132" s="134"/>
      <c r="K132" s="134"/>
      <c r="L132" s="134"/>
      <c r="M132" s="134"/>
      <c r="N132" s="134"/>
      <c r="O132" s="134"/>
      <c r="P132" s="134"/>
      <c r="Q132" s="134"/>
      <c r="R132" s="134"/>
      <c r="S132" s="134"/>
      <c r="T132" s="134"/>
      <c r="U132" s="134"/>
      <c r="V132" s="134"/>
      <c r="W132" s="134"/>
      <c r="X132" s="134"/>
      <c r="Y132" s="134"/>
      <c r="Z132" s="134"/>
    </row>
    <row r="133" spans="1:26" ht="15.75" customHeight="1">
      <c r="A133" s="13" t="s">
        <v>4539</v>
      </c>
      <c r="B133" s="13" t="s">
        <v>4540</v>
      </c>
      <c r="C133" s="13" t="s">
        <v>1686</v>
      </c>
      <c r="D133" s="13" t="s">
        <v>4541</v>
      </c>
      <c r="E133" s="13" t="s">
        <v>4542</v>
      </c>
      <c r="F133" s="134" t="str">
        <f t="shared" si="0"/>
        <v/>
      </c>
      <c r="G133" s="134" t="str">
        <f t="shared" si="1"/>
        <v>COBBLESTONE CROSSINGS HEALTH CAMPUS</v>
      </c>
      <c r="H133" s="134"/>
      <c r="I133" s="134"/>
      <c r="J133" s="134"/>
      <c r="K133" s="134"/>
      <c r="L133" s="134"/>
      <c r="M133" s="134"/>
      <c r="N133" s="134"/>
      <c r="O133" s="134"/>
      <c r="P133" s="134"/>
      <c r="Q133" s="134"/>
      <c r="R133" s="134"/>
      <c r="S133" s="134"/>
      <c r="T133" s="134"/>
      <c r="U133" s="134"/>
      <c r="V133" s="134"/>
      <c r="W133" s="134"/>
      <c r="X133" s="134"/>
      <c r="Y133" s="134"/>
      <c r="Z133" s="134"/>
    </row>
    <row r="134" spans="1:26" ht="15.75" customHeight="1">
      <c r="A134" s="13" t="s">
        <v>4543</v>
      </c>
      <c r="B134" s="13" t="s">
        <v>4544</v>
      </c>
      <c r="C134" s="13" t="s">
        <v>1690</v>
      </c>
      <c r="D134" s="13" t="s">
        <v>4545</v>
      </c>
      <c r="E134" s="13" t="s">
        <v>4288</v>
      </c>
      <c r="F134" s="134" t="str">
        <f t="shared" si="0"/>
        <v/>
      </c>
      <c r="G134" s="134" t="str">
        <f t="shared" si="1"/>
        <v>COLONIAL NURSING HOME</v>
      </c>
      <c r="H134" s="134"/>
      <c r="I134" s="134"/>
      <c r="J134" s="134"/>
      <c r="K134" s="134"/>
      <c r="L134" s="134"/>
      <c r="M134" s="134"/>
      <c r="N134" s="134"/>
      <c r="O134" s="134"/>
      <c r="P134" s="134"/>
      <c r="Q134" s="134"/>
      <c r="R134" s="134"/>
      <c r="S134" s="134"/>
      <c r="T134" s="134"/>
      <c r="U134" s="134"/>
      <c r="V134" s="134"/>
      <c r="W134" s="134"/>
      <c r="X134" s="134"/>
      <c r="Y134" s="134"/>
      <c r="Z134" s="134"/>
    </row>
    <row r="135" spans="1:26" ht="15.75" customHeight="1">
      <c r="A135" s="13" t="s">
        <v>4546</v>
      </c>
      <c r="B135" s="13" t="s">
        <v>4547</v>
      </c>
      <c r="C135" s="13" t="s">
        <v>1693</v>
      </c>
      <c r="D135" s="13" t="s">
        <v>4548</v>
      </c>
      <c r="E135" s="13" t="s">
        <v>4095</v>
      </c>
      <c r="F135" s="134" t="str">
        <f t="shared" si="0"/>
        <v/>
      </c>
      <c r="G135" s="134" t="str">
        <f t="shared" si="1"/>
        <v>COLONIAL OAKS HEALTH CARE CENTER</v>
      </c>
      <c r="H135" s="134"/>
      <c r="I135" s="134"/>
      <c r="J135" s="134"/>
      <c r="K135" s="134"/>
      <c r="L135" s="134"/>
      <c r="M135" s="134"/>
      <c r="N135" s="134"/>
      <c r="O135" s="134"/>
      <c r="P135" s="134"/>
      <c r="Q135" s="134"/>
      <c r="R135" s="134"/>
      <c r="S135" s="134"/>
      <c r="T135" s="134"/>
      <c r="U135" s="134"/>
      <c r="V135" s="134"/>
      <c r="W135" s="134"/>
      <c r="X135" s="134"/>
      <c r="Y135" s="134"/>
      <c r="Z135" s="134"/>
    </row>
    <row r="136" spans="1:26" ht="15.75" customHeight="1">
      <c r="A136" s="13" t="s">
        <v>4549</v>
      </c>
      <c r="B136" s="13" t="s">
        <v>4550</v>
      </c>
      <c r="C136" s="13" t="s">
        <v>1696</v>
      </c>
      <c r="D136" s="13" t="s">
        <v>4551</v>
      </c>
      <c r="E136" s="13" t="s">
        <v>4267</v>
      </c>
      <c r="F136" s="134" t="str">
        <f t="shared" si="0"/>
        <v/>
      </c>
      <c r="G136" s="134" t="str">
        <f t="shared" si="1"/>
        <v>COLUMBIA HEALTHCARE CENTER</v>
      </c>
      <c r="H136" s="134"/>
      <c r="I136" s="134"/>
      <c r="J136" s="134"/>
      <c r="K136" s="134"/>
      <c r="L136" s="134"/>
      <c r="M136" s="134"/>
      <c r="N136" s="134"/>
      <c r="O136" s="134"/>
      <c r="P136" s="134"/>
      <c r="Q136" s="134"/>
      <c r="R136" s="134"/>
      <c r="S136" s="134"/>
      <c r="T136" s="134"/>
      <c r="U136" s="134"/>
      <c r="V136" s="134"/>
      <c r="W136" s="134"/>
      <c r="X136" s="134"/>
      <c r="Y136" s="134"/>
      <c r="Z136" s="134"/>
    </row>
    <row r="137" spans="1:26" ht="15.75" customHeight="1">
      <c r="A137" s="13" t="s">
        <v>4552</v>
      </c>
      <c r="B137" s="13" t="s">
        <v>4553</v>
      </c>
      <c r="C137" s="13" t="s">
        <v>1700</v>
      </c>
      <c r="D137" s="13" t="s">
        <v>4554</v>
      </c>
      <c r="E137" s="13" t="s">
        <v>4555</v>
      </c>
      <c r="F137" s="134" t="str">
        <f t="shared" si="0"/>
        <v/>
      </c>
      <c r="G137" s="134" t="str">
        <f t="shared" si="1"/>
        <v>COLUMBUS TRANSITIONAL CARE AND REHABILITATION</v>
      </c>
      <c r="H137" s="134"/>
      <c r="I137" s="134"/>
      <c r="J137" s="134"/>
      <c r="K137" s="134"/>
      <c r="L137" s="134"/>
      <c r="M137" s="134"/>
      <c r="N137" s="134"/>
      <c r="O137" s="134"/>
      <c r="P137" s="134"/>
      <c r="Q137" s="134"/>
      <c r="R137" s="134"/>
      <c r="S137" s="134"/>
      <c r="T137" s="134"/>
      <c r="U137" s="134"/>
      <c r="V137" s="134"/>
      <c r="W137" s="134"/>
      <c r="X137" s="134"/>
      <c r="Y137" s="134"/>
      <c r="Z137" s="134"/>
    </row>
    <row r="138" spans="1:26" ht="15.75" customHeight="1">
      <c r="A138" s="13" t="s">
        <v>4556</v>
      </c>
      <c r="B138" s="13" t="s">
        <v>4557</v>
      </c>
      <c r="C138" s="13" t="s">
        <v>1704</v>
      </c>
      <c r="D138" s="13" t="s">
        <v>4558</v>
      </c>
      <c r="E138" s="13" t="s">
        <v>4138</v>
      </c>
      <c r="F138" s="134" t="str">
        <f t="shared" si="0"/>
        <v/>
      </c>
      <c r="G138" s="134" t="str">
        <f t="shared" si="1"/>
        <v>COMMUNITY NURSING AND REHABILITATION CENTER</v>
      </c>
      <c r="H138" s="134"/>
      <c r="I138" s="134"/>
      <c r="J138" s="134"/>
      <c r="K138" s="134"/>
      <c r="L138" s="134"/>
      <c r="M138" s="134"/>
      <c r="N138" s="134"/>
      <c r="O138" s="134"/>
      <c r="P138" s="134"/>
      <c r="Q138" s="134"/>
      <c r="R138" s="134"/>
      <c r="S138" s="134"/>
      <c r="T138" s="134"/>
      <c r="U138" s="134"/>
      <c r="V138" s="134"/>
      <c r="W138" s="134"/>
      <c r="X138" s="134"/>
      <c r="Y138" s="134"/>
      <c r="Z138" s="134"/>
    </row>
    <row r="139" spans="1:26" ht="15.75" customHeight="1">
      <c r="A139" s="13" t="s">
        <v>4559</v>
      </c>
      <c r="B139" s="13" t="s">
        <v>4560</v>
      </c>
      <c r="C139" s="13" t="s">
        <v>4561</v>
      </c>
      <c r="D139" s="13" t="s">
        <v>4562</v>
      </c>
      <c r="E139" s="13" t="s">
        <v>4563</v>
      </c>
      <c r="F139" s="134" t="str">
        <f t="shared" si="0"/>
        <v/>
      </c>
      <c r="G139" s="134" t="str">
        <f t="shared" si="1"/>
        <v>COPPER TRACE HEALTH &amp; LIVING COMMUNITY</v>
      </c>
      <c r="H139" s="134"/>
      <c r="I139" s="134"/>
      <c r="J139" s="134"/>
      <c r="K139" s="134"/>
      <c r="L139" s="134"/>
      <c r="M139" s="134"/>
      <c r="N139" s="134"/>
      <c r="O139" s="134"/>
      <c r="P139" s="134"/>
      <c r="Q139" s="134"/>
      <c r="R139" s="134"/>
      <c r="S139" s="134"/>
      <c r="T139" s="134"/>
      <c r="U139" s="134"/>
      <c r="V139" s="134"/>
      <c r="W139" s="134"/>
      <c r="X139" s="134"/>
      <c r="Y139" s="134"/>
      <c r="Z139" s="134"/>
    </row>
    <row r="140" spans="1:26" ht="15.75" customHeight="1">
      <c r="A140" s="13" t="s">
        <v>4564</v>
      </c>
      <c r="B140" s="13" t="s">
        <v>4565</v>
      </c>
      <c r="C140" s="13" t="s">
        <v>4566</v>
      </c>
      <c r="D140" s="13" t="s">
        <v>4567</v>
      </c>
      <c r="E140" s="13" t="s">
        <v>4300</v>
      </c>
      <c r="F140" s="134" t="str">
        <f t="shared" si="0"/>
        <v/>
      </c>
      <c r="G140" s="134" t="str">
        <f t="shared" si="1"/>
        <v>CORE OF BEDFORD</v>
      </c>
      <c r="H140" s="134"/>
      <c r="I140" s="134"/>
      <c r="J140" s="134"/>
      <c r="K140" s="134"/>
      <c r="L140" s="134"/>
      <c r="M140" s="134"/>
      <c r="N140" s="134"/>
      <c r="O140" s="134"/>
      <c r="P140" s="134"/>
      <c r="Q140" s="134"/>
      <c r="R140" s="134"/>
      <c r="S140" s="134"/>
      <c r="T140" s="134"/>
      <c r="U140" s="134"/>
      <c r="V140" s="134"/>
      <c r="W140" s="134"/>
      <c r="X140" s="134"/>
      <c r="Y140" s="134"/>
      <c r="Z140" s="134"/>
    </row>
    <row r="141" spans="1:26" ht="15.75" customHeight="1">
      <c r="A141" s="13" t="s">
        <v>4568</v>
      </c>
      <c r="B141" s="13" t="s">
        <v>4569</v>
      </c>
      <c r="C141" s="13" t="s">
        <v>1714</v>
      </c>
      <c r="D141" s="13" t="s">
        <v>4570</v>
      </c>
      <c r="E141" s="13" t="s">
        <v>4571</v>
      </c>
      <c r="F141" s="134" t="str">
        <f t="shared" si="0"/>
        <v/>
      </c>
      <c r="G141" s="134" t="str">
        <f t="shared" si="1"/>
        <v>CORE OF DALE</v>
      </c>
      <c r="H141" s="134"/>
      <c r="I141" s="134"/>
      <c r="J141" s="134"/>
      <c r="K141" s="134"/>
      <c r="L141" s="134"/>
      <c r="M141" s="134"/>
      <c r="N141" s="134"/>
      <c r="O141" s="134"/>
      <c r="P141" s="134"/>
      <c r="Q141" s="134"/>
      <c r="R141" s="134"/>
      <c r="S141" s="134"/>
      <c r="T141" s="134"/>
      <c r="U141" s="134"/>
      <c r="V141" s="134"/>
      <c r="W141" s="134"/>
      <c r="X141" s="134"/>
      <c r="Y141" s="134"/>
      <c r="Z141" s="134"/>
    </row>
    <row r="142" spans="1:26" ht="15.75" customHeight="1">
      <c r="A142" s="13" t="s">
        <v>4572</v>
      </c>
      <c r="B142" s="13" t="s">
        <v>4573</v>
      </c>
      <c r="C142" s="13" t="s">
        <v>4574</v>
      </c>
      <c r="D142" s="13" t="s">
        <v>4575</v>
      </c>
      <c r="E142" s="13" t="s">
        <v>4576</v>
      </c>
      <c r="F142" s="134" t="str">
        <f t="shared" si="0"/>
        <v/>
      </c>
      <c r="G142" s="134" t="str">
        <f t="shared" si="1"/>
        <v>COUNTRY CHARM</v>
      </c>
      <c r="H142" s="134"/>
      <c r="I142" s="134"/>
      <c r="J142" s="134"/>
      <c r="K142" s="134"/>
      <c r="L142" s="134"/>
      <c r="M142" s="134"/>
      <c r="N142" s="134"/>
      <c r="O142" s="134"/>
      <c r="P142" s="134"/>
      <c r="Q142" s="134"/>
      <c r="R142" s="134"/>
      <c r="S142" s="134"/>
      <c r="T142" s="134"/>
      <c r="U142" s="134"/>
      <c r="V142" s="134"/>
      <c r="W142" s="134"/>
      <c r="X142" s="134"/>
      <c r="Y142" s="134"/>
      <c r="Z142" s="134"/>
    </row>
    <row r="143" spans="1:26" ht="15.75" customHeight="1">
      <c r="A143" s="13" t="s">
        <v>4577</v>
      </c>
      <c r="B143" s="13" t="s">
        <v>4578</v>
      </c>
      <c r="C143" s="13" t="s">
        <v>4579</v>
      </c>
      <c r="D143" s="13" t="s">
        <v>4580</v>
      </c>
      <c r="E143" s="13" t="s">
        <v>4581</v>
      </c>
      <c r="F143" s="134" t="str">
        <f t="shared" si="0"/>
        <v/>
      </c>
      <c r="G143" s="134" t="str">
        <f t="shared" si="1"/>
        <v>COUNTRYSIDE MANOR HEALTH &amp; LIVING COMMUNITY</v>
      </c>
      <c r="H143" s="134"/>
      <c r="I143" s="134"/>
      <c r="J143" s="134"/>
      <c r="K143" s="134"/>
      <c r="L143" s="134"/>
      <c r="M143" s="134"/>
      <c r="N143" s="134"/>
      <c r="O143" s="134"/>
      <c r="P143" s="134"/>
      <c r="Q143" s="134"/>
      <c r="R143" s="134"/>
      <c r="S143" s="134"/>
      <c r="T143" s="134"/>
      <c r="U143" s="134"/>
      <c r="V143" s="134"/>
      <c r="W143" s="134"/>
      <c r="X143" s="134"/>
      <c r="Y143" s="134"/>
      <c r="Z143" s="134"/>
    </row>
    <row r="144" spans="1:26" ht="15.75" customHeight="1">
      <c r="A144" s="13" t="s">
        <v>4582</v>
      </c>
      <c r="B144" s="13" t="s">
        <v>4583</v>
      </c>
      <c r="C144" s="13" t="s">
        <v>1720</v>
      </c>
      <c r="D144" s="13" t="s">
        <v>4584</v>
      </c>
      <c r="E144" s="13" t="s">
        <v>4207</v>
      </c>
      <c r="F144" s="134" t="str">
        <f t="shared" si="0"/>
        <v/>
      </c>
      <c r="G144" s="134" t="str">
        <f t="shared" si="1"/>
        <v>COUNTRYSIDE MEADOWS</v>
      </c>
      <c r="H144" s="134"/>
      <c r="I144" s="134"/>
      <c r="J144" s="134"/>
      <c r="K144" s="134"/>
      <c r="L144" s="134"/>
      <c r="M144" s="134"/>
      <c r="N144" s="134"/>
      <c r="O144" s="134"/>
      <c r="P144" s="134"/>
      <c r="Q144" s="134"/>
      <c r="R144" s="134"/>
      <c r="S144" s="134"/>
      <c r="T144" s="134"/>
      <c r="U144" s="134"/>
      <c r="V144" s="134"/>
      <c r="W144" s="134"/>
      <c r="X144" s="134"/>
      <c r="Y144" s="134"/>
      <c r="Z144" s="134"/>
    </row>
    <row r="145" spans="1:26" ht="15.75" customHeight="1">
      <c r="A145" s="13" t="s">
        <v>4585</v>
      </c>
      <c r="B145" s="13" t="s">
        <v>4586</v>
      </c>
      <c r="C145" s="13" t="s">
        <v>1724</v>
      </c>
      <c r="D145" s="13" t="s">
        <v>4587</v>
      </c>
      <c r="E145" s="13" t="s">
        <v>4588</v>
      </c>
      <c r="F145" s="134" t="str">
        <f t="shared" si="0"/>
        <v/>
      </c>
      <c r="G145" s="134" t="str">
        <f t="shared" si="1"/>
        <v>COURTYARD HEALTHCARE CENTER</v>
      </c>
      <c r="H145" s="134"/>
      <c r="I145" s="134"/>
      <c r="J145" s="134"/>
      <c r="K145" s="134"/>
      <c r="L145" s="134"/>
      <c r="M145" s="134"/>
      <c r="N145" s="134"/>
      <c r="O145" s="134"/>
      <c r="P145" s="134"/>
      <c r="Q145" s="134"/>
      <c r="R145" s="134"/>
      <c r="S145" s="134"/>
      <c r="T145" s="134"/>
      <c r="U145" s="134"/>
      <c r="V145" s="134"/>
      <c r="W145" s="134"/>
      <c r="X145" s="134"/>
      <c r="Y145" s="134"/>
      <c r="Z145" s="134"/>
    </row>
    <row r="146" spans="1:26" ht="15.75" customHeight="1">
      <c r="A146" s="13" t="s">
        <v>4589</v>
      </c>
      <c r="B146" s="13" t="s">
        <v>4590</v>
      </c>
      <c r="C146" s="13" t="s">
        <v>1728</v>
      </c>
      <c r="D146" s="13" t="s">
        <v>4591</v>
      </c>
      <c r="E146" s="13" t="s">
        <v>4083</v>
      </c>
      <c r="F146" s="134" t="str">
        <f t="shared" si="0"/>
        <v/>
      </c>
      <c r="G146" s="134" t="str">
        <f t="shared" si="1"/>
        <v>COVENTRY MEADOWS</v>
      </c>
      <c r="H146" s="134"/>
      <c r="I146" s="134"/>
      <c r="J146" s="134"/>
      <c r="K146" s="134"/>
      <c r="L146" s="134"/>
      <c r="M146" s="134"/>
      <c r="N146" s="134"/>
      <c r="O146" s="134"/>
      <c r="P146" s="134"/>
      <c r="Q146" s="134"/>
      <c r="R146" s="134"/>
      <c r="S146" s="134"/>
      <c r="T146" s="134"/>
      <c r="U146" s="134"/>
      <c r="V146" s="134"/>
      <c r="W146" s="134"/>
      <c r="X146" s="134"/>
      <c r="Y146" s="134"/>
      <c r="Z146" s="134"/>
    </row>
    <row r="147" spans="1:26" ht="15.75" customHeight="1">
      <c r="A147" s="13" t="s">
        <v>4592</v>
      </c>
      <c r="B147" s="13" t="s">
        <v>4593</v>
      </c>
      <c r="C147" s="13" t="s">
        <v>1728</v>
      </c>
      <c r="D147" s="13" t="s">
        <v>4594</v>
      </c>
      <c r="E147" s="13" t="s">
        <v>4083</v>
      </c>
      <c r="F147" s="134" t="str">
        <f t="shared" si="0"/>
        <v/>
      </c>
      <c r="G147" s="134" t="str">
        <f t="shared" si="1"/>
        <v>COVENTRY MEADOWS ASSISTED LIVING</v>
      </c>
      <c r="H147" s="134"/>
      <c r="I147" s="134"/>
      <c r="J147" s="134"/>
      <c r="K147" s="134"/>
      <c r="L147" s="134"/>
      <c r="M147" s="134"/>
      <c r="N147" s="134"/>
      <c r="O147" s="134"/>
      <c r="P147" s="134"/>
      <c r="Q147" s="134"/>
      <c r="R147" s="134"/>
      <c r="S147" s="134"/>
      <c r="T147" s="134"/>
      <c r="U147" s="134"/>
      <c r="V147" s="134"/>
      <c r="W147" s="134"/>
      <c r="X147" s="134"/>
      <c r="Y147" s="134"/>
      <c r="Z147" s="134"/>
    </row>
    <row r="148" spans="1:26" ht="15.75" customHeight="1">
      <c r="A148" s="13" t="s">
        <v>4595</v>
      </c>
      <c r="B148" s="13" t="s">
        <v>4596</v>
      </c>
      <c r="C148" s="13" t="s">
        <v>1733</v>
      </c>
      <c r="D148" s="13" t="s">
        <v>4597</v>
      </c>
      <c r="E148" s="13" t="s">
        <v>4598</v>
      </c>
      <c r="F148" s="134" t="str">
        <f t="shared" si="0"/>
        <v/>
      </c>
      <c r="G148" s="134" t="str">
        <f t="shared" si="1"/>
        <v>COVERED BRIDGE HEALTH CAMPUS</v>
      </c>
      <c r="H148" s="134"/>
      <c r="I148" s="134"/>
      <c r="J148" s="134"/>
      <c r="K148" s="134"/>
      <c r="L148" s="134"/>
      <c r="M148" s="134"/>
      <c r="N148" s="134"/>
      <c r="O148" s="134"/>
      <c r="P148" s="134"/>
      <c r="Q148" s="134"/>
      <c r="R148" s="134"/>
      <c r="S148" s="134"/>
      <c r="T148" s="134"/>
      <c r="U148" s="134"/>
      <c r="V148" s="134"/>
      <c r="W148" s="134"/>
      <c r="X148" s="134"/>
      <c r="Y148" s="134"/>
      <c r="Z148" s="134"/>
    </row>
    <row r="149" spans="1:26" ht="15.75" hidden="1" customHeight="1">
      <c r="A149" s="13" t="s">
        <v>4599</v>
      </c>
      <c r="B149" s="13" t="s">
        <v>4600</v>
      </c>
      <c r="C149" s="13" t="s">
        <v>4601</v>
      </c>
      <c r="D149" s="13" t="s">
        <v>4602</v>
      </c>
      <c r="E149" s="13" t="s">
        <v>4243</v>
      </c>
      <c r="F149" s="134" t="str">
        <f t="shared" si="0"/>
        <v/>
      </c>
      <c r="G149" s="134" t="str">
        <f t="shared" si="1"/>
        <v>CRAWFORDSVILLE BICKFORD COTTAGE LLC</v>
      </c>
      <c r="H149" s="134"/>
      <c r="I149" s="134"/>
      <c r="J149" s="134"/>
      <c r="K149" s="134"/>
      <c r="L149" s="134"/>
      <c r="M149" s="134"/>
      <c r="N149" s="134"/>
      <c r="O149" s="134"/>
      <c r="P149" s="134"/>
      <c r="Q149" s="134"/>
      <c r="R149" s="134"/>
      <c r="S149" s="134"/>
      <c r="T149" s="134"/>
      <c r="U149" s="134"/>
      <c r="V149" s="134"/>
      <c r="W149" s="134"/>
      <c r="X149" s="134"/>
      <c r="Y149" s="134"/>
      <c r="Z149" s="134"/>
    </row>
    <row r="150" spans="1:26" ht="15.75" customHeight="1">
      <c r="A150" s="13" t="s">
        <v>4603</v>
      </c>
      <c r="B150" s="13" t="s">
        <v>4604</v>
      </c>
      <c r="C150" s="13" t="s">
        <v>1737</v>
      </c>
      <c r="D150" s="13" t="s">
        <v>4605</v>
      </c>
      <c r="E150" s="13" t="s">
        <v>4174</v>
      </c>
      <c r="F150" s="134" t="str">
        <f t="shared" si="0"/>
        <v/>
      </c>
      <c r="G150" s="134" t="str">
        <f t="shared" si="1"/>
        <v>CREASY SPRINGS HEALTH CAMPUS</v>
      </c>
      <c r="H150" s="134"/>
      <c r="I150" s="134"/>
      <c r="J150" s="134"/>
      <c r="K150" s="134"/>
      <c r="L150" s="134"/>
      <c r="M150" s="134"/>
      <c r="N150" s="134"/>
      <c r="O150" s="134"/>
      <c r="P150" s="134"/>
      <c r="Q150" s="134"/>
      <c r="R150" s="134"/>
      <c r="S150" s="134"/>
      <c r="T150" s="134"/>
      <c r="U150" s="134"/>
      <c r="V150" s="134"/>
      <c r="W150" s="134"/>
      <c r="X150" s="134"/>
      <c r="Y150" s="134"/>
      <c r="Z150" s="134"/>
    </row>
    <row r="151" spans="1:26" ht="15.75" customHeight="1">
      <c r="A151" s="13" t="s">
        <v>4606</v>
      </c>
      <c r="B151" s="13" t="s">
        <v>4607</v>
      </c>
      <c r="C151" s="13" t="s">
        <v>1740</v>
      </c>
      <c r="D151" s="13" t="s">
        <v>4608</v>
      </c>
      <c r="E151" s="13" t="s">
        <v>4609</v>
      </c>
      <c r="F151" s="134" t="str">
        <f t="shared" si="0"/>
        <v/>
      </c>
      <c r="G151" s="134" t="str">
        <f t="shared" si="1"/>
        <v>CREEKSIDE HEALTH AND REHABILITATION CENTER</v>
      </c>
      <c r="H151" s="134"/>
      <c r="I151" s="134"/>
      <c r="J151" s="134"/>
      <c r="K151" s="134"/>
      <c r="L151" s="134"/>
      <c r="M151" s="134"/>
      <c r="N151" s="134"/>
      <c r="O151" s="134"/>
      <c r="P151" s="134"/>
      <c r="Q151" s="134"/>
      <c r="R151" s="134"/>
      <c r="S151" s="134"/>
      <c r="T151" s="134"/>
      <c r="U151" s="134"/>
      <c r="V151" s="134"/>
      <c r="W151" s="134"/>
      <c r="X151" s="134"/>
      <c r="Y151" s="134"/>
      <c r="Z151" s="134"/>
    </row>
    <row r="152" spans="1:26" ht="15.75" customHeight="1">
      <c r="A152" s="13" t="s">
        <v>4610</v>
      </c>
      <c r="B152" s="13" t="s">
        <v>4611</v>
      </c>
      <c r="C152" s="13" t="s">
        <v>1745</v>
      </c>
      <c r="D152" s="13" t="s">
        <v>4612</v>
      </c>
      <c r="E152" s="13" t="s">
        <v>4613</v>
      </c>
      <c r="F152" s="134" t="str">
        <f t="shared" si="0"/>
        <v/>
      </c>
      <c r="G152" s="134" t="str">
        <f t="shared" si="1"/>
        <v>CREEKSIDE VILLAGE</v>
      </c>
      <c r="H152" s="134"/>
      <c r="I152" s="134"/>
      <c r="J152" s="134"/>
      <c r="K152" s="134"/>
      <c r="L152" s="134"/>
      <c r="M152" s="134"/>
      <c r="N152" s="134"/>
      <c r="O152" s="134"/>
      <c r="P152" s="134"/>
      <c r="Q152" s="134"/>
      <c r="R152" s="134"/>
      <c r="S152" s="134"/>
      <c r="T152" s="134"/>
      <c r="U152" s="134"/>
      <c r="V152" s="134"/>
      <c r="W152" s="134"/>
      <c r="X152" s="134"/>
      <c r="Y152" s="134"/>
      <c r="Z152" s="134"/>
    </row>
    <row r="153" spans="1:26" ht="15.75" customHeight="1">
      <c r="A153" s="13" t="s">
        <v>4614</v>
      </c>
      <c r="B153" s="13" t="s">
        <v>4615</v>
      </c>
      <c r="C153" s="13" t="s">
        <v>4616</v>
      </c>
      <c r="D153" s="13" t="s">
        <v>4617</v>
      </c>
      <c r="E153" s="13" t="s">
        <v>4259</v>
      </c>
      <c r="F153" s="134" t="str">
        <f t="shared" si="0"/>
        <v/>
      </c>
      <c r="G153" s="134" t="str">
        <f t="shared" si="1"/>
        <v>CRESTWOOD VILLAGE SOUTH APARTMENTS LLC</v>
      </c>
      <c r="H153" s="134"/>
      <c r="I153" s="134"/>
      <c r="J153" s="134"/>
      <c r="K153" s="134"/>
      <c r="L153" s="134"/>
      <c r="M153" s="134"/>
      <c r="N153" s="134"/>
      <c r="O153" s="134"/>
      <c r="P153" s="134"/>
      <c r="Q153" s="134"/>
      <c r="R153" s="134"/>
      <c r="S153" s="134"/>
      <c r="T153" s="134"/>
      <c r="U153" s="134"/>
      <c r="V153" s="134"/>
      <c r="W153" s="134"/>
      <c r="X153" s="134"/>
      <c r="Y153" s="134"/>
      <c r="Z153" s="134"/>
    </row>
    <row r="154" spans="1:26" ht="15.75" customHeight="1">
      <c r="A154" s="13" t="s">
        <v>4618</v>
      </c>
      <c r="B154" s="13" t="s">
        <v>4619</v>
      </c>
      <c r="C154" s="13" t="s">
        <v>1750</v>
      </c>
      <c r="D154" s="13" t="s">
        <v>4620</v>
      </c>
      <c r="E154" s="13" t="s">
        <v>4288</v>
      </c>
      <c r="F154" s="134" t="str">
        <f t="shared" si="0"/>
        <v/>
      </c>
      <c r="G154" s="134" t="str">
        <f t="shared" si="1"/>
        <v>CROWN POINT CHRISTIAN VILLAGE</v>
      </c>
      <c r="H154" s="134"/>
      <c r="I154" s="134"/>
      <c r="J154" s="134"/>
      <c r="K154" s="134"/>
      <c r="L154" s="134"/>
      <c r="M154" s="134"/>
      <c r="N154" s="134"/>
      <c r="O154" s="134"/>
      <c r="P154" s="134"/>
      <c r="Q154" s="134"/>
      <c r="R154" s="134"/>
      <c r="S154" s="134"/>
      <c r="T154" s="134"/>
      <c r="U154" s="134"/>
      <c r="V154" s="134"/>
      <c r="W154" s="134"/>
      <c r="X154" s="134"/>
      <c r="Y154" s="134"/>
      <c r="Z154" s="134"/>
    </row>
    <row r="155" spans="1:26" ht="15.75" customHeight="1">
      <c r="A155" s="13" t="s">
        <v>4621</v>
      </c>
      <c r="B155" s="13" t="s">
        <v>4622</v>
      </c>
      <c r="C155" s="13" t="s">
        <v>4623</v>
      </c>
      <c r="D155" s="13" t="s">
        <v>4624</v>
      </c>
      <c r="E155" s="13" t="s">
        <v>4130</v>
      </c>
      <c r="F155" s="134" t="str">
        <f t="shared" si="0"/>
        <v/>
      </c>
      <c r="G155" s="134" t="str">
        <f t="shared" si="1"/>
        <v>CROWN POINTE SENIOR LIVING COMMUNITY</v>
      </c>
      <c r="H155" s="134"/>
      <c r="I155" s="134"/>
      <c r="J155" s="134"/>
      <c r="K155" s="134"/>
      <c r="L155" s="134"/>
      <c r="M155" s="134"/>
      <c r="N155" s="134"/>
      <c r="O155" s="134"/>
      <c r="P155" s="134"/>
      <c r="Q155" s="134"/>
      <c r="R155" s="134"/>
      <c r="S155" s="134"/>
      <c r="T155" s="134"/>
      <c r="U155" s="134"/>
      <c r="V155" s="134"/>
      <c r="W155" s="134"/>
      <c r="X155" s="134"/>
      <c r="Y155" s="134"/>
      <c r="Z155" s="134"/>
    </row>
    <row r="156" spans="1:26" ht="15.75" hidden="1" customHeight="1">
      <c r="A156" s="13" t="s">
        <v>4625</v>
      </c>
      <c r="B156" s="13" t="s">
        <v>4626</v>
      </c>
      <c r="C156" s="13" t="s">
        <v>4627</v>
      </c>
      <c r="D156" s="13" t="s">
        <v>4628</v>
      </c>
      <c r="E156" s="13" t="s">
        <v>4028</v>
      </c>
      <c r="F156" s="134" t="str">
        <f t="shared" si="0"/>
        <v/>
      </c>
      <c r="G156" s="134" t="str">
        <f t="shared" si="1"/>
        <v>CROWN SENIOR LIVING</v>
      </c>
      <c r="H156" s="134"/>
      <c r="I156" s="134"/>
      <c r="J156" s="134"/>
      <c r="K156" s="134"/>
      <c r="L156" s="134"/>
      <c r="M156" s="134"/>
      <c r="N156" s="134"/>
      <c r="O156" s="134"/>
      <c r="P156" s="134"/>
      <c r="Q156" s="134"/>
      <c r="R156" s="134"/>
      <c r="S156" s="134"/>
      <c r="T156" s="134"/>
      <c r="U156" s="134"/>
      <c r="V156" s="134"/>
      <c r="W156" s="134"/>
      <c r="X156" s="134"/>
      <c r="Y156" s="134"/>
      <c r="Z156" s="134"/>
    </row>
    <row r="157" spans="1:26" ht="15.75" customHeight="1">
      <c r="A157" s="13" t="s">
        <v>4629</v>
      </c>
      <c r="B157" s="13" t="s">
        <v>4630</v>
      </c>
      <c r="C157" s="13" t="s">
        <v>4631</v>
      </c>
      <c r="D157" s="13" t="s">
        <v>4632</v>
      </c>
      <c r="E157" s="13" t="s">
        <v>4255</v>
      </c>
      <c r="F157" s="134" t="str">
        <f t="shared" si="0"/>
        <v/>
      </c>
      <c r="G157" s="134" t="str">
        <f t="shared" si="1"/>
        <v>CROWNPOINTE OF ANDERSON</v>
      </c>
      <c r="H157" s="134"/>
      <c r="I157" s="134"/>
      <c r="J157" s="134"/>
      <c r="K157" s="134"/>
      <c r="L157" s="134"/>
      <c r="M157" s="134"/>
      <c r="N157" s="134"/>
      <c r="O157" s="134"/>
      <c r="P157" s="134"/>
      <c r="Q157" s="134"/>
      <c r="R157" s="134"/>
      <c r="S157" s="134"/>
      <c r="T157" s="134"/>
      <c r="U157" s="134"/>
      <c r="V157" s="134"/>
      <c r="W157" s="134"/>
      <c r="X157" s="134"/>
      <c r="Y157" s="134"/>
      <c r="Z157" s="134"/>
    </row>
    <row r="158" spans="1:26" ht="15.75" customHeight="1">
      <c r="A158" s="13" t="s">
        <v>4633</v>
      </c>
      <c r="B158" s="13" t="s">
        <v>4634</v>
      </c>
      <c r="C158" s="13" t="s">
        <v>4635</v>
      </c>
      <c r="D158" s="13" t="s">
        <v>4636</v>
      </c>
      <c r="E158" s="13" t="s">
        <v>4216</v>
      </c>
      <c r="F158" s="134" t="str">
        <f t="shared" si="0"/>
        <v/>
      </c>
      <c r="G158" s="134" t="str">
        <f t="shared" si="1"/>
        <v>CROWNPOINTE OF CARMEL</v>
      </c>
      <c r="H158" s="134"/>
      <c r="I158" s="134"/>
      <c r="J158" s="134"/>
      <c r="K158" s="134"/>
      <c r="L158" s="134"/>
      <c r="M158" s="134"/>
      <c r="N158" s="134"/>
      <c r="O158" s="134"/>
      <c r="P158" s="134"/>
      <c r="Q158" s="134"/>
      <c r="R158" s="134"/>
      <c r="S158" s="134"/>
      <c r="T158" s="134"/>
      <c r="U158" s="134"/>
      <c r="V158" s="134"/>
      <c r="W158" s="134"/>
      <c r="X158" s="134"/>
      <c r="Y158" s="134"/>
      <c r="Z158" s="134"/>
    </row>
    <row r="159" spans="1:26" ht="15.75" customHeight="1">
      <c r="A159" s="13" t="s">
        <v>4637</v>
      </c>
      <c r="B159" s="13" t="s">
        <v>4638</v>
      </c>
      <c r="C159" s="13" t="s">
        <v>4639</v>
      </c>
      <c r="D159" s="13" t="s">
        <v>4640</v>
      </c>
      <c r="E159" s="13" t="s">
        <v>4641</v>
      </c>
      <c r="F159" s="134" t="str">
        <f t="shared" si="0"/>
        <v/>
      </c>
      <c r="G159" s="134" t="str">
        <f t="shared" si="1"/>
        <v>CROWNPOINTE OF GREENFIELD</v>
      </c>
      <c r="H159" s="134"/>
      <c r="I159" s="134"/>
      <c r="J159" s="134"/>
      <c r="K159" s="134"/>
      <c r="L159" s="134"/>
      <c r="M159" s="134"/>
      <c r="N159" s="134"/>
      <c r="O159" s="134"/>
      <c r="P159" s="134"/>
      <c r="Q159" s="134"/>
      <c r="R159" s="134"/>
      <c r="S159" s="134"/>
      <c r="T159" s="134"/>
      <c r="U159" s="134"/>
      <c r="V159" s="134"/>
      <c r="W159" s="134"/>
      <c r="X159" s="134"/>
      <c r="Y159" s="134"/>
      <c r="Z159" s="134"/>
    </row>
    <row r="160" spans="1:26" ht="15.75" customHeight="1">
      <c r="A160" s="13" t="s">
        <v>4642</v>
      </c>
      <c r="B160" s="13" t="s">
        <v>4643</v>
      </c>
      <c r="C160" s="13" t="s">
        <v>4644</v>
      </c>
      <c r="D160" s="13" t="s">
        <v>4645</v>
      </c>
      <c r="E160" s="13" t="s">
        <v>4362</v>
      </c>
      <c r="F160" s="134" t="str">
        <f t="shared" si="0"/>
        <v/>
      </c>
      <c r="G160" s="134" t="str">
        <f t="shared" si="1"/>
        <v>CROWNPOINTE OF HARTFORD CITY</v>
      </c>
      <c r="H160" s="134"/>
      <c r="I160" s="134"/>
      <c r="J160" s="134"/>
      <c r="K160" s="134"/>
      <c r="L160" s="134"/>
      <c r="M160" s="134"/>
      <c r="N160" s="134"/>
      <c r="O160" s="134"/>
      <c r="P160" s="134"/>
      <c r="Q160" s="134"/>
      <c r="R160" s="134"/>
      <c r="S160" s="134"/>
      <c r="T160" s="134"/>
      <c r="U160" s="134"/>
      <c r="V160" s="134"/>
      <c r="W160" s="134"/>
      <c r="X160" s="134"/>
      <c r="Y160" s="134"/>
      <c r="Z160" s="134"/>
    </row>
    <row r="161" spans="1:26" ht="15.75" customHeight="1">
      <c r="A161" s="13" t="s">
        <v>4646</v>
      </c>
      <c r="B161" s="13" t="s">
        <v>4647</v>
      </c>
      <c r="C161" s="13" t="s">
        <v>4648</v>
      </c>
      <c r="D161" s="13" t="s">
        <v>4649</v>
      </c>
      <c r="E161" s="13" t="s">
        <v>4650</v>
      </c>
      <c r="F161" s="134" t="str">
        <f t="shared" si="0"/>
        <v/>
      </c>
      <c r="G161" s="134" t="str">
        <f t="shared" si="1"/>
        <v>CROWNPOINTE OF INDIANAPOLIS</v>
      </c>
      <c r="H161" s="134"/>
      <c r="I161" s="134"/>
      <c r="J161" s="134"/>
      <c r="K161" s="134"/>
      <c r="L161" s="134"/>
      <c r="M161" s="134"/>
      <c r="N161" s="134"/>
      <c r="O161" s="134"/>
      <c r="P161" s="134"/>
      <c r="Q161" s="134"/>
      <c r="R161" s="134"/>
      <c r="S161" s="134"/>
      <c r="T161" s="134"/>
      <c r="U161" s="134"/>
      <c r="V161" s="134"/>
      <c r="W161" s="134"/>
      <c r="X161" s="134"/>
      <c r="Y161" s="134"/>
      <c r="Z161" s="134"/>
    </row>
    <row r="162" spans="1:26" ht="15.75" customHeight="1">
      <c r="A162" s="13" t="s">
        <v>4651</v>
      </c>
      <c r="B162" s="13" t="s">
        <v>4652</v>
      </c>
      <c r="C162" s="13" t="s">
        <v>4653</v>
      </c>
      <c r="D162" s="13" t="s">
        <v>4654</v>
      </c>
      <c r="E162" s="13" t="s">
        <v>4655</v>
      </c>
      <c r="F162" s="134" t="str">
        <f t="shared" si="0"/>
        <v/>
      </c>
      <c r="G162" s="134" t="str">
        <f t="shared" si="1"/>
        <v>CROWNPOINTE OF LEBANON</v>
      </c>
      <c r="H162" s="134"/>
      <c r="I162" s="134"/>
      <c r="J162" s="134"/>
      <c r="K162" s="134"/>
      <c r="L162" s="134"/>
      <c r="M162" s="134"/>
      <c r="N162" s="134"/>
      <c r="O162" s="134"/>
      <c r="P162" s="134"/>
      <c r="Q162" s="134"/>
      <c r="R162" s="134"/>
      <c r="S162" s="134"/>
      <c r="T162" s="134"/>
      <c r="U162" s="134"/>
      <c r="V162" s="134"/>
      <c r="W162" s="134"/>
      <c r="X162" s="134"/>
      <c r="Y162" s="134"/>
      <c r="Z162" s="134"/>
    </row>
    <row r="163" spans="1:26" ht="15.75" customHeight="1">
      <c r="A163" s="13" t="s">
        <v>4656</v>
      </c>
      <c r="B163" s="13" t="s">
        <v>4657</v>
      </c>
      <c r="C163" s="13" t="s">
        <v>4658</v>
      </c>
      <c r="D163" s="13" t="s">
        <v>4659</v>
      </c>
      <c r="E163" s="13" t="s">
        <v>4660</v>
      </c>
      <c r="F163" s="134" t="str">
        <f t="shared" si="0"/>
        <v/>
      </c>
      <c r="G163" s="134" t="str">
        <f t="shared" si="1"/>
        <v>CROWNPOINTE OF PORTLAND</v>
      </c>
      <c r="H163" s="134"/>
      <c r="I163" s="134"/>
      <c r="J163" s="134"/>
      <c r="K163" s="134"/>
      <c r="L163" s="134"/>
      <c r="M163" s="134"/>
      <c r="N163" s="134"/>
      <c r="O163" s="134"/>
      <c r="P163" s="134"/>
      <c r="Q163" s="134"/>
      <c r="R163" s="134"/>
      <c r="S163" s="134"/>
      <c r="T163" s="134"/>
      <c r="U163" s="134"/>
      <c r="V163" s="134"/>
      <c r="W163" s="134"/>
      <c r="X163" s="134"/>
      <c r="Y163" s="134"/>
      <c r="Z163" s="134"/>
    </row>
    <row r="164" spans="1:26" ht="15.75" customHeight="1">
      <c r="A164" s="13" t="s">
        <v>4661</v>
      </c>
      <c r="B164" s="13" t="s">
        <v>4662</v>
      </c>
      <c r="C164" s="13" t="s">
        <v>1754</v>
      </c>
      <c r="D164" s="13" t="s">
        <v>4663</v>
      </c>
      <c r="E164" s="13" t="s">
        <v>4664</v>
      </c>
      <c r="F164" s="134" t="str">
        <f t="shared" si="0"/>
        <v/>
      </c>
      <c r="G164" s="134" t="str">
        <f t="shared" si="1"/>
        <v>CUMBERLAND POINTE HEALTH CAMPUS</v>
      </c>
      <c r="H164" s="134"/>
      <c r="I164" s="134"/>
      <c r="J164" s="134"/>
      <c r="K164" s="134"/>
      <c r="L164" s="134"/>
      <c r="M164" s="134"/>
      <c r="N164" s="134"/>
      <c r="O164" s="134"/>
      <c r="P164" s="134"/>
      <c r="Q164" s="134"/>
      <c r="R164" s="134"/>
      <c r="S164" s="134"/>
      <c r="T164" s="134"/>
      <c r="U164" s="134"/>
      <c r="V164" s="134"/>
      <c r="W164" s="134"/>
      <c r="X164" s="134"/>
      <c r="Y164" s="134"/>
      <c r="Z164" s="134"/>
    </row>
    <row r="165" spans="1:26" ht="15.75" customHeight="1">
      <c r="A165" s="13" t="s">
        <v>4665</v>
      </c>
      <c r="B165" s="13" t="s">
        <v>4666</v>
      </c>
      <c r="C165" s="13" t="s">
        <v>4667</v>
      </c>
      <c r="D165" s="13" t="s">
        <v>4668</v>
      </c>
      <c r="E165" s="13" t="s">
        <v>4669</v>
      </c>
      <c r="F165" s="134" t="str">
        <f t="shared" si="0"/>
        <v/>
      </c>
      <c r="G165" s="134" t="str">
        <f t="shared" si="1"/>
        <v>CUMBERLAND TRACE HEALTH &amp; LIVING COMMUNITY</v>
      </c>
      <c r="H165" s="134"/>
      <c r="I165" s="134"/>
      <c r="J165" s="134"/>
      <c r="K165" s="134"/>
      <c r="L165" s="134"/>
      <c r="M165" s="134"/>
      <c r="N165" s="134"/>
      <c r="O165" s="134"/>
      <c r="P165" s="134"/>
      <c r="Q165" s="134"/>
      <c r="R165" s="134"/>
      <c r="S165" s="134"/>
      <c r="T165" s="134"/>
      <c r="U165" s="134"/>
      <c r="V165" s="134"/>
      <c r="W165" s="134"/>
      <c r="X165" s="134"/>
      <c r="Y165" s="134"/>
      <c r="Z165" s="134"/>
    </row>
    <row r="166" spans="1:26" ht="15.75" customHeight="1">
      <c r="A166" s="13" t="s">
        <v>4670</v>
      </c>
      <c r="B166" s="13" t="s">
        <v>4671</v>
      </c>
      <c r="C166" s="13" t="s">
        <v>1763</v>
      </c>
      <c r="D166" s="13" t="s">
        <v>4672</v>
      </c>
      <c r="E166" s="13" t="s">
        <v>4225</v>
      </c>
      <c r="F166" s="134" t="str">
        <f t="shared" si="0"/>
        <v/>
      </c>
      <c r="G166" s="134" t="str">
        <f t="shared" si="1"/>
        <v>CYPRESS GROVE REHABILITATION CENTER</v>
      </c>
      <c r="H166" s="134"/>
      <c r="I166" s="134"/>
      <c r="J166" s="134"/>
      <c r="K166" s="134"/>
      <c r="L166" s="134"/>
      <c r="M166" s="134"/>
      <c r="N166" s="134"/>
      <c r="O166" s="134"/>
      <c r="P166" s="134"/>
      <c r="Q166" s="134"/>
      <c r="R166" s="134"/>
      <c r="S166" s="134"/>
      <c r="T166" s="134"/>
      <c r="U166" s="134"/>
      <c r="V166" s="134"/>
      <c r="W166" s="134"/>
      <c r="X166" s="134"/>
      <c r="Y166" s="134"/>
      <c r="Z166" s="134"/>
    </row>
    <row r="167" spans="1:26" ht="15.75" customHeight="1">
      <c r="A167" s="13" t="s">
        <v>4673</v>
      </c>
      <c r="B167" s="13" t="s">
        <v>4674</v>
      </c>
      <c r="C167" s="13" t="s">
        <v>1768</v>
      </c>
      <c r="D167" s="13" t="s">
        <v>4675</v>
      </c>
      <c r="E167" s="13" t="s">
        <v>4676</v>
      </c>
      <c r="F167" s="134" t="str">
        <f t="shared" si="0"/>
        <v/>
      </c>
      <c r="G167" s="134" t="str">
        <f t="shared" si="1"/>
        <v>DANVILLE REGIONAL REHABILITATION</v>
      </c>
      <c r="H167" s="134"/>
      <c r="I167" s="134"/>
      <c r="J167" s="134"/>
      <c r="K167" s="134"/>
      <c r="L167" s="134"/>
      <c r="M167" s="134"/>
      <c r="N167" s="134"/>
      <c r="O167" s="134"/>
      <c r="P167" s="134"/>
      <c r="Q167" s="134"/>
      <c r="R167" s="134"/>
      <c r="S167" s="134"/>
      <c r="T167" s="134"/>
      <c r="U167" s="134"/>
      <c r="V167" s="134"/>
      <c r="W167" s="134"/>
      <c r="X167" s="134"/>
      <c r="Y167" s="134"/>
      <c r="Z167" s="134"/>
    </row>
    <row r="168" spans="1:26" ht="15.75" customHeight="1">
      <c r="A168" s="13" t="s">
        <v>4677</v>
      </c>
      <c r="B168" s="13" t="s">
        <v>4678</v>
      </c>
      <c r="C168" s="13" t="s">
        <v>1771</v>
      </c>
      <c r="D168" s="13" t="s">
        <v>4679</v>
      </c>
      <c r="E168" s="13" t="s">
        <v>4680</v>
      </c>
      <c r="F168" s="134" t="str">
        <f t="shared" si="0"/>
        <v/>
      </c>
      <c r="G168" s="134" t="str">
        <f t="shared" si="1"/>
        <v>DECATUR TOWNSHIP CENTER</v>
      </c>
      <c r="H168" s="134"/>
      <c r="I168" s="134"/>
      <c r="J168" s="134"/>
      <c r="K168" s="134"/>
      <c r="L168" s="134"/>
      <c r="M168" s="134"/>
      <c r="N168" s="134"/>
      <c r="O168" s="134"/>
      <c r="P168" s="134"/>
      <c r="Q168" s="134"/>
      <c r="R168" s="134"/>
      <c r="S168" s="134"/>
      <c r="T168" s="134"/>
      <c r="U168" s="134"/>
      <c r="V168" s="134"/>
      <c r="W168" s="134"/>
      <c r="X168" s="134"/>
      <c r="Y168" s="134"/>
      <c r="Z168" s="134"/>
    </row>
    <row r="169" spans="1:26" ht="15.75" hidden="1" customHeight="1">
      <c r="A169" s="13" t="s">
        <v>4681</v>
      </c>
      <c r="B169" s="13" t="s">
        <v>4682</v>
      </c>
      <c r="C169" s="13" t="s">
        <v>4683</v>
      </c>
      <c r="D169" s="13" t="s">
        <v>4684</v>
      </c>
      <c r="E169" s="13" t="s">
        <v>4159</v>
      </c>
      <c r="F169" s="134" t="str">
        <f t="shared" si="0"/>
        <v/>
      </c>
      <c r="G169" s="134" t="str">
        <f t="shared" si="1"/>
        <v>DEMAREE CROSSING ASSISTED LIVING AND MEMORY CARE</v>
      </c>
      <c r="H169" s="134"/>
      <c r="I169" s="134"/>
      <c r="J169" s="134"/>
      <c r="K169" s="134"/>
      <c r="L169" s="134"/>
      <c r="M169" s="134"/>
      <c r="N169" s="134"/>
      <c r="O169" s="134"/>
      <c r="P169" s="134"/>
      <c r="Q169" s="134"/>
      <c r="R169" s="134"/>
      <c r="S169" s="134"/>
      <c r="T169" s="134"/>
      <c r="U169" s="134"/>
      <c r="V169" s="134"/>
      <c r="W169" s="134"/>
      <c r="X169" s="134"/>
      <c r="Y169" s="134"/>
      <c r="Z169" s="134"/>
    </row>
    <row r="170" spans="1:26" ht="15.75" hidden="1" customHeight="1">
      <c r="A170" s="13" t="s">
        <v>4685</v>
      </c>
      <c r="B170" s="13" t="s">
        <v>4686</v>
      </c>
      <c r="C170" s="13" t="s">
        <v>4687</v>
      </c>
      <c r="D170" s="13" t="s">
        <v>4688</v>
      </c>
      <c r="E170" s="13" t="s">
        <v>4174</v>
      </c>
      <c r="F170" s="134" t="str">
        <f t="shared" si="0"/>
        <v/>
      </c>
      <c r="G170" s="134" t="str">
        <f t="shared" si="1"/>
        <v>DIGBY PLACE</v>
      </c>
      <c r="H170" s="134"/>
      <c r="I170" s="134"/>
      <c r="J170" s="134"/>
      <c r="K170" s="134"/>
      <c r="L170" s="134"/>
      <c r="M170" s="134"/>
      <c r="N170" s="134"/>
      <c r="O170" s="134"/>
      <c r="P170" s="134"/>
      <c r="Q170" s="134"/>
      <c r="R170" s="134"/>
      <c r="S170" s="134"/>
      <c r="T170" s="134"/>
      <c r="U170" s="134"/>
      <c r="V170" s="134"/>
      <c r="W170" s="134"/>
      <c r="X170" s="134"/>
      <c r="Y170" s="134"/>
      <c r="Z170" s="134"/>
    </row>
    <row r="171" spans="1:26" ht="15.75" customHeight="1">
      <c r="A171" s="13" t="s">
        <v>4689</v>
      </c>
      <c r="B171" s="13" t="s">
        <v>4690</v>
      </c>
      <c r="C171" s="13" t="s">
        <v>1774</v>
      </c>
      <c r="D171" s="13" t="s">
        <v>4691</v>
      </c>
      <c r="E171" s="13" t="s">
        <v>4195</v>
      </c>
      <c r="F171" s="134" t="str">
        <f t="shared" si="0"/>
        <v/>
      </c>
      <c r="G171" s="134" t="str">
        <f t="shared" si="1"/>
        <v>DIVERSICARE OF PROVIDENCE</v>
      </c>
      <c r="H171" s="134"/>
      <c r="I171" s="134"/>
      <c r="J171" s="134"/>
      <c r="K171" s="134"/>
      <c r="L171" s="134"/>
      <c r="M171" s="134"/>
      <c r="N171" s="134"/>
      <c r="O171" s="134"/>
      <c r="P171" s="134"/>
      <c r="Q171" s="134"/>
      <c r="R171" s="134"/>
      <c r="S171" s="134"/>
      <c r="T171" s="134"/>
      <c r="U171" s="134"/>
      <c r="V171" s="134"/>
      <c r="W171" s="134"/>
      <c r="X171" s="134"/>
      <c r="Y171" s="134"/>
      <c r="Z171" s="134"/>
    </row>
    <row r="172" spans="1:26" ht="15.75" customHeight="1">
      <c r="A172" s="13" t="s">
        <v>4692</v>
      </c>
      <c r="B172" s="13" t="s">
        <v>4693</v>
      </c>
      <c r="C172" s="13" t="s">
        <v>1778</v>
      </c>
      <c r="D172" s="13" t="s">
        <v>4694</v>
      </c>
      <c r="E172" s="13" t="s">
        <v>4695</v>
      </c>
      <c r="F172" s="134" t="str">
        <f t="shared" si="0"/>
        <v/>
      </c>
      <c r="G172" s="134" t="str">
        <f t="shared" si="1"/>
        <v>DYER NURSING AND REHABILITATION CENTER</v>
      </c>
      <c r="H172" s="134"/>
      <c r="I172" s="134"/>
      <c r="J172" s="134"/>
      <c r="K172" s="134"/>
      <c r="L172" s="134"/>
      <c r="M172" s="134"/>
      <c r="N172" s="134"/>
      <c r="O172" s="134"/>
      <c r="P172" s="134"/>
      <c r="Q172" s="134"/>
      <c r="R172" s="134"/>
      <c r="S172" s="134"/>
      <c r="T172" s="134"/>
      <c r="U172" s="134"/>
      <c r="V172" s="134"/>
      <c r="W172" s="134"/>
      <c r="X172" s="134"/>
      <c r="Y172" s="134"/>
      <c r="Z172" s="134"/>
    </row>
    <row r="173" spans="1:26" ht="15.75" customHeight="1">
      <c r="A173" s="13" t="s">
        <v>4696</v>
      </c>
      <c r="B173" s="13" t="s">
        <v>4697</v>
      </c>
      <c r="C173" s="13" t="s">
        <v>1783</v>
      </c>
      <c r="D173" s="13" t="s">
        <v>4698</v>
      </c>
      <c r="E173" s="13" t="s">
        <v>4305</v>
      </c>
      <c r="F173" s="134" t="str">
        <f t="shared" si="0"/>
        <v/>
      </c>
      <c r="G173" s="134" t="str">
        <f t="shared" si="1"/>
        <v>EAGLE CREEK HEALTHCARE CENTER</v>
      </c>
      <c r="H173" s="134"/>
      <c r="I173" s="134"/>
      <c r="J173" s="134"/>
      <c r="K173" s="134"/>
      <c r="L173" s="134"/>
      <c r="M173" s="134"/>
      <c r="N173" s="134"/>
      <c r="O173" s="134"/>
      <c r="P173" s="134"/>
      <c r="Q173" s="134"/>
      <c r="R173" s="134"/>
      <c r="S173" s="134"/>
      <c r="T173" s="134"/>
      <c r="U173" s="134"/>
      <c r="V173" s="134"/>
      <c r="W173" s="134"/>
      <c r="X173" s="134"/>
      <c r="Y173" s="134"/>
      <c r="Z173" s="134"/>
    </row>
    <row r="174" spans="1:26" ht="15.75" customHeight="1">
      <c r="A174" s="13" t="s">
        <v>4699</v>
      </c>
      <c r="B174" s="13" t="s">
        <v>4700</v>
      </c>
      <c r="C174" s="13" t="s">
        <v>1787</v>
      </c>
      <c r="D174" s="13" t="s">
        <v>4701</v>
      </c>
      <c r="E174" s="13" t="s">
        <v>4702</v>
      </c>
      <c r="F174" s="134" t="str">
        <f t="shared" si="0"/>
        <v/>
      </c>
      <c r="G174" s="134" t="str">
        <f t="shared" si="1"/>
        <v>EAGLE VALLEY MEADOWS</v>
      </c>
      <c r="H174" s="134"/>
      <c r="I174" s="134"/>
      <c r="J174" s="134"/>
      <c r="K174" s="134"/>
      <c r="L174" s="134"/>
      <c r="M174" s="134"/>
      <c r="N174" s="134"/>
      <c r="O174" s="134"/>
      <c r="P174" s="134"/>
      <c r="Q174" s="134"/>
      <c r="R174" s="134"/>
      <c r="S174" s="134"/>
      <c r="T174" s="134"/>
      <c r="U174" s="134"/>
      <c r="V174" s="134"/>
      <c r="W174" s="134"/>
      <c r="X174" s="134"/>
      <c r="Y174" s="134"/>
      <c r="Z174" s="134"/>
    </row>
    <row r="175" spans="1:26" ht="15.75" customHeight="1">
      <c r="A175" s="13" t="s">
        <v>4703</v>
      </c>
      <c r="B175" s="13" t="s">
        <v>4704</v>
      </c>
      <c r="C175" s="13" t="s">
        <v>1791</v>
      </c>
      <c r="D175" s="13" t="s">
        <v>4705</v>
      </c>
      <c r="E175" s="13" t="s">
        <v>4706</v>
      </c>
      <c r="F175" s="134" t="str">
        <f t="shared" si="0"/>
        <v/>
      </c>
      <c r="G175" s="134" t="str">
        <f t="shared" si="1"/>
        <v>EAST LAKE NURSING &amp; REHABILITATION CENTER</v>
      </c>
      <c r="H175" s="134"/>
      <c r="I175" s="134"/>
      <c r="J175" s="134"/>
      <c r="K175" s="134"/>
      <c r="L175" s="134"/>
      <c r="M175" s="134"/>
      <c r="N175" s="134"/>
      <c r="O175" s="134"/>
      <c r="P175" s="134"/>
      <c r="Q175" s="134"/>
      <c r="R175" s="134"/>
      <c r="S175" s="134"/>
      <c r="T175" s="134"/>
      <c r="U175" s="134"/>
      <c r="V175" s="134"/>
      <c r="W175" s="134"/>
      <c r="X175" s="134"/>
      <c r="Y175" s="134"/>
      <c r="Z175" s="134"/>
    </row>
    <row r="176" spans="1:26" ht="15.75" customHeight="1">
      <c r="A176" s="13" t="s">
        <v>4707</v>
      </c>
      <c r="B176" s="13" t="s">
        <v>4708</v>
      </c>
      <c r="C176" s="13" t="s">
        <v>1796</v>
      </c>
      <c r="D176" s="13" t="s">
        <v>4709</v>
      </c>
      <c r="E176" s="13" t="s">
        <v>4710</v>
      </c>
      <c r="F176" s="134" t="str">
        <f t="shared" si="0"/>
        <v/>
      </c>
      <c r="G176" s="134" t="str">
        <f t="shared" si="1"/>
        <v>EASTGATE MANOR NURSING AND REHABILITATION</v>
      </c>
      <c r="H176" s="134"/>
      <c r="I176" s="134"/>
      <c r="J176" s="134"/>
      <c r="K176" s="134"/>
      <c r="L176" s="134"/>
      <c r="M176" s="134"/>
      <c r="N176" s="134"/>
      <c r="O176" s="134"/>
      <c r="P176" s="134"/>
      <c r="Q176" s="134"/>
      <c r="R176" s="134"/>
      <c r="S176" s="134"/>
      <c r="T176" s="134"/>
      <c r="U176" s="134"/>
      <c r="V176" s="134"/>
      <c r="W176" s="134"/>
      <c r="X176" s="134"/>
      <c r="Y176" s="134"/>
      <c r="Z176" s="134"/>
    </row>
    <row r="177" spans="1:26" ht="15.75" customHeight="1">
      <c r="A177" s="13" t="s">
        <v>4711</v>
      </c>
      <c r="B177" s="13" t="s">
        <v>4712</v>
      </c>
      <c r="C177" s="13" t="s">
        <v>4713</v>
      </c>
      <c r="D177" s="13" t="s">
        <v>4714</v>
      </c>
      <c r="E177" s="13" t="s">
        <v>4706</v>
      </c>
      <c r="F177" s="134" t="str">
        <f t="shared" si="0"/>
        <v/>
      </c>
      <c r="G177" s="134" t="str">
        <f t="shared" si="1"/>
        <v>EASTLAKE TERRACE</v>
      </c>
      <c r="H177" s="134"/>
      <c r="I177" s="134"/>
      <c r="J177" s="134"/>
      <c r="K177" s="134"/>
      <c r="L177" s="134"/>
      <c r="M177" s="134"/>
      <c r="N177" s="134"/>
      <c r="O177" s="134"/>
      <c r="P177" s="134"/>
      <c r="Q177" s="134"/>
      <c r="R177" s="134"/>
      <c r="S177" s="134"/>
      <c r="T177" s="134"/>
      <c r="U177" s="134"/>
      <c r="V177" s="134"/>
      <c r="W177" s="134"/>
      <c r="X177" s="134"/>
      <c r="Y177" s="134"/>
      <c r="Z177" s="134"/>
    </row>
    <row r="178" spans="1:26" ht="15.75" customHeight="1">
      <c r="A178" s="13" t="s">
        <v>4715</v>
      </c>
      <c r="B178" s="13" t="s">
        <v>4716</v>
      </c>
      <c r="C178" s="13" t="s">
        <v>1800</v>
      </c>
      <c r="D178" s="13" t="s">
        <v>4717</v>
      </c>
      <c r="E178" s="13" t="s">
        <v>4718</v>
      </c>
      <c r="F178" s="134" t="str">
        <f t="shared" si="0"/>
        <v/>
      </c>
      <c r="G178" s="134" t="str">
        <f t="shared" si="1"/>
        <v>EDGEWATER WOODS</v>
      </c>
      <c r="H178" s="134"/>
      <c r="I178" s="134"/>
      <c r="J178" s="134"/>
      <c r="K178" s="134"/>
      <c r="L178" s="134"/>
      <c r="M178" s="134"/>
      <c r="N178" s="134"/>
      <c r="O178" s="134"/>
      <c r="P178" s="134"/>
      <c r="Q178" s="134"/>
      <c r="R178" s="134"/>
      <c r="S178" s="134"/>
      <c r="T178" s="134"/>
      <c r="U178" s="134"/>
      <c r="V178" s="134"/>
      <c r="W178" s="134"/>
      <c r="X178" s="134"/>
      <c r="Y178" s="134"/>
      <c r="Z178" s="134"/>
    </row>
    <row r="179" spans="1:26" ht="15.75" customHeight="1">
      <c r="A179" s="13" t="s">
        <v>4719</v>
      </c>
      <c r="B179" s="13" t="s">
        <v>4720</v>
      </c>
      <c r="C179" s="13" t="s">
        <v>1804</v>
      </c>
      <c r="D179" s="13" t="s">
        <v>4721</v>
      </c>
      <c r="E179" s="13" t="s">
        <v>4722</v>
      </c>
      <c r="F179" s="134" t="str">
        <f t="shared" si="0"/>
        <v/>
      </c>
      <c r="G179" s="134" t="str">
        <f t="shared" si="1"/>
        <v>ELKHART MEADOWS</v>
      </c>
      <c r="H179" s="134"/>
      <c r="I179" s="134"/>
      <c r="J179" s="134"/>
      <c r="K179" s="134"/>
      <c r="L179" s="134"/>
      <c r="M179" s="134"/>
      <c r="N179" s="134"/>
      <c r="O179" s="134"/>
      <c r="P179" s="134"/>
      <c r="Q179" s="134"/>
      <c r="R179" s="134"/>
      <c r="S179" s="134"/>
      <c r="T179" s="134"/>
      <c r="U179" s="134"/>
      <c r="V179" s="134"/>
      <c r="W179" s="134"/>
      <c r="X179" s="134"/>
      <c r="Y179" s="134"/>
      <c r="Z179" s="134"/>
    </row>
    <row r="180" spans="1:26" ht="15.75" customHeight="1">
      <c r="A180" s="13" t="s">
        <v>4723</v>
      </c>
      <c r="B180" s="13" t="s">
        <v>4724</v>
      </c>
      <c r="C180" s="13" t="s">
        <v>4725</v>
      </c>
      <c r="D180" s="13" t="s">
        <v>4726</v>
      </c>
      <c r="E180" s="13" t="s">
        <v>4722</v>
      </c>
      <c r="F180" s="134" t="str">
        <f t="shared" si="0"/>
        <v/>
      </c>
      <c r="G180" s="134" t="str">
        <f t="shared" si="1"/>
        <v>ELKHART PLACE</v>
      </c>
      <c r="H180" s="134"/>
      <c r="I180" s="134"/>
      <c r="J180" s="134"/>
      <c r="K180" s="134"/>
      <c r="L180" s="134"/>
      <c r="M180" s="134"/>
      <c r="N180" s="134"/>
      <c r="O180" s="134"/>
      <c r="P180" s="134"/>
      <c r="Q180" s="134"/>
      <c r="R180" s="134"/>
      <c r="S180" s="134"/>
      <c r="T180" s="134"/>
      <c r="U180" s="134"/>
      <c r="V180" s="134"/>
      <c r="W180" s="134"/>
      <c r="X180" s="134"/>
      <c r="Y180" s="134"/>
      <c r="Z180" s="134"/>
    </row>
    <row r="181" spans="1:26" ht="15.75" customHeight="1">
      <c r="A181" s="13" t="s">
        <v>4727</v>
      </c>
      <c r="B181" s="13" t="s">
        <v>4728</v>
      </c>
      <c r="C181" s="13" t="s">
        <v>4729</v>
      </c>
      <c r="D181" s="13" t="s">
        <v>4730</v>
      </c>
      <c r="E181" s="13" t="s">
        <v>4271</v>
      </c>
      <c r="F181" s="134" t="str">
        <f t="shared" si="0"/>
        <v/>
      </c>
      <c r="G181" s="134" t="str">
        <f t="shared" si="1"/>
        <v>ELMCROFT OF MUNCIE</v>
      </c>
      <c r="H181" s="134"/>
      <c r="I181" s="134"/>
      <c r="J181" s="134"/>
      <c r="K181" s="134"/>
      <c r="L181" s="134"/>
      <c r="M181" s="134"/>
      <c r="N181" s="134"/>
      <c r="O181" s="134"/>
      <c r="P181" s="134"/>
      <c r="Q181" s="134"/>
      <c r="R181" s="134"/>
      <c r="S181" s="134"/>
      <c r="T181" s="134"/>
      <c r="U181" s="134"/>
      <c r="V181" s="134"/>
      <c r="W181" s="134"/>
      <c r="X181" s="134"/>
      <c r="Y181" s="134"/>
      <c r="Z181" s="134"/>
    </row>
    <row r="182" spans="1:26" ht="15.75" customHeight="1">
      <c r="A182" s="13" t="s">
        <v>4731</v>
      </c>
      <c r="B182" s="13" t="s">
        <v>4732</v>
      </c>
      <c r="C182" s="13" t="s">
        <v>1810</v>
      </c>
      <c r="D182" s="13" t="s">
        <v>4733</v>
      </c>
      <c r="E182" s="13" t="s">
        <v>4734</v>
      </c>
      <c r="F182" s="134" t="str">
        <f t="shared" si="0"/>
        <v/>
      </c>
      <c r="G182" s="134" t="str">
        <f t="shared" si="1"/>
        <v>ELWOOD HEALTH AND LIVING</v>
      </c>
      <c r="H182" s="134"/>
      <c r="I182" s="134"/>
      <c r="J182" s="134"/>
      <c r="K182" s="134"/>
      <c r="L182" s="134"/>
      <c r="M182" s="134"/>
      <c r="N182" s="134"/>
      <c r="O182" s="134"/>
      <c r="P182" s="134"/>
      <c r="Q182" s="134"/>
      <c r="R182" s="134"/>
      <c r="S182" s="134"/>
      <c r="T182" s="134"/>
      <c r="U182" s="134"/>
      <c r="V182" s="134"/>
      <c r="W182" s="134"/>
      <c r="X182" s="134"/>
      <c r="Y182" s="134"/>
      <c r="Z182" s="134"/>
    </row>
    <row r="183" spans="1:26" ht="15.75" customHeight="1">
      <c r="A183" s="13" t="s">
        <v>4735</v>
      </c>
      <c r="B183" s="13" t="s">
        <v>4736</v>
      </c>
      <c r="C183" s="13" t="s">
        <v>4737</v>
      </c>
      <c r="D183" s="13" t="s">
        <v>4738</v>
      </c>
      <c r="E183" s="13" t="s">
        <v>4710</v>
      </c>
      <c r="F183" s="134" t="str">
        <f t="shared" si="0"/>
        <v/>
      </c>
      <c r="G183" s="134" t="str">
        <f t="shared" si="1"/>
        <v>EMERALD PLACE</v>
      </c>
      <c r="H183" s="134"/>
      <c r="I183" s="134"/>
      <c r="J183" s="134"/>
      <c r="K183" s="134"/>
      <c r="L183" s="134"/>
      <c r="M183" s="134"/>
      <c r="N183" s="134"/>
      <c r="O183" s="134"/>
      <c r="P183" s="134"/>
      <c r="Q183" s="134"/>
      <c r="R183" s="134"/>
      <c r="S183" s="134"/>
      <c r="T183" s="134"/>
      <c r="U183" s="134"/>
      <c r="V183" s="134"/>
      <c r="W183" s="134"/>
      <c r="X183" s="134"/>
      <c r="Y183" s="134"/>
      <c r="Z183" s="134"/>
    </row>
    <row r="184" spans="1:26" ht="15.75" customHeight="1">
      <c r="A184" s="13" t="s">
        <v>4739</v>
      </c>
      <c r="B184" s="13" t="s">
        <v>4740</v>
      </c>
      <c r="C184" s="13" t="s">
        <v>4741</v>
      </c>
      <c r="D184" s="13" t="s">
        <v>4742</v>
      </c>
      <c r="E184" s="13" t="s">
        <v>4743</v>
      </c>
      <c r="F184" s="134" t="str">
        <f t="shared" si="0"/>
        <v/>
      </c>
      <c r="G184" s="134" t="str">
        <f t="shared" si="1"/>
        <v>ENCLAVE SENIOR LIVING AT SAXONY, THE</v>
      </c>
      <c r="H184" s="134"/>
      <c r="I184" s="134"/>
      <c r="J184" s="134"/>
      <c r="K184" s="134"/>
      <c r="L184" s="134"/>
      <c r="M184" s="134"/>
      <c r="N184" s="134"/>
      <c r="O184" s="134"/>
      <c r="P184" s="134"/>
      <c r="Q184" s="134"/>
      <c r="R184" s="134"/>
      <c r="S184" s="134"/>
      <c r="T184" s="134"/>
      <c r="U184" s="134"/>
      <c r="V184" s="134"/>
      <c r="W184" s="134"/>
      <c r="X184" s="134"/>
      <c r="Y184" s="134"/>
      <c r="Z184" s="134"/>
    </row>
    <row r="185" spans="1:26" ht="15.75" customHeight="1">
      <c r="A185" s="13" t="s">
        <v>4744</v>
      </c>
      <c r="B185" s="13" t="s">
        <v>4745</v>
      </c>
      <c r="C185" s="13" t="s">
        <v>4746</v>
      </c>
      <c r="D185" s="13" t="s">
        <v>4747</v>
      </c>
      <c r="E185" s="13" t="s">
        <v>4748</v>
      </c>
      <c r="F185" s="134" t="str">
        <f t="shared" si="0"/>
        <v/>
      </c>
      <c r="G185" s="134" t="str">
        <f t="shared" si="1"/>
        <v>ENGLEWOOD HEALTH &amp; REHABILITATION CENTER</v>
      </c>
      <c r="H185" s="134"/>
      <c r="I185" s="134"/>
      <c r="J185" s="134"/>
      <c r="K185" s="134"/>
      <c r="L185" s="134"/>
      <c r="M185" s="134"/>
      <c r="N185" s="134"/>
      <c r="O185" s="134"/>
      <c r="P185" s="134"/>
      <c r="Q185" s="134"/>
      <c r="R185" s="134"/>
      <c r="S185" s="134"/>
      <c r="T185" s="134"/>
      <c r="U185" s="134"/>
      <c r="V185" s="134"/>
      <c r="W185" s="134"/>
      <c r="X185" s="134"/>
      <c r="Y185" s="134"/>
      <c r="Z185" s="134"/>
    </row>
    <row r="186" spans="1:26" ht="15.75" customHeight="1">
      <c r="A186" s="13" t="s">
        <v>4749</v>
      </c>
      <c r="B186" s="13" t="s">
        <v>4750</v>
      </c>
      <c r="C186" s="13" t="s">
        <v>1813</v>
      </c>
      <c r="D186" s="13" t="s">
        <v>4751</v>
      </c>
      <c r="E186" s="13" t="s">
        <v>4676</v>
      </c>
      <c r="F186" s="134" t="str">
        <f t="shared" si="0"/>
        <v/>
      </c>
      <c r="G186" s="134" t="str">
        <f t="shared" si="1"/>
        <v>ENMOTION RECOVERY CARE</v>
      </c>
      <c r="H186" s="134"/>
      <c r="I186" s="134"/>
      <c r="J186" s="134"/>
      <c r="K186" s="134"/>
      <c r="L186" s="134"/>
      <c r="M186" s="134"/>
      <c r="N186" s="134"/>
      <c r="O186" s="134"/>
      <c r="P186" s="134"/>
      <c r="Q186" s="134"/>
      <c r="R186" s="134"/>
      <c r="S186" s="134"/>
      <c r="T186" s="134"/>
      <c r="U186" s="134"/>
      <c r="V186" s="134"/>
      <c r="W186" s="134"/>
      <c r="X186" s="134"/>
      <c r="Y186" s="134"/>
      <c r="Z186" s="134"/>
    </row>
    <row r="187" spans="1:26" ht="15.75" customHeight="1">
      <c r="A187" s="13" t="s">
        <v>4752</v>
      </c>
      <c r="B187" s="13" t="s">
        <v>4753</v>
      </c>
      <c r="C187" s="13" t="s">
        <v>4754</v>
      </c>
      <c r="D187" s="13" t="s">
        <v>4755</v>
      </c>
      <c r="E187" s="13" t="s">
        <v>4146</v>
      </c>
      <c r="F187" s="134" t="str">
        <f t="shared" si="0"/>
        <v/>
      </c>
      <c r="G187" s="134" t="str">
        <f t="shared" si="1"/>
        <v>ESPECIALLY KIDZ HEALTH &amp; REHAB</v>
      </c>
      <c r="H187" s="134"/>
      <c r="I187" s="134"/>
      <c r="J187" s="134"/>
      <c r="K187" s="134"/>
      <c r="L187" s="134"/>
      <c r="M187" s="134"/>
      <c r="N187" s="134"/>
      <c r="O187" s="134"/>
      <c r="P187" s="134"/>
      <c r="Q187" s="134"/>
      <c r="R187" s="134"/>
      <c r="S187" s="134"/>
      <c r="T187" s="134"/>
      <c r="U187" s="134"/>
      <c r="V187" s="134"/>
      <c r="W187" s="134"/>
      <c r="X187" s="134"/>
      <c r="Y187" s="134"/>
      <c r="Z187" s="134"/>
    </row>
    <row r="188" spans="1:26" ht="15.75" customHeight="1">
      <c r="A188" s="13" t="s">
        <v>4756</v>
      </c>
      <c r="B188" s="13" t="s">
        <v>4757</v>
      </c>
      <c r="C188" s="13" t="s">
        <v>1819</v>
      </c>
      <c r="D188" s="13" t="s">
        <v>4758</v>
      </c>
      <c r="E188" s="13" t="s">
        <v>4655</v>
      </c>
      <c r="F188" s="134" t="str">
        <f t="shared" si="0"/>
        <v/>
      </c>
      <c r="G188" s="134" t="str">
        <f t="shared" si="1"/>
        <v>ESSEX NURSING AND REHABILITATION CENTER</v>
      </c>
      <c r="H188" s="134"/>
      <c r="I188" s="134"/>
      <c r="J188" s="134"/>
      <c r="K188" s="134"/>
      <c r="L188" s="134"/>
      <c r="M188" s="134"/>
      <c r="N188" s="134"/>
      <c r="O188" s="134"/>
      <c r="P188" s="134"/>
      <c r="Q188" s="134"/>
      <c r="R188" s="134"/>
      <c r="S188" s="134"/>
      <c r="T188" s="134"/>
      <c r="U188" s="134"/>
      <c r="V188" s="134"/>
      <c r="W188" s="134"/>
      <c r="X188" s="134"/>
      <c r="Y188" s="134"/>
      <c r="Z188" s="134"/>
    </row>
    <row r="189" spans="1:26" ht="15.75" customHeight="1">
      <c r="A189" s="13" t="s">
        <v>4759</v>
      </c>
      <c r="B189" s="13" t="s">
        <v>4760</v>
      </c>
      <c r="C189" s="13" t="s">
        <v>4761</v>
      </c>
      <c r="D189" s="13" t="s">
        <v>4762</v>
      </c>
      <c r="E189" s="13" t="s">
        <v>4763</v>
      </c>
      <c r="F189" s="134" t="str">
        <f t="shared" si="0"/>
        <v/>
      </c>
      <c r="G189" s="134" t="str">
        <f t="shared" si="1"/>
        <v>EVANSVILLE PROTESTANT HOME INC</v>
      </c>
      <c r="H189" s="134"/>
      <c r="I189" s="134"/>
      <c r="J189" s="134"/>
      <c r="K189" s="134"/>
      <c r="L189" s="134"/>
      <c r="M189" s="134"/>
      <c r="N189" s="134"/>
      <c r="O189" s="134"/>
      <c r="P189" s="134"/>
      <c r="Q189" s="134"/>
      <c r="R189" s="134"/>
      <c r="S189" s="134"/>
      <c r="T189" s="134"/>
      <c r="U189" s="134"/>
      <c r="V189" s="134"/>
      <c r="W189" s="134"/>
      <c r="X189" s="134"/>
      <c r="Y189" s="134"/>
      <c r="Z189" s="134"/>
    </row>
    <row r="190" spans="1:26" ht="15.75" customHeight="1">
      <c r="A190" s="13" t="s">
        <v>4764</v>
      </c>
      <c r="B190" s="13" t="s">
        <v>4765</v>
      </c>
      <c r="C190" s="13" t="s">
        <v>1829</v>
      </c>
      <c r="D190" s="13" t="s">
        <v>4766</v>
      </c>
      <c r="E190" s="13" t="s">
        <v>4305</v>
      </c>
      <c r="F190" s="134" t="str">
        <f t="shared" si="0"/>
        <v/>
      </c>
      <c r="G190" s="134" t="str">
        <f t="shared" si="1"/>
        <v>EVERGREEN CROSSING AND THE LOFTS</v>
      </c>
      <c r="H190" s="134"/>
      <c r="I190" s="134"/>
      <c r="J190" s="134"/>
      <c r="K190" s="134"/>
      <c r="L190" s="134"/>
      <c r="M190" s="134"/>
      <c r="N190" s="134"/>
      <c r="O190" s="134"/>
      <c r="P190" s="134"/>
      <c r="Q190" s="134"/>
      <c r="R190" s="134"/>
      <c r="S190" s="134"/>
      <c r="T190" s="134"/>
      <c r="U190" s="134"/>
      <c r="V190" s="134"/>
      <c r="W190" s="134"/>
      <c r="X190" s="134"/>
      <c r="Y190" s="134"/>
      <c r="Z190" s="134"/>
    </row>
    <row r="191" spans="1:26" ht="15.75" customHeight="1">
      <c r="A191" s="13" t="s">
        <v>4767</v>
      </c>
      <c r="B191" s="13" t="s">
        <v>4768</v>
      </c>
      <c r="C191" s="13" t="s">
        <v>4769</v>
      </c>
      <c r="D191" s="13" t="s">
        <v>4770</v>
      </c>
      <c r="E191" s="13" t="s">
        <v>4187</v>
      </c>
      <c r="F191" s="134" t="str">
        <f t="shared" si="0"/>
        <v/>
      </c>
      <c r="G191" s="134" t="str">
        <f t="shared" si="1"/>
        <v>EVERGREEN VILLAGE AT BLOOMINGTON</v>
      </c>
      <c r="H191" s="134"/>
      <c r="I191" s="134"/>
      <c r="J191" s="134"/>
      <c r="K191" s="134"/>
      <c r="L191" s="134"/>
      <c r="M191" s="134"/>
      <c r="N191" s="134"/>
      <c r="O191" s="134"/>
      <c r="P191" s="134"/>
      <c r="Q191" s="134"/>
      <c r="R191" s="134"/>
      <c r="S191" s="134"/>
      <c r="T191" s="134"/>
      <c r="U191" s="134"/>
      <c r="V191" s="134"/>
      <c r="W191" s="134"/>
      <c r="X191" s="134"/>
      <c r="Y191" s="134"/>
      <c r="Z191" s="134"/>
    </row>
    <row r="192" spans="1:26" ht="15.75" customHeight="1">
      <c r="A192" s="13" t="s">
        <v>4771</v>
      </c>
      <c r="B192" s="13" t="s">
        <v>4772</v>
      </c>
      <c r="C192" s="13" t="s">
        <v>4773</v>
      </c>
      <c r="D192" s="13" t="s">
        <v>4774</v>
      </c>
      <c r="E192" s="13" t="s">
        <v>4775</v>
      </c>
      <c r="F192" s="134" t="str">
        <f t="shared" si="0"/>
        <v/>
      </c>
      <c r="G192" s="134" t="str">
        <f t="shared" si="1"/>
        <v>EXCEPTIONAL LIVING CENTER OF BRAZIL</v>
      </c>
      <c r="H192" s="134"/>
      <c r="I192" s="134"/>
      <c r="J192" s="134"/>
      <c r="K192" s="134"/>
      <c r="L192" s="134"/>
      <c r="M192" s="134"/>
      <c r="N192" s="134"/>
      <c r="O192" s="134"/>
      <c r="P192" s="134"/>
      <c r="Q192" s="134"/>
      <c r="R192" s="134"/>
      <c r="S192" s="134"/>
      <c r="T192" s="134"/>
      <c r="U192" s="134"/>
      <c r="V192" s="134"/>
      <c r="W192" s="134"/>
      <c r="X192" s="134"/>
      <c r="Y192" s="134"/>
      <c r="Z192" s="134"/>
    </row>
    <row r="193" spans="1:26" ht="15.75" customHeight="1">
      <c r="A193" s="13" t="s">
        <v>4776</v>
      </c>
      <c r="B193" s="13" t="s">
        <v>4777</v>
      </c>
      <c r="C193" s="13" t="s">
        <v>1835</v>
      </c>
      <c r="D193" s="13" t="s">
        <v>4778</v>
      </c>
      <c r="E193" s="13" t="s">
        <v>4779</v>
      </c>
      <c r="F193" s="134" t="str">
        <f t="shared" si="0"/>
        <v/>
      </c>
      <c r="G193" s="134" t="str">
        <f t="shared" si="1"/>
        <v>FAIRWAY VILLAGE</v>
      </c>
      <c r="H193" s="134"/>
      <c r="I193" s="134"/>
      <c r="J193" s="134"/>
      <c r="K193" s="134"/>
      <c r="L193" s="134"/>
      <c r="M193" s="134"/>
      <c r="N193" s="134"/>
      <c r="O193" s="134"/>
      <c r="P193" s="134"/>
      <c r="Q193" s="134"/>
      <c r="R193" s="134"/>
      <c r="S193" s="134"/>
      <c r="T193" s="134"/>
      <c r="U193" s="134"/>
      <c r="V193" s="134"/>
      <c r="W193" s="134"/>
      <c r="X193" s="134"/>
      <c r="Y193" s="134"/>
      <c r="Z193" s="134"/>
    </row>
    <row r="194" spans="1:26" ht="15.75" customHeight="1">
      <c r="A194" s="13" t="s">
        <v>4780</v>
      </c>
      <c r="B194" s="13" t="s">
        <v>4781</v>
      </c>
      <c r="C194" s="13" t="s">
        <v>4782</v>
      </c>
      <c r="D194" s="13" t="s">
        <v>4783</v>
      </c>
      <c r="E194" s="13" t="s">
        <v>4259</v>
      </c>
      <c r="F194" s="134" t="str">
        <f t="shared" si="0"/>
        <v/>
      </c>
      <c r="G194" s="134" t="str">
        <f t="shared" si="1"/>
        <v>FIVE STAR RESIDENCES OF BANTA POINTE</v>
      </c>
      <c r="H194" s="134"/>
      <c r="I194" s="134"/>
      <c r="J194" s="134"/>
      <c r="K194" s="134"/>
      <c r="L194" s="134"/>
      <c r="M194" s="134"/>
      <c r="N194" s="134"/>
      <c r="O194" s="134"/>
      <c r="P194" s="134"/>
      <c r="Q194" s="134"/>
      <c r="R194" s="134"/>
      <c r="S194" s="134"/>
      <c r="T194" s="134"/>
      <c r="U194" s="134"/>
      <c r="V194" s="134"/>
      <c r="W194" s="134"/>
      <c r="X194" s="134"/>
      <c r="Y194" s="134"/>
      <c r="Z194" s="134"/>
    </row>
    <row r="195" spans="1:26" ht="15.75" customHeight="1">
      <c r="A195" s="13" t="s">
        <v>4784</v>
      </c>
      <c r="B195" s="13" t="s">
        <v>4785</v>
      </c>
      <c r="C195" s="13" t="s">
        <v>4786</v>
      </c>
      <c r="D195" s="13" t="s">
        <v>4787</v>
      </c>
      <c r="E195" s="13" t="s">
        <v>4028</v>
      </c>
      <c r="F195" s="134" t="str">
        <f t="shared" si="0"/>
        <v/>
      </c>
      <c r="G195" s="134" t="str">
        <f t="shared" si="1"/>
        <v>FIVE STAR RESIDENCES OF CLEARWATER</v>
      </c>
      <c r="H195" s="134"/>
      <c r="I195" s="134"/>
      <c r="J195" s="134"/>
      <c r="K195" s="134"/>
      <c r="L195" s="134"/>
      <c r="M195" s="134"/>
      <c r="N195" s="134"/>
      <c r="O195" s="134"/>
      <c r="P195" s="134"/>
      <c r="Q195" s="134"/>
      <c r="R195" s="134"/>
      <c r="S195" s="134"/>
      <c r="T195" s="134"/>
      <c r="U195" s="134"/>
      <c r="V195" s="134"/>
      <c r="W195" s="134"/>
      <c r="X195" s="134"/>
      <c r="Y195" s="134"/>
      <c r="Z195" s="134"/>
    </row>
    <row r="196" spans="1:26" ht="15.75" customHeight="1">
      <c r="A196" s="13" t="s">
        <v>4788</v>
      </c>
      <c r="B196" s="13" t="s">
        <v>4789</v>
      </c>
      <c r="C196" s="13" t="s">
        <v>4790</v>
      </c>
      <c r="D196" s="13" t="s">
        <v>4791</v>
      </c>
      <c r="E196" s="13" t="s">
        <v>4083</v>
      </c>
      <c r="F196" s="134" t="str">
        <f t="shared" si="0"/>
        <v/>
      </c>
      <c r="G196" s="134" t="str">
        <f t="shared" si="1"/>
        <v>FIVE STAR RESIDENCES OF FORT WAYNE</v>
      </c>
      <c r="H196" s="134"/>
      <c r="I196" s="134"/>
      <c r="J196" s="134"/>
      <c r="K196" s="134"/>
      <c r="L196" s="134"/>
      <c r="M196" s="134"/>
      <c r="N196" s="134"/>
      <c r="O196" s="134"/>
      <c r="P196" s="134"/>
      <c r="Q196" s="134"/>
      <c r="R196" s="134"/>
      <c r="S196" s="134"/>
      <c r="T196" s="134"/>
      <c r="U196" s="134"/>
      <c r="V196" s="134"/>
      <c r="W196" s="134"/>
      <c r="X196" s="134"/>
      <c r="Y196" s="134"/>
      <c r="Z196" s="134"/>
    </row>
    <row r="197" spans="1:26" ht="15.75" customHeight="1">
      <c r="A197" s="13" t="s">
        <v>4792</v>
      </c>
      <c r="B197" s="13" t="s">
        <v>4793</v>
      </c>
      <c r="C197" s="13" t="s">
        <v>4794</v>
      </c>
      <c r="D197" s="13" t="s">
        <v>4795</v>
      </c>
      <c r="E197" s="13" t="s">
        <v>4174</v>
      </c>
      <c r="F197" s="134" t="str">
        <f t="shared" si="0"/>
        <v/>
      </c>
      <c r="G197" s="134" t="str">
        <f t="shared" si="1"/>
        <v>FIVE STAR RESIDENCES OF LAFAYETTE</v>
      </c>
      <c r="H197" s="134"/>
      <c r="I197" s="134"/>
      <c r="J197" s="134"/>
      <c r="K197" s="134"/>
      <c r="L197" s="134"/>
      <c r="M197" s="134"/>
      <c r="N197" s="134"/>
      <c r="O197" s="134"/>
      <c r="P197" s="134"/>
      <c r="Q197" s="134"/>
      <c r="R197" s="134"/>
      <c r="S197" s="134"/>
      <c r="T197" s="134"/>
      <c r="U197" s="134"/>
      <c r="V197" s="134"/>
      <c r="W197" s="134"/>
      <c r="X197" s="134"/>
      <c r="Y197" s="134"/>
      <c r="Z197" s="134"/>
    </row>
    <row r="198" spans="1:26" ht="15.75" customHeight="1">
      <c r="A198" s="13" t="s">
        <v>4796</v>
      </c>
      <c r="B198" s="13" t="s">
        <v>4797</v>
      </c>
      <c r="C198" s="13" t="s">
        <v>4798</v>
      </c>
      <c r="D198" s="13" t="s">
        <v>4799</v>
      </c>
      <c r="E198" s="13" t="s">
        <v>4800</v>
      </c>
      <c r="F198" s="134" t="str">
        <f t="shared" si="0"/>
        <v/>
      </c>
      <c r="G198" s="134" t="str">
        <f t="shared" si="1"/>
        <v>FIVE STAR RESIDENCES OF NOBLESVILLE</v>
      </c>
      <c r="H198" s="134"/>
      <c r="I198" s="134"/>
      <c r="J198" s="134"/>
      <c r="K198" s="134"/>
      <c r="L198" s="134"/>
      <c r="M198" s="134"/>
      <c r="N198" s="134"/>
      <c r="O198" s="134"/>
      <c r="P198" s="134"/>
      <c r="Q198" s="134"/>
      <c r="R198" s="134"/>
      <c r="S198" s="134"/>
      <c r="T198" s="134"/>
      <c r="U198" s="134"/>
      <c r="V198" s="134"/>
      <c r="W198" s="134"/>
      <c r="X198" s="134"/>
      <c r="Y198" s="134"/>
      <c r="Z198" s="134"/>
    </row>
    <row r="199" spans="1:26" ht="15.75" customHeight="1">
      <c r="A199" s="13" t="s">
        <v>4801</v>
      </c>
      <c r="B199" s="13" t="s">
        <v>4802</v>
      </c>
      <c r="C199" s="13" t="s">
        <v>4803</v>
      </c>
      <c r="D199" s="13" t="s">
        <v>4804</v>
      </c>
      <c r="E199" s="13" t="s">
        <v>4805</v>
      </c>
      <c r="F199" s="134" t="str">
        <f t="shared" si="0"/>
        <v/>
      </c>
      <c r="G199" s="134" t="str">
        <f t="shared" si="1"/>
        <v>FIVE STAR RESIDENCES OF NORTHWOODS</v>
      </c>
      <c r="H199" s="134"/>
      <c r="I199" s="134"/>
      <c r="J199" s="134"/>
      <c r="K199" s="134"/>
      <c r="L199" s="134"/>
      <c r="M199" s="134"/>
      <c r="N199" s="134"/>
      <c r="O199" s="134"/>
      <c r="P199" s="134"/>
      <c r="Q199" s="134"/>
      <c r="R199" s="134"/>
      <c r="S199" s="134"/>
      <c r="T199" s="134"/>
      <c r="U199" s="134"/>
      <c r="V199" s="134"/>
      <c r="W199" s="134"/>
      <c r="X199" s="134"/>
      <c r="Y199" s="134"/>
      <c r="Z199" s="134"/>
    </row>
    <row r="200" spans="1:26" ht="15.75" customHeight="1">
      <c r="A200" s="13" t="s">
        <v>4806</v>
      </c>
      <c r="B200" s="13" t="s">
        <v>4807</v>
      </c>
      <c r="C200" s="13" t="s">
        <v>1840</v>
      </c>
      <c r="D200" s="13" t="s">
        <v>4808</v>
      </c>
      <c r="E200" s="13" t="s">
        <v>4809</v>
      </c>
      <c r="F200" s="134" t="str">
        <f t="shared" si="0"/>
        <v/>
      </c>
      <c r="G200" s="134" t="str">
        <f t="shared" si="1"/>
        <v>FLATROCK RIVER LODGE</v>
      </c>
      <c r="H200" s="134"/>
      <c r="I200" s="134"/>
      <c r="J200" s="134"/>
      <c r="K200" s="134"/>
      <c r="L200" s="134"/>
      <c r="M200" s="134"/>
      <c r="N200" s="134"/>
      <c r="O200" s="134"/>
      <c r="P200" s="134"/>
      <c r="Q200" s="134"/>
      <c r="R200" s="134"/>
      <c r="S200" s="134"/>
      <c r="T200" s="134"/>
      <c r="U200" s="134"/>
      <c r="V200" s="134"/>
      <c r="W200" s="134"/>
      <c r="X200" s="134"/>
      <c r="Y200" s="134"/>
      <c r="Z200" s="134"/>
    </row>
    <row r="201" spans="1:26" ht="15.75" customHeight="1">
      <c r="A201" s="13" t="s">
        <v>4810</v>
      </c>
      <c r="B201" s="13" t="s">
        <v>4811</v>
      </c>
      <c r="C201" s="13" t="s">
        <v>4812</v>
      </c>
      <c r="D201" s="13" t="s">
        <v>4813</v>
      </c>
      <c r="E201" s="13" t="s">
        <v>4259</v>
      </c>
      <c r="F201" s="134" t="str">
        <f t="shared" si="0"/>
        <v/>
      </c>
      <c r="G201" s="134" t="str">
        <f t="shared" si="1"/>
        <v>FOREST CREEK VILLAGE</v>
      </c>
      <c r="H201" s="134"/>
      <c r="I201" s="134"/>
      <c r="J201" s="134"/>
      <c r="K201" s="134"/>
      <c r="L201" s="134"/>
      <c r="M201" s="134"/>
      <c r="N201" s="134"/>
      <c r="O201" s="134"/>
      <c r="P201" s="134"/>
      <c r="Q201" s="134"/>
      <c r="R201" s="134"/>
      <c r="S201" s="134"/>
      <c r="T201" s="134"/>
      <c r="U201" s="134"/>
      <c r="V201" s="134"/>
      <c r="W201" s="134"/>
      <c r="X201" s="134"/>
      <c r="Y201" s="134"/>
      <c r="Z201" s="134"/>
    </row>
    <row r="202" spans="1:26" ht="15.75" customHeight="1">
      <c r="A202" s="13" t="s">
        <v>4814</v>
      </c>
      <c r="B202" s="13" t="s">
        <v>4815</v>
      </c>
      <c r="C202" s="13" t="s">
        <v>1846</v>
      </c>
      <c r="D202" s="13" t="s">
        <v>4816</v>
      </c>
      <c r="E202" s="13" t="s">
        <v>4134</v>
      </c>
      <c r="F202" s="134" t="str">
        <f t="shared" si="0"/>
        <v/>
      </c>
      <c r="G202" s="134" t="str">
        <f t="shared" si="1"/>
        <v>FOREST PARK HEALTH CAMPUS</v>
      </c>
      <c r="H202" s="134"/>
      <c r="I202" s="134"/>
      <c r="J202" s="134"/>
      <c r="K202" s="134"/>
      <c r="L202" s="134"/>
      <c r="M202" s="134"/>
      <c r="N202" s="134"/>
      <c r="O202" s="134"/>
      <c r="P202" s="134"/>
      <c r="Q202" s="134"/>
      <c r="R202" s="134"/>
      <c r="S202" s="134"/>
      <c r="T202" s="134"/>
      <c r="U202" s="134"/>
      <c r="V202" s="134"/>
      <c r="W202" s="134"/>
      <c r="X202" s="134"/>
      <c r="Y202" s="134"/>
      <c r="Z202" s="134"/>
    </row>
    <row r="203" spans="1:26" ht="15.75" customHeight="1">
      <c r="A203" s="13" t="s">
        <v>4817</v>
      </c>
      <c r="B203" s="13" t="s">
        <v>4818</v>
      </c>
      <c r="C203" s="13" t="s">
        <v>1848</v>
      </c>
      <c r="D203" s="13" t="s">
        <v>4819</v>
      </c>
      <c r="E203" s="13" t="s">
        <v>4820</v>
      </c>
      <c r="F203" s="134" t="str">
        <f t="shared" si="0"/>
        <v/>
      </c>
      <c r="G203" s="134" t="str">
        <f t="shared" si="1"/>
        <v>FORUM AT THE CROSSING</v>
      </c>
      <c r="H203" s="134"/>
      <c r="I203" s="134"/>
      <c r="J203" s="134"/>
      <c r="K203" s="134"/>
      <c r="L203" s="134"/>
      <c r="M203" s="134"/>
      <c r="N203" s="134"/>
      <c r="O203" s="134"/>
      <c r="P203" s="134"/>
      <c r="Q203" s="134"/>
      <c r="R203" s="134"/>
      <c r="S203" s="134"/>
      <c r="T203" s="134"/>
      <c r="U203" s="134"/>
      <c r="V203" s="134"/>
      <c r="W203" s="134"/>
      <c r="X203" s="134"/>
      <c r="Y203" s="134"/>
      <c r="Z203" s="134"/>
    </row>
    <row r="204" spans="1:26" ht="15.75" customHeight="1">
      <c r="A204" s="13" t="s">
        <v>4821</v>
      </c>
      <c r="B204" s="13" t="s">
        <v>4822</v>
      </c>
      <c r="C204" s="13" t="s">
        <v>1852</v>
      </c>
      <c r="D204" s="13" t="s">
        <v>4823</v>
      </c>
      <c r="E204" s="13" t="s">
        <v>4824</v>
      </c>
      <c r="F204" s="134" t="str">
        <f t="shared" si="0"/>
        <v/>
      </c>
      <c r="G204" s="134" t="str">
        <f t="shared" si="1"/>
        <v>FOUR SEASONS RETIREMENT CENTER</v>
      </c>
      <c r="H204" s="134"/>
      <c r="I204" s="134"/>
      <c r="J204" s="134"/>
      <c r="K204" s="134"/>
      <c r="L204" s="134"/>
      <c r="M204" s="134"/>
      <c r="N204" s="134"/>
      <c r="O204" s="134"/>
      <c r="P204" s="134"/>
      <c r="Q204" s="134"/>
      <c r="R204" s="134"/>
      <c r="S204" s="134"/>
      <c r="T204" s="134"/>
      <c r="U204" s="134"/>
      <c r="V204" s="134"/>
      <c r="W204" s="134"/>
      <c r="X204" s="134"/>
      <c r="Y204" s="134"/>
      <c r="Z204" s="134"/>
    </row>
    <row r="205" spans="1:26" ht="15.75" customHeight="1">
      <c r="A205" s="13" t="s">
        <v>4825</v>
      </c>
      <c r="B205" s="13" t="s">
        <v>4826</v>
      </c>
      <c r="C205" s="13" t="s">
        <v>4827</v>
      </c>
      <c r="D205" s="13" t="s">
        <v>4828</v>
      </c>
      <c r="E205" s="13" t="s">
        <v>4829</v>
      </c>
      <c r="F205" s="134" t="str">
        <f t="shared" si="0"/>
        <v/>
      </c>
      <c r="G205" s="134" t="str">
        <f t="shared" si="1"/>
        <v>FRANCISCAN HEALTH ALTERNACARE</v>
      </c>
      <c r="H205" s="134"/>
      <c r="I205" s="134"/>
      <c r="J205" s="134"/>
      <c r="K205" s="134"/>
      <c r="L205" s="134"/>
      <c r="M205" s="134"/>
      <c r="N205" s="134"/>
      <c r="O205" s="134"/>
      <c r="P205" s="134"/>
      <c r="Q205" s="134"/>
      <c r="R205" s="134"/>
      <c r="S205" s="134"/>
      <c r="T205" s="134"/>
      <c r="U205" s="134"/>
      <c r="V205" s="134"/>
      <c r="W205" s="134"/>
      <c r="X205" s="134"/>
      <c r="Y205" s="134"/>
      <c r="Z205" s="134"/>
    </row>
    <row r="206" spans="1:26" ht="15.75" customHeight="1">
      <c r="A206" s="13" t="s">
        <v>4830</v>
      </c>
      <c r="B206" s="13" t="s">
        <v>4831</v>
      </c>
      <c r="C206" s="13" t="s">
        <v>1856</v>
      </c>
      <c r="D206" s="13" t="s">
        <v>4832</v>
      </c>
      <c r="E206" s="13" t="s">
        <v>4513</v>
      </c>
      <c r="F206" s="134" t="str">
        <f t="shared" si="0"/>
        <v/>
      </c>
      <c r="G206" s="134" t="str">
        <f t="shared" si="1"/>
        <v>FRANKLIN MEADOWS</v>
      </c>
      <c r="H206" s="134"/>
      <c r="I206" s="134"/>
      <c r="J206" s="134"/>
      <c r="K206" s="134"/>
      <c r="L206" s="134"/>
      <c r="M206" s="134"/>
      <c r="N206" s="134"/>
      <c r="O206" s="134"/>
      <c r="P206" s="134"/>
      <c r="Q206" s="134"/>
      <c r="R206" s="134"/>
      <c r="S206" s="134"/>
      <c r="T206" s="134"/>
      <c r="U206" s="134"/>
      <c r="V206" s="134"/>
      <c r="W206" s="134"/>
      <c r="X206" s="134"/>
      <c r="Y206" s="134"/>
      <c r="Z206" s="134"/>
    </row>
    <row r="207" spans="1:26" ht="15.75" customHeight="1">
      <c r="A207" s="13" t="s">
        <v>4833</v>
      </c>
      <c r="B207" s="13" t="s">
        <v>4834</v>
      </c>
      <c r="C207" s="13" t="s">
        <v>1863</v>
      </c>
      <c r="D207" s="13" t="s">
        <v>4835</v>
      </c>
      <c r="E207" s="13" t="s">
        <v>4836</v>
      </c>
      <c r="F207" s="134" t="str">
        <f t="shared" si="0"/>
        <v/>
      </c>
      <c r="G207" s="134" t="str">
        <f t="shared" si="1"/>
        <v>FREELANDVILLE COMMUNITY HOME</v>
      </c>
      <c r="H207" s="134"/>
      <c r="I207" s="134"/>
      <c r="J207" s="134"/>
      <c r="K207" s="134"/>
      <c r="L207" s="134"/>
      <c r="M207" s="134"/>
      <c r="N207" s="134"/>
      <c r="O207" s="134"/>
      <c r="P207" s="134"/>
      <c r="Q207" s="134"/>
      <c r="R207" s="134"/>
      <c r="S207" s="134"/>
      <c r="T207" s="134"/>
      <c r="U207" s="134"/>
      <c r="V207" s="134"/>
      <c r="W207" s="134"/>
      <c r="X207" s="134"/>
      <c r="Y207" s="134"/>
      <c r="Z207" s="134"/>
    </row>
    <row r="208" spans="1:26" ht="15.75" customHeight="1">
      <c r="A208" s="13" t="s">
        <v>4837</v>
      </c>
      <c r="B208" s="13" t="s">
        <v>4838</v>
      </c>
      <c r="C208" s="13" t="s">
        <v>1867</v>
      </c>
      <c r="D208" s="13" t="s">
        <v>4839</v>
      </c>
      <c r="E208" s="13" t="s">
        <v>4134</v>
      </c>
      <c r="F208" s="134" t="str">
        <f t="shared" si="0"/>
        <v/>
      </c>
      <c r="G208" s="134" t="str">
        <f t="shared" si="1"/>
        <v>FRIENDS FELLOWSHIP COMMUNITY</v>
      </c>
      <c r="H208" s="134"/>
      <c r="I208" s="134"/>
      <c r="J208" s="134"/>
      <c r="K208" s="134"/>
      <c r="L208" s="134"/>
      <c r="M208" s="134"/>
      <c r="N208" s="134"/>
      <c r="O208" s="134"/>
      <c r="P208" s="134"/>
      <c r="Q208" s="134"/>
      <c r="R208" s="134"/>
      <c r="S208" s="134"/>
      <c r="T208" s="134"/>
      <c r="U208" s="134"/>
      <c r="V208" s="134"/>
      <c r="W208" s="134"/>
      <c r="X208" s="134"/>
      <c r="Y208" s="134"/>
      <c r="Z208" s="134"/>
    </row>
    <row r="209" spans="1:26" ht="15.75" customHeight="1">
      <c r="A209" s="13" t="s">
        <v>4840</v>
      </c>
      <c r="B209" s="13" t="s">
        <v>4841</v>
      </c>
      <c r="C209" s="13" t="s">
        <v>1869</v>
      </c>
      <c r="D209" s="13" t="s">
        <v>4842</v>
      </c>
      <c r="E209" s="13" t="s">
        <v>4300</v>
      </c>
      <c r="F209" s="134" t="str">
        <f t="shared" si="0"/>
        <v/>
      </c>
      <c r="G209" s="134" t="str">
        <f t="shared" si="1"/>
        <v>GARDEN VILLA - BEDFORD</v>
      </c>
      <c r="H209" s="134"/>
      <c r="I209" s="134"/>
      <c r="J209" s="134"/>
      <c r="K209" s="134"/>
      <c r="L209" s="134"/>
      <c r="M209" s="134"/>
      <c r="N209" s="134"/>
      <c r="O209" s="134"/>
      <c r="P209" s="134"/>
      <c r="Q209" s="134"/>
      <c r="R209" s="134"/>
      <c r="S209" s="134"/>
      <c r="T209" s="134"/>
      <c r="U209" s="134"/>
      <c r="V209" s="134"/>
      <c r="W209" s="134"/>
      <c r="X209" s="134"/>
      <c r="Y209" s="134"/>
      <c r="Z209" s="134"/>
    </row>
    <row r="210" spans="1:26" ht="15.75" customHeight="1">
      <c r="A210" s="13" t="s">
        <v>4843</v>
      </c>
      <c r="B210" s="13" t="s">
        <v>4844</v>
      </c>
      <c r="C210" s="13" t="s">
        <v>1874</v>
      </c>
      <c r="D210" s="13" t="s">
        <v>4845</v>
      </c>
      <c r="E210" s="13" t="s">
        <v>4846</v>
      </c>
      <c r="F210" s="134" t="str">
        <f t="shared" si="0"/>
        <v/>
      </c>
      <c r="G210" s="134" t="str">
        <f t="shared" si="1"/>
        <v>GARDEN VILLA - BLOOMINGTON</v>
      </c>
      <c r="H210" s="134"/>
      <c r="I210" s="134"/>
      <c r="J210" s="134"/>
      <c r="K210" s="134"/>
      <c r="L210" s="134"/>
      <c r="M210" s="134"/>
      <c r="N210" s="134"/>
      <c r="O210" s="134"/>
      <c r="P210" s="134"/>
      <c r="Q210" s="134"/>
      <c r="R210" s="134"/>
      <c r="S210" s="134"/>
      <c r="T210" s="134"/>
      <c r="U210" s="134"/>
      <c r="V210" s="134"/>
      <c r="W210" s="134"/>
      <c r="X210" s="134"/>
      <c r="Y210" s="134"/>
      <c r="Z210" s="134"/>
    </row>
    <row r="211" spans="1:26" ht="15.75" customHeight="1">
      <c r="A211" s="13" t="s">
        <v>4847</v>
      </c>
      <c r="B211" s="13" t="s">
        <v>4848</v>
      </c>
      <c r="C211" s="13" t="s">
        <v>1878</v>
      </c>
      <c r="D211" s="13" t="s">
        <v>4849</v>
      </c>
      <c r="E211" s="13" t="s">
        <v>4355</v>
      </c>
      <c r="F211" s="134" t="str">
        <f t="shared" si="0"/>
        <v/>
      </c>
      <c r="G211" s="134" t="str">
        <f t="shared" si="1"/>
        <v>GENTLECARE OF VINCENNES</v>
      </c>
      <c r="H211" s="134"/>
      <c r="I211" s="134"/>
      <c r="J211" s="134"/>
      <c r="K211" s="134"/>
      <c r="L211" s="134"/>
      <c r="M211" s="134"/>
      <c r="N211" s="134"/>
      <c r="O211" s="134"/>
      <c r="P211" s="134"/>
      <c r="Q211" s="134"/>
      <c r="R211" s="134"/>
      <c r="S211" s="134"/>
      <c r="T211" s="134"/>
      <c r="U211" s="134"/>
      <c r="V211" s="134"/>
      <c r="W211" s="134"/>
      <c r="X211" s="134"/>
      <c r="Y211" s="134"/>
      <c r="Z211" s="134"/>
    </row>
    <row r="212" spans="1:26" ht="15.75" customHeight="1">
      <c r="A212" s="13" t="s">
        <v>4850</v>
      </c>
      <c r="B212" s="13" t="s">
        <v>4851</v>
      </c>
      <c r="C212" s="13" t="s">
        <v>4852</v>
      </c>
      <c r="D212" s="13" t="s">
        <v>4853</v>
      </c>
      <c r="E212" s="13" t="s">
        <v>4187</v>
      </c>
      <c r="F212" s="134" t="str">
        <f t="shared" si="0"/>
        <v/>
      </c>
      <c r="G212" s="134" t="str">
        <f t="shared" si="1"/>
        <v>GENTRY PARK</v>
      </c>
      <c r="H212" s="134"/>
      <c r="I212" s="134"/>
      <c r="J212" s="134"/>
      <c r="K212" s="134"/>
      <c r="L212" s="134"/>
      <c r="M212" s="134"/>
      <c r="N212" s="134"/>
      <c r="O212" s="134"/>
      <c r="P212" s="134"/>
      <c r="Q212" s="134"/>
      <c r="R212" s="134"/>
      <c r="S212" s="134"/>
      <c r="T212" s="134"/>
      <c r="U212" s="134"/>
      <c r="V212" s="134"/>
      <c r="W212" s="134"/>
      <c r="X212" s="134"/>
      <c r="Y212" s="134"/>
      <c r="Z212" s="134"/>
    </row>
    <row r="213" spans="1:26" ht="15.75" customHeight="1">
      <c r="A213" s="13" t="s">
        <v>4854</v>
      </c>
      <c r="B213" s="13" t="s">
        <v>4855</v>
      </c>
      <c r="C213" s="13" t="s">
        <v>1883</v>
      </c>
      <c r="D213" s="13" t="s">
        <v>4856</v>
      </c>
      <c r="E213" s="13" t="s">
        <v>4857</v>
      </c>
      <c r="F213" s="134" t="str">
        <f t="shared" si="0"/>
        <v/>
      </c>
      <c r="G213" s="134" t="str">
        <f t="shared" si="1"/>
        <v>GEORGE ADE MEMORIAL HEALTH CARE CENTER</v>
      </c>
      <c r="H213" s="134"/>
      <c r="I213" s="134"/>
      <c r="J213" s="134"/>
      <c r="K213" s="134"/>
      <c r="L213" s="134"/>
      <c r="M213" s="134"/>
      <c r="N213" s="134"/>
      <c r="O213" s="134"/>
      <c r="P213" s="134"/>
      <c r="Q213" s="134"/>
      <c r="R213" s="134"/>
      <c r="S213" s="134"/>
      <c r="T213" s="134"/>
      <c r="U213" s="134"/>
      <c r="V213" s="134"/>
      <c r="W213" s="134"/>
      <c r="X213" s="134"/>
      <c r="Y213" s="134"/>
      <c r="Z213" s="134"/>
    </row>
    <row r="214" spans="1:26" ht="15.75" hidden="1" customHeight="1">
      <c r="A214" s="13" t="s">
        <v>4858</v>
      </c>
      <c r="B214" s="13" t="s">
        <v>4859</v>
      </c>
      <c r="C214" s="13" t="s">
        <v>4860</v>
      </c>
      <c r="D214" s="13" t="s">
        <v>4861</v>
      </c>
      <c r="E214" s="13" t="s">
        <v>4379</v>
      </c>
      <c r="F214" s="134" t="str">
        <f t="shared" si="0"/>
        <v/>
      </c>
      <c r="G214" s="134" t="str">
        <f t="shared" si="1"/>
        <v>GEORGETOWN PLACE</v>
      </c>
      <c r="H214" s="134"/>
      <c r="I214" s="134"/>
      <c r="J214" s="134"/>
      <c r="K214" s="134"/>
      <c r="L214" s="134"/>
      <c r="M214" s="134"/>
      <c r="N214" s="134"/>
      <c r="O214" s="134"/>
      <c r="P214" s="134"/>
      <c r="Q214" s="134"/>
      <c r="R214" s="134"/>
      <c r="S214" s="134"/>
      <c r="T214" s="134"/>
      <c r="U214" s="134"/>
      <c r="V214" s="134"/>
      <c r="W214" s="134"/>
      <c r="X214" s="134"/>
      <c r="Y214" s="134"/>
      <c r="Z214" s="134"/>
    </row>
    <row r="215" spans="1:26" ht="15.75" customHeight="1">
      <c r="A215" s="13" t="s">
        <v>4862</v>
      </c>
      <c r="B215" s="13" t="s">
        <v>4863</v>
      </c>
      <c r="C215" s="13" t="s">
        <v>4864</v>
      </c>
      <c r="D215" s="13" t="s">
        <v>4865</v>
      </c>
      <c r="E215" s="13" t="s">
        <v>4866</v>
      </c>
      <c r="F215" s="134" t="str">
        <f t="shared" si="0"/>
        <v/>
      </c>
      <c r="G215" s="134" t="str">
        <f t="shared" si="1"/>
        <v>GI-XXXIV SUMMERS POINTE OPERATOR LLC</v>
      </c>
      <c r="H215" s="134"/>
      <c r="I215" s="134"/>
      <c r="J215" s="134"/>
      <c r="K215" s="134"/>
      <c r="L215" s="134"/>
      <c r="M215" s="134"/>
      <c r="N215" s="134"/>
      <c r="O215" s="134"/>
      <c r="P215" s="134"/>
      <c r="Q215" s="134"/>
      <c r="R215" s="134"/>
      <c r="S215" s="134"/>
      <c r="T215" s="134"/>
      <c r="U215" s="134"/>
      <c r="V215" s="134"/>
      <c r="W215" s="134"/>
      <c r="X215" s="134"/>
      <c r="Y215" s="134"/>
      <c r="Z215" s="134"/>
    </row>
    <row r="216" spans="1:26" ht="15.75" customHeight="1">
      <c r="A216" s="13" t="s">
        <v>4867</v>
      </c>
      <c r="B216" s="13" t="s">
        <v>4868</v>
      </c>
      <c r="C216" s="13" t="s">
        <v>4869</v>
      </c>
      <c r="D216" s="13" t="s">
        <v>4870</v>
      </c>
      <c r="E216" s="13" t="s">
        <v>4871</v>
      </c>
      <c r="F216" s="134" t="str">
        <f t="shared" si="0"/>
        <v/>
      </c>
      <c r="G216" s="134" t="str">
        <f t="shared" si="1"/>
        <v>GLASSWATER CREEK OF LAFAYETTE, LLC</v>
      </c>
      <c r="H216" s="134"/>
      <c r="I216" s="134"/>
      <c r="J216" s="134"/>
      <c r="K216" s="134"/>
      <c r="L216" s="134"/>
      <c r="M216" s="134"/>
      <c r="N216" s="134"/>
      <c r="O216" s="134"/>
      <c r="P216" s="134"/>
      <c r="Q216" s="134"/>
      <c r="R216" s="134"/>
      <c r="S216" s="134"/>
      <c r="T216" s="134"/>
      <c r="U216" s="134"/>
      <c r="V216" s="134"/>
      <c r="W216" s="134"/>
      <c r="X216" s="134"/>
      <c r="Y216" s="134"/>
      <c r="Z216" s="134"/>
    </row>
    <row r="217" spans="1:26" ht="15.75" customHeight="1">
      <c r="A217" s="13" t="s">
        <v>4872</v>
      </c>
      <c r="B217" s="13" t="s">
        <v>4873</v>
      </c>
      <c r="C217" s="13" t="s">
        <v>4874</v>
      </c>
      <c r="D217" s="13" t="s">
        <v>4875</v>
      </c>
      <c r="E217" s="13" t="s">
        <v>4669</v>
      </c>
      <c r="F217" s="134" t="str">
        <f t="shared" si="0"/>
        <v/>
      </c>
      <c r="G217" s="134" t="str">
        <f t="shared" si="1"/>
        <v>GLASSWATER CREEK OF PLAINFIELD</v>
      </c>
      <c r="H217" s="134"/>
      <c r="I217" s="134"/>
      <c r="J217" s="134"/>
      <c r="K217" s="134"/>
      <c r="L217" s="134"/>
      <c r="M217" s="134"/>
      <c r="N217" s="134"/>
      <c r="O217" s="134"/>
      <c r="P217" s="134"/>
      <c r="Q217" s="134"/>
      <c r="R217" s="134"/>
      <c r="S217" s="134"/>
      <c r="T217" s="134"/>
      <c r="U217" s="134"/>
      <c r="V217" s="134"/>
      <c r="W217" s="134"/>
      <c r="X217" s="134"/>
      <c r="Y217" s="134"/>
      <c r="Z217" s="134"/>
    </row>
    <row r="218" spans="1:26" ht="14.25" customHeight="1">
      <c r="A218" s="13" t="s">
        <v>4876</v>
      </c>
      <c r="B218" s="13" t="s">
        <v>4877</v>
      </c>
      <c r="C218" s="13" t="s">
        <v>1889</v>
      </c>
      <c r="D218" s="13" t="s">
        <v>4878</v>
      </c>
      <c r="E218" s="13" t="s">
        <v>4011</v>
      </c>
      <c r="F218" s="134" t="str">
        <f t="shared" si="0"/>
        <v/>
      </c>
      <c r="G218" s="134" t="str">
        <f t="shared" si="1"/>
        <v>GLEN OAKS HEALTH CAMPUS</v>
      </c>
      <c r="H218" s="134"/>
      <c r="I218" s="134"/>
      <c r="J218" s="134"/>
      <c r="K218" s="134"/>
      <c r="L218" s="134"/>
      <c r="M218" s="134"/>
      <c r="N218" s="134"/>
      <c r="O218" s="134"/>
      <c r="P218" s="134"/>
      <c r="Q218" s="134"/>
      <c r="R218" s="134"/>
      <c r="S218" s="134"/>
      <c r="T218" s="134"/>
      <c r="U218" s="134"/>
      <c r="V218" s="134"/>
      <c r="W218" s="134"/>
      <c r="X218" s="134"/>
      <c r="Y218" s="134"/>
      <c r="Z218" s="134"/>
    </row>
    <row r="219" spans="1:26" ht="15.75" customHeight="1">
      <c r="A219" s="13" t="s">
        <v>4879</v>
      </c>
      <c r="B219" s="13" t="s">
        <v>4880</v>
      </c>
      <c r="C219" s="13" t="s">
        <v>1893</v>
      </c>
      <c r="D219" s="13" t="s">
        <v>4881</v>
      </c>
      <c r="E219" s="13" t="s">
        <v>4126</v>
      </c>
      <c r="F219" s="134" t="str">
        <f t="shared" si="0"/>
        <v/>
      </c>
      <c r="G219" s="134" t="str">
        <f t="shared" si="1"/>
        <v>GLENBROOK REHABILITATION &amp; SKILLED NURSING CENTER</v>
      </c>
      <c r="H219" s="134"/>
      <c r="I219" s="134"/>
      <c r="J219" s="134"/>
      <c r="K219" s="134"/>
      <c r="L219" s="134"/>
      <c r="M219" s="134"/>
      <c r="N219" s="134"/>
      <c r="O219" s="134"/>
      <c r="P219" s="134"/>
      <c r="Q219" s="134"/>
      <c r="R219" s="134"/>
      <c r="S219" s="134"/>
      <c r="T219" s="134"/>
      <c r="U219" s="134"/>
      <c r="V219" s="134"/>
      <c r="W219" s="134"/>
      <c r="X219" s="134"/>
      <c r="Y219" s="134"/>
      <c r="Z219" s="134"/>
    </row>
    <row r="220" spans="1:26" ht="15.75" customHeight="1">
      <c r="A220" s="13" t="s">
        <v>4882</v>
      </c>
      <c r="B220" s="13" t="s">
        <v>4883</v>
      </c>
      <c r="C220" s="13" t="s">
        <v>1906</v>
      </c>
      <c r="D220" s="13" t="s">
        <v>4884</v>
      </c>
      <c r="E220" s="13" t="s">
        <v>3998</v>
      </c>
      <c r="F220" s="134" t="str">
        <f t="shared" si="0"/>
        <v/>
      </c>
      <c r="G220" s="134" t="str">
        <f t="shared" si="1"/>
        <v>GOLDEN LIVING CENTER - WILLOW SPRINGS</v>
      </c>
      <c r="H220" s="134"/>
      <c r="I220" s="134"/>
      <c r="J220" s="134"/>
      <c r="K220" s="134"/>
      <c r="L220" s="134"/>
      <c r="M220" s="134"/>
      <c r="N220" s="134"/>
      <c r="O220" s="134"/>
      <c r="P220" s="134"/>
      <c r="Q220" s="134"/>
      <c r="R220" s="134"/>
      <c r="S220" s="134"/>
      <c r="T220" s="134"/>
      <c r="U220" s="134"/>
      <c r="V220" s="134"/>
      <c r="W220" s="134"/>
      <c r="X220" s="134"/>
      <c r="Y220" s="134"/>
      <c r="Z220" s="134"/>
    </row>
    <row r="221" spans="1:26" ht="15.75" customHeight="1">
      <c r="A221" s="13" t="s">
        <v>4885</v>
      </c>
      <c r="B221" s="13" t="s">
        <v>4886</v>
      </c>
      <c r="C221" s="13" t="s">
        <v>1914</v>
      </c>
      <c r="D221" s="13" t="s">
        <v>4887</v>
      </c>
      <c r="E221" s="13" t="s">
        <v>4187</v>
      </c>
      <c r="F221" s="134" t="str">
        <f t="shared" si="0"/>
        <v/>
      </c>
      <c r="G221" s="134" t="str">
        <f t="shared" si="1"/>
        <v>GOLDEN LIVING CENTER-BLOOMINGTON</v>
      </c>
      <c r="H221" s="134"/>
      <c r="I221" s="134"/>
      <c r="J221" s="134"/>
      <c r="K221" s="134"/>
      <c r="L221" s="134"/>
      <c r="M221" s="134"/>
      <c r="N221" s="134"/>
      <c r="O221" s="134"/>
      <c r="P221" s="134"/>
      <c r="Q221" s="134"/>
      <c r="R221" s="134"/>
      <c r="S221" s="134"/>
      <c r="T221" s="134"/>
      <c r="U221" s="134"/>
      <c r="V221" s="134"/>
      <c r="W221" s="134"/>
      <c r="X221" s="134"/>
      <c r="Y221" s="134"/>
      <c r="Z221" s="134"/>
    </row>
    <row r="222" spans="1:26" ht="15.75" customHeight="1">
      <c r="A222" s="13" t="s">
        <v>4888</v>
      </c>
      <c r="B222" s="13" t="s">
        <v>4889</v>
      </c>
      <c r="C222" s="13" t="s">
        <v>1920</v>
      </c>
      <c r="D222" s="13" t="s">
        <v>4890</v>
      </c>
      <c r="E222" s="13" t="s">
        <v>4641</v>
      </c>
      <c r="F222" s="134" t="str">
        <f t="shared" si="0"/>
        <v/>
      </c>
      <c r="G222" s="134" t="str">
        <f t="shared" si="1"/>
        <v>GOLDEN LIVING CENTER-BRANDYWINE</v>
      </c>
      <c r="H222" s="134"/>
      <c r="I222" s="134"/>
      <c r="J222" s="134"/>
      <c r="K222" s="134"/>
      <c r="L222" s="134"/>
      <c r="M222" s="134"/>
      <c r="N222" s="134"/>
      <c r="O222" s="134"/>
      <c r="P222" s="134"/>
      <c r="Q222" s="134"/>
      <c r="R222" s="134"/>
      <c r="S222" s="134"/>
      <c r="T222" s="134"/>
      <c r="U222" s="134"/>
      <c r="V222" s="134"/>
      <c r="W222" s="134"/>
      <c r="X222" s="134"/>
      <c r="Y222" s="134"/>
      <c r="Z222" s="134"/>
    </row>
    <row r="223" spans="1:26" ht="15.75" customHeight="1">
      <c r="A223" s="13" t="s">
        <v>4891</v>
      </c>
      <c r="B223" s="13" t="s">
        <v>4892</v>
      </c>
      <c r="C223" s="13" t="s">
        <v>1926</v>
      </c>
      <c r="D223" s="13" t="s">
        <v>4893</v>
      </c>
      <c r="E223" s="13" t="s">
        <v>4894</v>
      </c>
      <c r="F223" s="134" t="str">
        <f t="shared" si="0"/>
        <v/>
      </c>
      <c r="G223" s="134" t="str">
        <f t="shared" si="1"/>
        <v>GOLDEN LIVING CENTER-BRENTWOOD</v>
      </c>
      <c r="H223" s="134"/>
      <c r="I223" s="134"/>
      <c r="J223" s="134"/>
      <c r="K223" s="134"/>
      <c r="L223" s="134"/>
      <c r="M223" s="134"/>
      <c r="N223" s="134"/>
      <c r="O223" s="134"/>
      <c r="P223" s="134"/>
      <c r="Q223" s="134"/>
      <c r="R223" s="134"/>
      <c r="S223" s="134"/>
      <c r="T223" s="134"/>
      <c r="U223" s="134"/>
      <c r="V223" s="134"/>
      <c r="W223" s="134"/>
      <c r="X223" s="134"/>
      <c r="Y223" s="134"/>
      <c r="Z223" s="134"/>
    </row>
    <row r="224" spans="1:26" ht="15.75" customHeight="1">
      <c r="A224" s="13" t="s">
        <v>4895</v>
      </c>
      <c r="B224" s="13" t="s">
        <v>4896</v>
      </c>
      <c r="C224" s="13" t="s">
        <v>1930</v>
      </c>
      <c r="D224" s="13" t="s">
        <v>4897</v>
      </c>
      <c r="E224" s="13" t="s">
        <v>4650</v>
      </c>
      <c r="F224" s="134" t="str">
        <f t="shared" si="0"/>
        <v/>
      </c>
      <c r="G224" s="134" t="str">
        <f t="shared" si="1"/>
        <v>GOLDEN LIVING CENTER-BROOKVIEW</v>
      </c>
      <c r="H224" s="134"/>
      <c r="I224" s="134"/>
      <c r="J224" s="134"/>
      <c r="K224" s="134"/>
      <c r="L224" s="134"/>
      <c r="M224" s="134"/>
      <c r="N224" s="134"/>
      <c r="O224" s="134"/>
      <c r="P224" s="134"/>
      <c r="Q224" s="134"/>
      <c r="R224" s="134"/>
      <c r="S224" s="134"/>
      <c r="T224" s="134"/>
      <c r="U224" s="134"/>
      <c r="V224" s="134"/>
      <c r="W224" s="134"/>
      <c r="X224" s="134"/>
      <c r="Y224" s="134"/>
      <c r="Z224" s="134"/>
    </row>
    <row r="225" spans="1:26" ht="15.75" customHeight="1">
      <c r="A225" s="13" t="s">
        <v>4898</v>
      </c>
      <c r="B225" s="13" t="s">
        <v>4899</v>
      </c>
      <c r="C225" s="13" t="s">
        <v>1936</v>
      </c>
      <c r="D225" s="13" t="s">
        <v>4900</v>
      </c>
      <c r="E225" s="13" t="s">
        <v>4722</v>
      </c>
      <c r="F225" s="134" t="str">
        <f t="shared" si="0"/>
        <v/>
      </c>
      <c r="G225" s="134" t="str">
        <f t="shared" si="1"/>
        <v>GOLDEN LIVING CENTER-ELKHART</v>
      </c>
      <c r="H225" s="134"/>
      <c r="I225" s="134"/>
      <c r="J225" s="134"/>
      <c r="K225" s="134"/>
      <c r="L225" s="134"/>
      <c r="M225" s="134"/>
      <c r="N225" s="134"/>
      <c r="O225" s="134"/>
      <c r="P225" s="134"/>
      <c r="Q225" s="134"/>
      <c r="R225" s="134"/>
      <c r="S225" s="134"/>
      <c r="T225" s="134"/>
      <c r="U225" s="134"/>
      <c r="V225" s="134"/>
      <c r="W225" s="134"/>
      <c r="X225" s="134"/>
      <c r="Y225" s="134"/>
      <c r="Z225" s="134"/>
    </row>
    <row r="226" spans="1:26" ht="15.75" customHeight="1">
      <c r="A226" s="13" t="s">
        <v>4901</v>
      </c>
      <c r="B226" s="13" t="s">
        <v>4902</v>
      </c>
      <c r="C226" s="13" t="s">
        <v>4903</v>
      </c>
      <c r="D226" s="13" t="s">
        <v>4904</v>
      </c>
      <c r="E226" s="13" t="s">
        <v>4613</v>
      </c>
      <c r="F226" s="134" t="str">
        <f t="shared" si="0"/>
        <v/>
      </c>
      <c r="G226" s="134" t="str">
        <f t="shared" si="1"/>
        <v>GOLDEN LIVING CENTER-FOUNTAINVIEW</v>
      </c>
      <c r="H226" s="134"/>
      <c r="I226" s="134"/>
      <c r="J226" s="134"/>
      <c r="K226" s="134"/>
      <c r="L226" s="134"/>
      <c r="M226" s="134"/>
      <c r="N226" s="134"/>
      <c r="O226" s="134"/>
      <c r="P226" s="134"/>
      <c r="Q226" s="134"/>
      <c r="R226" s="134"/>
      <c r="S226" s="134"/>
      <c r="T226" s="134"/>
      <c r="U226" s="134"/>
      <c r="V226" s="134"/>
      <c r="W226" s="134"/>
      <c r="X226" s="134"/>
      <c r="Y226" s="134"/>
      <c r="Z226" s="134"/>
    </row>
    <row r="227" spans="1:26" ht="15.75" customHeight="1">
      <c r="A227" s="13" t="s">
        <v>4905</v>
      </c>
      <c r="B227" s="13" t="s">
        <v>4906</v>
      </c>
      <c r="C227" s="13" t="s">
        <v>1941</v>
      </c>
      <c r="D227" s="13" t="s">
        <v>4907</v>
      </c>
      <c r="E227" s="13" t="s">
        <v>4908</v>
      </c>
      <c r="F227" s="134" t="str">
        <f t="shared" si="0"/>
        <v/>
      </c>
      <c r="G227" s="134" t="str">
        <f t="shared" si="1"/>
        <v>GOLDEN LIVING CENTER-FOUNTAINVIEW PLACE</v>
      </c>
      <c r="H227" s="134"/>
      <c r="I227" s="134"/>
      <c r="J227" s="134"/>
      <c r="K227" s="134"/>
      <c r="L227" s="134"/>
      <c r="M227" s="134"/>
      <c r="N227" s="134"/>
      <c r="O227" s="134"/>
      <c r="P227" s="134"/>
      <c r="Q227" s="134"/>
      <c r="R227" s="134"/>
      <c r="S227" s="134"/>
      <c r="T227" s="134"/>
      <c r="U227" s="134"/>
      <c r="V227" s="134"/>
      <c r="W227" s="134"/>
      <c r="X227" s="134"/>
      <c r="Y227" s="134"/>
      <c r="Z227" s="134"/>
    </row>
    <row r="228" spans="1:26" ht="15.75" customHeight="1">
      <c r="A228" s="13" t="s">
        <v>4909</v>
      </c>
      <c r="B228" s="13" t="s">
        <v>4910</v>
      </c>
      <c r="C228" s="13" t="s">
        <v>1946</v>
      </c>
      <c r="D228" s="13" t="s">
        <v>4911</v>
      </c>
      <c r="E228" s="13" t="s">
        <v>4342</v>
      </c>
      <c r="F228" s="134" t="str">
        <f t="shared" si="0"/>
        <v/>
      </c>
      <c r="G228" s="134" t="str">
        <f t="shared" si="1"/>
        <v>GOLDEN LIVING CENTER-FOUNTAINVIEW TERRACE</v>
      </c>
      <c r="H228" s="134"/>
      <c r="I228" s="134"/>
      <c r="J228" s="134"/>
      <c r="K228" s="134"/>
      <c r="L228" s="134"/>
      <c r="M228" s="134"/>
      <c r="N228" s="134"/>
      <c r="O228" s="134"/>
      <c r="P228" s="134"/>
      <c r="Q228" s="134"/>
      <c r="R228" s="134"/>
      <c r="S228" s="134"/>
      <c r="T228" s="134"/>
      <c r="U228" s="134"/>
      <c r="V228" s="134"/>
      <c r="W228" s="134"/>
      <c r="X228" s="134"/>
      <c r="Y228" s="134"/>
      <c r="Z228" s="134"/>
    </row>
    <row r="229" spans="1:26" ht="15.75" customHeight="1">
      <c r="A229" s="13" t="s">
        <v>4912</v>
      </c>
      <c r="B229" s="13" t="s">
        <v>4913</v>
      </c>
      <c r="C229" s="13" t="s">
        <v>4914</v>
      </c>
      <c r="D229" s="13" t="s">
        <v>4915</v>
      </c>
      <c r="E229" s="13" t="s">
        <v>4134</v>
      </c>
      <c r="F229" s="134" t="str">
        <f t="shared" si="0"/>
        <v/>
      </c>
      <c r="G229" s="134" t="str">
        <f t="shared" si="1"/>
        <v>GOLDEN LIVING CENTER-GOLDEN RULE</v>
      </c>
      <c r="H229" s="134"/>
      <c r="I229" s="134"/>
      <c r="J229" s="134"/>
      <c r="K229" s="134"/>
      <c r="L229" s="134"/>
      <c r="M229" s="134"/>
      <c r="N229" s="134"/>
      <c r="O229" s="134"/>
      <c r="P229" s="134"/>
      <c r="Q229" s="134"/>
      <c r="R229" s="134"/>
      <c r="S229" s="134"/>
      <c r="T229" s="134"/>
      <c r="U229" s="134"/>
      <c r="V229" s="134"/>
      <c r="W229" s="134"/>
      <c r="X229" s="134"/>
      <c r="Y229" s="134"/>
      <c r="Z229" s="134"/>
    </row>
    <row r="230" spans="1:26" ht="15.75" customHeight="1">
      <c r="A230" s="13" t="s">
        <v>4916</v>
      </c>
      <c r="B230" s="13" t="s">
        <v>4917</v>
      </c>
      <c r="C230" s="13" t="s">
        <v>4918</v>
      </c>
      <c r="D230" s="13" t="s">
        <v>4919</v>
      </c>
      <c r="E230" s="13" t="s">
        <v>4779</v>
      </c>
      <c r="F230" s="134" t="str">
        <f t="shared" si="0"/>
        <v/>
      </c>
      <c r="G230" s="134" t="str">
        <f t="shared" si="1"/>
        <v>GOLDEN LIVING CENTER-INDIANAPOLIS</v>
      </c>
      <c r="H230" s="134"/>
      <c r="I230" s="134"/>
      <c r="J230" s="134"/>
      <c r="K230" s="134"/>
      <c r="L230" s="134"/>
      <c r="M230" s="134"/>
      <c r="N230" s="134"/>
      <c r="O230" s="134"/>
      <c r="P230" s="134"/>
      <c r="Q230" s="134"/>
      <c r="R230" s="134"/>
      <c r="S230" s="134"/>
      <c r="T230" s="134"/>
      <c r="U230" s="134"/>
      <c r="V230" s="134"/>
      <c r="W230" s="134"/>
      <c r="X230" s="134"/>
      <c r="Y230" s="134"/>
      <c r="Z230" s="134"/>
    </row>
    <row r="231" spans="1:26" ht="15.75" customHeight="1">
      <c r="A231" s="13" t="s">
        <v>4920</v>
      </c>
      <c r="B231" s="13" t="s">
        <v>4921</v>
      </c>
      <c r="C231" s="13" t="s">
        <v>1951</v>
      </c>
      <c r="D231" s="13" t="s">
        <v>4922</v>
      </c>
      <c r="E231" s="13" t="s">
        <v>4923</v>
      </c>
      <c r="F231" s="134" t="str">
        <f t="shared" si="0"/>
        <v/>
      </c>
      <c r="G231" s="134" t="str">
        <f t="shared" si="1"/>
        <v>GOLDEN LIVING CENTER-KNOX</v>
      </c>
      <c r="H231" s="134"/>
      <c r="I231" s="134"/>
      <c r="J231" s="134"/>
      <c r="K231" s="134"/>
      <c r="L231" s="134"/>
      <c r="M231" s="134"/>
      <c r="N231" s="134"/>
      <c r="O231" s="134"/>
      <c r="P231" s="134"/>
      <c r="Q231" s="134"/>
      <c r="R231" s="134"/>
      <c r="S231" s="134"/>
      <c r="T231" s="134"/>
      <c r="U231" s="134"/>
      <c r="V231" s="134"/>
      <c r="W231" s="134"/>
      <c r="X231" s="134"/>
      <c r="Y231" s="134"/>
      <c r="Z231" s="134"/>
    </row>
    <row r="232" spans="1:26" ht="15.75" customHeight="1">
      <c r="A232" s="13" t="s">
        <v>4924</v>
      </c>
      <c r="B232" s="13" t="s">
        <v>4925</v>
      </c>
      <c r="C232" s="13" t="s">
        <v>1955</v>
      </c>
      <c r="D232" s="13" t="s">
        <v>4926</v>
      </c>
      <c r="E232" s="13" t="s">
        <v>4342</v>
      </c>
      <c r="F232" s="134" t="str">
        <f t="shared" si="0"/>
        <v/>
      </c>
      <c r="G232" s="134" t="str">
        <f t="shared" si="1"/>
        <v>GOLDEN LIVING CENTER-LAPORTE</v>
      </c>
      <c r="H232" s="134"/>
      <c r="I232" s="134"/>
      <c r="J232" s="134"/>
      <c r="K232" s="134"/>
      <c r="L232" s="134"/>
      <c r="M232" s="134"/>
      <c r="N232" s="134"/>
      <c r="O232" s="134"/>
      <c r="P232" s="134"/>
      <c r="Q232" s="134"/>
      <c r="R232" s="134"/>
      <c r="S232" s="134"/>
      <c r="T232" s="134"/>
      <c r="U232" s="134"/>
      <c r="V232" s="134"/>
      <c r="W232" s="134"/>
      <c r="X232" s="134"/>
      <c r="Y232" s="134"/>
      <c r="Z232" s="134"/>
    </row>
    <row r="233" spans="1:26" ht="15.75" customHeight="1">
      <c r="A233" s="13" t="s">
        <v>4927</v>
      </c>
      <c r="B233" s="13" t="s">
        <v>4928</v>
      </c>
      <c r="C233" s="13" t="s">
        <v>4929</v>
      </c>
      <c r="D233" s="13" t="s">
        <v>4930</v>
      </c>
      <c r="E233" s="13" t="s">
        <v>4931</v>
      </c>
      <c r="F233" s="134" t="str">
        <f t="shared" si="0"/>
        <v/>
      </c>
      <c r="G233" s="134" t="str">
        <f t="shared" si="1"/>
        <v>GOLDEN LIVING CENTER-LINCOLN HILLS</v>
      </c>
      <c r="H233" s="134"/>
      <c r="I233" s="134"/>
      <c r="J233" s="134"/>
      <c r="K233" s="134"/>
      <c r="L233" s="134"/>
      <c r="M233" s="134"/>
      <c r="N233" s="134"/>
      <c r="O233" s="134"/>
      <c r="P233" s="134"/>
      <c r="Q233" s="134"/>
      <c r="R233" s="134"/>
      <c r="S233" s="134"/>
      <c r="T233" s="134"/>
      <c r="U233" s="134"/>
      <c r="V233" s="134"/>
      <c r="W233" s="134"/>
      <c r="X233" s="134"/>
      <c r="Y233" s="134"/>
      <c r="Z233" s="134"/>
    </row>
    <row r="234" spans="1:26" ht="15.75" customHeight="1">
      <c r="A234" s="13" t="s">
        <v>4932</v>
      </c>
      <c r="B234" s="13" t="s">
        <v>4933</v>
      </c>
      <c r="C234" s="13" t="s">
        <v>1959</v>
      </c>
      <c r="D234" s="13" t="s">
        <v>4934</v>
      </c>
      <c r="E234" s="13" t="s">
        <v>4239</v>
      </c>
      <c r="F234" s="134" t="str">
        <f t="shared" si="0"/>
        <v/>
      </c>
      <c r="G234" s="134" t="str">
        <f t="shared" si="1"/>
        <v>GOLDEN LIVING CENTER-MERRILLVILLE</v>
      </c>
      <c r="H234" s="134"/>
      <c r="I234" s="134"/>
      <c r="J234" s="134"/>
      <c r="K234" s="134"/>
      <c r="L234" s="134"/>
      <c r="M234" s="134"/>
      <c r="N234" s="134"/>
      <c r="O234" s="134"/>
      <c r="P234" s="134"/>
      <c r="Q234" s="134"/>
      <c r="R234" s="134"/>
      <c r="S234" s="134"/>
      <c r="T234" s="134"/>
      <c r="U234" s="134"/>
      <c r="V234" s="134"/>
      <c r="W234" s="134"/>
      <c r="X234" s="134"/>
      <c r="Y234" s="134"/>
      <c r="Z234" s="134"/>
    </row>
    <row r="235" spans="1:26" ht="15.75" customHeight="1">
      <c r="A235" s="13" t="s">
        <v>4935</v>
      </c>
      <c r="B235" s="13" t="s">
        <v>4936</v>
      </c>
      <c r="C235" s="13" t="s">
        <v>1963</v>
      </c>
      <c r="D235" s="13" t="s">
        <v>4937</v>
      </c>
      <c r="E235" s="13" t="s">
        <v>4938</v>
      </c>
      <c r="F235" s="134" t="str">
        <f t="shared" si="0"/>
        <v/>
      </c>
      <c r="G235" s="134" t="str">
        <f t="shared" si="1"/>
        <v>GOLDEN LIVING CENTER-MISHAWAKA</v>
      </c>
      <c r="H235" s="134"/>
      <c r="I235" s="134"/>
      <c r="J235" s="134"/>
      <c r="K235" s="134"/>
      <c r="L235" s="134"/>
      <c r="M235" s="134"/>
      <c r="N235" s="134"/>
      <c r="O235" s="134"/>
      <c r="P235" s="134"/>
      <c r="Q235" s="134"/>
      <c r="R235" s="134"/>
      <c r="S235" s="134"/>
      <c r="T235" s="134"/>
      <c r="U235" s="134"/>
      <c r="V235" s="134"/>
      <c r="W235" s="134"/>
      <c r="X235" s="134"/>
      <c r="Y235" s="134"/>
      <c r="Z235" s="134"/>
    </row>
    <row r="236" spans="1:26" ht="15.75" customHeight="1">
      <c r="A236" s="13" t="s">
        <v>4939</v>
      </c>
      <c r="B236" s="13" t="s">
        <v>4940</v>
      </c>
      <c r="C236" s="13" t="s">
        <v>1967</v>
      </c>
      <c r="D236" s="13" t="s">
        <v>4941</v>
      </c>
      <c r="E236" s="13" t="s">
        <v>4271</v>
      </c>
      <c r="F236" s="134" t="str">
        <f t="shared" si="0"/>
        <v/>
      </c>
      <c r="G236" s="134" t="str">
        <f t="shared" si="1"/>
        <v>GOLDEN LIVING CENTER-MUNCIE</v>
      </c>
      <c r="H236" s="134"/>
      <c r="I236" s="134"/>
      <c r="J236" s="134"/>
      <c r="K236" s="134"/>
      <c r="L236" s="134"/>
      <c r="M236" s="134"/>
      <c r="N236" s="134"/>
      <c r="O236" s="134"/>
      <c r="P236" s="134"/>
      <c r="Q236" s="134"/>
      <c r="R236" s="134"/>
      <c r="S236" s="134"/>
      <c r="T236" s="134"/>
      <c r="U236" s="134"/>
      <c r="V236" s="134"/>
      <c r="W236" s="134"/>
      <c r="X236" s="134"/>
      <c r="Y236" s="134"/>
      <c r="Z236" s="134"/>
    </row>
    <row r="237" spans="1:26" ht="15.75" customHeight="1">
      <c r="A237" s="13" t="s">
        <v>4942</v>
      </c>
      <c r="B237" s="13" t="s">
        <v>4943</v>
      </c>
      <c r="C237" s="13" t="s">
        <v>1970</v>
      </c>
      <c r="D237" s="13" t="s">
        <v>4944</v>
      </c>
      <c r="E237" s="13" t="s">
        <v>4054</v>
      </c>
      <c r="F237" s="134" t="str">
        <f t="shared" si="0"/>
        <v/>
      </c>
      <c r="G237" s="134" t="str">
        <f t="shared" si="1"/>
        <v>GOLDEN LIVING CENTER-PETERSBURG</v>
      </c>
      <c r="H237" s="134"/>
      <c r="I237" s="134"/>
      <c r="J237" s="134"/>
      <c r="K237" s="134"/>
      <c r="L237" s="134"/>
      <c r="M237" s="134"/>
      <c r="N237" s="134"/>
      <c r="O237" s="134"/>
      <c r="P237" s="134"/>
      <c r="Q237" s="134"/>
      <c r="R237" s="134"/>
      <c r="S237" s="134"/>
      <c r="T237" s="134"/>
      <c r="U237" s="134"/>
      <c r="V237" s="134"/>
      <c r="W237" s="134"/>
      <c r="X237" s="134"/>
      <c r="Y237" s="134"/>
      <c r="Z237" s="134"/>
    </row>
    <row r="238" spans="1:26" ht="15.75" customHeight="1">
      <c r="A238" s="13" t="s">
        <v>4945</v>
      </c>
      <c r="B238" s="13" t="s">
        <v>4946</v>
      </c>
      <c r="C238" s="13" t="s">
        <v>1974</v>
      </c>
      <c r="D238" s="13" t="s">
        <v>4947</v>
      </c>
      <c r="E238" s="13" t="s">
        <v>4134</v>
      </c>
      <c r="F238" s="134" t="str">
        <f t="shared" si="0"/>
        <v/>
      </c>
      <c r="G238" s="134" t="str">
        <f t="shared" si="1"/>
        <v>GOLDEN LIVING CENTER-RICHMOND</v>
      </c>
      <c r="H238" s="134"/>
      <c r="I238" s="134"/>
      <c r="J238" s="134"/>
      <c r="K238" s="134"/>
      <c r="L238" s="134"/>
      <c r="M238" s="134"/>
      <c r="N238" s="134"/>
      <c r="O238" s="134"/>
      <c r="P238" s="134"/>
      <c r="Q238" s="134"/>
      <c r="R238" s="134"/>
      <c r="S238" s="134"/>
      <c r="T238" s="134"/>
      <c r="U238" s="134"/>
      <c r="V238" s="134"/>
      <c r="W238" s="134"/>
      <c r="X238" s="134"/>
      <c r="Y238" s="134"/>
      <c r="Z238" s="134"/>
    </row>
    <row r="239" spans="1:26" ht="15.75" customHeight="1">
      <c r="A239" s="13" t="s">
        <v>4948</v>
      </c>
      <c r="B239" s="13" t="s">
        <v>4949</v>
      </c>
      <c r="C239" s="13" t="s">
        <v>1977</v>
      </c>
      <c r="D239" s="13" t="s">
        <v>4950</v>
      </c>
      <c r="E239" s="13" t="s">
        <v>4805</v>
      </c>
      <c r="F239" s="134" t="str">
        <f t="shared" si="0"/>
        <v/>
      </c>
      <c r="G239" s="134" t="str">
        <f t="shared" si="1"/>
        <v>GOLDEN LIVING CENTER-SYCAMORE VILLAGE</v>
      </c>
      <c r="H239" s="134"/>
      <c r="I239" s="134"/>
      <c r="J239" s="134"/>
      <c r="K239" s="134"/>
      <c r="L239" s="134"/>
      <c r="M239" s="134"/>
      <c r="N239" s="134"/>
      <c r="O239" s="134"/>
      <c r="P239" s="134"/>
      <c r="Q239" s="134"/>
      <c r="R239" s="134"/>
      <c r="S239" s="134"/>
      <c r="T239" s="134"/>
      <c r="U239" s="134"/>
      <c r="V239" s="134"/>
      <c r="W239" s="134"/>
      <c r="X239" s="134"/>
      <c r="Y239" s="134"/>
      <c r="Z239" s="134"/>
    </row>
    <row r="240" spans="1:26" ht="15.75" customHeight="1">
      <c r="A240" s="13" t="s">
        <v>4951</v>
      </c>
      <c r="B240" s="13" t="s">
        <v>4952</v>
      </c>
      <c r="C240" s="13" t="s">
        <v>1982</v>
      </c>
      <c r="D240" s="13" t="s">
        <v>4953</v>
      </c>
      <c r="E240" s="13" t="s">
        <v>4199</v>
      </c>
      <c r="F240" s="134" t="str">
        <f t="shared" si="0"/>
        <v/>
      </c>
      <c r="G240" s="134" t="str">
        <f t="shared" si="1"/>
        <v>GOLDEN LIVING CENTER-VALPARAISO</v>
      </c>
      <c r="H240" s="134"/>
      <c r="I240" s="134"/>
      <c r="J240" s="134"/>
      <c r="K240" s="134"/>
      <c r="L240" s="134"/>
      <c r="M240" s="134"/>
      <c r="N240" s="134"/>
      <c r="O240" s="134"/>
      <c r="P240" s="134"/>
      <c r="Q240" s="134"/>
      <c r="R240" s="134"/>
      <c r="S240" s="134"/>
      <c r="T240" s="134"/>
      <c r="U240" s="134"/>
      <c r="V240" s="134"/>
      <c r="W240" s="134"/>
      <c r="X240" s="134"/>
      <c r="Y240" s="134"/>
      <c r="Z240" s="134"/>
    </row>
    <row r="241" spans="1:26" ht="15.75" customHeight="1">
      <c r="A241" s="13" t="s">
        <v>4954</v>
      </c>
      <c r="B241" s="13" t="s">
        <v>4955</v>
      </c>
      <c r="C241" s="13" t="s">
        <v>1985</v>
      </c>
      <c r="D241" s="13" t="s">
        <v>4956</v>
      </c>
      <c r="E241" s="13" t="s">
        <v>4267</v>
      </c>
      <c r="F241" s="134" t="str">
        <f t="shared" si="0"/>
        <v/>
      </c>
      <c r="G241" s="134" t="str">
        <f t="shared" si="1"/>
        <v>GOLDEN LIVING CENTER-WOODBRIDGE</v>
      </c>
      <c r="H241" s="134"/>
      <c r="I241" s="134"/>
      <c r="J241" s="134"/>
      <c r="K241" s="134"/>
      <c r="L241" s="134"/>
      <c r="M241" s="134"/>
      <c r="N241" s="134"/>
      <c r="O241" s="134"/>
      <c r="P241" s="134"/>
      <c r="Q241" s="134"/>
      <c r="R241" s="134"/>
      <c r="S241" s="134"/>
      <c r="T241" s="134"/>
      <c r="U241" s="134"/>
      <c r="V241" s="134"/>
      <c r="W241" s="134"/>
      <c r="X241" s="134"/>
      <c r="Y241" s="134"/>
      <c r="Z241" s="134"/>
    </row>
    <row r="242" spans="1:26" ht="15.75" customHeight="1">
      <c r="A242" s="13" t="s">
        <v>4957</v>
      </c>
      <c r="B242" s="13" t="s">
        <v>4958</v>
      </c>
      <c r="C242" s="13" t="s">
        <v>1988</v>
      </c>
      <c r="D242" s="13" t="s">
        <v>4959</v>
      </c>
      <c r="E242" s="13" t="s">
        <v>4225</v>
      </c>
      <c r="F242" s="134" t="str">
        <f t="shared" si="0"/>
        <v/>
      </c>
      <c r="G242" s="134" t="str">
        <f t="shared" si="1"/>
        <v>GOLDEN LIVING CENTER-WOODLANDS</v>
      </c>
      <c r="H242" s="134"/>
      <c r="I242" s="134"/>
      <c r="J242" s="134"/>
      <c r="K242" s="134"/>
      <c r="L242" s="134"/>
      <c r="M242" s="134"/>
      <c r="N242" s="134"/>
      <c r="O242" s="134"/>
      <c r="P242" s="134"/>
      <c r="Q242" s="134"/>
      <c r="R242" s="134"/>
      <c r="S242" s="134"/>
      <c r="T242" s="134"/>
      <c r="U242" s="134"/>
      <c r="V242" s="134"/>
      <c r="W242" s="134"/>
      <c r="X242" s="134"/>
      <c r="Y242" s="134"/>
      <c r="Z242" s="134"/>
    </row>
    <row r="243" spans="1:26" ht="15.75" customHeight="1">
      <c r="A243" s="13" t="s">
        <v>4960</v>
      </c>
      <c r="B243" s="13" t="s">
        <v>4961</v>
      </c>
      <c r="C243" s="13" t="s">
        <v>1991</v>
      </c>
      <c r="D243" s="13" t="s">
        <v>4962</v>
      </c>
      <c r="E243" s="13" t="s">
        <v>4379</v>
      </c>
      <c r="F243" s="134" t="str">
        <f t="shared" si="0"/>
        <v/>
      </c>
      <c r="G243" s="134" t="str">
        <f t="shared" si="1"/>
        <v>GOLDEN YEARS HOMESTEAD</v>
      </c>
      <c r="H243" s="134"/>
      <c r="I243" s="134"/>
      <c r="J243" s="134"/>
      <c r="K243" s="134"/>
      <c r="L243" s="134"/>
      <c r="M243" s="134"/>
      <c r="N243" s="134"/>
      <c r="O243" s="134"/>
      <c r="P243" s="134"/>
      <c r="Q243" s="134"/>
      <c r="R243" s="134"/>
      <c r="S243" s="134"/>
      <c r="T243" s="134"/>
      <c r="U243" s="134"/>
      <c r="V243" s="134"/>
      <c r="W243" s="134"/>
      <c r="X243" s="134"/>
      <c r="Y243" s="134"/>
      <c r="Z243" s="134"/>
    </row>
    <row r="244" spans="1:26" ht="15.75" customHeight="1">
      <c r="A244" s="13" t="s">
        <v>4963</v>
      </c>
      <c r="B244" s="13" t="s">
        <v>4964</v>
      </c>
      <c r="C244" s="13" t="s">
        <v>1997</v>
      </c>
      <c r="D244" s="13" t="s">
        <v>4965</v>
      </c>
      <c r="E244" s="13" t="s">
        <v>4966</v>
      </c>
      <c r="F244" s="134" t="str">
        <f t="shared" si="0"/>
        <v/>
      </c>
      <c r="G244" s="134" t="str">
        <f t="shared" si="1"/>
        <v>GOOD SAMARITAN HOME &amp; REHABILITATIVE CENTER</v>
      </c>
      <c r="H244" s="134"/>
      <c r="I244" s="134"/>
      <c r="J244" s="134"/>
      <c r="K244" s="134"/>
      <c r="L244" s="134"/>
      <c r="M244" s="134"/>
      <c r="N244" s="134"/>
      <c r="O244" s="134"/>
      <c r="P244" s="134"/>
      <c r="Q244" s="134"/>
      <c r="R244" s="134"/>
      <c r="S244" s="134"/>
      <c r="T244" s="134"/>
      <c r="U244" s="134"/>
      <c r="V244" s="134"/>
      <c r="W244" s="134"/>
      <c r="X244" s="134"/>
      <c r="Y244" s="134"/>
      <c r="Z244" s="134"/>
    </row>
    <row r="245" spans="1:26" ht="15.75" customHeight="1">
      <c r="A245" s="13" t="s">
        <v>4967</v>
      </c>
      <c r="B245" s="13" t="s">
        <v>4968</v>
      </c>
      <c r="C245" s="13" t="s">
        <v>2002</v>
      </c>
      <c r="D245" s="13" t="s">
        <v>4969</v>
      </c>
      <c r="E245" s="13" t="s">
        <v>4970</v>
      </c>
      <c r="F245" s="134" t="str">
        <f t="shared" si="0"/>
        <v/>
      </c>
      <c r="G245" s="134" t="str">
        <f t="shared" si="1"/>
        <v>GOOD SAMARITAN HOME HEALTH CENTER AND RESIDENTIAL</v>
      </c>
      <c r="H245" s="134"/>
      <c r="I245" s="134"/>
      <c r="J245" s="134"/>
      <c r="K245" s="134"/>
      <c r="L245" s="134"/>
      <c r="M245" s="134"/>
      <c r="N245" s="134"/>
      <c r="O245" s="134"/>
      <c r="P245" s="134"/>
      <c r="Q245" s="134"/>
      <c r="R245" s="134"/>
      <c r="S245" s="134"/>
      <c r="T245" s="134"/>
      <c r="U245" s="134"/>
      <c r="V245" s="134"/>
      <c r="W245" s="134"/>
      <c r="X245" s="134"/>
      <c r="Y245" s="134"/>
      <c r="Z245" s="134"/>
    </row>
    <row r="246" spans="1:26" ht="15.75" customHeight="1">
      <c r="A246" s="13" t="s">
        <v>4971</v>
      </c>
      <c r="B246" s="13" t="s">
        <v>4972</v>
      </c>
      <c r="C246" s="13" t="s">
        <v>4973</v>
      </c>
      <c r="D246" s="13" t="s">
        <v>4974</v>
      </c>
      <c r="E246" s="13" t="s">
        <v>4975</v>
      </c>
      <c r="F246" s="134" t="str">
        <f t="shared" si="0"/>
        <v/>
      </c>
      <c r="G246" s="134" t="str">
        <f t="shared" si="1"/>
        <v>GOOD SAMARITAN SOCIETY NORTHWOOD RETIREMENT COMM</v>
      </c>
      <c r="H246" s="134"/>
      <c r="I246" s="134"/>
      <c r="J246" s="134"/>
      <c r="K246" s="134"/>
      <c r="L246" s="134"/>
      <c r="M246" s="134"/>
      <c r="N246" s="134"/>
      <c r="O246" s="134"/>
      <c r="P246" s="134"/>
      <c r="Q246" s="134"/>
      <c r="R246" s="134"/>
      <c r="S246" s="134"/>
      <c r="T246" s="134"/>
      <c r="U246" s="134"/>
      <c r="V246" s="134"/>
      <c r="W246" s="134"/>
      <c r="X246" s="134"/>
      <c r="Y246" s="134"/>
      <c r="Z246" s="134"/>
    </row>
    <row r="247" spans="1:26" ht="15.75" customHeight="1">
      <c r="A247" s="13" t="s">
        <v>4976</v>
      </c>
      <c r="B247" s="13" t="s">
        <v>4977</v>
      </c>
      <c r="C247" s="13" t="s">
        <v>2007</v>
      </c>
      <c r="D247" s="13" t="s">
        <v>4978</v>
      </c>
      <c r="E247" s="13" t="s">
        <v>4979</v>
      </c>
      <c r="F247" s="134" t="str">
        <f t="shared" si="0"/>
        <v/>
      </c>
      <c r="G247" s="134" t="str">
        <f t="shared" si="1"/>
        <v>GOOD SAMARITAN SOCIETY SHAKAMAK RETIREMENT COMM</v>
      </c>
      <c r="H247" s="134"/>
      <c r="I247" s="134"/>
      <c r="J247" s="134"/>
      <c r="K247" s="134"/>
      <c r="L247" s="134"/>
      <c r="M247" s="134"/>
      <c r="N247" s="134"/>
      <c r="O247" s="134"/>
      <c r="P247" s="134"/>
      <c r="Q247" s="134"/>
      <c r="R247" s="134"/>
      <c r="S247" s="134"/>
      <c r="T247" s="134"/>
      <c r="U247" s="134"/>
      <c r="V247" s="134"/>
      <c r="W247" s="134"/>
      <c r="X247" s="134"/>
      <c r="Y247" s="134"/>
      <c r="Z247" s="134"/>
    </row>
    <row r="248" spans="1:26" ht="15.75" customHeight="1">
      <c r="A248" s="13" t="s">
        <v>4980</v>
      </c>
      <c r="B248" s="13" t="s">
        <v>4981</v>
      </c>
      <c r="C248" s="13" t="s">
        <v>2013</v>
      </c>
      <c r="D248" s="13" t="s">
        <v>4982</v>
      </c>
      <c r="E248" s="13" t="s">
        <v>4983</v>
      </c>
      <c r="F248" s="134" t="str">
        <f t="shared" si="0"/>
        <v/>
      </c>
      <c r="G248" s="134" t="str">
        <f t="shared" si="1"/>
        <v>GRACE VILLAGE HEALTH CARE FACILITY</v>
      </c>
      <c r="H248" s="134"/>
      <c r="I248" s="134"/>
      <c r="J248" s="134"/>
      <c r="K248" s="134"/>
      <c r="L248" s="134"/>
      <c r="M248" s="134"/>
      <c r="N248" s="134"/>
      <c r="O248" s="134"/>
      <c r="P248" s="134"/>
      <c r="Q248" s="134"/>
      <c r="R248" s="134"/>
      <c r="S248" s="134"/>
      <c r="T248" s="134"/>
      <c r="U248" s="134"/>
      <c r="V248" s="134"/>
      <c r="W248" s="134"/>
      <c r="X248" s="134"/>
      <c r="Y248" s="134"/>
      <c r="Z248" s="134"/>
    </row>
    <row r="249" spans="1:26" ht="15.75" hidden="1" customHeight="1">
      <c r="A249" s="13" t="s">
        <v>4984</v>
      </c>
      <c r="B249" s="13" t="s">
        <v>4985</v>
      </c>
      <c r="C249" s="13" t="s">
        <v>4986</v>
      </c>
      <c r="D249" s="13" t="s">
        <v>4987</v>
      </c>
      <c r="E249" s="13" t="s">
        <v>4032</v>
      </c>
      <c r="F249" s="134" t="str">
        <f t="shared" si="0"/>
        <v/>
      </c>
      <c r="G249" s="134" t="str">
        <f t="shared" si="1"/>
        <v>GRAND BROOK MEMORY CARE OF FISHERS</v>
      </c>
      <c r="H249" s="134"/>
      <c r="I249" s="134"/>
      <c r="J249" s="134"/>
      <c r="K249" s="134"/>
      <c r="L249" s="134"/>
      <c r="M249" s="134"/>
      <c r="N249" s="134"/>
      <c r="O249" s="134"/>
      <c r="P249" s="134"/>
      <c r="Q249" s="134"/>
      <c r="R249" s="134"/>
      <c r="S249" s="134"/>
      <c r="T249" s="134"/>
      <c r="U249" s="134"/>
      <c r="V249" s="134"/>
      <c r="W249" s="134"/>
      <c r="X249" s="134"/>
      <c r="Y249" s="134"/>
      <c r="Z249" s="134"/>
    </row>
    <row r="250" spans="1:26" ht="15.75" hidden="1" customHeight="1">
      <c r="A250" s="13" t="s">
        <v>4988</v>
      </c>
      <c r="B250" s="13" t="s">
        <v>4989</v>
      </c>
      <c r="C250" s="13" t="s">
        <v>4990</v>
      </c>
      <c r="D250" s="13" t="s">
        <v>4991</v>
      </c>
      <c r="E250" s="13" t="s">
        <v>4159</v>
      </c>
      <c r="F250" s="134" t="str">
        <f t="shared" si="0"/>
        <v/>
      </c>
      <c r="G250" s="134" t="str">
        <f t="shared" si="1"/>
        <v>GRAND BROOK MEMORY CARE OF GREENWOOD</v>
      </c>
      <c r="H250" s="134"/>
      <c r="I250" s="134"/>
      <c r="J250" s="134"/>
      <c r="K250" s="134"/>
      <c r="L250" s="134"/>
      <c r="M250" s="134"/>
      <c r="N250" s="134"/>
      <c r="O250" s="134"/>
      <c r="P250" s="134"/>
      <c r="Q250" s="134"/>
      <c r="R250" s="134"/>
      <c r="S250" s="134"/>
      <c r="T250" s="134"/>
      <c r="U250" s="134"/>
      <c r="V250" s="134"/>
      <c r="W250" s="134"/>
      <c r="X250" s="134"/>
      <c r="Y250" s="134"/>
      <c r="Z250" s="134"/>
    </row>
    <row r="251" spans="1:26" ht="15.75" hidden="1" customHeight="1">
      <c r="A251" s="13" t="s">
        <v>4992</v>
      </c>
      <c r="B251" s="13" t="s">
        <v>4993</v>
      </c>
      <c r="C251" s="13" t="s">
        <v>4994</v>
      </c>
      <c r="D251" s="13" t="s">
        <v>4995</v>
      </c>
      <c r="E251" s="13" t="s">
        <v>4063</v>
      </c>
      <c r="F251" s="134" t="str">
        <f t="shared" si="0"/>
        <v/>
      </c>
      <c r="G251" s="134" t="str">
        <f t="shared" si="1"/>
        <v>GRAND BROOK MEMORY CARE OF ZIONSVILLE</v>
      </c>
      <c r="H251" s="134"/>
      <c r="I251" s="134"/>
      <c r="J251" s="134"/>
      <c r="K251" s="134"/>
      <c r="L251" s="134"/>
      <c r="M251" s="134"/>
      <c r="N251" s="134"/>
      <c r="O251" s="134"/>
      <c r="P251" s="134"/>
      <c r="Q251" s="134"/>
      <c r="R251" s="134"/>
      <c r="S251" s="134"/>
      <c r="T251" s="134"/>
      <c r="U251" s="134"/>
      <c r="V251" s="134"/>
      <c r="W251" s="134"/>
      <c r="X251" s="134"/>
      <c r="Y251" s="134"/>
      <c r="Z251" s="134"/>
    </row>
    <row r="252" spans="1:26" ht="15.75" customHeight="1">
      <c r="A252" s="13" t="s">
        <v>4996</v>
      </c>
      <c r="B252" s="13" t="s">
        <v>4997</v>
      </c>
      <c r="C252" s="13" t="s">
        <v>4998</v>
      </c>
      <c r="D252" s="13" t="s">
        <v>4999</v>
      </c>
      <c r="E252" s="13" t="s">
        <v>5000</v>
      </c>
      <c r="F252" s="134" t="str">
        <f t="shared" si="0"/>
        <v/>
      </c>
      <c r="G252" s="134" t="str">
        <f t="shared" si="1"/>
        <v>GRAND EMERALD PLACE</v>
      </c>
      <c r="H252" s="134"/>
      <c r="I252" s="134"/>
      <c r="J252" s="134"/>
      <c r="K252" s="134"/>
      <c r="L252" s="134"/>
      <c r="M252" s="134"/>
      <c r="N252" s="134"/>
      <c r="O252" s="134"/>
      <c r="P252" s="134"/>
      <c r="Q252" s="134"/>
      <c r="R252" s="134"/>
      <c r="S252" s="134"/>
      <c r="T252" s="134"/>
      <c r="U252" s="134"/>
      <c r="V252" s="134"/>
      <c r="W252" s="134"/>
      <c r="X252" s="134"/>
      <c r="Y252" s="134"/>
      <c r="Z252" s="134"/>
    </row>
    <row r="253" spans="1:26" ht="15.75" customHeight="1">
      <c r="A253" s="13" t="s">
        <v>5001</v>
      </c>
      <c r="B253" s="13" t="s">
        <v>5002</v>
      </c>
      <c r="C253" s="13" t="s">
        <v>2016</v>
      </c>
      <c r="D253" s="13" t="s">
        <v>5003</v>
      </c>
      <c r="E253" s="13" t="s">
        <v>5004</v>
      </c>
      <c r="F253" s="134" t="str">
        <f t="shared" si="0"/>
        <v/>
      </c>
      <c r="G253" s="134" t="str">
        <f t="shared" si="1"/>
        <v>GRAND VALLEY HEALTH &amp; REHAB</v>
      </c>
      <c r="H253" s="134"/>
      <c r="I253" s="134"/>
      <c r="J253" s="134"/>
      <c r="K253" s="134"/>
      <c r="L253" s="134"/>
      <c r="M253" s="134"/>
      <c r="N253" s="134"/>
      <c r="O253" s="134"/>
      <c r="P253" s="134"/>
      <c r="Q253" s="134"/>
      <c r="R253" s="134"/>
      <c r="S253" s="134"/>
      <c r="T253" s="134"/>
      <c r="U253" s="134"/>
      <c r="V253" s="134"/>
      <c r="W253" s="134"/>
      <c r="X253" s="134"/>
      <c r="Y253" s="134"/>
      <c r="Z253" s="134"/>
    </row>
    <row r="254" spans="1:26" ht="15.75" customHeight="1">
      <c r="A254" s="13" t="s">
        <v>5005</v>
      </c>
      <c r="B254" s="13" t="s">
        <v>5006</v>
      </c>
      <c r="C254" s="13" t="s">
        <v>5007</v>
      </c>
      <c r="D254" s="13" t="s">
        <v>5008</v>
      </c>
      <c r="E254" s="13" t="s">
        <v>5004</v>
      </c>
      <c r="F254" s="134" t="str">
        <f t="shared" si="0"/>
        <v/>
      </c>
      <c r="G254" s="134" t="str">
        <f t="shared" si="1"/>
        <v>GRAND VALLEY GARDENS ASSISTED LIVING FACILITY</v>
      </c>
      <c r="H254" s="134"/>
      <c r="I254" s="134"/>
      <c r="J254" s="134"/>
      <c r="K254" s="134"/>
      <c r="L254" s="134"/>
      <c r="M254" s="134"/>
      <c r="N254" s="134"/>
      <c r="O254" s="134"/>
      <c r="P254" s="134"/>
      <c r="Q254" s="134"/>
      <c r="R254" s="134"/>
      <c r="S254" s="134"/>
      <c r="T254" s="134"/>
      <c r="U254" s="134"/>
      <c r="V254" s="134"/>
      <c r="W254" s="134"/>
      <c r="X254" s="134"/>
      <c r="Y254" s="134"/>
      <c r="Z254" s="134"/>
    </row>
    <row r="255" spans="1:26" ht="15.75" customHeight="1">
      <c r="A255" s="13" t="s">
        <v>5009</v>
      </c>
      <c r="B255" s="13" t="s">
        <v>5010</v>
      </c>
      <c r="C255" s="13" t="s">
        <v>2020</v>
      </c>
      <c r="D255" s="13" t="s">
        <v>5011</v>
      </c>
      <c r="E255" s="13" t="s">
        <v>4695</v>
      </c>
      <c r="F255" s="134" t="str">
        <f t="shared" si="0"/>
        <v/>
      </c>
      <c r="G255" s="134" t="str">
        <f t="shared" si="1"/>
        <v>GREAT LAKES HEALTHCARE CENTER</v>
      </c>
      <c r="H255" s="134"/>
      <c r="I255" s="134"/>
      <c r="J255" s="134"/>
      <c r="K255" s="134"/>
      <c r="L255" s="134"/>
      <c r="M255" s="134"/>
      <c r="N255" s="134"/>
      <c r="O255" s="134"/>
      <c r="P255" s="134"/>
      <c r="Q255" s="134"/>
      <c r="R255" s="134"/>
      <c r="S255" s="134"/>
      <c r="T255" s="134"/>
      <c r="U255" s="134"/>
      <c r="V255" s="134"/>
      <c r="W255" s="134"/>
      <c r="X255" s="134"/>
      <c r="Y255" s="134"/>
      <c r="Z255" s="134"/>
    </row>
    <row r="256" spans="1:26" ht="15.75" customHeight="1">
      <c r="A256" s="13" t="s">
        <v>5012</v>
      </c>
      <c r="B256" s="13" t="s">
        <v>5013</v>
      </c>
      <c r="C256" s="13" t="s">
        <v>2023</v>
      </c>
      <c r="D256" s="13" t="s">
        <v>5014</v>
      </c>
      <c r="E256" s="13" t="s">
        <v>4216</v>
      </c>
      <c r="F256" s="134" t="str">
        <f t="shared" si="0"/>
        <v/>
      </c>
      <c r="G256" s="134" t="str">
        <f t="shared" si="1"/>
        <v>GREEN HOUSE COTTAGES OF CARMEL</v>
      </c>
      <c r="H256" s="134"/>
      <c r="I256" s="134"/>
      <c r="J256" s="134"/>
      <c r="K256" s="134"/>
      <c r="L256" s="134"/>
      <c r="M256" s="134"/>
      <c r="N256" s="134"/>
      <c r="O256" s="134"/>
      <c r="P256" s="134"/>
      <c r="Q256" s="134"/>
      <c r="R256" s="134"/>
      <c r="S256" s="134"/>
      <c r="T256" s="134"/>
      <c r="U256" s="134"/>
      <c r="V256" s="134"/>
      <c r="W256" s="134"/>
      <c r="X256" s="134"/>
      <c r="Y256" s="134"/>
      <c r="Z256" s="134"/>
    </row>
    <row r="257" spans="1:26" ht="15.75" customHeight="1">
      <c r="A257" s="13" t="s">
        <v>5015</v>
      </c>
      <c r="B257" s="13" t="s">
        <v>5016</v>
      </c>
      <c r="C257" s="13" t="s">
        <v>5017</v>
      </c>
      <c r="D257" s="13" t="s">
        <v>5018</v>
      </c>
      <c r="E257" s="13" t="s">
        <v>4588</v>
      </c>
      <c r="F257" s="134" t="str">
        <f t="shared" si="0"/>
        <v/>
      </c>
      <c r="G257" s="134" t="str">
        <f t="shared" si="1"/>
        <v>GREEN HOUSE VILLAGE OF GOSHEN</v>
      </c>
      <c r="H257" s="134"/>
      <c r="I257" s="134"/>
      <c r="J257" s="134"/>
      <c r="K257" s="134"/>
      <c r="L257" s="134"/>
      <c r="M257" s="134"/>
      <c r="N257" s="134"/>
      <c r="O257" s="134"/>
      <c r="P257" s="134"/>
      <c r="Q257" s="134"/>
      <c r="R257" s="134"/>
      <c r="S257" s="134"/>
      <c r="T257" s="134"/>
      <c r="U257" s="134"/>
      <c r="V257" s="134"/>
      <c r="W257" s="134"/>
      <c r="X257" s="134"/>
      <c r="Y257" s="134"/>
      <c r="Z257" s="134"/>
    </row>
    <row r="258" spans="1:26" ht="15.75" customHeight="1">
      <c r="A258" s="13" t="s">
        <v>5019</v>
      </c>
      <c r="B258" s="13" t="s">
        <v>5020</v>
      </c>
      <c r="C258" s="13" t="s">
        <v>2029</v>
      </c>
      <c r="D258" s="13" t="s">
        <v>5021</v>
      </c>
      <c r="E258" s="13" t="s">
        <v>4195</v>
      </c>
      <c r="F258" s="134" t="str">
        <f t="shared" si="0"/>
        <v/>
      </c>
      <c r="G258" s="134" t="str">
        <f t="shared" si="1"/>
        <v>GREEN VALLEY CARE CENTER</v>
      </c>
      <c r="H258" s="134"/>
      <c r="I258" s="134"/>
      <c r="J258" s="134"/>
      <c r="K258" s="134"/>
      <c r="L258" s="134"/>
      <c r="M258" s="134"/>
      <c r="N258" s="134"/>
      <c r="O258" s="134"/>
      <c r="P258" s="134"/>
      <c r="Q258" s="134"/>
      <c r="R258" s="134"/>
      <c r="S258" s="134"/>
      <c r="T258" s="134"/>
      <c r="U258" s="134"/>
      <c r="V258" s="134"/>
      <c r="W258" s="134"/>
      <c r="X258" s="134"/>
      <c r="Y258" s="134"/>
      <c r="Z258" s="134"/>
    </row>
    <row r="259" spans="1:26" ht="15.75" hidden="1" customHeight="1">
      <c r="A259" s="13" t="s">
        <v>5022</v>
      </c>
      <c r="B259" s="13" t="s">
        <v>5023</v>
      </c>
      <c r="C259" s="13" t="s">
        <v>5024</v>
      </c>
      <c r="D259" s="13" t="s">
        <v>5025</v>
      </c>
      <c r="E259" s="13" t="s">
        <v>4650</v>
      </c>
      <c r="F259" s="134" t="str">
        <f t="shared" si="0"/>
        <v/>
      </c>
      <c r="G259" s="134" t="str">
        <f t="shared" si="1"/>
        <v>GREENBRIAR VILLAGE</v>
      </c>
      <c r="H259" s="134"/>
      <c r="I259" s="134"/>
      <c r="J259" s="134"/>
      <c r="K259" s="134"/>
      <c r="L259" s="134"/>
      <c r="M259" s="134"/>
      <c r="N259" s="134"/>
      <c r="O259" s="134"/>
      <c r="P259" s="134"/>
      <c r="Q259" s="134"/>
      <c r="R259" s="134"/>
      <c r="S259" s="134"/>
      <c r="T259" s="134"/>
      <c r="U259" s="134"/>
      <c r="V259" s="134"/>
      <c r="W259" s="134"/>
      <c r="X259" s="134"/>
      <c r="Y259" s="134"/>
      <c r="Z259" s="134"/>
    </row>
    <row r="260" spans="1:26" ht="15.75" customHeight="1">
      <c r="A260" s="13" t="s">
        <v>5026</v>
      </c>
      <c r="B260" s="13" t="s">
        <v>5027</v>
      </c>
      <c r="C260" s="13" t="s">
        <v>2032</v>
      </c>
      <c r="D260" s="13" t="s">
        <v>5028</v>
      </c>
      <c r="E260" s="13" t="s">
        <v>5029</v>
      </c>
      <c r="F260" s="134" t="str">
        <f t="shared" si="0"/>
        <v/>
      </c>
      <c r="G260" s="134" t="str">
        <f t="shared" si="1"/>
        <v>GREENCROFT HEALTHCARE</v>
      </c>
      <c r="H260" s="134"/>
      <c r="I260" s="134"/>
      <c r="J260" s="134"/>
      <c r="K260" s="134"/>
      <c r="L260" s="134"/>
      <c r="M260" s="134"/>
      <c r="N260" s="134"/>
      <c r="O260" s="134"/>
      <c r="P260" s="134"/>
      <c r="Q260" s="134"/>
      <c r="R260" s="134"/>
      <c r="S260" s="134"/>
      <c r="T260" s="134"/>
      <c r="U260" s="134"/>
      <c r="V260" s="134"/>
      <c r="W260" s="134"/>
      <c r="X260" s="134"/>
      <c r="Y260" s="134"/>
      <c r="Z260" s="134"/>
    </row>
    <row r="261" spans="1:26" ht="15.75" customHeight="1">
      <c r="A261" s="13" t="s">
        <v>5030</v>
      </c>
      <c r="B261" s="13" t="s">
        <v>5031</v>
      </c>
      <c r="C261" s="13" t="s">
        <v>2037</v>
      </c>
      <c r="D261" s="13" t="s">
        <v>5032</v>
      </c>
      <c r="E261" s="13" t="s">
        <v>4641</v>
      </c>
      <c r="F261" s="134" t="str">
        <f t="shared" si="0"/>
        <v/>
      </c>
      <c r="G261" s="134" t="str">
        <f t="shared" si="1"/>
        <v>GREENFIELD HEALTHCARE CENTER</v>
      </c>
      <c r="H261" s="134"/>
      <c r="I261" s="134"/>
      <c r="J261" s="134"/>
      <c r="K261" s="134"/>
      <c r="L261" s="134"/>
      <c r="M261" s="134"/>
      <c r="N261" s="134"/>
      <c r="O261" s="134"/>
      <c r="P261" s="134"/>
      <c r="Q261" s="134"/>
      <c r="R261" s="134"/>
      <c r="S261" s="134"/>
      <c r="T261" s="134"/>
      <c r="U261" s="134"/>
      <c r="V261" s="134"/>
      <c r="W261" s="134"/>
      <c r="X261" s="134"/>
      <c r="Y261" s="134"/>
      <c r="Z261" s="134"/>
    </row>
    <row r="262" spans="1:26" ht="15.75" customHeight="1">
      <c r="A262" s="13" t="s">
        <v>5033</v>
      </c>
      <c r="B262" s="13" t="s">
        <v>5034</v>
      </c>
      <c r="C262" s="13" t="s">
        <v>5035</v>
      </c>
      <c r="D262" s="13" t="s">
        <v>5036</v>
      </c>
      <c r="E262" s="13" t="s">
        <v>5037</v>
      </c>
      <c r="F262" s="134" t="str">
        <f t="shared" si="0"/>
        <v/>
      </c>
      <c r="G262" s="134" t="str">
        <f t="shared" si="1"/>
        <v>GREENHILL MANOR</v>
      </c>
      <c r="H262" s="134"/>
      <c r="I262" s="134"/>
      <c r="J262" s="134"/>
      <c r="K262" s="134"/>
      <c r="L262" s="134"/>
      <c r="M262" s="134"/>
      <c r="N262" s="134"/>
      <c r="O262" s="134"/>
      <c r="P262" s="134"/>
      <c r="Q262" s="134"/>
      <c r="R262" s="134"/>
      <c r="S262" s="134"/>
      <c r="T262" s="134"/>
      <c r="U262" s="134"/>
      <c r="V262" s="134"/>
      <c r="W262" s="134"/>
      <c r="X262" s="134"/>
      <c r="Y262" s="134"/>
      <c r="Z262" s="134"/>
    </row>
    <row r="263" spans="1:26" ht="15.75" customHeight="1">
      <c r="A263" s="13" t="s">
        <v>5038</v>
      </c>
      <c r="B263" s="13" t="s">
        <v>5039</v>
      </c>
      <c r="C263" s="13" t="s">
        <v>2040</v>
      </c>
      <c r="D263" s="13" t="s">
        <v>5040</v>
      </c>
      <c r="E263" s="13" t="s">
        <v>4706</v>
      </c>
      <c r="F263" s="134" t="str">
        <f t="shared" si="0"/>
        <v/>
      </c>
      <c r="G263" s="134" t="str">
        <f t="shared" si="1"/>
        <v>GREENLEAF HEALTH CAMPUS</v>
      </c>
      <c r="H263" s="134"/>
      <c r="I263" s="134"/>
      <c r="J263" s="134"/>
      <c r="K263" s="134"/>
      <c r="L263" s="134"/>
      <c r="M263" s="134"/>
      <c r="N263" s="134"/>
      <c r="O263" s="134"/>
      <c r="P263" s="134"/>
      <c r="Q263" s="134"/>
      <c r="R263" s="134"/>
      <c r="S263" s="134"/>
      <c r="T263" s="134"/>
      <c r="U263" s="134"/>
      <c r="V263" s="134"/>
      <c r="W263" s="134"/>
      <c r="X263" s="134"/>
      <c r="Y263" s="134"/>
      <c r="Z263" s="134"/>
    </row>
    <row r="264" spans="1:26" ht="15.75" customHeight="1">
      <c r="A264" s="13" t="s">
        <v>5041</v>
      </c>
      <c r="B264" s="13" t="s">
        <v>5042</v>
      </c>
      <c r="C264" s="13" t="s">
        <v>2043</v>
      </c>
      <c r="D264" s="13" t="s">
        <v>5043</v>
      </c>
      <c r="E264" s="13" t="s">
        <v>4576</v>
      </c>
      <c r="F264" s="134" t="str">
        <f t="shared" si="0"/>
        <v/>
      </c>
      <c r="G264" s="134" t="str">
        <f t="shared" si="1"/>
        <v>GREENWOOD HEALTH AND LIVING COMMUNITY</v>
      </c>
      <c r="H264" s="134"/>
      <c r="I264" s="134"/>
      <c r="J264" s="134"/>
      <c r="K264" s="134"/>
      <c r="L264" s="134"/>
      <c r="M264" s="134"/>
      <c r="N264" s="134"/>
      <c r="O264" s="134"/>
      <c r="P264" s="134"/>
      <c r="Q264" s="134"/>
      <c r="R264" s="134"/>
      <c r="S264" s="134"/>
      <c r="T264" s="134"/>
      <c r="U264" s="134"/>
      <c r="V264" s="134"/>
      <c r="W264" s="134"/>
      <c r="X264" s="134"/>
      <c r="Y264" s="134"/>
      <c r="Z264" s="134"/>
    </row>
    <row r="265" spans="1:26" ht="15.75" customHeight="1">
      <c r="A265" s="13" t="s">
        <v>5044</v>
      </c>
      <c r="B265" s="13" t="s">
        <v>5045</v>
      </c>
      <c r="C265" s="13" t="s">
        <v>2047</v>
      </c>
      <c r="D265" s="13" t="s">
        <v>5046</v>
      </c>
      <c r="E265" s="13" t="s">
        <v>4576</v>
      </c>
      <c r="F265" s="134" t="str">
        <f t="shared" si="0"/>
        <v/>
      </c>
      <c r="G265" s="134" t="str">
        <f t="shared" si="1"/>
        <v>GREENWOOD HEALTHCARE CENTER</v>
      </c>
      <c r="H265" s="134"/>
      <c r="I265" s="134"/>
      <c r="J265" s="134"/>
      <c r="K265" s="134"/>
      <c r="L265" s="134"/>
      <c r="M265" s="134"/>
      <c r="N265" s="134"/>
      <c r="O265" s="134"/>
      <c r="P265" s="134"/>
      <c r="Q265" s="134"/>
      <c r="R265" s="134"/>
      <c r="S265" s="134"/>
      <c r="T265" s="134"/>
      <c r="U265" s="134"/>
      <c r="V265" s="134"/>
      <c r="W265" s="134"/>
      <c r="X265" s="134"/>
      <c r="Y265" s="134"/>
      <c r="Z265" s="134"/>
    </row>
    <row r="266" spans="1:26" ht="15.75" customHeight="1">
      <c r="A266" s="13" t="s">
        <v>5047</v>
      </c>
      <c r="B266" s="13" t="s">
        <v>5048</v>
      </c>
      <c r="C266" s="13" t="s">
        <v>2050</v>
      </c>
      <c r="D266" s="13" t="s">
        <v>5049</v>
      </c>
      <c r="E266" s="13" t="s">
        <v>4576</v>
      </c>
      <c r="F266" s="134" t="str">
        <f t="shared" si="0"/>
        <v/>
      </c>
      <c r="G266" s="134" t="str">
        <f t="shared" si="1"/>
        <v>GREENWOOD MEADOWS</v>
      </c>
      <c r="H266" s="134"/>
      <c r="I266" s="134"/>
      <c r="J266" s="134"/>
      <c r="K266" s="134"/>
      <c r="L266" s="134"/>
      <c r="M266" s="134"/>
      <c r="N266" s="134"/>
      <c r="O266" s="134"/>
      <c r="P266" s="134"/>
      <c r="Q266" s="134"/>
      <c r="R266" s="134"/>
      <c r="S266" s="134"/>
      <c r="T266" s="134"/>
      <c r="U266" s="134"/>
      <c r="V266" s="134"/>
      <c r="W266" s="134"/>
      <c r="X266" s="134"/>
      <c r="Y266" s="134"/>
      <c r="Z266" s="134"/>
    </row>
    <row r="267" spans="1:26" ht="15.75" customHeight="1">
      <c r="A267" s="13" t="s">
        <v>5050</v>
      </c>
      <c r="B267" s="13" t="s">
        <v>5051</v>
      </c>
      <c r="C267" s="13" t="s">
        <v>2053</v>
      </c>
      <c r="D267" s="13" t="s">
        <v>5052</v>
      </c>
      <c r="E267" s="13" t="s">
        <v>4159</v>
      </c>
      <c r="F267" s="134" t="str">
        <f t="shared" si="0"/>
        <v/>
      </c>
      <c r="G267" s="134" t="str">
        <f t="shared" si="1"/>
        <v>GREENWOOD VILLAGE SOUTH</v>
      </c>
      <c r="H267" s="134"/>
      <c r="I267" s="134"/>
      <c r="J267" s="134"/>
      <c r="K267" s="134"/>
      <c r="L267" s="134"/>
      <c r="M267" s="134"/>
      <c r="N267" s="134"/>
      <c r="O267" s="134"/>
      <c r="P267" s="134"/>
      <c r="Q267" s="134"/>
      <c r="R267" s="134"/>
      <c r="S267" s="134"/>
      <c r="T267" s="134"/>
      <c r="U267" s="134"/>
      <c r="V267" s="134"/>
      <c r="W267" s="134"/>
      <c r="X267" s="134"/>
      <c r="Y267" s="134"/>
      <c r="Z267" s="134"/>
    </row>
    <row r="268" spans="1:26" ht="15.75" customHeight="1">
      <c r="A268" s="13" t="s">
        <v>5053</v>
      </c>
      <c r="B268" s="13" t="s">
        <v>5054</v>
      </c>
      <c r="C268" s="13" t="s">
        <v>5055</v>
      </c>
      <c r="D268" s="13" t="s">
        <v>5056</v>
      </c>
      <c r="E268" s="13" t="s">
        <v>4151</v>
      </c>
      <c r="F268" s="134" t="str">
        <f t="shared" si="0"/>
        <v/>
      </c>
      <c r="G268" s="134" t="str">
        <f t="shared" si="1"/>
        <v>GREY STONE HEALTH &amp; REHABILITATION CENTER</v>
      </c>
      <c r="H268" s="134"/>
      <c r="I268" s="134"/>
      <c r="J268" s="134"/>
      <c r="K268" s="134"/>
      <c r="L268" s="134"/>
      <c r="M268" s="134"/>
      <c r="N268" s="134"/>
      <c r="O268" s="134"/>
      <c r="P268" s="134"/>
      <c r="Q268" s="134"/>
      <c r="R268" s="134"/>
      <c r="S268" s="134"/>
      <c r="T268" s="134"/>
      <c r="U268" s="134"/>
      <c r="V268" s="134"/>
      <c r="W268" s="134"/>
      <c r="X268" s="134"/>
      <c r="Y268" s="134"/>
      <c r="Z268" s="134"/>
    </row>
    <row r="269" spans="1:26" ht="15.75" customHeight="1">
      <c r="A269" s="13" t="s">
        <v>5057</v>
      </c>
      <c r="B269" s="13" t="s">
        <v>5058</v>
      </c>
      <c r="C269" s="13" t="s">
        <v>2060</v>
      </c>
      <c r="D269" s="13" t="s">
        <v>5059</v>
      </c>
      <c r="E269" s="13" t="s">
        <v>5060</v>
      </c>
      <c r="F269" s="134" t="str">
        <f t="shared" si="0"/>
        <v/>
      </c>
      <c r="G269" s="134" t="str">
        <f t="shared" si="1"/>
        <v>HAMILTON GROVE</v>
      </c>
      <c r="H269" s="134"/>
      <c r="I269" s="134"/>
      <c r="J269" s="134"/>
      <c r="K269" s="134"/>
      <c r="L269" s="134"/>
      <c r="M269" s="134"/>
      <c r="N269" s="134"/>
      <c r="O269" s="134"/>
      <c r="P269" s="134"/>
      <c r="Q269" s="134"/>
      <c r="R269" s="134"/>
      <c r="S269" s="134"/>
      <c r="T269" s="134"/>
      <c r="U269" s="134"/>
      <c r="V269" s="134"/>
      <c r="W269" s="134"/>
      <c r="X269" s="134"/>
      <c r="Y269" s="134"/>
      <c r="Z269" s="134"/>
    </row>
    <row r="270" spans="1:26" ht="15.75" customHeight="1">
      <c r="A270" s="13" t="s">
        <v>5061</v>
      </c>
      <c r="B270" s="13" t="s">
        <v>5062</v>
      </c>
      <c r="C270" s="13" t="s">
        <v>5063</v>
      </c>
      <c r="D270" s="13" t="s">
        <v>5064</v>
      </c>
      <c r="E270" s="13" t="s">
        <v>4379</v>
      </c>
      <c r="F270" s="134" t="str">
        <f t="shared" si="0"/>
        <v/>
      </c>
      <c r="G270" s="134" t="str">
        <f t="shared" si="1"/>
        <v>HAMILTON PLACE</v>
      </c>
      <c r="H270" s="134"/>
      <c r="I270" s="134"/>
      <c r="J270" s="134"/>
      <c r="K270" s="134"/>
      <c r="L270" s="134"/>
      <c r="M270" s="134"/>
      <c r="N270" s="134"/>
      <c r="O270" s="134"/>
      <c r="P270" s="134"/>
      <c r="Q270" s="134"/>
      <c r="R270" s="134"/>
      <c r="S270" s="134"/>
      <c r="T270" s="134"/>
      <c r="U270" s="134"/>
      <c r="V270" s="134"/>
      <c r="W270" s="134"/>
      <c r="X270" s="134"/>
      <c r="Y270" s="134"/>
      <c r="Z270" s="134"/>
    </row>
    <row r="271" spans="1:26" ht="15.75" customHeight="1">
      <c r="A271" s="13" t="s">
        <v>5065</v>
      </c>
      <c r="B271" s="13" t="s">
        <v>5066</v>
      </c>
      <c r="C271" s="13" t="s">
        <v>5067</v>
      </c>
      <c r="D271" s="13" t="s">
        <v>5068</v>
      </c>
      <c r="E271" s="13" t="s">
        <v>4225</v>
      </c>
      <c r="F271" s="134" t="str">
        <f t="shared" si="0"/>
        <v/>
      </c>
      <c r="G271" s="134" t="str">
        <f t="shared" si="1"/>
        <v>HAMILTON POINTE HEALTH AND REHAB</v>
      </c>
      <c r="H271" s="134"/>
      <c r="I271" s="134"/>
      <c r="J271" s="134"/>
      <c r="K271" s="134"/>
      <c r="L271" s="134"/>
      <c r="M271" s="134"/>
      <c r="N271" s="134"/>
      <c r="O271" s="134"/>
      <c r="P271" s="134"/>
      <c r="Q271" s="134"/>
      <c r="R271" s="134"/>
      <c r="S271" s="134"/>
      <c r="T271" s="134"/>
      <c r="U271" s="134"/>
      <c r="V271" s="134"/>
      <c r="W271" s="134"/>
      <c r="X271" s="134"/>
      <c r="Y271" s="134"/>
      <c r="Z271" s="134"/>
    </row>
    <row r="272" spans="1:26" ht="15.75" customHeight="1">
      <c r="A272" s="13" t="s">
        <v>5069</v>
      </c>
      <c r="B272" s="13" t="s">
        <v>5070</v>
      </c>
      <c r="C272" s="13" t="s">
        <v>5071</v>
      </c>
      <c r="D272" s="13" t="s">
        <v>5072</v>
      </c>
      <c r="E272" s="13" t="s">
        <v>4743</v>
      </c>
      <c r="F272" s="134" t="str">
        <f t="shared" si="0"/>
        <v/>
      </c>
      <c r="G272" s="134" t="str">
        <f t="shared" si="1"/>
        <v>HAMILTON TRACE OF FISHERS</v>
      </c>
      <c r="H272" s="134"/>
      <c r="I272" s="134"/>
      <c r="J272" s="134"/>
      <c r="K272" s="134"/>
      <c r="L272" s="134"/>
      <c r="M272" s="134"/>
      <c r="N272" s="134"/>
      <c r="O272" s="134"/>
      <c r="P272" s="134"/>
      <c r="Q272" s="134"/>
      <c r="R272" s="134"/>
      <c r="S272" s="134"/>
      <c r="T272" s="134"/>
      <c r="U272" s="134"/>
      <c r="V272" s="134"/>
      <c r="W272" s="134"/>
      <c r="X272" s="134"/>
      <c r="Y272" s="134"/>
      <c r="Z272" s="134"/>
    </row>
    <row r="273" spans="1:26" ht="15.75" customHeight="1">
      <c r="A273" s="13" t="s">
        <v>5073</v>
      </c>
      <c r="B273" s="13" t="s">
        <v>5074</v>
      </c>
      <c r="C273" s="13" t="s">
        <v>2069</v>
      </c>
      <c r="D273" s="13" t="s">
        <v>5075</v>
      </c>
      <c r="E273" s="13" t="s">
        <v>5076</v>
      </c>
      <c r="F273" s="134" t="str">
        <f t="shared" si="0"/>
        <v/>
      </c>
      <c r="G273" s="134" t="str">
        <f t="shared" si="1"/>
        <v>HAMMOND-WHITING CARE CENTER</v>
      </c>
      <c r="H273" s="134"/>
      <c r="I273" s="134"/>
      <c r="J273" s="134"/>
      <c r="K273" s="134"/>
      <c r="L273" s="134"/>
      <c r="M273" s="134"/>
      <c r="N273" s="134"/>
      <c r="O273" s="134"/>
      <c r="P273" s="134"/>
      <c r="Q273" s="134"/>
      <c r="R273" s="134"/>
      <c r="S273" s="134"/>
      <c r="T273" s="134"/>
      <c r="U273" s="134"/>
      <c r="V273" s="134"/>
      <c r="W273" s="134"/>
      <c r="X273" s="134"/>
      <c r="Y273" s="134"/>
      <c r="Z273" s="134"/>
    </row>
    <row r="274" spans="1:26" ht="15.75" customHeight="1">
      <c r="A274" s="13" t="s">
        <v>5077</v>
      </c>
      <c r="B274" s="13" t="s">
        <v>5078</v>
      </c>
      <c r="C274" s="13" t="s">
        <v>2075</v>
      </c>
      <c r="D274" s="13" t="s">
        <v>5079</v>
      </c>
      <c r="E274" s="13" t="s">
        <v>5080</v>
      </c>
      <c r="F274" s="134" t="str">
        <f t="shared" si="0"/>
        <v/>
      </c>
      <c r="G274" s="134" t="str">
        <f t="shared" si="1"/>
        <v>HAMPTON OAKS HEALTH CAMPUS</v>
      </c>
      <c r="H274" s="134"/>
      <c r="I274" s="134"/>
      <c r="J274" s="134"/>
      <c r="K274" s="134"/>
      <c r="L274" s="134"/>
      <c r="M274" s="134"/>
      <c r="N274" s="134"/>
      <c r="O274" s="134"/>
      <c r="P274" s="134"/>
      <c r="Q274" s="134"/>
      <c r="R274" s="134"/>
      <c r="S274" s="134"/>
      <c r="T274" s="134"/>
      <c r="U274" s="134"/>
      <c r="V274" s="134"/>
      <c r="W274" s="134"/>
      <c r="X274" s="134"/>
      <c r="Y274" s="134"/>
      <c r="Z274" s="134"/>
    </row>
    <row r="275" spans="1:26" ht="15.75" customHeight="1">
      <c r="A275" s="13" t="s">
        <v>5081</v>
      </c>
      <c r="B275" s="13" t="s">
        <v>5082</v>
      </c>
      <c r="C275" s="13" t="s">
        <v>2081</v>
      </c>
      <c r="D275" s="13" t="s">
        <v>5083</v>
      </c>
      <c r="E275" s="13" t="s">
        <v>5084</v>
      </c>
      <c r="F275" s="134" t="str">
        <f t="shared" si="0"/>
        <v/>
      </c>
      <c r="G275" s="134" t="str">
        <f t="shared" si="1"/>
        <v>HANOVER NURSING CENTER</v>
      </c>
      <c r="H275" s="134"/>
      <c r="I275" s="134"/>
      <c r="J275" s="134"/>
      <c r="K275" s="134"/>
      <c r="L275" s="134"/>
      <c r="M275" s="134"/>
      <c r="N275" s="134"/>
      <c r="O275" s="134"/>
      <c r="P275" s="134"/>
      <c r="Q275" s="134"/>
      <c r="R275" s="134"/>
      <c r="S275" s="134"/>
      <c r="T275" s="134"/>
      <c r="U275" s="134"/>
      <c r="V275" s="134"/>
      <c r="W275" s="134"/>
      <c r="X275" s="134"/>
      <c r="Y275" s="134"/>
      <c r="Z275" s="134"/>
    </row>
    <row r="276" spans="1:26" ht="15.75" customHeight="1">
      <c r="A276" s="13" t="s">
        <v>5085</v>
      </c>
      <c r="B276" s="13" t="s">
        <v>5086</v>
      </c>
      <c r="C276" s="13" t="s">
        <v>5087</v>
      </c>
      <c r="D276" s="13" t="s">
        <v>5088</v>
      </c>
      <c r="E276" s="13" t="s">
        <v>5089</v>
      </c>
      <c r="F276" s="134" t="str">
        <f t="shared" si="0"/>
        <v/>
      </c>
      <c r="G276" s="134" t="str">
        <f t="shared" si="1"/>
        <v>HARBOUR MANOR HEALTH &amp; LIVING COMMUNITY</v>
      </c>
      <c r="H276" s="134"/>
      <c r="I276" s="134"/>
      <c r="J276" s="134"/>
      <c r="K276" s="134"/>
      <c r="L276" s="134"/>
      <c r="M276" s="134"/>
      <c r="N276" s="134"/>
      <c r="O276" s="134"/>
      <c r="P276" s="134"/>
      <c r="Q276" s="134"/>
      <c r="R276" s="134"/>
      <c r="S276" s="134"/>
      <c r="T276" s="134"/>
      <c r="U276" s="134"/>
      <c r="V276" s="134"/>
      <c r="W276" s="134"/>
      <c r="X276" s="134"/>
      <c r="Y276" s="134"/>
      <c r="Z276" s="134"/>
    </row>
    <row r="277" spans="1:26" ht="15.75" customHeight="1">
      <c r="A277" s="13" t="s">
        <v>5090</v>
      </c>
      <c r="B277" s="13" t="s">
        <v>5091</v>
      </c>
      <c r="C277" s="13" t="s">
        <v>2085</v>
      </c>
      <c r="D277" s="13" t="s">
        <v>5092</v>
      </c>
      <c r="E277" s="13" t="s">
        <v>3998</v>
      </c>
      <c r="F277" s="134" t="str">
        <f t="shared" si="0"/>
        <v/>
      </c>
      <c r="G277" s="134" t="str">
        <f t="shared" si="1"/>
        <v>HARCOURT TERRACE NURSING AND REHABILITATION</v>
      </c>
      <c r="H277" s="134"/>
      <c r="I277" s="134"/>
      <c r="J277" s="134"/>
      <c r="K277" s="134"/>
      <c r="L277" s="134"/>
      <c r="M277" s="134"/>
      <c r="N277" s="134"/>
      <c r="O277" s="134"/>
      <c r="P277" s="134"/>
      <c r="Q277" s="134"/>
      <c r="R277" s="134"/>
      <c r="S277" s="134"/>
      <c r="T277" s="134"/>
      <c r="U277" s="134"/>
      <c r="V277" s="134"/>
      <c r="W277" s="134"/>
      <c r="X277" s="134"/>
      <c r="Y277" s="134"/>
      <c r="Z277" s="134"/>
    </row>
    <row r="278" spans="1:26" ht="15.75" hidden="1" customHeight="1">
      <c r="A278" s="13" t="s">
        <v>5093</v>
      </c>
      <c r="B278" s="13" t="s">
        <v>5094</v>
      </c>
      <c r="C278" s="13" t="s">
        <v>5095</v>
      </c>
      <c r="D278" s="13" t="s">
        <v>5096</v>
      </c>
      <c r="E278" s="13" t="s">
        <v>4702</v>
      </c>
      <c r="F278" s="134" t="str">
        <f t="shared" si="0"/>
        <v/>
      </c>
      <c r="G278" s="134" t="str">
        <f t="shared" si="1"/>
        <v>HARRISON AT EAGLE VALLEY, THE</v>
      </c>
      <c r="H278" s="134"/>
      <c r="I278" s="134"/>
      <c r="J278" s="134"/>
      <c r="K278" s="134"/>
      <c r="L278" s="134"/>
      <c r="M278" s="134"/>
      <c r="N278" s="134"/>
      <c r="O278" s="134"/>
      <c r="P278" s="134"/>
      <c r="Q278" s="134"/>
      <c r="R278" s="134"/>
      <c r="S278" s="134"/>
      <c r="T278" s="134"/>
      <c r="U278" s="134"/>
      <c r="V278" s="134"/>
      <c r="W278" s="134"/>
      <c r="X278" s="134"/>
      <c r="Y278" s="134"/>
      <c r="Z278" s="134"/>
    </row>
    <row r="279" spans="1:26" ht="15.75" customHeight="1">
      <c r="A279" s="13" t="s">
        <v>5097</v>
      </c>
      <c r="B279" s="13" t="s">
        <v>5098</v>
      </c>
      <c r="C279" s="13" t="s">
        <v>2091</v>
      </c>
      <c r="D279" s="13" t="s">
        <v>5099</v>
      </c>
      <c r="E279" s="13" t="s">
        <v>5100</v>
      </c>
      <c r="F279" s="134" t="str">
        <f t="shared" si="0"/>
        <v/>
      </c>
      <c r="G279" s="134" t="str">
        <f t="shared" si="1"/>
        <v>HARRISON HEALTHCARE CENTER</v>
      </c>
      <c r="H279" s="134"/>
      <c r="I279" s="134"/>
      <c r="J279" s="134"/>
      <c r="K279" s="134"/>
      <c r="L279" s="134"/>
      <c r="M279" s="134"/>
      <c r="N279" s="134"/>
      <c r="O279" s="134"/>
      <c r="P279" s="134"/>
      <c r="Q279" s="134"/>
      <c r="R279" s="134"/>
      <c r="S279" s="134"/>
      <c r="T279" s="134"/>
      <c r="U279" s="134"/>
      <c r="V279" s="134"/>
      <c r="W279" s="134"/>
      <c r="X279" s="134"/>
      <c r="Y279" s="134"/>
      <c r="Z279" s="134"/>
    </row>
    <row r="280" spans="1:26" ht="15.75" customHeight="1">
      <c r="A280" s="13" t="s">
        <v>5101</v>
      </c>
      <c r="B280" s="13" t="s">
        <v>5102</v>
      </c>
      <c r="C280" s="13" t="s">
        <v>2095</v>
      </c>
      <c r="D280" s="13" t="s">
        <v>5103</v>
      </c>
      <c r="E280" s="13" t="s">
        <v>5100</v>
      </c>
      <c r="F280" s="134" t="str">
        <f t="shared" si="0"/>
        <v/>
      </c>
      <c r="G280" s="134" t="str">
        <f t="shared" si="1"/>
        <v>HARRISON SPRINGS HEALTH CAMPUS</v>
      </c>
      <c r="H280" s="134"/>
      <c r="I280" s="134"/>
      <c r="J280" s="134"/>
      <c r="K280" s="134"/>
      <c r="L280" s="134"/>
      <c r="M280" s="134"/>
      <c r="N280" s="134"/>
      <c r="O280" s="134"/>
      <c r="P280" s="134"/>
      <c r="Q280" s="134"/>
      <c r="R280" s="134"/>
      <c r="S280" s="134"/>
      <c r="T280" s="134"/>
      <c r="U280" s="134"/>
      <c r="V280" s="134"/>
      <c r="W280" s="134"/>
      <c r="X280" s="134"/>
      <c r="Y280" s="134"/>
      <c r="Z280" s="134"/>
    </row>
    <row r="281" spans="1:26" ht="15.75" customHeight="1">
      <c r="A281" s="13" t="s">
        <v>5104</v>
      </c>
      <c r="B281" s="13" t="s">
        <v>5105</v>
      </c>
      <c r="C281" s="13" t="s">
        <v>2098</v>
      </c>
      <c r="D281" s="13" t="s">
        <v>5106</v>
      </c>
      <c r="E281" s="13" t="s">
        <v>4650</v>
      </c>
      <c r="F281" s="134" t="str">
        <f t="shared" si="0"/>
        <v/>
      </c>
      <c r="G281" s="134" t="str">
        <f t="shared" si="1"/>
        <v>HARRISON TERRACE</v>
      </c>
      <c r="H281" s="134"/>
      <c r="I281" s="134"/>
      <c r="J281" s="134"/>
      <c r="K281" s="134"/>
      <c r="L281" s="134"/>
      <c r="M281" s="134"/>
      <c r="N281" s="134"/>
      <c r="O281" s="134"/>
      <c r="P281" s="134"/>
      <c r="Q281" s="134"/>
      <c r="R281" s="134"/>
      <c r="S281" s="134"/>
      <c r="T281" s="134"/>
      <c r="U281" s="134"/>
      <c r="V281" s="134"/>
      <c r="W281" s="134"/>
      <c r="X281" s="134"/>
      <c r="Y281" s="134"/>
      <c r="Z281" s="134"/>
    </row>
    <row r="282" spans="1:26" ht="15.75" customHeight="1">
      <c r="A282" s="13" t="s">
        <v>5107</v>
      </c>
      <c r="B282" s="13" t="s">
        <v>5108</v>
      </c>
      <c r="C282" s="13" t="s">
        <v>2101</v>
      </c>
      <c r="D282" s="13" t="s">
        <v>5109</v>
      </c>
      <c r="E282" s="13" t="s">
        <v>5110</v>
      </c>
      <c r="F282" s="134" t="str">
        <f t="shared" si="0"/>
        <v/>
      </c>
      <c r="G282" s="134" t="str">
        <f t="shared" si="1"/>
        <v>HARRISON'S CROSSING HEALTH CAMPUS</v>
      </c>
      <c r="H282" s="134"/>
      <c r="I282" s="134"/>
      <c r="J282" s="134"/>
      <c r="K282" s="134"/>
      <c r="L282" s="134"/>
      <c r="M282" s="134"/>
      <c r="N282" s="134"/>
      <c r="O282" s="134"/>
      <c r="P282" s="134"/>
      <c r="Q282" s="134"/>
      <c r="R282" s="134"/>
      <c r="S282" s="134"/>
      <c r="T282" s="134"/>
      <c r="U282" s="134"/>
      <c r="V282" s="134"/>
      <c r="W282" s="134"/>
      <c r="X282" s="134"/>
      <c r="Y282" s="134"/>
      <c r="Z282" s="134"/>
    </row>
    <row r="283" spans="1:26" ht="15.75" customHeight="1">
      <c r="A283" s="13" t="s">
        <v>5111</v>
      </c>
      <c r="B283" s="13" t="s">
        <v>5112</v>
      </c>
      <c r="C283" s="13" t="s">
        <v>5113</v>
      </c>
      <c r="D283" s="13" t="s">
        <v>5114</v>
      </c>
      <c r="E283" s="13" t="s">
        <v>5115</v>
      </c>
      <c r="F283" s="134" t="str">
        <f t="shared" si="0"/>
        <v/>
      </c>
      <c r="G283" s="134" t="str">
        <f t="shared" si="1"/>
        <v>HEALTH CENTER AT GLENBURN HOME</v>
      </c>
      <c r="H283" s="134"/>
      <c r="I283" s="134"/>
      <c r="J283" s="134"/>
      <c r="K283" s="134"/>
      <c r="L283" s="134"/>
      <c r="M283" s="134"/>
      <c r="N283" s="134"/>
      <c r="O283" s="134"/>
      <c r="P283" s="134"/>
      <c r="Q283" s="134"/>
      <c r="R283" s="134"/>
      <c r="S283" s="134"/>
      <c r="T283" s="134"/>
      <c r="U283" s="134"/>
      <c r="V283" s="134"/>
      <c r="W283" s="134"/>
      <c r="X283" s="134"/>
      <c r="Y283" s="134"/>
      <c r="Z283" s="134"/>
    </row>
    <row r="284" spans="1:26" ht="15.75" customHeight="1">
      <c r="A284" s="13" t="s">
        <v>5116</v>
      </c>
      <c r="B284" s="13" t="s">
        <v>5117</v>
      </c>
      <c r="C284" s="13" t="s">
        <v>5118</v>
      </c>
      <c r="D284" s="13" t="s">
        <v>5119</v>
      </c>
      <c r="E284" s="13" t="s">
        <v>4288</v>
      </c>
      <c r="F284" s="134" t="str">
        <f t="shared" si="0"/>
        <v/>
      </c>
      <c r="G284" s="134" t="str">
        <f t="shared" si="1"/>
        <v>HEALTHCARE CENTER AT WITTENBERG VILLAGE</v>
      </c>
      <c r="H284" s="134"/>
      <c r="I284" s="134"/>
      <c r="J284" s="134"/>
      <c r="K284" s="134"/>
      <c r="L284" s="134"/>
      <c r="M284" s="134"/>
      <c r="N284" s="134"/>
      <c r="O284" s="134"/>
      <c r="P284" s="134"/>
      <c r="Q284" s="134"/>
      <c r="R284" s="134"/>
      <c r="S284" s="134"/>
      <c r="T284" s="134"/>
      <c r="U284" s="134"/>
      <c r="V284" s="134"/>
      <c r="W284" s="134"/>
      <c r="X284" s="134"/>
      <c r="Y284" s="134"/>
      <c r="Z284" s="134"/>
    </row>
    <row r="285" spans="1:26" ht="15.75" customHeight="1">
      <c r="A285" s="13" t="s">
        <v>5120</v>
      </c>
      <c r="B285" s="13" t="s">
        <v>5121</v>
      </c>
      <c r="C285" s="13" t="s">
        <v>2107</v>
      </c>
      <c r="D285" s="13" t="s">
        <v>5122</v>
      </c>
      <c r="E285" s="13" t="s">
        <v>5123</v>
      </c>
      <c r="F285" s="134" t="str">
        <f t="shared" si="0"/>
        <v/>
      </c>
      <c r="G285" s="134" t="str">
        <f t="shared" si="1"/>
        <v>HEALTHWIN</v>
      </c>
      <c r="H285" s="134"/>
      <c r="I285" s="134"/>
      <c r="J285" s="134"/>
      <c r="K285" s="134"/>
      <c r="L285" s="134"/>
      <c r="M285" s="134"/>
      <c r="N285" s="134"/>
      <c r="O285" s="134"/>
      <c r="P285" s="134"/>
      <c r="Q285" s="134"/>
      <c r="R285" s="134"/>
      <c r="S285" s="134"/>
      <c r="T285" s="134"/>
      <c r="U285" s="134"/>
      <c r="V285" s="134"/>
      <c r="W285" s="134"/>
      <c r="X285" s="134"/>
      <c r="Y285" s="134"/>
      <c r="Z285" s="134"/>
    </row>
    <row r="286" spans="1:26" ht="15.75" customHeight="1">
      <c r="A286" s="13" t="s">
        <v>5124</v>
      </c>
      <c r="B286" s="13" t="s">
        <v>5125</v>
      </c>
      <c r="C286" s="13" t="s">
        <v>5126</v>
      </c>
      <c r="D286" s="13" t="s">
        <v>5127</v>
      </c>
      <c r="E286" s="13" t="s">
        <v>4234</v>
      </c>
      <c r="F286" s="134" t="str">
        <f t="shared" si="0"/>
        <v/>
      </c>
      <c r="G286" s="134" t="str">
        <f t="shared" si="1"/>
        <v>HEARTH AT JUDAY CREEK LLC</v>
      </c>
      <c r="H286" s="134"/>
      <c r="I286" s="134"/>
      <c r="J286" s="134"/>
      <c r="K286" s="134"/>
      <c r="L286" s="134"/>
      <c r="M286" s="134"/>
      <c r="N286" s="134"/>
      <c r="O286" s="134"/>
      <c r="P286" s="134"/>
      <c r="Q286" s="134"/>
      <c r="R286" s="134"/>
      <c r="S286" s="134"/>
      <c r="T286" s="134"/>
      <c r="U286" s="134"/>
      <c r="V286" s="134"/>
      <c r="W286" s="134"/>
      <c r="X286" s="134"/>
      <c r="Y286" s="134"/>
      <c r="Z286" s="134"/>
    </row>
    <row r="287" spans="1:26" ht="15.75" hidden="1" customHeight="1">
      <c r="A287" s="13" t="s">
        <v>5128</v>
      </c>
      <c r="B287" s="13" t="s">
        <v>5129</v>
      </c>
      <c r="C287" s="13" t="s">
        <v>5130</v>
      </c>
      <c r="D287" s="13" t="s">
        <v>5131</v>
      </c>
      <c r="E287" s="13" t="s">
        <v>4207</v>
      </c>
      <c r="F287" s="134" t="str">
        <f t="shared" si="0"/>
        <v/>
      </c>
      <c r="G287" s="134" t="str">
        <f t="shared" si="1"/>
        <v>HEARTH AT PRESTWICK</v>
      </c>
      <c r="H287" s="134"/>
      <c r="I287" s="134"/>
      <c r="J287" s="134"/>
      <c r="K287" s="134"/>
      <c r="L287" s="134"/>
      <c r="M287" s="134"/>
      <c r="N287" s="134"/>
      <c r="O287" s="134"/>
      <c r="P287" s="134"/>
      <c r="Q287" s="134"/>
      <c r="R287" s="134"/>
      <c r="S287" s="134"/>
      <c r="T287" s="134"/>
      <c r="U287" s="134"/>
      <c r="V287" s="134"/>
      <c r="W287" s="134"/>
      <c r="X287" s="134"/>
      <c r="Y287" s="134"/>
      <c r="Z287" s="134"/>
    </row>
    <row r="288" spans="1:26" ht="15.75" customHeight="1">
      <c r="A288" s="13" t="s">
        <v>5132</v>
      </c>
      <c r="B288" s="13" t="s">
        <v>5133</v>
      </c>
      <c r="C288" s="13" t="s">
        <v>5134</v>
      </c>
      <c r="D288" s="13" t="s">
        <v>5135</v>
      </c>
      <c r="E288" s="13" t="s">
        <v>4159</v>
      </c>
      <c r="F288" s="134" t="str">
        <f t="shared" si="0"/>
        <v/>
      </c>
      <c r="G288" s="134" t="str">
        <f t="shared" si="1"/>
        <v>HEARTH AT STONES CROSSING LLC THE</v>
      </c>
      <c r="H288" s="134"/>
      <c r="I288" s="134"/>
      <c r="J288" s="134"/>
      <c r="K288" s="134"/>
      <c r="L288" s="134"/>
      <c r="M288" s="134"/>
      <c r="N288" s="134"/>
      <c r="O288" s="134"/>
      <c r="P288" s="134"/>
      <c r="Q288" s="134"/>
      <c r="R288" s="134"/>
      <c r="S288" s="134"/>
      <c r="T288" s="134"/>
      <c r="U288" s="134"/>
      <c r="V288" s="134"/>
      <c r="W288" s="134"/>
      <c r="X288" s="134"/>
      <c r="Y288" s="134"/>
      <c r="Z288" s="134"/>
    </row>
    <row r="289" spans="1:26" ht="15.75" customHeight="1">
      <c r="A289" s="13" t="s">
        <v>5136</v>
      </c>
      <c r="B289" s="13" t="s">
        <v>5137</v>
      </c>
      <c r="C289" s="13" t="s">
        <v>5138</v>
      </c>
      <c r="D289" s="13" t="s">
        <v>5139</v>
      </c>
      <c r="E289" s="13" t="s">
        <v>5140</v>
      </c>
      <c r="F289" s="134" t="str">
        <f t="shared" si="0"/>
        <v/>
      </c>
      <c r="G289" s="134" t="str">
        <f t="shared" si="1"/>
        <v>HEARTH AT SYCAMORE VILLAGE LLC</v>
      </c>
      <c r="H289" s="134"/>
      <c r="I289" s="134"/>
      <c r="J289" s="134"/>
      <c r="K289" s="134"/>
      <c r="L289" s="134"/>
      <c r="M289" s="134"/>
      <c r="N289" s="134"/>
      <c r="O289" s="134"/>
      <c r="P289" s="134"/>
      <c r="Q289" s="134"/>
      <c r="R289" s="134"/>
      <c r="S289" s="134"/>
      <c r="T289" s="134"/>
      <c r="U289" s="134"/>
      <c r="V289" s="134"/>
      <c r="W289" s="134"/>
      <c r="X289" s="134"/>
      <c r="Y289" s="134"/>
      <c r="Z289" s="134"/>
    </row>
    <row r="290" spans="1:26" ht="15.75" customHeight="1">
      <c r="A290" s="13" t="s">
        <v>5141</v>
      </c>
      <c r="B290" s="13" t="s">
        <v>5142</v>
      </c>
      <c r="C290" s="13" t="s">
        <v>5143</v>
      </c>
      <c r="D290" s="13" t="s">
        <v>5144</v>
      </c>
      <c r="E290" s="13" t="s">
        <v>4063</v>
      </c>
      <c r="F290" s="134" t="str">
        <f t="shared" si="0"/>
        <v/>
      </c>
      <c r="G290" s="134" t="str">
        <f t="shared" si="1"/>
        <v>HEARTH AT TUDOR GARDENS LLC</v>
      </c>
      <c r="H290" s="134"/>
      <c r="I290" s="134"/>
      <c r="J290" s="134"/>
      <c r="K290" s="134"/>
      <c r="L290" s="134"/>
      <c r="M290" s="134"/>
      <c r="N290" s="134"/>
      <c r="O290" s="134"/>
      <c r="P290" s="134"/>
      <c r="Q290" s="134"/>
      <c r="R290" s="134"/>
      <c r="S290" s="134"/>
      <c r="T290" s="134"/>
      <c r="U290" s="134"/>
      <c r="V290" s="134"/>
      <c r="W290" s="134"/>
      <c r="X290" s="134"/>
      <c r="Y290" s="134"/>
      <c r="Z290" s="134"/>
    </row>
    <row r="291" spans="1:26" ht="15.75" customHeight="1">
      <c r="A291" s="13" t="s">
        <v>5145</v>
      </c>
      <c r="B291" s="13" t="s">
        <v>5146</v>
      </c>
      <c r="C291" s="13" t="s">
        <v>5147</v>
      </c>
      <c r="D291" s="13" t="s">
        <v>5148</v>
      </c>
      <c r="E291" s="13" t="s">
        <v>4032</v>
      </c>
      <c r="F291" s="134" t="str">
        <f t="shared" si="0"/>
        <v/>
      </c>
      <c r="G291" s="134" t="str">
        <f t="shared" si="1"/>
        <v>HEARTH AT WINDERMERE</v>
      </c>
      <c r="H291" s="134"/>
      <c r="I291" s="134"/>
      <c r="J291" s="134"/>
      <c r="K291" s="134"/>
      <c r="L291" s="134"/>
      <c r="M291" s="134"/>
      <c r="N291" s="134"/>
      <c r="O291" s="134"/>
      <c r="P291" s="134"/>
      <c r="Q291" s="134"/>
      <c r="R291" s="134"/>
      <c r="S291" s="134"/>
      <c r="T291" s="134"/>
      <c r="U291" s="134"/>
      <c r="V291" s="134"/>
      <c r="W291" s="134"/>
      <c r="X291" s="134"/>
      <c r="Y291" s="134"/>
      <c r="Z291" s="134"/>
    </row>
    <row r="292" spans="1:26" ht="15.75" customHeight="1">
      <c r="A292" s="13" t="s">
        <v>5149</v>
      </c>
      <c r="B292" s="13" t="s">
        <v>5150</v>
      </c>
      <c r="C292" s="13" t="s">
        <v>2111</v>
      </c>
      <c r="D292" s="13" t="s">
        <v>5151</v>
      </c>
      <c r="E292" s="13" t="s">
        <v>5152</v>
      </c>
      <c r="F292" s="134" t="str">
        <f t="shared" si="0"/>
        <v/>
      </c>
      <c r="G292" s="134" t="str">
        <f t="shared" si="1"/>
        <v>HEARTHSTONE HEALTH CAMPUS</v>
      </c>
      <c r="H292" s="134"/>
      <c r="I292" s="134"/>
      <c r="J292" s="134"/>
      <c r="K292" s="134"/>
      <c r="L292" s="134"/>
      <c r="M292" s="134"/>
      <c r="N292" s="134"/>
      <c r="O292" s="134"/>
      <c r="P292" s="134"/>
      <c r="Q292" s="134"/>
      <c r="R292" s="134"/>
      <c r="S292" s="134"/>
      <c r="T292" s="134"/>
      <c r="U292" s="134"/>
      <c r="V292" s="134"/>
      <c r="W292" s="134"/>
      <c r="X292" s="134"/>
      <c r="Y292" s="134"/>
      <c r="Z292" s="134"/>
    </row>
    <row r="293" spans="1:26" ht="15.75" customHeight="1">
      <c r="A293" s="13" t="s">
        <v>5153</v>
      </c>
      <c r="B293" s="13" t="s">
        <v>5154</v>
      </c>
      <c r="C293" s="13" t="s">
        <v>5155</v>
      </c>
      <c r="D293" s="13" t="s">
        <v>5156</v>
      </c>
      <c r="E293" s="13" t="s">
        <v>4706</v>
      </c>
      <c r="F293" s="134" t="str">
        <f t="shared" si="0"/>
        <v/>
      </c>
      <c r="G293" s="134" t="str">
        <f t="shared" si="1"/>
        <v>HELLENIC SENIOR LIVING OF ELKHART</v>
      </c>
      <c r="H293" s="134"/>
      <c r="I293" s="134"/>
      <c r="J293" s="134"/>
      <c r="K293" s="134"/>
      <c r="L293" s="134"/>
      <c r="M293" s="134"/>
      <c r="N293" s="134"/>
      <c r="O293" s="134"/>
      <c r="P293" s="134"/>
      <c r="Q293" s="134"/>
      <c r="R293" s="134"/>
      <c r="S293" s="134"/>
      <c r="T293" s="134"/>
      <c r="U293" s="134"/>
      <c r="V293" s="134"/>
      <c r="W293" s="134"/>
      <c r="X293" s="134"/>
      <c r="Y293" s="134"/>
      <c r="Z293" s="134"/>
    </row>
    <row r="294" spans="1:26" ht="15.75" customHeight="1">
      <c r="A294" s="13" t="s">
        <v>5157</v>
      </c>
      <c r="B294" s="13" t="s">
        <v>5158</v>
      </c>
      <c r="C294" s="13" t="s">
        <v>5159</v>
      </c>
      <c r="D294" s="13" t="s">
        <v>5160</v>
      </c>
      <c r="E294" s="13" t="s">
        <v>4259</v>
      </c>
      <c r="F294" s="134" t="str">
        <f t="shared" si="0"/>
        <v/>
      </c>
      <c r="G294" s="134" t="str">
        <f t="shared" si="1"/>
        <v>HELLENIC SENIOR LIVING OF INDIANAPOLIS</v>
      </c>
      <c r="H294" s="134"/>
      <c r="I294" s="134"/>
      <c r="J294" s="134"/>
      <c r="K294" s="134"/>
      <c r="L294" s="134"/>
      <c r="M294" s="134"/>
      <c r="N294" s="134"/>
      <c r="O294" s="134"/>
      <c r="P294" s="134"/>
      <c r="Q294" s="134"/>
      <c r="R294" s="134"/>
      <c r="S294" s="134"/>
      <c r="T294" s="134"/>
      <c r="U294" s="134"/>
      <c r="V294" s="134"/>
      <c r="W294" s="134"/>
      <c r="X294" s="134"/>
      <c r="Y294" s="134"/>
      <c r="Z294" s="134"/>
    </row>
    <row r="295" spans="1:26" ht="15.75" customHeight="1">
      <c r="A295" s="13" t="s">
        <v>5161</v>
      </c>
      <c r="B295" s="13" t="s">
        <v>5162</v>
      </c>
      <c r="C295" s="13" t="s">
        <v>5163</v>
      </c>
      <c r="D295" s="13" t="s">
        <v>5164</v>
      </c>
      <c r="E295" s="13" t="s">
        <v>4195</v>
      </c>
      <c r="F295" s="134" t="str">
        <f t="shared" si="0"/>
        <v/>
      </c>
      <c r="G295" s="134" t="str">
        <f t="shared" si="1"/>
        <v>HELLENIC SENIOR LIVING OF NEW ALBANY</v>
      </c>
      <c r="H295" s="134"/>
      <c r="I295" s="134"/>
      <c r="J295" s="134"/>
      <c r="K295" s="134"/>
      <c r="L295" s="134"/>
      <c r="M295" s="134"/>
      <c r="N295" s="134"/>
      <c r="O295" s="134"/>
      <c r="P295" s="134"/>
      <c r="Q295" s="134"/>
      <c r="R295" s="134"/>
      <c r="S295" s="134"/>
      <c r="T295" s="134"/>
      <c r="U295" s="134"/>
      <c r="V295" s="134"/>
      <c r="W295" s="134"/>
      <c r="X295" s="134"/>
      <c r="Y295" s="134"/>
      <c r="Z295" s="134"/>
    </row>
    <row r="296" spans="1:26" ht="15.75" customHeight="1">
      <c r="A296" s="13" t="s">
        <v>5165</v>
      </c>
      <c r="B296" s="13" t="s">
        <v>5166</v>
      </c>
      <c r="C296" s="13" t="s">
        <v>2114</v>
      </c>
      <c r="D296" s="13" t="s">
        <v>5167</v>
      </c>
      <c r="E296" s="13" t="s">
        <v>4267</v>
      </c>
      <c r="F296" s="134" t="str">
        <f t="shared" si="0"/>
        <v/>
      </c>
      <c r="G296" s="134" t="str">
        <f t="shared" si="1"/>
        <v>HERITAGE CENTER</v>
      </c>
      <c r="H296" s="134"/>
      <c r="I296" s="134"/>
      <c r="J296" s="134"/>
      <c r="K296" s="134"/>
      <c r="L296" s="134"/>
      <c r="M296" s="134"/>
      <c r="N296" s="134"/>
      <c r="O296" s="134"/>
      <c r="P296" s="134"/>
      <c r="Q296" s="134"/>
      <c r="R296" s="134"/>
      <c r="S296" s="134"/>
      <c r="T296" s="134"/>
      <c r="U296" s="134"/>
      <c r="V296" s="134"/>
      <c r="W296" s="134"/>
      <c r="X296" s="134"/>
      <c r="Y296" s="134"/>
      <c r="Z296" s="134"/>
    </row>
    <row r="297" spans="1:26" ht="15.75" customHeight="1">
      <c r="A297" s="13" t="s">
        <v>5168</v>
      </c>
      <c r="B297" s="13" t="s">
        <v>5169</v>
      </c>
      <c r="C297" s="13" t="s">
        <v>2117</v>
      </c>
      <c r="D297" s="13" t="s">
        <v>5170</v>
      </c>
      <c r="E297" s="13" t="s">
        <v>4664</v>
      </c>
      <c r="F297" s="134" t="str">
        <f t="shared" si="0"/>
        <v/>
      </c>
      <c r="G297" s="134" t="str">
        <f t="shared" si="1"/>
        <v>HERITAGE HEALTHCARE</v>
      </c>
      <c r="H297" s="134"/>
      <c r="I297" s="134"/>
      <c r="J297" s="134"/>
      <c r="K297" s="134"/>
      <c r="L297" s="134"/>
      <c r="M297" s="134"/>
      <c r="N297" s="134"/>
      <c r="O297" s="134"/>
      <c r="P297" s="134"/>
      <c r="Q297" s="134"/>
      <c r="R297" s="134"/>
      <c r="S297" s="134"/>
      <c r="T297" s="134"/>
      <c r="U297" s="134"/>
      <c r="V297" s="134"/>
      <c r="W297" s="134"/>
      <c r="X297" s="134"/>
      <c r="Y297" s="134"/>
      <c r="Z297" s="134"/>
    </row>
    <row r="298" spans="1:26" ht="15.75" customHeight="1">
      <c r="A298" s="13" t="s">
        <v>5171</v>
      </c>
      <c r="B298" s="13" t="s">
        <v>5172</v>
      </c>
      <c r="C298" s="13" t="s">
        <v>2121</v>
      </c>
      <c r="D298" s="13" t="s">
        <v>5173</v>
      </c>
      <c r="E298" s="13" t="s">
        <v>4130</v>
      </c>
      <c r="F298" s="134" t="str">
        <f t="shared" si="0"/>
        <v/>
      </c>
      <c r="G298" s="134" t="str">
        <f t="shared" si="1"/>
        <v>HERITAGE HOUSE OF GREENSBURG</v>
      </c>
      <c r="H298" s="134"/>
      <c r="I298" s="134"/>
      <c r="J298" s="134"/>
      <c r="K298" s="134"/>
      <c r="L298" s="134"/>
      <c r="M298" s="134"/>
      <c r="N298" s="134"/>
      <c r="O298" s="134"/>
      <c r="P298" s="134"/>
      <c r="Q298" s="134"/>
      <c r="R298" s="134"/>
      <c r="S298" s="134"/>
      <c r="T298" s="134"/>
      <c r="U298" s="134"/>
      <c r="V298" s="134"/>
      <c r="W298" s="134"/>
      <c r="X298" s="134"/>
      <c r="Y298" s="134"/>
      <c r="Z298" s="134"/>
    </row>
    <row r="299" spans="1:26" ht="15.75" customHeight="1">
      <c r="A299" s="13" t="s">
        <v>5174</v>
      </c>
      <c r="B299" s="13" t="s">
        <v>5175</v>
      </c>
      <c r="C299" s="13" t="s">
        <v>2123</v>
      </c>
      <c r="D299" s="13" t="s">
        <v>5176</v>
      </c>
      <c r="E299" s="13" t="s">
        <v>4011</v>
      </c>
      <c r="F299" s="134" t="str">
        <f t="shared" si="0"/>
        <v/>
      </c>
      <c r="G299" s="134" t="str">
        <f t="shared" si="1"/>
        <v>HERITAGE HOUSE OF NEW CASTLE</v>
      </c>
      <c r="H299" s="134"/>
      <c r="I299" s="134"/>
      <c r="J299" s="134"/>
      <c r="K299" s="134"/>
      <c r="L299" s="134"/>
      <c r="M299" s="134"/>
      <c r="N299" s="134"/>
      <c r="O299" s="134"/>
      <c r="P299" s="134"/>
      <c r="Q299" s="134"/>
      <c r="R299" s="134"/>
      <c r="S299" s="134"/>
      <c r="T299" s="134"/>
      <c r="U299" s="134"/>
      <c r="V299" s="134"/>
      <c r="W299" s="134"/>
      <c r="X299" s="134"/>
      <c r="Y299" s="134"/>
      <c r="Z299" s="134"/>
    </row>
    <row r="300" spans="1:26" ht="15.75" customHeight="1">
      <c r="A300" s="13" t="s">
        <v>5177</v>
      </c>
      <c r="B300" s="13" t="s">
        <v>5178</v>
      </c>
      <c r="C300" s="13" t="s">
        <v>2125</v>
      </c>
      <c r="D300" s="13" t="s">
        <v>5179</v>
      </c>
      <c r="E300" s="13" t="s">
        <v>4134</v>
      </c>
      <c r="F300" s="134" t="str">
        <f t="shared" si="0"/>
        <v/>
      </c>
      <c r="G300" s="134" t="str">
        <f t="shared" si="1"/>
        <v>HERITAGE HOUSE OF RICHMOND</v>
      </c>
      <c r="H300" s="134"/>
      <c r="I300" s="134"/>
      <c r="J300" s="134"/>
      <c r="K300" s="134"/>
      <c r="L300" s="134"/>
      <c r="M300" s="134"/>
      <c r="N300" s="134"/>
      <c r="O300" s="134"/>
      <c r="P300" s="134"/>
      <c r="Q300" s="134"/>
      <c r="R300" s="134"/>
      <c r="S300" s="134"/>
      <c r="T300" s="134"/>
      <c r="U300" s="134"/>
      <c r="V300" s="134"/>
      <c r="W300" s="134"/>
      <c r="X300" s="134"/>
      <c r="Y300" s="134"/>
      <c r="Z300" s="134"/>
    </row>
    <row r="301" spans="1:26" ht="15.75" customHeight="1">
      <c r="A301" s="13" t="s">
        <v>5180</v>
      </c>
      <c r="B301" s="13" t="s">
        <v>5181</v>
      </c>
      <c r="C301" s="13" t="s">
        <v>2127</v>
      </c>
      <c r="D301" s="13" t="s">
        <v>5182</v>
      </c>
      <c r="E301" s="13" t="s">
        <v>4146</v>
      </c>
      <c r="F301" s="134" t="str">
        <f t="shared" si="0"/>
        <v/>
      </c>
      <c r="G301" s="134" t="str">
        <f t="shared" si="1"/>
        <v>HERITAGE HOUSE OF SHELBYVILLE</v>
      </c>
      <c r="H301" s="134"/>
      <c r="I301" s="134"/>
      <c r="J301" s="134"/>
      <c r="K301" s="134"/>
      <c r="L301" s="134"/>
      <c r="M301" s="134"/>
      <c r="N301" s="134"/>
      <c r="O301" s="134"/>
      <c r="P301" s="134"/>
      <c r="Q301" s="134"/>
      <c r="R301" s="134"/>
      <c r="S301" s="134"/>
      <c r="T301" s="134"/>
      <c r="U301" s="134"/>
      <c r="V301" s="134"/>
      <c r="W301" s="134"/>
      <c r="X301" s="134"/>
      <c r="Y301" s="134"/>
      <c r="Z301" s="134"/>
    </row>
    <row r="302" spans="1:26" ht="15.75" customHeight="1">
      <c r="A302" s="13" t="s">
        <v>5183</v>
      </c>
      <c r="B302" s="13" t="s">
        <v>5184</v>
      </c>
      <c r="C302" s="13" t="s">
        <v>2130</v>
      </c>
      <c r="D302" s="13" t="s">
        <v>5185</v>
      </c>
      <c r="E302" s="13" t="s">
        <v>4453</v>
      </c>
      <c r="F302" s="134" t="str">
        <f t="shared" si="0"/>
        <v/>
      </c>
      <c r="G302" s="134" t="str">
        <f t="shared" si="1"/>
        <v>HERITAGE HOUSE REHABILITATION &amp; HEALTH CARE CENTER</v>
      </c>
      <c r="H302" s="134"/>
      <c r="I302" s="134"/>
      <c r="J302" s="134"/>
      <c r="K302" s="134"/>
      <c r="L302" s="134"/>
      <c r="M302" s="134"/>
      <c r="N302" s="134"/>
      <c r="O302" s="134"/>
      <c r="P302" s="134"/>
      <c r="Q302" s="134"/>
      <c r="R302" s="134"/>
      <c r="S302" s="134"/>
      <c r="T302" s="134"/>
      <c r="U302" s="134"/>
      <c r="V302" s="134"/>
      <c r="W302" s="134"/>
      <c r="X302" s="134"/>
      <c r="Y302" s="134"/>
      <c r="Z302" s="134"/>
    </row>
    <row r="303" spans="1:26" ht="15.75" customHeight="1">
      <c r="A303" s="13" t="s">
        <v>5186</v>
      </c>
      <c r="B303" s="13" t="s">
        <v>5187</v>
      </c>
      <c r="C303" s="13" t="s">
        <v>2132</v>
      </c>
      <c r="D303" s="13" t="s">
        <v>5188</v>
      </c>
      <c r="E303" s="13" t="s">
        <v>4275</v>
      </c>
      <c r="F303" s="134" t="str">
        <f t="shared" si="0"/>
        <v/>
      </c>
      <c r="G303" s="134" t="str">
        <f t="shared" si="1"/>
        <v>HERITAGE OF FORT WAYNE, THE</v>
      </c>
      <c r="H303" s="134"/>
      <c r="I303" s="134"/>
      <c r="J303" s="134"/>
      <c r="K303" s="134"/>
      <c r="L303" s="134"/>
      <c r="M303" s="134"/>
      <c r="N303" s="134"/>
      <c r="O303" s="134"/>
      <c r="P303" s="134"/>
      <c r="Q303" s="134"/>
      <c r="R303" s="134"/>
      <c r="S303" s="134"/>
      <c r="T303" s="134"/>
      <c r="U303" s="134"/>
      <c r="V303" s="134"/>
      <c r="W303" s="134"/>
      <c r="X303" s="134"/>
      <c r="Y303" s="134"/>
      <c r="Z303" s="134"/>
    </row>
    <row r="304" spans="1:26" ht="15.75" customHeight="1">
      <c r="A304" s="13" t="s">
        <v>5189</v>
      </c>
      <c r="B304" s="13" t="s">
        <v>5190</v>
      </c>
      <c r="C304" s="13" t="s">
        <v>2135</v>
      </c>
      <c r="D304" s="13" t="s">
        <v>5191</v>
      </c>
      <c r="E304" s="13" t="s">
        <v>5192</v>
      </c>
      <c r="F304" s="134" t="str">
        <f t="shared" si="0"/>
        <v/>
      </c>
      <c r="G304" s="134" t="str">
        <f t="shared" si="1"/>
        <v>HERITAGE OF HUNTINGTON</v>
      </c>
      <c r="H304" s="134"/>
      <c r="I304" s="134"/>
      <c r="J304" s="134"/>
      <c r="K304" s="134"/>
      <c r="L304" s="134"/>
      <c r="M304" s="134"/>
      <c r="N304" s="134"/>
      <c r="O304" s="134"/>
      <c r="P304" s="134"/>
      <c r="Q304" s="134"/>
      <c r="R304" s="134"/>
      <c r="S304" s="134"/>
      <c r="T304" s="134"/>
      <c r="U304" s="134"/>
      <c r="V304" s="134"/>
      <c r="W304" s="134"/>
      <c r="X304" s="134"/>
      <c r="Y304" s="134"/>
      <c r="Z304" s="134"/>
    </row>
    <row r="305" spans="1:26" ht="15.75" customHeight="1">
      <c r="A305" s="13" t="s">
        <v>5193</v>
      </c>
      <c r="B305" s="13" t="s">
        <v>5194</v>
      </c>
      <c r="C305" s="13" t="s">
        <v>2139</v>
      </c>
      <c r="D305" s="13" t="s">
        <v>5195</v>
      </c>
      <c r="E305" s="13" t="s">
        <v>4126</v>
      </c>
      <c r="F305" s="134" t="str">
        <f t="shared" si="0"/>
        <v/>
      </c>
      <c r="G305" s="134" t="str">
        <f t="shared" si="1"/>
        <v>HERITAGE PARK</v>
      </c>
      <c r="H305" s="134"/>
      <c r="I305" s="134"/>
      <c r="J305" s="134"/>
      <c r="K305" s="134"/>
      <c r="L305" s="134"/>
      <c r="M305" s="134"/>
      <c r="N305" s="134"/>
      <c r="O305" s="134"/>
      <c r="P305" s="134"/>
      <c r="Q305" s="134"/>
      <c r="R305" s="134"/>
      <c r="S305" s="134"/>
      <c r="T305" s="134"/>
      <c r="U305" s="134"/>
      <c r="V305" s="134"/>
      <c r="W305" s="134"/>
      <c r="X305" s="134"/>
      <c r="Y305" s="134"/>
      <c r="Z305" s="134"/>
    </row>
    <row r="306" spans="1:26" ht="15.75" customHeight="1">
      <c r="A306" s="13" t="s">
        <v>5196</v>
      </c>
      <c r="B306" s="13" t="s">
        <v>5197</v>
      </c>
      <c r="C306" s="13" t="s">
        <v>2139</v>
      </c>
      <c r="D306" s="13" t="s">
        <v>5198</v>
      </c>
      <c r="E306" s="13" t="s">
        <v>4126</v>
      </c>
      <c r="F306" s="134" t="str">
        <f t="shared" si="0"/>
        <v/>
      </c>
      <c r="G306" s="134" t="str">
        <f t="shared" si="1"/>
        <v>HERITAGE PARK COMMONS</v>
      </c>
      <c r="H306" s="134"/>
      <c r="I306" s="134"/>
      <c r="J306" s="134"/>
      <c r="K306" s="134"/>
      <c r="L306" s="134"/>
      <c r="M306" s="134"/>
      <c r="N306" s="134"/>
      <c r="O306" s="134"/>
      <c r="P306" s="134"/>
      <c r="Q306" s="134"/>
      <c r="R306" s="134"/>
      <c r="S306" s="134"/>
      <c r="T306" s="134"/>
      <c r="U306" s="134"/>
      <c r="V306" s="134"/>
      <c r="W306" s="134"/>
      <c r="X306" s="134"/>
      <c r="Y306" s="134"/>
      <c r="Z306" s="134"/>
    </row>
    <row r="307" spans="1:26" ht="15.75" hidden="1" customHeight="1">
      <c r="A307" s="13" t="s">
        <v>5199</v>
      </c>
      <c r="B307" s="13" t="s">
        <v>5200</v>
      </c>
      <c r="C307" s="13" t="s">
        <v>5201</v>
      </c>
      <c r="D307" s="13" t="s">
        <v>5202</v>
      </c>
      <c r="E307" s="13" t="s">
        <v>4613</v>
      </c>
      <c r="F307" s="134" t="str">
        <f t="shared" si="0"/>
        <v/>
      </c>
      <c r="G307" s="134" t="str">
        <f t="shared" si="1"/>
        <v>HERITAGE POINT ALZHEIMER'S SPECIAL CARE CENTER</v>
      </c>
      <c r="H307" s="134"/>
      <c r="I307" s="134"/>
      <c r="J307" s="134"/>
      <c r="K307" s="134"/>
      <c r="L307" s="134"/>
      <c r="M307" s="134"/>
      <c r="N307" s="134"/>
      <c r="O307" s="134"/>
      <c r="P307" s="134"/>
      <c r="Q307" s="134"/>
      <c r="R307" s="134"/>
      <c r="S307" s="134"/>
      <c r="T307" s="134"/>
      <c r="U307" s="134"/>
      <c r="V307" s="134"/>
      <c r="W307" s="134"/>
      <c r="X307" s="134"/>
      <c r="Y307" s="134"/>
      <c r="Z307" s="134"/>
    </row>
    <row r="308" spans="1:26" ht="15.75" customHeight="1">
      <c r="A308" s="13" t="s">
        <v>5203</v>
      </c>
      <c r="B308" s="13" t="s">
        <v>5204</v>
      </c>
      <c r="C308" s="13" t="s">
        <v>2145</v>
      </c>
      <c r="D308" s="13" t="s">
        <v>5205</v>
      </c>
      <c r="E308" s="13" t="s">
        <v>5206</v>
      </c>
      <c r="F308" s="134" t="str">
        <f t="shared" si="0"/>
        <v/>
      </c>
      <c r="G308" s="134" t="str">
        <f t="shared" si="1"/>
        <v>HERITAGE POINTE</v>
      </c>
      <c r="H308" s="134"/>
      <c r="I308" s="134"/>
      <c r="J308" s="134"/>
      <c r="K308" s="134"/>
      <c r="L308" s="134"/>
      <c r="M308" s="134"/>
      <c r="N308" s="134"/>
      <c r="O308" s="134"/>
      <c r="P308" s="134"/>
      <c r="Q308" s="134"/>
      <c r="R308" s="134"/>
      <c r="S308" s="134"/>
      <c r="T308" s="134"/>
      <c r="U308" s="134"/>
      <c r="V308" s="134"/>
      <c r="W308" s="134"/>
      <c r="X308" s="134"/>
      <c r="Y308" s="134"/>
      <c r="Z308" s="134"/>
    </row>
    <row r="309" spans="1:26" ht="15.75" customHeight="1">
      <c r="A309" s="13" t="s">
        <v>5207</v>
      </c>
      <c r="B309" s="13" t="s">
        <v>5208</v>
      </c>
      <c r="C309" s="13" t="s">
        <v>5209</v>
      </c>
      <c r="D309" s="13" t="s">
        <v>5210</v>
      </c>
      <c r="E309" s="13" t="s">
        <v>5089</v>
      </c>
      <c r="F309" s="134" t="str">
        <f t="shared" si="0"/>
        <v/>
      </c>
      <c r="G309" s="134" t="str">
        <f t="shared" si="1"/>
        <v>HERITAGE WOODS OF NOBLESVILLE</v>
      </c>
      <c r="H309" s="134"/>
      <c r="I309" s="134"/>
      <c r="J309" s="134"/>
      <c r="K309" s="134"/>
      <c r="L309" s="134"/>
      <c r="M309" s="134"/>
      <c r="N309" s="134"/>
      <c r="O309" s="134"/>
      <c r="P309" s="134"/>
      <c r="Q309" s="134"/>
      <c r="R309" s="134"/>
      <c r="S309" s="134"/>
      <c r="T309" s="134"/>
      <c r="U309" s="134"/>
      <c r="V309" s="134"/>
      <c r="W309" s="134"/>
      <c r="X309" s="134"/>
      <c r="Y309" s="134"/>
      <c r="Z309" s="134"/>
    </row>
    <row r="310" spans="1:26" ht="15.75" hidden="1" customHeight="1">
      <c r="A310" s="13" t="s">
        <v>5211</v>
      </c>
      <c r="B310" s="13" t="s">
        <v>5212</v>
      </c>
      <c r="C310" s="13" t="s">
        <v>5213</v>
      </c>
      <c r="D310" s="13" t="s">
        <v>5214</v>
      </c>
      <c r="E310" s="13" t="s">
        <v>4230</v>
      </c>
      <c r="F310" s="134" t="str">
        <f t="shared" si="0"/>
        <v/>
      </c>
      <c r="G310" s="134" t="str">
        <f t="shared" si="1"/>
        <v>HI JILL'S HOUSE LLC</v>
      </c>
      <c r="H310" s="134"/>
      <c r="I310" s="134"/>
      <c r="J310" s="134"/>
      <c r="K310" s="134"/>
      <c r="L310" s="134"/>
      <c r="M310" s="134"/>
      <c r="N310" s="134"/>
      <c r="O310" s="134"/>
      <c r="P310" s="134"/>
      <c r="Q310" s="134"/>
      <c r="R310" s="134"/>
      <c r="S310" s="134"/>
      <c r="T310" s="134"/>
      <c r="U310" s="134"/>
      <c r="V310" s="134"/>
      <c r="W310" s="134"/>
      <c r="X310" s="134"/>
      <c r="Y310" s="134"/>
      <c r="Z310" s="134"/>
    </row>
    <row r="311" spans="1:26" ht="15.75" customHeight="1">
      <c r="A311" s="13" t="s">
        <v>5215</v>
      </c>
      <c r="B311" s="13" t="s">
        <v>5216</v>
      </c>
      <c r="C311" s="13" t="s">
        <v>2150</v>
      </c>
      <c r="D311" s="13" t="s">
        <v>5217</v>
      </c>
      <c r="E311" s="13" t="s">
        <v>4824</v>
      </c>
      <c r="F311" s="134" t="str">
        <f t="shared" si="0"/>
        <v/>
      </c>
      <c r="G311" s="134" t="str">
        <f t="shared" si="1"/>
        <v>HICKORY CREEK AT COLUMBUS</v>
      </c>
      <c r="H311" s="134"/>
      <c r="I311" s="134"/>
      <c r="J311" s="134"/>
      <c r="K311" s="134"/>
      <c r="L311" s="134"/>
      <c r="M311" s="134"/>
      <c r="N311" s="134"/>
      <c r="O311" s="134"/>
      <c r="P311" s="134"/>
      <c r="Q311" s="134"/>
      <c r="R311" s="134"/>
      <c r="S311" s="134"/>
      <c r="T311" s="134"/>
      <c r="U311" s="134"/>
      <c r="V311" s="134"/>
      <c r="W311" s="134"/>
      <c r="X311" s="134"/>
      <c r="Y311" s="134"/>
      <c r="Z311" s="134"/>
    </row>
    <row r="312" spans="1:26" ht="15.75" customHeight="1">
      <c r="A312" s="13" t="s">
        <v>5218</v>
      </c>
      <c r="B312" s="13" t="s">
        <v>5219</v>
      </c>
      <c r="C312" s="13" t="s">
        <v>2153</v>
      </c>
      <c r="D312" s="13" t="s">
        <v>5220</v>
      </c>
      <c r="E312" s="13" t="s">
        <v>4453</v>
      </c>
      <c r="F312" s="134" t="str">
        <f t="shared" si="0"/>
        <v/>
      </c>
      <c r="G312" s="134" t="str">
        <f t="shared" si="1"/>
        <v>HICKORY CREEK AT CONNERSVILLE</v>
      </c>
      <c r="H312" s="134"/>
      <c r="I312" s="134"/>
      <c r="J312" s="134"/>
      <c r="K312" s="134"/>
      <c r="L312" s="134"/>
      <c r="M312" s="134"/>
      <c r="N312" s="134"/>
      <c r="O312" s="134"/>
      <c r="P312" s="134"/>
      <c r="Q312" s="134"/>
      <c r="R312" s="134"/>
      <c r="S312" s="134"/>
      <c r="T312" s="134"/>
      <c r="U312" s="134"/>
      <c r="V312" s="134"/>
      <c r="W312" s="134"/>
      <c r="X312" s="134"/>
      <c r="Y312" s="134"/>
      <c r="Z312" s="134"/>
    </row>
    <row r="313" spans="1:26" ht="15.75" customHeight="1">
      <c r="A313" s="13" t="s">
        <v>5221</v>
      </c>
      <c r="B313" s="13" t="s">
        <v>5222</v>
      </c>
      <c r="C313" s="13" t="s">
        <v>2156</v>
      </c>
      <c r="D313" s="13" t="s">
        <v>5223</v>
      </c>
      <c r="E313" s="13" t="s">
        <v>4243</v>
      </c>
      <c r="F313" s="134" t="str">
        <f t="shared" si="0"/>
        <v/>
      </c>
      <c r="G313" s="134" t="str">
        <f t="shared" si="1"/>
        <v>HICKORY CREEK AT CRAWFORDSVILLE</v>
      </c>
      <c r="H313" s="134"/>
      <c r="I313" s="134"/>
      <c r="J313" s="134"/>
      <c r="K313" s="134"/>
      <c r="L313" s="134"/>
      <c r="M313" s="134"/>
      <c r="N313" s="134"/>
      <c r="O313" s="134"/>
      <c r="P313" s="134"/>
      <c r="Q313" s="134"/>
      <c r="R313" s="134"/>
      <c r="S313" s="134"/>
      <c r="T313" s="134"/>
      <c r="U313" s="134"/>
      <c r="V313" s="134"/>
      <c r="W313" s="134"/>
      <c r="X313" s="134"/>
      <c r="Y313" s="134"/>
      <c r="Z313" s="134"/>
    </row>
    <row r="314" spans="1:26" ht="15.75" customHeight="1">
      <c r="A314" s="13" t="s">
        <v>5224</v>
      </c>
      <c r="B314" s="13" t="s">
        <v>5225</v>
      </c>
      <c r="C314" s="13" t="s">
        <v>2159</v>
      </c>
      <c r="D314" s="13" t="s">
        <v>5226</v>
      </c>
      <c r="E314" s="13" t="s">
        <v>4513</v>
      </c>
      <c r="F314" s="134" t="str">
        <f t="shared" si="0"/>
        <v/>
      </c>
      <c r="G314" s="134" t="str">
        <f t="shared" si="1"/>
        <v>HICKORY CREEK AT FRANKLIN</v>
      </c>
      <c r="H314" s="134"/>
      <c r="I314" s="134"/>
      <c r="J314" s="134"/>
      <c r="K314" s="134"/>
      <c r="L314" s="134"/>
      <c r="M314" s="134"/>
      <c r="N314" s="134"/>
      <c r="O314" s="134"/>
      <c r="P314" s="134"/>
      <c r="Q314" s="134"/>
      <c r="R314" s="134"/>
      <c r="S314" s="134"/>
      <c r="T314" s="134"/>
      <c r="U314" s="134"/>
      <c r="V314" s="134"/>
      <c r="W314" s="134"/>
      <c r="X314" s="134"/>
      <c r="Y314" s="134"/>
      <c r="Z314" s="134"/>
    </row>
    <row r="315" spans="1:26" ht="15.75" customHeight="1">
      <c r="A315" s="13" t="s">
        <v>5227</v>
      </c>
      <c r="B315" s="13" t="s">
        <v>5228</v>
      </c>
      <c r="C315" s="13" t="s">
        <v>2161</v>
      </c>
      <c r="D315" s="13" t="s">
        <v>5229</v>
      </c>
      <c r="E315" s="13" t="s">
        <v>4130</v>
      </c>
      <c r="F315" s="134" t="str">
        <f t="shared" si="0"/>
        <v/>
      </c>
      <c r="G315" s="134" t="str">
        <f t="shared" si="1"/>
        <v>HICKORY CREEK AT GREENSBURG</v>
      </c>
      <c r="H315" s="134"/>
      <c r="I315" s="134"/>
      <c r="J315" s="134"/>
      <c r="K315" s="134"/>
      <c r="L315" s="134"/>
      <c r="M315" s="134"/>
      <c r="N315" s="134"/>
      <c r="O315" s="134"/>
      <c r="P315" s="134"/>
      <c r="Q315" s="134"/>
      <c r="R315" s="134"/>
      <c r="S315" s="134"/>
      <c r="T315" s="134"/>
      <c r="U315" s="134"/>
      <c r="V315" s="134"/>
      <c r="W315" s="134"/>
      <c r="X315" s="134"/>
      <c r="Y315" s="134"/>
      <c r="Z315" s="134"/>
    </row>
    <row r="316" spans="1:26" ht="15.75" customHeight="1">
      <c r="A316" s="13" t="s">
        <v>5230</v>
      </c>
      <c r="B316" s="13" t="s">
        <v>5231</v>
      </c>
      <c r="C316" s="13" t="s">
        <v>2164</v>
      </c>
      <c r="D316" s="13" t="s">
        <v>5232</v>
      </c>
      <c r="E316" s="13" t="s">
        <v>5192</v>
      </c>
      <c r="F316" s="134" t="str">
        <f t="shared" si="0"/>
        <v/>
      </c>
      <c r="G316" s="134" t="str">
        <f t="shared" si="1"/>
        <v>HICKORY CREEK AT HUNTINGTON</v>
      </c>
      <c r="H316" s="134"/>
      <c r="I316" s="134"/>
      <c r="J316" s="134"/>
      <c r="K316" s="134"/>
      <c r="L316" s="134"/>
      <c r="M316" s="134"/>
      <c r="N316" s="134"/>
      <c r="O316" s="134"/>
      <c r="P316" s="134"/>
      <c r="Q316" s="134"/>
      <c r="R316" s="134"/>
      <c r="S316" s="134"/>
      <c r="T316" s="134"/>
      <c r="U316" s="134"/>
      <c r="V316" s="134"/>
      <c r="W316" s="134"/>
      <c r="X316" s="134"/>
      <c r="Y316" s="134"/>
      <c r="Z316" s="134"/>
    </row>
    <row r="317" spans="1:26" ht="15.75" customHeight="1">
      <c r="A317" s="13" t="s">
        <v>5233</v>
      </c>
      <c r="B317" s="13" t="s">
        <v>5234</v>
      </c>
      <c r="C317" s="13" t="s">
        <v>2168</v>
      </c>
      <c r="D317" s="13" t="s">
        <v>5235</v>
      </c>
      <c r="E317" s="13" t="s">
        <v>4486</v>
      </c>
      <c r="F317" s="134" t="str">
        <f t="shared" si="0"/>
        <v/>
      </c>
      <c r="G317" s="134" t="str">
        <f t="shared" si="1"/>
        <v>HICKORY CREEK AT KENDALLVILLE</v>
      </c>
      <c r="H317" s="134"/>
      <c r="I317" s="134"/>
      <c r="J317" s="134"/>
      <c r="K317" s="134"/>
      <c r="L317" s="134"/>
      <c r="M317" s="134"/>
      <c r="N317" s="134"/>
      <c r="O317" s="134"/>
      <c r="P317" s="134"/>
      <c r="Q317" s="134"/>
      <c r="R317" s="134"/>
      <c r="S317" s="134"/>
      <c r="T317" s="134"/>
      <c r="U317" s="134"/>
      <c r="V317" s="134"/>
      <c r="W317" s="134"/>
      <c r="X317" s="134"/>
      <c r="Y317" s="134"/>
      <c r="Z317" s="134"/>
    </row>
    <row r="318" spans="1:26" ht="15.75" customHeight="1">
      <c r="A318" s="13" t="s">
        <v>5236</v>
      </c>
      <c r="B318" s="13" t="s">
        <v>5237</v>
      </c>
      <c r="C318" s="13" t="s">
        <v>2171</v>
      </c>
      <c r="D318" s="13" t="s">
        <v>5238</v>
      </c>
      <c r="E318" s="13" t="s">
        <v>5239</v>
      </c>
      <c r="F318" s="134" t="str">
        <f t="shared" si="0"/>
        <v/>
      </c>
      <c r="G318" s="134" t="str">
        <f t="shared" si="1"/>
        <v>HICKORY CREEK AT MADISON</v>
      </c>
      <c r="H318" s="134"/>
      <c r="I318" s="134"/>
      <c r="J318" s="134"/>
      <c r="K318" s="134"/>
      <c r="L318" s="134"/>
      <c r="M318" s="134"/>
      <c r="N318" s="134"/>
      <c r="O318" s="134"/>
      <c r="P318" s="134"/>
      <c r="Q318" s="134"/>
      <c r="R318" s="134"/>
      <c r="S318" s="134"/>
      <c r="T318" s="134"/>
      <c r="U318" s="134"/>
      <c r="V318" s="134"/>
      <c r="W318" s="134"/>
      <c r="X318" s="134"/>
      <c r="Y318" s="134"/>
      <c r="Z318" s="134"/>
    </row>
    <row r="319" spans="1:26" ht="15.75" customHeight="1">
      <c r="A319" s="13" t="s">
        <v>5240</v>
      </c>
      <c r="B319" s="13" t="s">
        <v>5241</v>
      </c>
      <c r="C319" s="13" t="s">
        <v>2174</v>
      </c>
      <c r="D319" s="13" t="s">
        <v>5242</v>
      </c>
      <c r="E319" s="13" t="s">
        <v>4011</v>
      </c>
      <c r="F319" s="134" t="str">
        <f t="shared" si="0"/>
        <v/>
      </c>
      <c r="G319" s="134" t="str">
        <f t="shared" si="1"/>
        <v>HICKORY CREEK AT NEW CASTLE</v>
      </c>
      <c r="H319" s="134"/>
      <c r="I319" s="134"/>
      <c r="J319" s="134"/>
      <c r="K319" s="134"/>
      <c r="L319" s="134"/>
      <c r="M319" s="134"/>
      <c r="N319" s="134"/>
      <c r="O319" s="134"/>
      <c r="P319" s="134"/>
      <c r="Q319" s="134"/>
      <c r="R319" s="134"/>
      <c r="S319" s="134"/>
      <c r="T319" s="134"/>
      <c r="U319" s="134"/>
      <c r="V319" s="134"/>
      <c r="W319" s="134"/>
      <c r="X319" s="134"/>
      <c r="Y319" s="134"/>
      <c r="Z319" s="134"/>
    </row>
    <row r="320" spans="1:26" ht="15.75" customHeight="1">
      <c r="A320" s="13" t="s">
        <v>5243</v>
      </c>
      <c r="B320" s="13" t="s">
        <v>5244</v>
      </c>
      <c r="C320" s="13" t="s">
        <v>2178</v>
      </c>
      <c r="D320" s="13" t="s">
        <v>5245</v>
      </c>
      <c r="E320" s="13" t="s">
        <v>4099</v>
      </c>
      <c r="F320" s="134" t="str">
        <f t="shared" si="0"/>
        <v/>
      </c>
      <c r="G320" s="134" t="str">
        <f t="shared" si="1"/>
        <v>HICKORY CREEK AT PERU</v>
      </c>
      <c r="H320" s="134"/>
      <c r="I320" s="134"/>
      <c r="J320" s="134"/>
      <c r="K320" s="134"/>
      <c r="L320" s="134"/>
      <c r="M320" s="134"/>
      <c r="N320" s="134"/>
      <c r="O320" s="134"/>
      <c r="P320" s="134"/>
      <c r="Q320" s="134"/>
      <c r="R320" s="134"/>
      <c r="S320" s="134"/>
      <c r="T320" s="134"/>
      <c r="U320" s="134"/>
      <c r="V320" s="134"/>
      <c r="W320" s="134"/>
      <c r="X320" s="134"/>
      <c r="Y320" s="134"/>
      <c r="Z320" s="134"/>
    </row>
    <row r="321" spans="1:26" ht="15.75" customHeight="1">
      <c r="A321" s="13" t="s">
        <v>5246</v>
      </c>
      <c r="B321" s="13" t="s">
        <v>5247</v>
      </c>
      <c r="C321" s="13" t="s">
        <v>2181</v>
      </c>
      <c r="D321" s="13" t="s">
        <v>5248</v>
      </c>
      <c r="E321" s="13" t="s">
        <v>5249</v>
      </c>
      <c r="F321" s="134" t="str">
        <f t="shared" si="0"/>
        <v/>
      </c>
      <c r="G321" s="134" t="str">
        <f t="shared" si="1"/>
        <v>HICKORY CREEK AT ROCHESTER</v>
      </c>
      <c r="H321" s="134"/>
      <c r="I321" s="134"/>
      <c r="J321" s="134"/>
      <c r="K321" s="134"/>
      <c r="L321" s="134"/>
      <c r="M321" s="134"/>
      <c r="N321" s="134"/>
      <c r="O321" s="134"/>
      <c r="P321" s="134"/>
      <c r="Q321" s="134"/>
      <c r="R321" s="134"/>
      <c r="S321" s="134"/>
      <c r="T321" s="134"/>
      <c r="U321" s="134"/>
      <c r="V321" s="134"/>
      <c r="W321" s="134"/>
      <c r="X321" s="134"/>
      <c r="Y321" s="134"/>
      <c r="Z321" s="134"/>
    </row>
    <row r="322" spans="1:26" ht="15.75" customHeight="1">
      <c r="A322" s="13" t="s">
        <v>5250</v>
      </c>
      <c r="B322" s="13" t="s">
        <v>5251</v>
      </c>
      <c r="C322" s="13" t="s">
        <v>2185</v>
      </c>
      <c r="D322" s="13" t="s">
        <v>5252</v>
      </c>
      <c r="E322" s="13" t="s">
        <v>5080</v>
      </c>
      <c r="F322" s="134" t="str">
        <f t="shared" si="0"/>
        <v/>
      </c>
      <c r="G322" s="134" t="str">
        <f t="shared" si="1"/>
        <v>HICKORY CREEK AT SCOTTSBURG</v>
      </c>
      <c r="H322" s="134"/>
      <c r="I322" s="134"/>
      <c r="J322" s="134"/>
      <c r="K322" s="134"/>
      <c r="L322" s="134"/>
      <c r="M322" s="134"/>
      <c r="N322" s="134"/>
      <c r="O322" s="134"/>
      <c r="P322" s="134"/>
      <c r="Q322" s="134"/>
      <c r="R322" s="134"/>
      <c r="S322" s="134"/>
      <c r="T322" s="134"/>
      <c r="U322" s="134"/>
      <c r="V322" s="134"/>
      <c r="W322" s="134"/>
      <c r="X322" s="134"/>
      <c r="Y322" s="134"/>
      <c r="Z322" s="134"/>
    </row>
    <row r="323" spans="1:26" ht="15.75" customHeight="1">
      <c r="A323" s="13" t="s">
        <v>5253</v>
      </c>
      <c r="B323" s="13" t="s">
        <v>5254</v>
      </c>
      <c r="C323" s="13" t="s">
        <v>2189</v>
      </c>
      <c r="D323" s="13" t="s">
        <v>5255</v>
      </c>
      <c r="E323" s="13" t="s">
        <v>4142</v>
      </c>
      <c r="F323" s="134" t="str">
        <f t="shared" si="0"/>
        <v/>
      </c>
      <c r="G323" s="134" t="str">
        <f t="shared" si="1"/>
        <v>HICKORY CREEK AT SUNSET</v>
      </c>
      <c r="H323" s="134"/>
      <c r="I323" s="134"/>
      <c r="J323" s="134"/>
      <c r="K323" s="134"/>
      <c r="L323" s="134"/>
      <c r="M323" s="134"/>
      <c r="N323" s="134"/>
      <c r="O323" s="134"/>
      <c r="P323" s="134"/>
      <c r="Q323" s="134"/>
      <c r="R323" s="134"/>
      <c r="S323" s="134"/>
      <c r="T323" s="134"/>
      <c r="U323" s="134"/>
      <c r="V323" s="134"/>
      <c r="W323" s="134"/>
      <c r="X323" s="134"/>
      <c r="Y323" s="134"/>
      <c r="Z323" s="134"/>
    </row>
    <row r="324" spans="1:26" ht="15.75" customHeight="1">
      <c r="A324" s="13" t="s">
        <v>5256</v>
      </c>
      <c r="B324" s="13" t="s">
        <v>5257</v>
      </c>
      <c r="C324" s="13" t="s">
        <v>2193</v>
      </c>
      <c r="D324" s="13" t="s">
        <v>5258</v>
      </c>
      <c r="E324" s="13" t="s">
        <v>5259</v>
      </c>
      <c r="F324" s="134" t="str">
        <f t="shared" si="0"/>
        <v/>
      </c>
      <c r="G324" s="134" t="str">
        <f t="shared" si="1"/>
        <v>HICKORY CREEK AT WINAMAC</v>
      </c>
      <c r="H324" s="134"/>
      <c r="I324" s="134"/>
      <c r="J324" s="134"/>
      <c r="K324" s="134"/>
      <c r="L324" s="134"/>
      <c r="M324" s="134"/>
      <c r="N324" s="134"/>
      <c r="O324" s="134"/>
      <c r="P324" s="134"/>
      <c r="Q324" s="134"/>
      <c r="R324" s="134"/>
      <c r="S324" s="134"/>
      <c r="T324" s="134"/>
      <c r="U324" s="134"/>
      <c r="V324" s="134"/>
      <c r="W324" s="134"/>
      <c r="X324" s="134"/>
      <c r="Y324" s="134"/>
      <c r="Z324" s="134"/>
    </row>
    <row r="325" spans="1:26" ht="15.75" customHeight="1">
      <c r="A325" s="13" t="s">
        <v>5260</v>
      </c>
      <c r="B325" s="13" t="s">
        <v>5261</v>
      </c>
      <c r="C325" s="13" t="s">
        <v>2198</v>
      </c>
      <c r="D325" s="13" t="s">
        <v>5262</v>
      </c>
      <c r="E325" s="13" t="s">
        <v>5263</v>
      </c>
      <c r="F325" s="134" t="str">
        <f t="shared" si="0"/>
        <v/>
      </c>
      <c r="G325" s="134" t="str">
        <f t="shared" si="1"/>
        <v>HILDEGARD HEALTH CENTER INC</v>
      </c>
      <c r="H325" s="134"/>
      <c r="I325" s="134"/>
      <c r="J325" s="134"/>
      <c r="K325" s="134"/>
      <c r="L325" s="134"/>
      <c r="M325" s="134"/>
      <c r="N325" s="134"/>
      <c r="O325" s="134"/>
      <c r="P325" s="134"/>
      <c r="Q325" s="134"/>
      <c r="R325" s="134"/>
      <c r="S325" s="134"/>
      <c r="T325" s="134"/>
      <c r="U325" s="134"/>
      <c r="V325" s="134"/>
      <c r="W325" s="134"/>
      <c r="X325" s="134"/>
      <c r="Y325" s="134"/>
      <c r="Z325" s="134"/>
    </row>
    <row r="326" spans="1:26" ht="15.75" customHeight="1">
      <c r="A326" s="13" t="s">
        <v>5264</v>
      </c>
      <c r="B326" s="13" t="s">
        <v>5265</v>
      </c>
      <c r="C326" s="13" t="s">
        <v>2203</v>
      </c>
      <c r="D326" s="13" t="s">
        <v>5266</v>
      </c>
      <c r="E326" s="13" t="s">
        <v>5267</v>
      </c>
      <c r="F326" s="134" t="str">
        <f t="shared" si="0"/>
        <v/>
      </c>
      <c r="G326" s="134" t="str">
        <f t="shared" si="1"/>
        <v>HILLCREST VILLAGE</v>
      </c>
      <c r="H326" s="134"/>
      <c r="I326" s="134"/>
      <c r="J326" s="134"/>
      <c r="K326" s="134"/>
      <c r="L326" s="134"/>
      <c r="M326" s="134"/>
      <c r="N326" s="134"/>
      <c r="O326" s="134"/>
      <c r="P326" s="134"/>
      <c r="Q326" s="134"/>
      <c r="R326" s="134"/>
      <c r="S326" s="134"/>
      <c r="T326" s="134"/>
      <c r="U326" s="134"/>
      <c r="V326" s="134"/>
      <c r="W326" s="134"/>
      <c r="X326" s="134"/>
      <c r="Y326" s="134"/>
      <c r="Z326" s="134"/>
    </row>
    <row r="327" spans="1:26" ht="15.75" customHeight="1">
      <c r="A327" s="13" t="s">
        <v>5268</v>
      </c>
      <c r="B327" s="13" t="s">
        <v>5269</v>
      </c>
      <c r="C327" s="13" t="s">
        <v>5270</v>
      </c>
      <c r="D327" s="13" t="s">
        <v>5271</v>
      </c>
      <c r="E327" s="13" t="s">
        <v>4710</v>
      </c>
      <c r="F327" s="134" t="str">
        <f t="shared" si="0"/>
        <v/>
      </c>
      <c r="G327" s="134" t="str">
        <f t="shared" si="1"/>
        <v>HILLSIDE MANOR NURSING HOME</v>
      </c>
      <c r="H327" s="134"/>
      <c r="I327" s="134"/>
      <c r="J327" s="134"/>
      <c r="K327" s="134"/>
      <c r="L327" s="134"/>
      <c r="M327" s="134"/>
      <c r="N327" s="134"/>
      <c r="O327" s="134"/>
      <c r="P327" s="134"/>
      <c r="Q327" s="134"/>
      <c r="R327" s="134"/>
      <c r="S327" s="134"/>
      <c r="T327" s="134"/>
      <c r="U327" s="134"/>
      <c r="V327" s="134"/>
      <c r="W327" s="134"/>
      <c r="X327" s="134"/>
      <c r="Y327" s="134"/>
      <c r="Z327" s="134"/>
    </row>
    <row r="328" spans="1:26" ht="15.75" customHeight="1">
      <c r="A328" s="13" t="s">
        <v>5272</v>
      </c>
      <c r="B328" s="13" t="s">
        <v>5273</v>
      </c>
      <c r="C328" s="13" t="s">
        <v>2209</v>
      </c>
      <c r="D328" s="13" t="s">
        <v>5274</v>
      </c>
      <c r="E328" s="13" t="s">
        <v>5275</v>
      </c>
      <c r="F328" s="134" t="str">
        <f t="shared" si="0"/>
        <v/>
      </c>
      <c r="G328" s="134" t="str">
        <f t="shared" si="1"/>
        <v>HOLY CROSS VILLAGE AT NOTRE DAME INC</v>
      </c>
      <c r="H328" s="134"/>
      <c r="I328" s="134"/>
      <c r="J328" s="134"/>
      <c r="K328" s="134"/>
      <c r="L328" s="134"/>
      <c r="M328" s="134"/>
      <c r="N328" s="134"/>
      <c r="O328" s="134"/>
      <c r="P328" s="134"/>
      <c r="Q328" s="134"/>
      <c r="R328" s="134"/>
      <c r="S328" s="134"/>
      <c r="T328" s="134"/>
      <c r="U328" s="134"/>
      <c r="V328" s="134"/>
      <c r="W328" s="134"/>
      <c r="X328" s="134"/>
      <c r="Y328" s="134"/>
      <c r="Z328" s="134"/>
    </row>
    <row r="329" spans="1:26" ht="15.75" customHeight="1">
      <c r="A329" s="13" t="s">
        <v>5276</v>
      </c>
      <c r="B329" s="13" t="s">
        <v>5277</v>
      </c>
      <c r="C329" s="13" t="s">
        <v>2213</v>
      </c>
      <c r="D329" s="13" t="s">
        <v>5278</v>
      </c>
      <c r="E329" s="13" t="s">
        <v>4259</v>
      </c>
      <c r="F329" s="134" t="str">
        <f t="shared" si="0"/>
        <v/>
      </c>
      <c r="G329" s="134" t="str">
        <f t="shared" si="1"/>
        <v>HOMESTEAD HEALTHCARE CENTER</v>
      </c>
      <c r="H329" s="134"/>
      <c r="I329" s="134"/>
      <c r="J329" s="134"/>
      <c r="K329" s="134"/>
      <c r="L329" s="134"/>
      <c r="M329" s="134"/>
      <c r="N329" s="134"/>
      <c r="O329" s="134"/>
      <c r="P329" s="134"/>
      <c r="Q329" s="134"/>
      <c r="R329" s="134"/>
      <c r="S329" s="134"/>
      <c r="T329" s="134"/>
      <c r="U329" s="134"/>
      <c r="V329" s="134"/>
      <c r="W329" s="134"/>
      <c r="X329" s="134"/>
      <c r="Y329" s="134"/>
      <c r="Z329" s="134"/>
    </row>
    <row r="330" spans="1:26" ht="15.75" customHeight="1">
      <c r="A330" s="13" t="s">
        <v>5279</v>
      </c>
      <c r="B330" s="13" t="s">
        <v>5280</v>
      </c>
      <c r="C330" s="13" t="s">
        <v>2216</v>
      </c>
      <c r="D330" s="13" t="s">
        <v>5281</v>
      </c>
      <c r="E330" s="13" t="s">
        <v>4513</v>
      </c>
      <c r="F330" s="134" t="str">
        <f t="shared" si="0"/>
        <v/>
      </c>
      <c r="G330" s="134" t="str">
        <f t="shared" si="1"/>
        <v>HOMEVIEW CENTER OF FRANKLIN</v>
      </c>
      <c r="H330" s="134"/>
      <c r="I330" s="134"/>
      <c r="J330" s="134"/>
      <c r="K330" s="134"/>
      <c r="L330" s="134"/>
      <c r="M330" s="134"/>
      <c r="N330" s="134"/>
      <c r="O330" s="134"/>
      <c r="P330" s="134"/>
      <c r="Q330" s="134"/>
      <c r="R330" s="134"/>
      <c r="S330" s="134"/>
      <c r="T330" s="134"/>
      <c r="U330" s="134"/>
      <c r="V330" s="134"/>
      <c r="W330" s="134"/>
      <c r="X330" s="134"/>
      <c r="Y330" s="134"/>
      <c r="Z330" s="134"/>
    </row>
    <row r="331" spans="1:26" ht="15.75" customHeight="1">
      <c r="A331" s="13" t="s">
        <v>5282</v>
      </c>
      <c r="B331" s="13" t="s">
        <v>5283</v>
      </c>
      <c r="C331" s="13" t="s">
        <v>2219</v>
      </c>
      <c r="D331" s="13" t="s">
        <v>5284</v>
      </c>
      <c r="E331" s="13" t="s">
        <v>4655</v>
      </c>
      <c r="F331" s="134" t="str">
        <f t="shared" si="0"/>
        <v/>
      </c>
      <c r="G331" s="134" t="str">
        <f t="shared" si="1"/>
        <v>HOMEWOOD HEALTH CAMPUS</v>
      </c>
      <c r="H331" s="134"/>
      <c r="I331" s="134"/>
      <c r="J331" s="134"/>
      <c r="K331" s="134"/>
      <c r="L331" s="134"/>
      <c r="M331" s="134"/>
      <c r="N331" s="134"/>
      <c r="O331" s="134"/>
      <c r="P331" s="134"/>
      <c r="Q331" s="134"/>
      <c r="R331" s="134"/>
      <c r="S331" s="134"/>
      <c r="T331" s="134"/>
      <c r="U331" s="134"/>
      <c r="V331" s="134"/>
      <c r="W331" s="134"/>
      <c r="X331" s="134"/>
      <c r="Y331" s="134"/>
      <c r="Z331" s="134"/>
    </row>
    <row r="332" spans="1:26" ht="15.75" customHeight="1">
      <c r="A332" s="13" t="s">
        <v>5285</v>
      </c>
      <c r="B332" s="13" t="s">
        <v>5286</v>
      </c>
      <c r="C332" s="13" t="s">
        <v>2223</v>
      </c>
      <c r="D332" s="13" t="s">
        <v>5287</v>
      </c>
      <c r="E332" s="13" t="s">
        <v>5288</v>
      </c>
      <c r="F332" s="134" t="str">
        <f t="shared" si="0"/>
        <v/>
      </c>
      <c r="G332" s="134" t="str">
        <f t="shared" si="1"/>
        <v>HOOSIER CHRISTIAN VILLAGE</v>
      </c>
      <c r="H332" s="134"/>
      <c r="I332" s="134"/>
      <c r="J332" s="134"/>
      <c r="K332" s="134"/>
      <c r="L332" s="134"/>
      <c r="M332" s="134"/>
      <c r="N332" s="134"/>
      <c r="O332" s="134"/>
      <c r="P332" s="134"/>
      <c r="Q332" s="134"/>
      <c r="R332" s="134"/>
      <c r="S332" s="134"/>
      <c r="T332" s="134"/>
      <c r="U332" s="134"/>
      <c r="V332" s="134"/>
      <c r="W332" s="134"/>
      <c r="X332" s="134"/>
      <c r="Y332" s="134"/>
      <c r="Z332" s="134"/>
    </row>
    <row r="333" spans="1:26" ht="15.75" customHeight="1">
      <c r="A333" s="13" t="s">
        <v>5289</v>
      </c>
      <c r="B333" s="13" t="s">
        <v>5290</v>
      </c>
      <c r="C333" s="13" t="s">
        <v>2227</v>
      </c>
      <c r="D333" s="13" t="s">
        <v>5291</v>
      </c>
      <c r="E333" s="13" t="s">
        <v>5292</v>
      </c>
      <c r="F333" s="134" t="str">
        <f t="shared" si="0"/>
        <v/>
      </c>
      <c r="G333" s="134" t="str">
        <f t="shared" si="1"/>
        <v>HOOSIER VILLAGE</v>
      </c>
      <c r="H333" s="134"/>
      <c r="I333" s="134"/>
      <c r="J333" s="134"/>
      <c r="K333" s="134"/>
      <c r="L333" s="134"/>
      <c r="M333" s="134"/>
      <c r="N333" s="134"/>
      <c r="O333" s="134"/>
      <c r="P333" s="134"/>
      <c r="Q333" s="134"/>
      <c r="R333" s="134"/>
      <c r="S333" s="134"/>
      <c r="T333" s="134"/>
      <c r="U333" s="134"/>
      <c r="V333" s="134"/>
      <c r="W333" s="134"/>
      <c r="X333" s="134"/>
      <c r="Y333" s="134"/>
      <c r="Z333" s="134"/>
    </row>
    <row r="334" spans="1:26" ht="15.75" customHeight="1">
      <c r="A334" s="13" t="s">
        <v>5293</v>
      </c>
      <c r="B334" s="13" t="s">
        <v>5294</v>
      </c>
      <c r="C334" s="13" t="s">
        <v>2231</v>
      </c>
      <c r="D334" s="13" t="s">
        <v>5295</v>
      </c>
      <c r="E334" s="13" t="s">
        <v>3998</v>
      </c>
      <c r="F334" s="134" t="str">
        <f t="shared" si="0"/>
        <v/>
      </c>
      <c r="G334" s="134" t="str">
        <f t="shared" si="1"/>
        <v>HOOVERWOOD</v>
      </c>
      <c r="H334" s="134"/>
      <c r="I334" s="134"/>
      <c r="J334" s="134"/>
      <c r="K334" s="134"/>
      <c r="L334" s="134"/>
      <c r="M334" s="134"/>
      <c r="N334" s="134"/>
      <c r="O334" s="134"/>
      <c r="P334" s="134"/>
      <c r="Q334" s="134"/>
      <c r="R334" s="134"/>
      <c r="S334" s="134"/>
      <c r="T334" s="134"/>
      <c r="U334" s="134"/>
      <c r="V334" s="134"/>
      <c r="W334" s="134"/>
      <c r="X334" s="134"/>
      <c r="Y334" s="134"/>
      <c r="Z334" s="134"/>
    </row>
    <row r="335" spans="1:26" ht="15.75" customHeight="1">
      <c r="A335" s="13" t="s">
        <v>5296</v>
      </c>
      <c r="B335" s="13" t="s">
        <v>5297</v>
      </c>
      <c r="C335" s="13" t="s">
        <v>5298</v>
      </c>
      <c r="D335" s="13" t="s">
        <v>5299</v>
      </c>
      <c r="E335" s="13" t="s">
        <v>4722</v>
      </c>
      <c r="F335" s="134" t="str">
        <f t="shared" si="0"/>
        <v/>
      </c>
      <c r="G335" s="134" t="str">
        <f t="shared" si="1"/>
        <v>HUBBARD HILL ESTATES INC</v>
      </c>
      <c r="H335" s="134"/>
      <c r="I335" s="134"/>
      <c r="J335" s="134"/>
      <c r="K335" s="134"/>
      <c r="L335" s="134"/>
      <c r="M335" s="134"/>
      <c r="N335" s="134"/>
      <c r="O335" s="134"/>
      <c r="P335" s="134"/>
      <c r="Q335" s="134"/>
      <c r="R335" s="134"/>
      <c r="S335" s="134"/>
      <c r="T335" s="134"/>
      <c r="U335" s="134"/>
      <c r="V335" s="134"/>
      <c r="W335" s="134"/>
      <c r="X335" s="134"/>
      <c r="Y335" s="134"/>
      <c r="Z335" s="134"/>
    </row>
    <row r="336" spans="1:26" ht="15.75" customHeight="1">
      <c r="A336" s="13" t="s">
        <v>5300</v>
      </c>
      <c r="B336" s="13" t="s">
        <v>5301</v>
      </c>
      <c r="C336" s="13" t="s">
        <v>2235</v>
      </c>
      <c r="D336" s="13" t="s">
        <v>5302</v>
      </c>
      <c r="E336" s="13" t="s">
        <v>5100</v>
      </c>
      <c r="F336" s="134" t="str">
        <f t="shared" si="0"/>
        <v/>
      </c>
      <c r="G336" s="134" t="str">
        <f t="shared" si="1"/>
        <v>INDIAN CREEK HEALTHCARE CENTER</v>
      </c>
      <c r="H336" s="134"/>
      <c r="I336" s="134"/>
      <c r="J336" s="134"/>
      <c r="K336" s="134"/>
      <c r="L336" s="134"/>
      <c r="M336" s="134"/>
      <c r="N336" s="134"/>
      <c r="O336" s="134"/>
      <c r="P336" s="134"/>
      <c r="Q336" s="134"/>
      <c r="R336" s="134"/>
      <c r="S336" s="134"/>
      <c r="T336" s="134"/>
      <c r="U336" s="134"/>
      <c r="V336" s="134"/>
      <c r="W336" s="134"/>
      <c r="X336" s="134"/>
      <c r="Y336" s="134"/>
      <c r="Z336" s="134"/>
    </row>
    <row r="337" spans="1:26" ht="15.75" customHeight="1">
      <c r="A337" s="13" t="s">
        <v>5303</v>
      </c>
      <c r="B337" s="13" t="s">
        <v>5304</v>
      </c>
      <c r="C337" s="13" t="s">
        <v>2238</v>
      </c>
      <c r="D337" s="13" t="s">
        <v>5305</v>
      </c>
      <c r="E337" s="13" t="s">
        <v>4513</v>
      </c>
      <c r="F337" s="134" t="str">
        <f t="shared" si="0"/>
        <v/>
      </c>
      <c r="G337" s="134" t="str">
        <f t="shared" si="1"/>
        <v>INDIANA MASONIC HOME HEALTH CENTER</v>
      </c>
      <c r="H337" s="134"/>
      <c r="I337" s="134"/>
      <c r="J337" s="134"/>
      <c r="K337" s="134"/>
      <c r="L337" s="134"/>
      <c r="M337" s="134"/>
      <c r="N337" s="134"/>
      <c r="O337" s="134"/>
      <c r="P337" s="134"/>
      <c r="Q337" s="134"/>
      <c r="R337" s="134"/>
      <c r="S337" s="134"/>
      <c r="T337" s="134"/>
      <c r="U337" s="134"/>
      <c r="V337" s="134"/>
      <c r="W337" s="134"/>
      <c r="X337" s="134"/>
      <c r="Y337" s="134"/>
      <c r="Z337" s="134"/>
    </row>
    <row r="338" spans="1:26" ht="15.75" customHeight="1">
      <c r="A338" s="13" t="s">
        <v>5306</v>
      </c>
      <c r="B338" s="13" t="s">
        <v>5307</v>
      </c>
      <c r="C338" s="13" t="s">
        <v>2238</v>
      </c>
      <c r="D338" s="13" t="s">
        <v>5308</v>
      </c>
      <c r="E338" s="13" t="s">
        <v>4513</v>
      </c>
      <c r="F338" s="134" t="str">
        <f t="shared" si="0"/>
        <v/>
      </c>
      <c r="G338" s="134" t="str">
        <f t="shared" si="1"/>
        <v>INDIANA MASONIC HOME INC</v>
      </c>
      <c r="H338" s="134"/>
      <c r="I338" s="134"/>
      <c r="J338" s="134"/>
      <c r="K338" s="134"/>
      <c r="L338" s="134"/>
      <c r="M338" s="134"/>
      <c r="N338" s="134"/>
      <c r="O338" s="134"/>
      <c r="P338" s="134"/>
      <c r="Q338" s="134"/>
      <c r="R338" s="134"/>
      <c r="S338" s="134"/>
      <c r="T338" s="134"/>
      <c r="U338" s="134"/>
      <c r="V338" s="134"/>
      <c r="W338" s="134"/>
      <c r="X338" s="134"/>
      <c r="Y338" s="134"/>
      <c r="Z338" s="134"/>
    </row>
    <row r="339" spans="1:26" ht="15.75" customHeight="1">
      <c r="A339" s="13" t="s">
        <v>5309</v>
      </c>
      <c r="B339" s="13" t="s">
        <v>5310</v>
      </c>
      <c r="C339" s="13" t="s">
        <v>2240</v>
      </c>
      <c r="D339" s="13" t="s">
        <v>5311</v>
      </c>
      <c r="E339" s="13" t="s">
        <v>4664</v>
      </c>
      <c r="F339" s="134" t="str">
        <f t="shared" si="0"/>
        <v/>
      </c>
      <c r="G339" s="134" t="str">
        <f t="shared" si="1"/>
        <v>INDIANA VETERANS HOME</v>
      </c>
      <c r="H339" s="134"/>
      <c r="I339" s="134"/>
      <c r="J339" s="134"/>
      <c r="K339" s="134"/>
      <c r="L339" s="134"/>
      <c r="M339" s="134"/>
      <c r="N339" s="134"/>
      <c r="O339" s="134"/>
      <c r="P339" s="134"/>
      <c r="Q339" s="134"/>
      <c r="R339" s="134"/>
      <c r="S339" s="134"/>
      <c r="T339" s="134"/>
      <c r="U339" s="134"/>
      <c r="V339" s="134"/>
      <c r="W339" s="134"/>
      <c r="X339" s="134"/>
      <c r="Y339" s="134"/>
      <c r="Z339" s="134"/>
    </row>
    <row r="340" spans="1:26" ht="15.75" customHeight="1">
      <c r="A340" s="13" t="s">
        <v>5312</v>
      </c>
      <c r="B340" s="13" t="s">
        <v>5313</v>
      </c>
      <c r="C340" s="13" t="s">
        <v>5314</v>
      </c>
      <c r="D340" s="13" t="s">
        <v>5315</v>
      </c>
      <c r="E340" s="13" t="s">
        <v>5239</v>
      </c>
      <c r="F340" s="134" t="str">
        <f t="shared" si="0"/>
        <v/>
      </c>
      <c r="G340" s="134" t="str">
        <f t="shared" si="1"/>
        <v>JEWEL PLACE</v>
      </c>
      <c r="H340" s="134"/>
      <c r="I340" s="134"/>
      <c r="J340" s="134"/>
      <c r="K340" s="134"/>
      <c r="L340" s="134"/>
      <c r="M340" s="134"/>
      <c r="N340" s="134"/>
      <c r="O340" s="134"/>
      <c r="P340" s="134"/>
      <c r="Q340" s="134"/>
      <c r="R340" s="134"/>
      <c r="S340" s="134"/>
      <c r="T340" s="134"/>
      <c r="U340" s="134"/>
      <c r="V340" s="134"/>
      <c r="W340" s="134"/>
      <c r="X340" s="134"/>
      <c r="Y340" s="134"/>
      <c r="Z340" s="134"/>
    </row>
    <row r="341" spans="1:26" ht="15.75" hidden="1" customHeight="1">
      <c r="A341" s="13" t="s">
        <v>5316</v>
      </c>
      <c r="B341" s="13" t="s">
        <v>5317</v>
      </c>
      <c r="C341" s="13" t="s">
        <v>5318</v>
      </c>
      <c r="D341" s="13" t="s">
        <v>5319</v>
      </c>
      <c r="E341" s="13" t="s">
        <v>4239</v>
      </c>
      <c r="F341" s="134" t="str">
        <f t="shared" si="0"/>
        <v/>
      </c>
      <c r="G341" s="134" t="str">
        <f t="shared" si="1"/>
        <v>JOURNEY SENIOR LIVING OF MERRILLVILLE LLC</v>
      </c>
      <c r="H341" s="134"/>
      <c r="I341" s="134"/>
      <c r="J341" s="134"/>
      <c r="K341" s="134"/>
      <c r="L341" s="134"/>
      <c r="M341" s="134"/>
      <c r="N341" s="134"/>
      <c r="O341" s="134"/>
      <c r="P341" s="134"/>
      <c r="Q341" s="134"/>
      <c r="R341" s="134"/>
      <c r="S341" s="134"/>
      <c r="T341" s="134"/>
      <c r="U341" s="134"/>
      <c r="V341" s="134"/>
      <c r="W341" s="134"/>
      <c r="X341" s="134"/>
      <c r="Y341" s="134"/>
      <c r="Z341" s="134"/>
    </row>
    <row r="342" spans="1:26" ht="15.75" customHeight="1">
      <c r="A342" s="13" t="s">
        <v>5320</v>
      </c>
      <c r="B342" s="13" t="s">
        <v>5321</v>
      </c>
      <c r="C342" s="13" t="s">
        <v>5322</v>
      </c>
      <c r="D342" s="13" t="s">
        <v>5323</v>
      </c>
      <c r="E342" s="13" t="s">
        <v>4199</v>
      </c>
      <c r="F342" s="134" t="str">
        <f t="shared" si="0"/>
        <v/>
      </c>
      <c r="G342" s="134" t="str">
        <f t="shared" si="1"/>
        <v>JOURNEY SENIOR LIVING OF VALPARAISO</v>
      </c>
      <c r="H342" s="134"/>
      <c r="I342" s="134"/>
      <c r="J342" s="134"/>
      <c r="K342" s="134"/>
      <c r="L342" s="134"/>
      <c r="M342" s="134"/>
      <c r="N342" s="134"/>
      <c r="O342" s="134"/>
      <c r="P342" s="134"/>
      <c r="Q342" s="134"/>
      <c r="R342" s="134"/>
      <c r="S342" s="134"/>
      <c r="T342" s="134"/>
      <c r="U342" s="134"/>
      <c r="V342" s="134"/>
      <c r="W342" s="134"/>
      <c r="X342" s="134"/>
      <c r="Y342" s="134"/>
      <c r="Z342" s="134"/>
    </row>
    <row r="343" spans="1:26" ht="15.75" hidden="1" customHeight="1">
      <c r="A343" s="13" t="s">
        <v>5324</v>
      </c>
      <c r="B343" s="13" t="s">
        <v>5325</v>
      </c>
      <c r="C343" s="13" t="s">
        <v>5326</v>
      </c>
      <c r="D343" s="13" t="s">
        <v>5327</v>
      </c>
      <c r="E343" s="13" t="s">
        <v>4555</v>
      </c>
      <c r="F343" s="134" t="str">
        <f t="shared" si="0"/>
        <v/>
      </c>
      <c r="G343" s="134" t="str">
        <f t="shared" si="1"/>
        <v>KEEPSAKE VILLAGE OF COLUMBUS</v>
      </c>
      <c r="H343" s="134"/>
      <c r="I343" s="134"/>
      <c r="J343" s="134"/>
      <c r="K343" s="134"/>
      <c r="L343" s="134"/>
      <c r="M343" s="134"/>
      <c r="N343" s="134"/>
      <c r="O343" s="134"/>
      <c r="P343" s="134"/>
      <c r="Q343" s="134"/>
      <c r="R343" s="134"/>
      <c r="S343" s="134"/>
      <c r="T343" s="134"/>
      <c r="U343" s="134"/>
      <c r="V343" s="134"/>
      <c r="W343" s="134"/>
      <c r="X343" s="134"/>
      <c r="Y343" s="134"/>
      <c r="Z343" s="134"/>
    </row>
    <row r="344" spans="1:26" ht="15.75" customHeight="1">
      <c r="A344" s="13" t="s">
        <v>5328</v>
      </c>
      <c r="B344" s="13" t="s">
        <v>5329</v>
      </c>
      <c r="C344" s="13" t="s">
        <v>2242</v>
      </c>
      <c r="D344" s="13" t="s">
        <v>5330</v>
      </c>
      <c r="E344" s="13" t="s">
        <v>4486</v>
      </c>
      <c r="F344" s="134" t="str">
        <f t="shared" si="0"/>
        <v/>
      </c>
      <c r="G344" s="134" t="str">
        <f t="shared" si="1"/>
        <v>KENDALLVILLE MANOR</v>
      </c>
      <c r="H344" s="134"/>
      <c r="I344" s="134"/>
      <c r="J344" s="134"/>
      <c r="K344" s="134"/>
      <c r="L344" s="134"/>
      <c r="M344" s="134"/>
      <c r="N344" s="134"/>
      <c r="O344" s="134"/>
      <c r="P344" s="134"/>
      <c r="Q344" s="134"/>
      <c r="R344" s="134"/>
      <c r="S344" s="134"/>
      <c r="T344" s="134"/>
      <c r="U344" s="134"/>
      <c r="V344" s="134"/>
      <c r="W344" s="134"/>
      <c r="X344" s="134"/>
      <c r="Y344" s="134"/>
      <c r="Z344" s="134"/>
    </row>
    <row r="345" spans="1:26" ht="15.75" hidden="1" customHeight="1">
      <c r="A345" s="13" t="s">
        <v>5331</v>
      </c>
      <c r="B345" s="13" t="s">
        <v>5332</v>
      </c>
      <c r="C345" s="13" t="s">
        <v>5333</v>
      </c>
      <c r="D345" s="13" t="s">
        <v>5334</v>
      </c>
      <c r="E345" s="13" t="s">
        <v>4058</v>
      </c>
      <c r="F345" s="134" t="str">
        <f t="shared" si="0"/>
        <v/>
      </c>
      <c r="G345" s="134" t="str">
        <f t="shared" si="1"/>
        <v>KESSLERWOOD PLACE</v>
      </c>
      <c r="H345" s="134"/>
      <c r="I345" s="134"/>
      <c r="J345" s="134"/>
      <c r="K345" s="134"/>
      <c r="L345" s="134"/>
      <c r="M345" s="134"/>
      <c r="N345" s="134"/>
      <c r="O345" s="134"/>
      <c r="P345" s="134"/>
      <c r="Q345" s="134"/>
      <c r="R345" s="134"/>
      <c r="S345" s="134"/>
      <c r="T345" s="134"/>
      <c r="U345" s="134"/>
      <c r="V345" s="134"/>
      <c r="W345" s="134"/>
      <c r="X345" s="134"/>
      <c r="Y345" s="134"/>
      <c r="Z345" s="134"/>
    </row>
    <row r="346" spans="1:26" ht="15.75" customHeight="1">
      <c r="A346" s="13" t="s">
        <v>5335</v>
      </c>
      <c r="B346" s="13" t="s">
        <v>5336</v>
      </c>
      <c r="C346" s="13" t="s">
        <v>5337</v>
      </c>
      <c r="D346" s="13" t="s">
        <v>5338</v>
      </c>
      <c r="E346" s="13" t="s">
        <v>4718</v>
      </c>
      <c r="F346" s="134" t="str">
        <f t="shared" si="0"/>
        <v/>
      </c>
      <c r="G346" s="134" t="str">
        <f t="shared" si="1"/>
        <v>KEYSTONE WOODS</v>
      </c>
      <c r="H346" s="134"/>
      <c r="I346" s="134"/>
      <c r="J346" s="134"/>
      <c r="K346" s="134"/>
      <c r="L346" s="134"/>
      <c r="M346" s="134"/>
      <c r="N346" s="134"/>
      <c r="O346" s="134"/>
      <c r="P346" s="134"/>
      <c r="Q346" s="134"/>
      <c r="R346" s="134"/>
      <c r="S346" s="134"/>
      <c r="T346" s="134"/>
      <c r="U346" s="134"/>
      <c r="V346" s="134"/>
      <c r="W346" s="134"/>
      <c r="X346" s="134"/>
      <c r="Y346" s="134"/>
      <c r="Z346" s="134"/>
    </row>
    <row r="347" spans="1:26" ht="15.75" hidden="1" customHeight="1">
      <c r="A347" s="13" t="s">
        <v>5339</v>
      </c>
      <c r="B347" s="13" t="s">
        <v>5340</v>
      </c>
      <c r="C347" s="13" t="s">
        <v>5341</v>
      </c>
      <c r="D347" s="13" t="s">
        <v>5342</v>
      </c>
      <c r="E347" s="13" t="s">
        <v>4113</v>
      </c>
      <c r="F347" s="134" t="str">
        <f t="shared" si="0"/>
        <v/>
      </c>
      <c r="G347" s="134" t="str">
        <f t="shared" si="1"/>
        <v>KINGSTON AT DUPONT</v>
      </c>
      <c r="H347" s="134"/>
      <c r="I347" s="134"/>
      <c r="J347" s="134"/>
      <c r="K347" s="134"/>
      <c r="L347" s="134"/>
      <c r="M347" s="134"/>
      <c r="N347" s="134"/>
      <c r="O347" s="134"/>
      <c r="P347" s="134"/>
      <c r="Q347" s="134"/>
      <c r="R347" s="134"/>
      <c r="S347" s="134"/>
      <c r="T347" s="134"/>
      <c r="U347" s="134"/>
      <c r="V347" s="134"/>
      <c r="W347" s="134"/>
      <c r="X347" s="134"/>
      <c r="Y347" s="134"/>
      <c r="Z347" s="134"/>
    </row>
    <row r="348" spans="1:26" ht="15.75" customHeight="1">
      <c r="A348" s="13" t="s">
        <v>5343</v>
      </c>
      <c r="B348" s="13" t="s">
        <v>5344</v>
      </c>
      <c r="C348" s="13" t="s">
        <v>2246</v>
      </c>
      <c r="D348" s="13" t="s">
        <v>5345</v>
      </c>
      <c r="E348" s="13" t="s">
        <v>4113</v>
      </c>
      <c r="F348" s="134" t="str">
        <f t="shared" si="0"/>
        <v/>
      </c>
      <c r="G348" s="134" t="str">
        <f t="shared" si="1"/>
        <v>KINGSTON CARE CENTER OF FORT WAYNE</v>
      </c>
      <c r="H348" s="134"/>
      <c r="I348" s="134"/>
      <c r="J348" s="134"/>
      <c r="K348" s="134"/>
      <c r="L348" s="134"/>
      <c r="M348" s="134"/>
      <c r="N348" s="134"/>
      <c r="O348" s="134"/>
      <c r="P348" s="134"/>
      <c r="Q348" s="134"/>
      <c r="R348" s="134"/>
      <c r="S348" s="134"/>
      <c r="T348" s="134"/>
      <c r="U348" s="134"/>
      <c r="V348" s="134"/>
      <c r="W348" s="134"/>
      <c r="X348" s="134"/>
      <c r="Y348" s="134"/>
      <c r="Z348" s="134"/>
    </row>
    <row r="349" spans="1:26" ht="15.75" customHeight="1">
      <c r="A349" s="13" t="s">
        <v>5346</v>
      </c>
      <c r="B349" s="13" t="s">
        <v>5347</v>
      </c>
      <c r="C349" s="13" t="s">
        <v>2250</v>
      </c>
      <c r="D349" s="13" t="s">
        <v>5348</v>
      </c>
      <c r="E349" s="13" t="s">
        <v>5349</v>
      </c>
      <c r="F349" s="134" t="str">
        <f t="shared" si="0"/>
        <v/>
      </c>
      <c r="G349" s="134" t="str">
        <f t="shared" si="1"/>
        <v>KINGSTON RESIDENCE OF FORT WAYNE</v>
      </c>
      <c r="H349" s="134"/>
      <c r="I349" s="134"/>
      <c r="J349" s="134"/>
      <c r="K349" s="134"/>
      <c r="L349" s="134"/>
      <c r="M349" s="134"/>
      <c r="N349" s="134"/>
      <c r="O349" s="134"/>
      <c r="P349" s="134"/>
      <c r="Q349" s="134"/>
      <c r="R349" s="134"/>
      <c r="S349" s="134"/>
      <c r="T349" s="134"/>
      <c r="U349" s="134"/>
      <c r="V349" s="134"/>
      <c r="W349" s="134"/>
      <c r="X349" s="134"/>
      <c r="Y349" s="134"/>
      <c r="Z349" s="134"/>
    </row>
    <row r="350" spans="1:26" ht="15.75" customHeight="1">
      <c r="A350" s="13" t="s">
        <v>5350</v>
      </c>
      <c r="B350" s="13" t="s">
        <v>5351</v>
      </c>
      <c r="C350" s="13" t="s">
        <v>2254</v>
      </c>
      <c r="D350" s="13" t="s">
        <v>5352</v>
      </c>
      <c r="E350" s="13" t="s">
        <v>4091</v>
      </c>
      <c r="F350" s="134" t="str">
        <f t="shared" si="0"/>
        <v/>
      </c>
      <c r="G350" s="134" t="str">
        <f t="shared" si="1"/>
        <v>KOKOMO HEALTHCARE CENTER</v>
      </c>
      <c r="H350" s="134"/>
      <c r="I350" s="134"/>
      <c r="J350" s="134"/>
      <c r="K350" s="134"/>
      <c r="L350" s="134"/>
      <c r="M350" s="134"/>
      <c r="N350" s="134"/>
      <c r="O350" s="134"/>
      <c r="P350" s="134"/>
      <c r="Q350" s="134"/>
      <c r="R350" s="134"/>
      <c r="S350" s="134"/>
      <c r="T350" s="134"/>
      <c r="U350" s="134"/>
      <c r="V350" s="134"/>
      <c r="W350" s="134"/>
      <c r="X350" s="134"/>
      <c r="Y350" s="134"/>
      <c r="Z350" s="134"/>
    </row>
    <row r="351" spans="1:26" ht="15.75" customHeight="1">
      <c r="A351" s="13" t="s">
        <v>5353</v>
      </c>
      <c r="B351" s="13" t="s">
        <v>5354</v>
      </c>
      <c r="C351" s="13" t="s">
        <v>5355</v>
      </c>
      <c r="D351" s="13" t="s">
        <v>5356</v>
      </c>
      <c r="E351" s="13" t="s">
        <v>4805</v>
      </c>
      <c r="F351" s="134" t="str">
        <f t="shared" si="0"/>
        <v/>
      </c>
      <c r="G351" s="134" t="str">
        <f t="shared" si="1"/>
        <v>KOKOMO PLACE</v>
      </c>
      <c r="H351" s="134"/>
      <c r="I351" s="134"/>
      <c r="J351" s="134"/>
      <c r="K351" s="134"/>
      <c r="L351" s="134"/>
      <c r="M351" s="134"/>
      <c r="N351" s="134"/>
      <c r="O351" s="134"/>
      <c r="P351" s="134"/>
      <c r="Q351" s="134"/>
      <c r="R351" s="134"/>
      <c r="S351" s="134"/>
      <c r="T351" s="134"/>
      <c r="U351" s="134"/>
      <c r="V351" s="134"/>
      <c r="W351" s="134"/>
      <c r="X351" s="134"/>
      <c r="Y351" s="134"/>
      <c r="Z351" s="134"/>
    </row>
    <row r="352" spans="1:26" ht="15.75" hidden="1" customHeight="1">
      <c r="A352" s="13" t="s">
        <v>5357</v>
      </c>
      <c r="B352" s="13" t="s">
        <v>5358</v>
      </c>
      <c r="C352" s="13" t="s">
        <v>5359</v>
      </c>
      <c r="D352" s="13" t="s">
        <v>5360</v>
      </c>
      <c r="E352" s="13" t="s">
        <v>5361</v>
      </c>
      <c r="F352" s="134" t="str">
        <f t="shared" si="0"/>
        <v/>
      </c>
      <c r="G352" s="134" t="str">
        <f t="shared" si="1"/>
        <v>LAFAYETTE BICKFORD COTTAGE LLC</v>
      </c>
      <c r="H352" s="134"/>
      <c r="I352" s="134"/>
      <c r="J352" s="134"/>
      <c r="K352" s="134"/>
      <c r="L352" s="134"/>
      <c r="M352" s="134"/>
      <c r="N352" s="134"/>
      <c r="O352" s="134"/>
      <c r="P352" s="134"/>
      <c r="Q352" s="134"/>
      <c r="R352" s="134"/>
      <c r="S352" s="134"/>
      <c r="T352" s="134"/>
      <c r="U352" s="134"/>
      <c r="V352" s="134"/>
      <c r="W352" s="134"/>
      <c r="X352" s="134"/>
      <c r="Y352" s="134"/>
      <c r="Z352" s="134"/>
    </row>
    <row r="353" spans="1:26" ht="15.75" customHeight="1">
      <c r="A353" s="13" t="s">
        <v>5362</v>
      </c>
      <c r="B353" s="13" t="s">
        <v>5363</v>
      </c>
      <c r="C353" s="13" t="s">
        <v>5364</v>
      </c>
      <c r="D353" s="13" t="s">
        <v>5365</v>
      </c>
      <c r="E353" s="13" t="s">
        <v>5366</v>
      </c>
      <c r="F353" s="134" t="str">
        <f t="shared" si="0"/>
        <v/>
      </c>
      <c r="G353" s="134" t="str">
        <f t="shared" si="1"/>
        <v>LAKE CITY PLACE</v>
      </c>
      <c r="H353" s="134"/>
      <c r="I353" s="134"/>
      <c r="J353" s="134"/>
      <c r="K353" s="134"/>
      <c r="L353" s="134"/>
      <c r="M353" s="134"/>
      <c r="N353" s="134"/>
      <c r="O353" s="134"/>
      <c r="P353" s="134"/>
      <c r="Q353" s="134"/>
      <c r="R353" s="134"/>
      <c r="S353" s="134"/>
      <c r="T353" s="134"/>
      <c r="U353" s="134"/>
      <c r="V353" s="134"/>
      <c r="W353" s="134"/>
      <c r="X353" s="134"/>
      <c r="Y353" s="134"/>
      <c r="Z353" s="134"/>
    </row>
    <row r="354" spans="1:26" ht="15.75" customHeight="1">
      <c r="A354" s="13" t="s">
        <v>5367</v>
      </c>
      <c r="B354" s="13" t="s">
        <v>5368</v>
      </c>
      <c r="C354" s="13" t="s">
        <v>2258</v>
      </c>
      <c r="D354" s="13" t="s">
        <v>5369</v>
      </c>
      <c r="E354" s="13" t="s">
        <v>5370</v>
      </c>
      <c r="F354" s="134" t="str">
        <f t="shared" si="0"/>
        <v/>
      </c>
      <c r="G354" s="134" t="str">
        <f t="shared" si="1"/>
        <v>LAKE COUNTY NURSING AND REHABILITATION CENTER</v>
      </c>
      <c r="H354" s="134"/>
      <c r="I354" s="134"/>
      <c r="J354" s="134"/>
      <c r="K354" s="134"/>
      <c r="L354" s="134"/>
      <c r="M354" s="134"/>
      <c r="N354" s="134"/>
      <c r="O354" s="134"/>
      <c r="P354" s="134"/>
      <c r="Q354" s="134"/>
      <c r="R354" s="134"/>
      <c r="S354" s="134"/>
      <c r="T354" s="134"/>
      <c r="U354" s="134"/>
      <c r="V354" s="134"/>
      <c r="W354" s="134"/>
      <c r="X354" s="134"/>
      <c r="Y354" s="134"/>
      <c r="Z354" s="134"/>
    </row>
    <row r="355" spans="1:26" ht="15.75" customHeight="1">
      <c r="A355" s="13" t="s">
        <v>5371</v>
      </c>
      <c r="B355" s="13" t="s">
        <v>5372</v>
      </c>
      <c r="C355" s="13" t="s">
        <v>5373</v>
      </c>
      <c r="D355" s="13" t="s">
        <v>5374</v>
      </c>
      <c r="E355" s="13" t="s">
        <v>5375</v>
      </c>
      <c r="F355" s="134" t="str">
        <f t="shared" si="0"/>
        <v/>
      </c>
      <c r="G355" s="134" t="str">
        <f t="shared" si="1"/>
        <v>LAKE PARK RESIDENTIAL CARE</v>
      </c>
      <c r="H355" s="134"/>
      <c r="I355" s="134"/>
      <c r="J355" s="134"/>
      <c r="K355" s="134"/>
      <c r="L355" s="134"/>
      <c r="M355" s="134"/>
      <c r="N355" s="134"/>
      <c r="O355" s="134"/>
      <c r="P355" s="134"/>
      <c r="Q355" s="134"/>
      <c r="R355" s="134"/>
      <c r="S355" s="134"/>
      <c r="T355" s="134"/>
      <c r="U355" s="134"/>
      <c r="V355" s="134"/>
      <c r="W355" s="134"/>
      <c r="X355" s="134"/>
      <c r="Y355" s="134"/>
      <c r="Z355" s="134"/>
    </row>
    <row r="356" spans="1:26" ht="15.75" customHeight="1">
      <c r="A356" s="13" t="s">
        <v>5376</v>
      </c>
      <c r="B356" s="13" t="s">
        <v>5377</v>
      </c>
      <c r="C356" s="13" t="s">
        <v>2262</v>
      </c>
      <c r="D356" s="13" t="s">
        <v>5378</v>
      </c>
      <c r="E356" s="13" t="s">
        <v>5080</v>
      </c>
      <c r="F356" s="134" t="str">
        <f t="shared" si="0"/>
        <v/>
      </c>
      <c r="G356" s="134" t="str">
        <f t="shared" si="1"/>
        <v>LAKE POINTE VILLAGE</v>
      </c>
      <c r="H356" s="134"/>
      <c r="I356" s="134"/>
      <c r="J356" s="134"/>
      <c r="K356" s="134"/>
      <c r="L356" s="134"/>
      <c r="M356" s="134"/>
      <c r="N356" s="134"/>
      <c r="O356" s="134"/>
      <c r="P356" s="134"/>
      <c r="Q356" s="134"/>
      <c r="R356" s="134"/>
      <c r="S356" s="134"/>
      <c r="T356" s="134"/>
      <c r="U356" s="134"/>
      <c r="V356" s="134"/>
      <c r="W356" s="134"/>
      <c r="X356" s="134"/>
      <c r="Y356" s="134"/>
      <c r="Z356" s="134"/>
    </row>
    <row r="357" spans="1:26" ht="15.75" customHeight="1">
      <c r="A357" s="13" t="s">
        <v>5379</v>
      </c>
      <c r="B357" s="13" t="s">
        <v>5380</v>
      </c>
      <c r="C357" s="13" t="s">
        <v>2265</v>
      </c>
      <c r="D357" s="13" t="s">
        <v>5381</v>
      </c>
      <c r="E357" s="13" t="s">
        <v>5382</v>
      </c>
      <c r="F357" s="134" t="str">
        <f t="shared" si="0"/>
        <v/>
      </c>
      <c r="G357" s="134" t="str">
        <f t="shared" si="1"/>
        <v>LAKEVIEW MANOR</v>
      </c>
      <c r="H357" s="134"/>
      <c r="I357" s="134"/>
      <c r="J357" s="134"/>
      <c r="K357" s="134"/>
      <c r="L357" s="134"/>
      <c r="M357" s="134"/>
      <c r="N357" s="134"/>
      <c r="O357" s="134"/>
      <c r="P357" s="134"/>
      <c r="Q357" s="134"/>
      <c r="R357" s="134"/>
      <c r="S357" s="134"/>
      <c r="T357" s="134"/>
      <c r="U357" s="134"/>
      <c r="V357" s="134"/>
      <c r="W357" s="134"/>
      <c r="X357" s="134"/>
      <c r="Y357" s="134"/>
      <c r="Z357" s="134"/>
    </row>
    <row r="358" spans="1:26" ht="15.75" hidden="1" customHeight="1">
      <c r="A358" s="13" t="s">
        <v>5383</v>
      </c>
      <c r="B358" s="13" t="s">
        <v>5384</v>
      </c>
      <c r="C358" s="13" t="s">
        <v>5385</v>
      </c>
      <c r="D358" s="13" t="s">
        <v>5386</v>
      </c>
      <c r="E358" s="13" t="s">
        <v>5387</v>
      </c>
      <c r="F358" s="134" t="str">
        <f t="shared" si="0"/>
        <v/>
      </c>
      <c r="G358" s="134" t="str">
        <f t="shared" si="1"/>
        <v>LAMPLIGHT INN OF FORT WAYNE</v>
      </c>
      <c r="H358" s="134"/>
      <c r="I358" s="134"/>
      <c r="J358" s="134"/>
      <c r="K358" s="134"/>
      <c r="L358" s="134"/>
      <c r="M358" s="134"/>
      <c r="N358" s="134"/>
      <c r="O358" s="134"/>
      <c r="P358" s="134"/>
      <c r="Q358" s="134"/>
      <c r="R358" s="134"/>
      <c r="S358" s="134"/>
      <c r="T358" s="134"/>
      <c r="U358" s="134"/>
      <c r="V358" s="134"/>
      <c r="W358" s="134"/>
      <c r="X358" s="134"/>
      <c r="Y358" s="134"/>
      <c r="Z358" s="134"/>
    </row>
    <row r="359" spans="1:26" ht="15.75" customHeight="1">
      <c r="A359" s="13" t="s">
        <v>5388</v>
      </c>
      <c r="B359" s="13" t="s">
        <v>5389</v>
      </c>
      <c r="C359" s="13" t="s">
        <v>2269</v>
      </c>
      <c r="D359" s="13" t="s">
        <v>5390</v>
      </c>
      <c r="E359" s="13" t="s">
        <v>4243</v>
      </c>
      <c r="F359" s="134" t="str">
        <f t="shared" si="0"/>
        <v/>
      </c>
      <c r="G359" s="134" t="str">
        <f t="shared" si="1"/>
        <v>LANE HOUSE, THE</v>
      </c>
      <c r="H359" s="134"/>
      <c r="I359" s="134"/>
      <c r="J359" s="134"/>
      <c r="K359" s="134"/>
      <c r="L359" s="134"/>
      <c r="M359" s="134"/>
      <c r="N359" s="134"/>
      <c r="O359" s="134"/>
      <c r="P359" s="134"/>
      <c r="Q359" s="134"/>
      <c r="R359" s="134"/>
      <c r="S359" s="134"/>
      <c r="T359" s="134"/>
      <c r="U359" s="134"/>
      <c r="V359" s="134"/>
      <c r="W359" s="134"/>
      <c r="X359" s="134"/>
      <c r="Y359" s="134"/>
      <c r="Z359" s="134"/>
    </row>
    <row r="360" spans="1:26" ht="15.75" customHeight="1">
      <c r="A360" s="13" t="s">
        <v>5391</v>
      </c>
      <c r="B360" s="13" t="s">
        <v>5392</v>
      </c>
      <c r="C360" s="13" t="s">
        <v>523</v>
      </c>
      <c r="D360" s="13" t="s">
        <v>5393</v>
      </c>
      <c r="E360" s="13" t="s">
        <v>5394</v>
      </c>
      <c r="F360" s="134" t="str">
        <f t="shared" si="0"/>
        <v/>
      </c>
      <c r="G360" s="134" t="str">
        <f t="shared" si="1"/>
        <v>LAURELS OF DEKALB</v>
      </c>
      <c r="H360" s="134"/>
      <c r="I360" s="134"/>
      <c r="J360" s="134"/>
      <c r="K360" s="134"/>
      <c r="L360" s="134"/>
      <c r="M360" s="134"/>
      <c r="N360" s="134"/>
      <c r="O360" s="134"/>
      <c r="P360" s="134"/>
      <c r="Q360" s="134"/>
      <c r="R360" s="134"/>
      <c r="S360" s="134"/>
      <c r="T360" s="134"/>
      <c r="U360" s="134"/>
      <c r="V360" s="134"/>
      <c r="W360" s="134"/>
      <c r="X360" s="134"/>
      <c r="Y360" s="134"/>
      <c r="Z360" s="134"/>
    </row>
    <row r="361" spans="1:26" ht="15.75" hidden="1" customHeight="1">
      <c r="A361" s="13" t="s">
        <v>5395</v>
      </c>
      <c r="B361" s="13" t="s">
        <v>5396</v>
      </c>
      <c r="C361" s="13" t="s">
        <v>5397</v>
      </c>
      <c r="D361" s="13" t="s">
        <v>5398</v>
      </c>
      <c r="E361" s="13" t="s">
        <v>4408</v>
      </c>
      <c r="F361" s="134" t="str">
        <f t="shared" si="0"/>
        <v/>
      </c>
      <c r="G361" s="134" t="str">
        <f t="shared" si="1"/>
        <v>LEGACY LIVING OF JASPER LLC</v>
      </c>
      <c r="H361" s="134"/>
      <c r="I361" s="134"/>
      <c r="J361" s="134"/>
      <c r="K361" s="134"/>
      <c r="L361" s="134"/>
      <c r="M361" s="134"/>
      <c r="N361" s="134"/>
      <c r="O361" s="134"/>
      <c r="P361" s="134"/>
      <c r="Q361" s="134"/>
      <c r="R361" s="134"/>
      <c r="S361" s="134"/>
      <c r="T361" s="134"/>
      <c r="U361" s="134"/>
      <c r="V361" s="134"/>
      <c r="W361" s="134"/>
      <c r="X361" s="134"/>
      <c r="Y361" s="134"/>
      <c r="Z361" s="134"/>
    </row>
    <row r="362" spans="1:26" ht="15.75" customHeight="1">
      <c r="A362" s="13" t="s">
        <v>5399</v>
      </c>
      <c r="B362" s="13" t="s">
        <v>5400</v>
      </c>
      <c r="C362" s="13" t="s">
        <v>2272</v>
      </c>
      <c r="D362" s="13" t="s">
        <v>5401</v>
      </c>
      <c r="E362" s="13" t="s">
        <v>4403</v>
      </c>
      <c r="F362" s="134" t="str">
        <f t="shared" si="0"/>
        <v/>
      </c>
      <c r="G362" s="134" t="str">
        <f t="shared" si="1"/>
        <v>LIBERTY VILLAGE</v>
      </c>
      <c r="H362" s="134"/>
      <c r="I362" s="134"/>
      <c r="J362" s="134"/>
      <c r="K362" s="134"/>
      <c r="L362" s="134"/>
      <c r="M362" s="134"/>
      <c r="N362" s="134"/>
      <c r="O362" s="134"/>
      <c r="P362" s="134"/>
      <c r="Q362" s="134"/>
      <c r="R362" s="134"/>
      <c r="S362" s="134"/>
      <c r="T362" s="134"/>
      <c r="U362" s="134"/>
      <c r="V362" s="134"/>
      <c r="W362" s="134"/>
      <c r="X362" s="134"/>
      <c r="Y362" s="134"/>
      <c r="Z362" s="134"/>
    </row>
    <row r="363" spans="1:26" ht="15.75" customHeight="1">
      <c r="A363" s="13" t="s">
        <v>5402</v>
      </c>
      <c r="B363" s="13" t="s">
        <v>5403</v>
      </c>
      <c r="C363" s="13" t="s">
        <v>532</v>
      </c>
      <c r="D363" s="13" t="s">
        <v>5404</v>
      </c>
      <c r="E363" s="13" t="s">
        <v>4126</v>
      </c>
      <c r="F363" s="134" t="str">
        <f t="shared" si="0"/>
        <v/>
      </c>
      <c r="G363" s="134" t="str">
        <f t="shared" si="1"/>
        <v>LIFE CARE CENTER OF FORT WAYNE</v>
      </c>
      <c r="H363" s="134"/>
      <c r="I363" s="134"/>
      <c r="J363" s="134"/>
      <c r="K363" s="134"/>
      <c r="L363" s="134"/>
      <c r="M363" s="134"/>
      <c r="N363" s="134"/>
      <c r="O363" s="134"/>
      <c r="P363" s="134"/>
      <c r="Q363" s="134"/>
      <c r="R363" s="134"/>
      <c r="S363" s="134"/>
      <c r="T363" s="134"/>
      <c r="U363" s="134"/>
      <c r="V363" s="134"/>
      <c r="W363" s="134"/>
      <c r="X363" s="134"/>
      <c r="Y363" s="134"/>
      <c r="Z363" s="134"/>
    </row>
    <row r="364" spans="1:26" ht="15.75" customHeight="1">
      <c r="A364" s="13" t="s">
        <v>5405</v>
      </c>
      <c r="B364" s="13" t="s">
        <v>5406</v>
      </c>
      <c r="C364" s="13" t="s">
        <v>537</v>
      </c>
      <c r="D364" s="13" t="s">
        <v>5407</v>
      </c>
      <c r="E364" s="13" t="s">
        <v>5408</v>
      </c>
      <c r="F364" s="134" t="str">
        <f t="shared" si="0"/>
        <v/>
      </c>
      <c r="G364" s="134" t="str">
        <f t="shared" si="1"/>
        <v>LIFE CARE CENTER OF LAGRANGE</v>
      </c>
      <c r="H364" s="134"/>
      <c r="I364" s="134"/>
      <c r="J364" s="134"/>
      <c r="K364" s="134"/>
      <c r="L364" s="134"/>
      <c r="M364" s="134"/>
      <c r="N364" s="134"/>
      <c r="O364" s="134"/>
      <c r="P364" s="134"/>
      <c r="Q364" s="134"/>
      <c r="R364" s="134"/>
      <c r="S364" s="134"/>
      <c r="T364" s="134"/>
      <c r="U364" s="134"/>
      <c r="V364" s="134"/>
      <c r="W364" s="134"/>
      <c r="X364" s="134"/>
      <c r="Y364" s="134"/>
      <c r="Z364" s="134"/>
    </row>
    <row r="365" spans="1:26" ht="15.75" customHeight="1">
      <c r="A365" s="13" t="s">
        <v>5409</v>
      </c>
      <c r="B365" s="13" t="s">
        <v>5410</v>
      </c>
      <c r="C365" s="13" t="s">
        <v>2282</v>
      </c>
      <c r="D365" s="13" t="s">
        <v>5411</v>
      </c>
      <c r="E365" s="13" t="s">
        <v>4075</v>
      </c>
      <c r="F365" s="134" t="str">
        <f t="shared" si="0"/>
        <v/>
      </c>
      <c r="G365" s="134" t="str">
        <f t="shared" si="1"/>
        <v>LIFE CARE CENTER OF MICHIGAN CITY</v>
      </c>
      <c r="H365" s="134"/>
      <c r="I365" s="134"/>
      <c r="J365" s="134"/>
      <c r="K365" s="134"/>
      <c r="L365" s="134"/>
      <c r="M365" s="134"/>
      <c r="N365" s="134"/>
      <c r="O365" s="134"/>
      <c r="P365" s="134"/>
      <c r="Q365" s="134"/>
      <c r="R365" s="134"/>
      <c r="S365" s="134"/>
      <c r="T365" s="134"/>
      <c r="U365" s="134"/>
      <c r="V365" s="134"/>
      <c r="W365" s="134"/>
      <c r="X365" s="134"/>
      <c r="Y365" s="134"/>
      <c r="Z365" s="134"/>
    </row>
    <row r="366" spans="1:26" ht="15.75" customHeight="1">
      <c r="A366" s="13" t="s">
        <v>5412</v>
      </c>
      <c r="B366" s="13" t="s">
        <v>5413</v>
      </c>
      <c r="C366" s="13" t="s">
        <v>2285</v>
      </c>
      <c r="D366" s="13" t="s">
        <v>5414</v>
      </c>
      <c r="E366" s="13" t="s">
        <v>5249</v>
      </c>
      <c r="F366" s="134" t="str">
        <f t="shared" si="0"/>
        <v/>
      </c>
      <c r="G366" s="134" t="str">
        <f t="shared" si="1"/>
        <v>LIFE CARE CENTER OF ROCHESTER</v>
      </c>
      <c r="H366" s="134"/>
      <c r="I366" s="134"/>
      <c r="J366" s="134"/>
      <c r="K366" s="134"/>
      <c r="L366" s="134"/>
      <c r="M366" s="134"/>
      <c r="N366" s="134"/>
      <c r="O366" s="134"/>
      <c r="P366" s="134"/>
      <c r="Q366" s="134"/>
      <c r="R366" s="134"/>
      <c r="S366" s="134"/>
      <c r="T366" s="134"/>
      <c r="U366" s="134"/>
      <c r="V366" s="134"/>
      <c r="W366" s="134"/>
      <c r="X366" s="134"/>
      <c r="Y366" s="134"/>
      <c r="Z366" s="134"/>
    </row>
    <row r="367" spans="1:26" ht="15.75" customHeight="1">
      <c r="A367" s="13" t="s">
        <v>5415</v>
      </c>
      <c r="B367" s="13" t="s">
        <v>5416</v>
      </c>
      <c r="C367" s="13" t="s">
        <v>2288</v>
      </c>
      <c r="D367" s="13" t="s">
        <v>5417</v>
      </c>
      <c r="E367" s="13" t="s">
        <v>4199</v>
      </c>
      <c r="F367" s="134" t="str">
        <f t="shared" si="0"/>
        <v/>
      </c>
      <c r="G367" s="134" t="str">
        <f t="shared" si="1"/>
        <v>LIFE CARE CENTER OF THE WILLOWS</v>
      </c>
      <c r="H367" s="134"/>
      <c r="I367" s="134"/>
      <c r="J367" s="134"/>
      <c r="K367" s="134"/>
      <c r="L367" s="134"/>
      <c r="M367" s="134"/>
      <c r="N367" s="134"/>
      <c r="O367" s="134"/>
      <c r="P367" s="134"/>
      <c r="Q367" s="134"/>
      <c r="R367" s="134"/>
      <c r="S367" s="134"/>
      <c r="T367" s="134"/>
      <c r="U367" s="134"/>
      <c r="V367" s="134"/>
      <c r="W367" s="134"/>
      <c r="X367" s="134"/>
      <c r="Y367" s="134"/>
      <c r="Z367" s="134"/>
    </row>
    <row r="368" spans="1:26" ht="15.75" customHeight="1">
      <c r="A368" s="13" t="s">
        <v>5418</v>
      </c>
      <c r="B368" s="13" t="s">
        <v>5419</v>
      </c>
      <c r="C368" s="13" t="s">
        <v>2291</v>
      </c>
      <c r="D368" s="13" t="s">
        <v>5420</v>
      </c>
      <c r="E368" s="13" t="s">
        <v>5421</v>
      </c>
      <c r="F368" s="134" t="str">
        <f t="shared" si="0"/>
        <v/>
      </c>
      <c r="G368" s="134" t="str">
        <f t="shared" si="1"/>
        <v>LIFE CARE CENTER OF VALPARAISO</v>
      </c>
      <c r="H368" s="134"/>
      <c r="I368" s="134"/>
      <c r="J368" s="134"/>
      <c r="K368" s="134"/>
      <c r="L368" s="134"/>
      <c r="M368" s="134"/>
      <c r="N368" s="134"/>
      <c r="O368" s="134"/>
      <c r="P368" s="134"/>
      <c r="Q368" s="134"/>
      <c r="R368" s="134"/>
      <c r="S368" s="134"/>
      <c r="T368" s="134"/>
      <c r="U368" s="134"/>
      <c r="V368" s="134"/>
      <c r="W368" s="134"/>
      <c r="X368" s="134"/>
      <c r="Y368" s="134"/>
      <c r="Z368" s="134"/>
    </row>
    <row r="369" spans="1:26" ht="15.75" customHeight="1">
      <c r="A369" s="13" t="s">
        <v>5422</v>
      </c>
      <c r="B369" s="13" t="s">
        <v>5423</v>
      </c>
      <c r="C369" s="13" t="s">
        <v>5424</v>
      </c>
      <c r="D369" s="13" t="s">
        <v>5425</v>
      </c>
      <c r="E369" s="13" t="s">
        <v>4195</v>
      </c>
      <c r="F369" s="134" t="str">
        <f t="shared" si="0"/>
        <v/>
      </c>
      <c r="G369" s="134" t="str">
        <f t="shared" si="1"/>
        <v>LINCOLN HILLS OF NEW ALBANY</v>
      </c>
      <c r="H369" s="134"/>
      <c r="I369" s="134"/>
      <c r="J369" s="134"/>
      <c r="K369" s="134"/>
      <c r="L369" s="134"/>
      <c r="M369" s="134"/>
      <c r="N369" s="134"/>
      <c r="O369" s="134"/>
      <c r="P369" s="134"/>
      <c r="Q369" s="134"/>
      <c r="R369" s="134"/>
      <c r="S369" s="134"/>
      <c r="T369" s="134"/>
      <c r="U369" s="134"/>
      <c r="V369" s="134"/>
      <c r="W369" s="134"/>
      <c r="X369" s="134"/>
      <c r="Y369" s="134"/>
      <c r="Z369" s="134"/>
    </row>
    <row r="370" spans="1:26" ht="15.75" customHeight="1">
      <c r="A370" s="13" t="s">
        <v>5426</v>
      </c>
      <c r="B370" s="13" t="s">
        <v>5427</v>
      </c>
      <c r="C370" s="13" t="s">
        <v>2300</v>
      </c>
      <c r="D370" s="13" t="s">
        <v>5428</v>
      </c>
      <c r="E370" s="13" t="s">
        <v>4239</v>
      </c>
      <c r="F370" s="134" t="str">
        <f t="shared" si="0"/>
        <v/>
      </c>
      <c r="G370" s="134" t="str">
        <f t="shared" si="1"/>
        <v>LINCOLNSHIRE HEALTH &amp; REHABILITATION CENTER</v>
      </c>
      <c r="H370" s="134"/>
      <c r="I370" s="134"/>
      <c r="J370" s="134"/>
      <c r="K370" s="134"/>
      <c r="L370" s="134"/>
      <c r="M370" s="134"/>
      <c r="N370" s="134"/>
      <c r="O370" s="134"/>
      <c r="P370" s="134"/>
      <c r="Q370" s="134"/>
      <c r="R370" s="134"/>
      <c r="S370" s="134"/>
      <c r="T370" s="134"/>
      <c r="U370" s="134"/>
      <c r="V370" s="134"/>
      <c r="W370" s="134"/>
      <c r="X370" s="134"/>
      <c r="Y370" s="134"/>
      <c r="Z370" s="134"/>
    </row>
    <row r="371" spans="1:26" ht="15.75" customHeight="1">
      <c r="A371" s="13" t="s">
        <v>5429</v>
      </c>
      <c r="B371" s="13" t="s">
        <v>5430</v>
      </c>
      <c r="C371" s="13" t="s">
        <v>5431</v>
      </c>
      <c r="D371" s="13" t="s">
        <v>5432</v>
      </c>
      <c r="E371" s="13" t="s">
        <v>4151</v>
      </c>
      <c r="F371" s="134" t="str">
        <f t="shared" si="0"/>
        <v/>
      </c>
      <c r="G371" s="134" t="str">
        <f t="shared" si="1"/>
        <v>LINCOLNSHIRE PLACE - FORT WAYNE</v>
      </c>
      <c r="H371" s="134"/>
      <c r="I371" s="134"/>
      <c r="J371" s="134"/>
      <c r="K371" s="134"/>
      <c r="L371" s="134"/>
      <c r="M371" s="134"/>
      <c r="N371" s="134"/>
      <c r="O371" s="134"/>
      <c r="P371" s="134"/>
      <c r="Q371" s="134"/>
      <c r="R371" s="134"/>
      <c r="S371" s="134"/>
      <c r="T371" s="134"/>
      <c r="U371" s="134"/>
      <c r="V371" s="134"/>
      <c r="W371" s="134"/>
      <c r="X371" s="134"/>
      <c r="Y371" s="134"/>
      <c r="Z371" s="134"/>
    </row>
    <row r="372" spans="1:26" ht="15.75" customHeight="1">
      <c r="A372" s="13" t="s">
        <v>5433</v>
      </c>
      <c r="B372" s="13" t="s">
        <v>5434</v>
      </c>
      <c r="C372" s="13" t="s">
        <v>2302</v>
      </c>
      <c r="D372" s="13" t="s">
        <v>5435</v>
      </c>
      <c r="E372" s="13" t="s">
        <v>4255</v>
      </c>
      <c r="F372" s="134" t="str">
        <f t="shared" si="0"/>
        <v/>
      </c>
      <c r="G372" s="134" t="str">
        <f t="shared" si="1"/>
        <v>LINDBERG CROSSING SENIOR LIVING</v>
      </c>
      <c r="H372" s="134"/>
      <c r="I372" s="134"/>
      <c r="J372" s="134"/>
      <c r="K372" s="134"/>
      <c r="L372" s="134"/>
      <c r="M372" s="134"/>
      <c r="N372" s="134"/>
      <c r="O372" s="134"/>
      <c r="P372" s="134"/>
      <c r="Q372" s="134"/>
      <c r="R372" s="134"/>
      <c r="S372" s="134"/>
      <c r="T372" s="134"/>
      <c r="U372" s="134"/>
      <c r="V372" s="134"/>
      <c r="W372" s="134"/>
      <c r="X372" s="134"/>
      <c r="Y372" s="134"/>
      <c r="Z372" s="134"/>
    </row>
    <row r="373" spans="1:26" ht="15.75" customHeight="1">
      <c r="A373" s="13" t="s">
        <v>5436</v>
      </c>
      <c r="B373" s="13" t="s">
        <v>5437</v>
      </c>
      <c r="C373" s="13" t="s">
        <v>2304</v>
      </c>
      <c r="D373" s="13" t="s">
        <v>5438</v>
      </c>
      <c r="E373" s="13" t="s">
        <v>4355</v>
      </c>
      <c r="F373" s="134" t="str">
        <f t="shared" si="0"/>
        <v/>
      </c>
      <c r="G373" s="134" t="str">
        <f t="shared" si="1"/>
        <v>LODGE OF THE WABASH</v>
      </c>
      <c r="H373" s="134"/>
      <c r="I373" s="134"/>
      <c r="J373" s="134"/>
      <c r="K373" s="134"/>
      <c r="L373" s="134"/>
      <c r="M373" s="134"/>
      <c r="N373" s="134"/>
      <c r="O373" s="134"/>
      <c r="P373" s="134"/>
      <c r="Q373" s="134"/>
      <c r="R373" s="134"/>
      <c r="S373" s="134"/>
      <c r="T373" s="134"/>
      <c r="U373" s="134"/>
      <c r="V373" s="134"/>
      <c r="W373" s="134"/>
      <c r="X373" s="134"/>
      <c r="Y373" s="134"/>
      <c r="Z373" s="134"/>
    </row>
    <row r="374" spans="1:26" ht="15.75" customHeight="1">
      <c r="A374" s="13" t="s">
        <v>5439</v>
      </c>
      <c r="B374" s="13" t="s">
        <v>5440</v>
      </c>
      <c r="C374" s="13" t="s">
        <v>2309</v>
      </c>
      <c r="D374" s="13" t="s">
        <v>5441</v>
      </c>
      <c r="E374" s="13" t="s">
        <v>5442</v>
      </c>
      <c r="F374" s="134" t="str">
        <f t="shared" si="0"/>
        <v/>
      </c>
      <c r="G374" s="134" t="str">
        <f t="shared" si="1"/>
        <v>LOOGOOTEE HEALTHCARE &amp; REHABILITATION CENTER</v>
      </c>
      <c r="H374" s="134"/>
      <c r="I374" s="134"/>
      <c r="J374" s="134"/>
      <c r="K374" s="134"/>
      <c r="L374" s="134"/>
      <c r="M374" s="134"/>
      <c r="N374" s="134"/>
      <c r="O374" s="134"/>
      <c r="P374" s="134"/>
      <c r="Q374" s="134"/>
      <c r="R374" s="134"/>
      <c r="S374" s="134"/>
      <c r="T374" s="134"/>
      <c r="U374" s="134"/>
      <c r="V374" s="134"/>
      <c r="W374" s="134"/>
      <c r="X374" s="134"/>
      <c r="Y374" s="134"/>
      <c r="Z374" s="134"/>
    </row>
    <row r="375" spans="1:26" ht="15.75" customHeight="1">
      <c r="A375" s="13" t="s">
        <v>5443</v>
      </c>
      <c r="B375" s="13" t="s">
        <v>5444</v>
      </c>
      <c r="C375" s="13" t="s">
        <v>5445</v>
      </c>
      <c r="D375" s="13" t="s">
        <v>5446</v>
      </c>
      <c r="E375" s="13" t="s">
        <v>5442</v>
      </c>
      <c r="F375" s="134" t="str">
        <f t="shared" si="0"/>
        <v/>
      </c>
      <c r="G375" s="134" t="str">
        <f t="shared" si="1"/>
        <v>LOOGOOTEE NURSING CENTER</v>
      </c>
      <c r="H375" s="134"/>
      <c r="I375" s="134"/>
      <c r="J375" s="134"/>
      <c r="K375" s="134"/>
      <c r="L375" s="134"/>
      <c r="M375" s="134"/>
      <c r="N375" s="134"/>
      <c r="O375" s="134"/>
      <c r="P375" s="134"/>
      <c r="Q375" s="134"/>
      <c r="R375" s="134"/>
      <c r="S375" s="134"/>
      <c r="T375" s="134"/>
      <c r="U375" s="134"/>
      <c r="V375" s="134"/>
      <c r="W375" s="134"/>
      <c r="X375" s="134"/>
      <c r="Y375" s="134"/>
      <c r="Z375" s="134"/>
    </row>
    <row r="376" spans="1:26" ht="15.75" customHeight="1">
      <c r="A376" s="13" t="s">
        <v>5447</v>
      </c>
      <c r="B376" s="13" t="s">
        <v>5448</v>
      </c>
      <c r="C376" s="13" t="s">
        <v>2313</v>
      </c>
      <c r="D376" s="13" t="s">
        <v>5449</v>
      </c>
      <c r="E376" s="13" t="s">
        <v>4468</v>
      </c>
      <c r="F376" s="134" t="str">
        <f t="shared" si="0"/>
        <v/>
      </c>
      <c r="G376" s="134" t="str">
        <f t="shared" si="1"/>
        <v>LOWELL HEALTHCARE</v>
      </c>
      <c r="H376" s="134"/>
      <c r="I376" s="134"/>
      <c r="J376" s="134"/>
      <c r="K376" s="134"/>
      <c r="L376" s="134"/>
      <c r="M376" s="134"/>
      <c r="N376" s="134"/>
      <c r="O376" s="134"/>
      <c r="P376" s="134"/>
      <c r="Q376" s="134"/>
      <c r="R376" s="134"/>
      <c r="S376" s="134"/>
      <c r="T376" s="134"/>
      <c r="U376" s="134"/>
      <c r="V376" s="134"/>
      <c r="W376" s="134"/>
      <c r="X376" s="134"/>
      <c r="Y376" s="134"/>
      <c r="Z376" s="134"/>
    </row>
    <row r="377" spans="1:26" ht="15.75" customHeight="1">
      <c r="A377" s="13" t="s">
        <v>5450</v>
      </c>
      <c r="B377" s="13" t="s">
        <v>5451</v>
      </c>
      <c r="C377" s="13" t="s">
        <v>2315</v>
      </c>
      <c r="D377" s="13" t="s">
        <v>5452</v>
      </c>
      <c r="E377" s="13" t="s">
        <v>4598</v>
      </c>
      <c r="F377" s="134" t="str">
        <f t="shared" si="0"/>
        <v/>
      </c>
      <c r="G377" s="134" t="str">
        <f t="shared" si="1"/>
        <v>LUTHERAN COMMUNITY HOME</v>
      </c>
      <c r="H377" s="134"/>
      <c r="I377" s="134"/>
      <c r="J377" s="134"/>
      <c r="K377" s="134"/>
      <c r="L377" s="134"/>
      <c r="M377" s="134"/>
      <c r="N377" s="134"/>
      <c r="O377" s="134"/>
      <c r="P377" s="134"/>
      <c r="Q377" s="134"/>
      <c r="R377" s="134"/>
      <c r="S377" s="134"/>
      <c r="T377" s="134"/>
      <c r="U377" s="134"/>
      <c r="V377" s="134"/>
      <c r="W377" s="134"/>
      <c r="X377" s="134"/>
      <c r="Y377" s="134"/>
      <c r="Z377" s="134"/>
    </row>
    <row r="378" spans="1:26" ht="15.75" customHeight="1">
      <c r="A378" s="13" t="s">
        <v>5453</v>
      </c>
      <c r="B378" s="13" t="s">
        <v>5454</v>
      </c>
      <c r="C378" s="13" t="s">
        <v>577</v>
      </c>
      <c r="D378" s="13" t="s">
        <v>5455</v>
      </c>
      <c r="E378" s="13" t="s">
        <v>5456</v>
      </c>
      <c r="F378" s="134" t="str">
        <f t="shared" si="0"/>
        <v/>
      </c>
      <c r="G378" s="134" t="str">
        <f t="shared" si="1"/>
        <v>LUTHERAN LIFE VILLAGES</v>
      </c>
      <c r="H378" s="134"/>
      <c r="I378" s="134"/>
      <c r="J378" s="134"/>
      <c r="K378" s="134"/>
      <c r="L378" s="134"/>
      <c r="M378" s="134"/>
      <c r="N378" s="134"/>
      <c r="O378" s="134"/>
      <c r="P378" s="134"/>
      <c r="Q378" s="134"/>
      <c r="R378" s="134"/>
      <c r="S378" s="134"/>
      <c r="T378" s="134"/>
      <c r="U378" s="134"/>
      <c r="V378" s="134"/>
      <c r="W378" s="134"/>
      <c r="X378" s="134"/>
      <c r="Y378" s="134"/>
      <c r="Z378" s="134"/>
    </row>
    <row r="379" spans="1:26" ht="15.75" customHeight="1">
      <c r="A379" s="13" t="s">
        <v>5453</v>
      </c>
      <c r="B379" s="13" t="s">
        <v>5457</v>
      </c>
      <c r="C379" s="13" t="s">
        <v>5458</v>
      </c>
      <c r="D379" s="13" t="s">
        <v>5459</v>
      </c>
      <c r="E379" s="13" t="s">
        <v>4113</v>
      </c>
      <c r="F379" s="134" t="str">
        <f t="shared" si="0"/>
        <v/>
      </c>
      <c r="G379" s="134" t="str">
        <f t="shared" si="1"/>
        <v>LUTHERAN LIFE VILLAGES</v>
      </c>
      <c r="H379" s="134"/>
      <c r="I379" s="134"/>
      <c r="J379" s="134"/>
      <c r="K379" s="134"/>
      <c r="L379" s="134"/>
      <c r="M379" s="134"/>
      <c r="N379" s="134"/>
      <c r="O379" s="134"/>
      <c r="P379" s="134"/>
      <c r="Q379" s="134"/>
      <c r="R379" s="134"/>
      <c r="S379" s="134"/>
      <c r="T379" s="134"/>
      <c r="U379" s="134"/>
      <c r="V379" s="134"/>
      <c r="W379" s="134"/>
      <c r="X379" s="134"/>
      <c r="Y379" s="134"/>
      <c r="Z379" s="134"/>
    </row>
    <row r="380" spans="1:26" ht="15.75" customHeight="1">
      <c r="A380" s="13" t="s">
        <v>5453</v>
      </c>
      <c r="B380" s="13" t="s">
        <v>5460</v>
      </c>
      <c r="C380" s="13" t="s">
        <v>5461</v>
      </c>
      <c r="D380" s="13" t="s">
        <v>5462</v>
      </c>
      <c r="E380" s="13" t="s">
        <v>4486</v>
      </c>
      <c r="F380" s="134" t="str">
        <f t="shared" si="0"/>
        <v/>
      </c>
      <c r="G380" s="134" t="str">
        <f t="shared" si="1"/>
        <v>LUTHERAN LIFE VILLAGES</v>
      </c>
      <c r="H380" s="134"/>
      <c r="I380" s="134"/>
      <c r="J380" s="134"/>
      <c r="K380" s="134"/>
      <c r="L380" s="134"/>
      <c r="M380" s="134"/>
      <c r="N380" s="134"/>
      <c r="O380" s="134"/>
      <c r="P380" s="134"/>
      <c r="Q380" s="134"/>
      <c r="R380" s="134"/>
      <c r="S380" s="134"/>
      <c r="T380" s="134"/>
      <c r="U380" s="134"/>
      <c r="V380" s="134"/>
      <c r="W380" s="134"/>
      <c r="X380" s="134"/>
      <c r="Y380" s="134"/>
      <c r="Z380" s="134"/>
    </row>
    <row r="381" spans="1:26" ht="15.75" customHeight="1">
      <c r="A381" s="13" t="s">
        <v>5463</v>
      </c>
      <c r="B381" s="13" t="s">
        <v>5464</v>
      </c>
      <c r="C381" s="13" t="s">
        <v>5465</v>
      </c>
      <c r="D381" s="13" t="s">
        <v>5466</v>
      </c>
      <c r="E381" s="13" t="s">
        <v>4403</v>
      </c>
      <c r="F381" s="134" t="str">
        <f t="shared" si="0"/>
        <v/>
      </c>
      <c r="G381" s="134" t="str">
        <f t="shared" si="1"/>
        <v>LYND PLACE</v>
      </c>
      <c r="H381" s="134"/>
      <c r="I381" s="134"/>
      <c r="J381" s="134"/>
      <c r="K381" s="134"/>
      <c r="L381" s="134"/>
      <c r="M381" s="134"/>
      <c r="N381" s="134"/>
      <c r="O381" s="134"/>
      <c r="P381" s="134"/>
      <c r="Q381" s="134"/>
      <c r="R381" s="134"/>
      <c r="S381" s="134"/>
      <c r="T381" s="134"/>
      <c r="U381" s="134"/>
      <c r="V381" s="134"/>
      <c r="W381" s="134"/>
      <c r="X381" s="134"/>
      <c r="Y381" s="134"/>
      <c r="Z381" s="134"/>
    </row>
    <row r="382" spans="1:26" ht="15.75" customHeight="1">
      <c r="A382" s="13" t="s">
        <v>5467</v>
      </c>
      <c r="B382" s="13" t="s">
        <v>5468</v>
      </c>
      <c r="C382" s="13" t="s">
        <v>5469</v>
      </c>
      <c r="D382" s="13" t="s">
        <v>5470</v>
      </c>
      <c r="E382" s="13" t="s">
        <v>5471</v>
      </c>
      <c r="F382" s="134" t="str">
        <f t="shared" si="0"/>
        <v/>
      </c>
      <c r="G382" s="134" t="str">
        <f t="shared" si="1"/>
        <v>LYNHURST HEALTHCARE</v>
      </c>
      <c r="H382" s="134"/>
      <c r="I382" s="134"/>
      <c r="J382" s="134"/>
      <c r="K382" s="134"/>
      <c r="L382" s="134"/>
      <c r="M382" s="134"/>
      <c r="N382" s="134"/>
      <c r="O382" s="134"/>
      <c r="P382" s="134"/>
      <c r="Q382" s="134"/>
      <c r="R382" s="134"/>
      <c r="S382" s="134"/>
      <c r="T382" s="134"/>
      <c r="U382" s="134"/>
      <c r="V382" s="134"/>
      <c r="W382" s="134"/>
      <c r="X382" s="134"/>
      <c r="Y382" s="134"/>
      <c r="Z382" s="134"/>
    </row>
    <row r="383" spans="1:26" ht="15.75" customHeight="1">
      <c r="A383" s="13" t="s">
        <v>5472</v>
      </c>
      <c r="B383" s="13" t="s">
        <v>5473</v>
      </c>
      <c r="C383" s="13" t="s">
        <v>2331</v>
      </c>
      <c r="D383" s="13" t="s">
        <v>5474</v>
      </c>
      <c r="E383" s="13" t="s">
        <v>4207</v>
      </c>
      <c r="F383" s="134" t="str">
        <f t="shared" si="0"/>
        <v/>
      </c>
      <c r="G383" s="134" t="str">
        <f t="shared" si="1"/>
        <v>MAJESTIC CARE OF AVON</v>
      </c>
      <c r="H383" s="134"/>
      <c r="I383" s="134"/>
      <c r="J383" s="134"/>
      <c r="K383" s="134"/>
      <c r="L383" s="134"/>
      <c r="M383" s="134"/>
      <c r="N383" s="134"/>
      <c r="O383" s="134"/>
      <c r="P383" s="134"/>
      <c r="Q383" s="134"/>
      <c r="R383" s="134"/>
      <c r="S383" s="134"/>
      <c r="T383" s="134"/>
      <c r="U383" s="134"/>
      <c r="V383" s="134"/>
      <c r="W383" s="134"/>
      <c r="X383" s="134"/>
      <c r="Y383" s="134"/>
      <c r="Z383" s="134"/>
    </row>
    <row r="384" spans="1:26" ht="15.75" customHeight="1">
      <c r="A384" s="13" t="s">
        <v>5475</v>
      </c>
      <c r="B384" s="14" t="s">
        <v>5476</v>
      </c>
      <c r="C384" s="13" t="s">
        <v>5477</v>
      </c>
      <c r="D384" s="13" t="s">
        <v>5478</v>
      </c>
      <c r="E384" s="13" t="s">
        <v>4453</v>
      </c>
      <c r="F384" s="134" t="str">
        <f t="shared" si="0"/>
        <v/>
      </c>
      <c r="G384" s="134" t="str">
        <f t="shared" si="1"/>
        <v>MAJESTIC CARE OF CONNERSVILLE</v>
      </c>
      <c r="H384" s="134"/>
      <c r="I384" s="134"/>
      <c r="J384" s="134"/>
      <c r="K384" s="134"/>
      <c r="L384" s="134"/>
      <c r="M384" s="134"/>
      <c r="N384" s="134"/>
      <c r="O384" s="134"/>
      <c r="P384" s="134"/>
      <c r="Q384" s="134"/>
      <c r="R384" s="134"/>
      <c r="S384" s="134"/>
      <c r="T384" s="134"/>
      <c r="U384" s="134"/>
      <c r="V384" s="134"/>
      <c r="W384" s="134"/>
      <c r="X384" s="134"/>
      <c r="Y384" s="134"/>
      <c r="Z384" s="134"/>
    </row>
    <row r="385" spans="1:26" ht="15.75" customHeight="1">
      <c r="A385" s="13" t="s">
        <v>5479</v>
      </c>
      <c r="B385" s="13" t="s">
        <v>5480</v>
      </c>
      <c r="C385" s="13" t="s">
        <v>2334</v>
      </c>
      <c r="D385" s="13" t="s">
        <v>5481</v>
      </c>
      <c r="E385" s="13" t="s">
        <v>5349</v>
      </c>
      <c r="F385" s="134" t="str">
        <f t="shared" si="0"/>
        <v/>
      </c>
      <c r="G385" s="134" t="str">
        <f t="shared" si="1"/>
        <v>MAJESTIC CARE OF FORT WAYNE</v>
      </c>
      <c r="H385" s="134"/>
      <c r="I385" s="134"/>
      <c r="J385" s="134"/>
      <c r="K385" s="134"/>
      <c r="L385" s="134"/>
      <c r="M385" s="134"/>
      <c r="N385" s="134"/>
      <c r="O385" s="134"/>
      <c r="P385" s="134"/>
      <c r="Q385" s="134"/>
      <c r="R385" s="134"/>
      <c r="S385" s="134"/>
      <c r="T385" s="134"/>
      <c r="U385" s="134"/>
      <c r="V385" s="134"/>
      <c r="W385" s="134"/>
      <c r="X385" s="134"/>
      <c r="Y385" s="134"/>
      <c r="Z385" s="134"/>
    </row>
    <row r="386" spans="1:26" ht="15.75" customHeight="1">
      <c r="A386" s="13" t="s">
        <v>5482</v>
      </c>
      <c r="B386" s="13" t="s">
        <v>5483</v>
      </c>
      <c r="C386" s="13" t="s">
        <v>2338</v>
      </c>
      <c r="D386" s="13" t="s">
        <v>5484</v>
      </c>
      <c r="E386" s="13" t="s">
        <v>5485</v>
      </c>
      <c r="F386" s="134" t="str">
        <f t="shared" si="0"/>
        <v/>
      </c>
      <c r="G386" s="134" t="str">
        <f t="shared" si="1"/>
        <v>MAJESTIC CARE OF NEW HAVEN</v>
      </c>
      <c r="H386" s="134"/>
      <c r="I386" s="134"/>
      <c r="J386" s="134"/>
      <c r="K386" s="134"/>
      <c r="L386" s="134"/>
      <c r="M386" s="134"/>
      <c r="N386" s="134"/>
      <c r="O386" s="134"/>
      <c r="P386" s="134"/>
      <c r="Q386" s="134"/>
      <c r="R386" s="134"/>
      <c r="S386" s="134"/>
      <c r="T386" s="134"/>
      <c r="U386" s="134"/>
      <c r="V386" s="134"/>
      <c r="W386" s="134"/>
      <c r="X386" s="134"/>
      <c r="Y386" s="134"/>
      <c r="Z386" s="134"/>
    </row>
    <row r="387" spans="1:26" ht="15.75" customHeight="1">
      <c r="A387" s="13" t="s">
        <v>5486</v>
      </c>
      <c r="B387" s="13" t="s">
        <v>5487</v>
      </c>
      <c r="C387" s="13" t="s">
        <v>2343</v>
      </c>
      <c r="D387" s="13" t="s">
        <v>5488</v>
      </c>
      <c r="E387" s="13" t="s">
        <v>5489</v>
      </c>
      <c r="F387" s="134" t="str">
        <f t="shared" si="0"/>
        <v/>
      </c>
      <c r="G387" s="134" t="str">
        <f t="shared" si="1"/>
        <v>MAJESTIC CARE OF NORTH VERNON</v>
      </c>
      <c r="H387" s="134"/>
      <c r="I387" s="134"/>
      <c r="J387" s="134"/>
      <c r="K387" s="134"/>
      <c r="L387" s="134"/>
      <c r="M387" s="134"/>
      <c r="N387" s="134"/>
      <c r="O387" s="134"/>
      <c r="P387" s="134"/>
      <c r="Q387" s="134"/>
      <c r="R387" s="134"/>
      <c r="S387" s="134"/>
      <c r="T387" s="134"/>
      <c r="U387" s="134"/>
      <c r="V387" s="134"/>
      <c r="W387" s="134"/>
      <c r="X387" s="134"/>
      <c r="Y387" s="134"/>
      <c r="Z387" s="134"/>
    </row>
    <row r="388" spans="1:26" ht="15.75" customHeight="1">
      <c r="A388" s="13" t="s">
        <v>5490</v>
      </c>
      <c r="B388" s="13" t="s">
        <v>5491</v>
      </c>
      <c r="C388" s="13" t="s">
        <v>2348</v>
      </c>
      <c r="D388" s="13" t="s">
        <v>5492</v>
      </c>
      <c r="E388" s="13" t="s">
        <v>5493</v>
      </c>
      <c r="F388" s="134" t="str">
        <f t="shared" si="0"/>
        <v/>
      </c>
      <c r="G388" s="134" t="str">
        <f t="shared" si="1"/>
        <v>MAJESTIC CARE OF SHERIDAN</v>
      </c>
      <c r="H388" s="134"/>
      <c r="I388" s="134"/>
      <c r="J388" s="134"/>
      <c r="K388" s="134"/>
      <c r="L388" s="134"/>
      <c r="M388" s="134"/>
      <c r="N388" s="134"/>
      <c r="O388" s="134"/>
      <c r="P388" s="134"/>
      <c r="Q388" s="134"/>
      <c r="R388" s="134"/>
      <c r="S388" s="134"/>
      <c r="T388" s="134"/>
      <c r="U388" s="134"/>
      <c r="V388" s="134"/>
      <c r="W388" s="134"/>
      <c r="X388" s="134"/>
      <c r="Y388" s="134"/>
      <c r="Z388" s="134"/>
    </row>
    <row r="389" spans="1:26" ht="15.75" customHeight="1">
      <c r="A389" s="13" t="s">
        <v>5494</v>
      </c>
      <c r="B389" s="13" t="s">
        <v>5495</v>
      </c>
      <c r="C389" s="13" t="s">
        <v>2352</v>
      </c>
      <c r="D389" s="13" t="s">
        <v>5496</v>
      </c>
      <c r="E389" s="13" t="s">
        <v>5140</v>
      </c>
      <c r="F389" s="134" t="str">
        <f t="shared" si="0"/>
        <v/>
      </c>
      <c r="G389" s="134" t="str">
        <f t="shared" si="1"/>
        <v>MAJESTIC CARE OF WEST ALLEN</v>
      </c>
      <c r="H389" s="134"/>
      <c r="I389" s="134"/>
      <c r="J389" s="134"/>
      <c r="K389" s="134"/>
      <c r="L389" s="134"/>
      <c r="M389" s="134"/>
      <c r="N389" s="134"/>
      <c r="O389" s="134"/>
      <c r="P389" s="134"/>
      <c r="Q389" s="134"/>
      <c r="R389" s="134"/>
      <c r="S389" s="134"/>
      <c r="T389" s="134"/>
      <c r="U389" s="134"/>
      <c r="V389" s="134"/>
      <c r="W389" s="134"/>
      <c r="X389" s="134"/>
      <c r="Y389" s="134"/>
      <c r="Z389" s="134"/>
    </row>
    <row r="390" spans="1:26" ht="15.75" customHeight="1">
      <c r="A390" s="13" t="s">
        <v>5497</v>
      </c>
      <c r="B390" s="13" t="s">
        <v>5498</v>
      </c>
      <c r="C390" s="13" t="s">
        <v>2357</v>
      </c>
      <c r="D390" s="13" t="s">
        <v>5499</v>
      </c>
      <c r="E390" s="13" t="s">
        <v>5500</v>
      </c>
      <c r="F390" s="134" t="str">
        <f t="shared" si="0"/>
        <v/>
      </c>
      <c r="G390" s="134" t="str">
        <f t="shared" si="1"/>
        <v>MANDERLEY HEALTH CARE CENTER</v>
      </c>
      <c r="H390" s="134"/>
      <c r="I390" s="134"/>
      <c r="J390" s="134"/>
      <c r="K390" s="134"/>
      <c r="L390" s="134"/>
      <c r="M390" s="134"/>
      <c r="N390" s="134"/>
      <c r="O390" s="134"/>
      <c r="P390" s="134"/>
      <c r="Q390" s="134"/>
      <c r="R390" s="134"/>
      <c r="S390" s="134"/>
      <c r="T390" s="134"/>
      <c r="U390" s="134"/>
      <c r="V390" s="134"/>
      <c r="W390" s="134"/>
      <c r="X390" s="134"/>
      <c r="Y390" s="134"/>
      <c r="Z390" s="134"/>
    </row>
    <row r="391" spans="1:26" ht="15.75" customHeight="1">
      <c r="A391" s="13" t="s">
        <v>5501</v>
      </c>
      <c r="B391" s="13" t="s">
        <v>5502</v>
      </c>
      <c r="C391" s="13" t="s">
        <v>2361</v>
      </c>
      <c r="D391" s="13" t="s">
        <v>5503</v>
      </c>
      <c r="E391" s="13" t="s">
        <v>4216</v>
      </c>
      <c r="F391" s="134" t="str">
        <f t="shared" si="0"/>
        <v/>
      </c>
      <c r="G391" s="134" t="str">
        <f t="shared" si="1"/>
        <v>MANOR CARE HEALTH SERVICES SUMMER TRACE</v>
      </c>
      <c r="H391" s="134"/>
      <c r="I391" s="134"/>
      <c r="J391" s="134"/>
      <c r="K391" s="134"/>
      <c r="L391" s="134"/>
      <c r="M391" s="134"/>
      <c r="N391" s="134"/>
      <c r="O391" s="134"/>
      <c r="P391" s="134"/>
      <c r="Q391" s="134"/>
      <c r="R391" s="134"/>
      <c r="S391" s="134"/>
      <c r="T391" s="134"/>
      <c r="U391" s="134"/>
      <c r="V391" s="134"/>
      <c r="W391" s="134"/>
      <c r="X391" s="134"/>
      <c r="Y391" s="134"/>
      <c r="Z391" s="134"/>
    </row>
    <row r="392" spans="1:26" ht="15.75" customHeight="1">
      <c r="A392" s="13" t="s">
        <v>5504</v>
      </c>
      <c r="B392" s="13" t="s">
        <v>5505</v>
      </c>
      <c r="C392" s="13" t="s">
        <v>2364</v>
      </c>
      <c r="D392" s="13" t="s">
        <v>5506</v>
      </c>
      <c r="E392" s="13" t="s">
        <v>4259</v>
      </c>
      <c r="F392" s="134" t="str">
        <f t="shared" si="0"/>
        <v/>
      </c>
      <c r="G392" s="134" t="str">
        <f t="shared" si="1"/>
        <v>MANORCARE HEALTH SERVICES</v>
      </c>
      <c r="H392" s="134"/>
      <c r="I392" s="134"/>
      <c r="J392" s="134"/>
      <c r="K392" s="134"/>
      <c r="L392" s="134"/>
      <c r="M392" s="134"/>
      <c r="N392" s="134"/>
      <c r="O392" s="134"/>
      <c r="P392" s="134"/>
      <c r="Q392" s="134"/>
      <c r="R392" s="134"/>
      <c r="S392" s="134"/>
      <c r="T392" s="134"/>
      <c r="U392" s="134"/>
      <c r="V392" s="134"/>
      <c r="W392" s="134"/>
      <c r="X392" s="134"/>
      <c r="Y392" s="134"/>
      <c r="Z392" s="134"/>
    </row>
    <row r="393" spans="1:26" ht="15.75" customHeight="1">
      <c r="A393" s="13" t="s">
        <v>5507</v>
      </c>
      <c r="B393" s="13" t="s">
        <v>5508</v>
      </c>
      <c r="C393" s="13" t="s">
        <v>5509</v>
      </c>
      <c r="D393" s="13" t="s">
        <v>5510</v>
      </c>
      <c r="E393" s="13" t="s">
        <v>4195</v>
      </c>
      <c r="F393" s="134" t="str">
        <f t="shared" si="0"/>
        <v/>
      </c>
      <c r="G393" s="134" t="str">
        <f t="shared" si="1"/>
        <v>MANSION ON MAIN, THE</v>
      </c>
      <c r="H393" s="134"/>
      <c r="I393" s="134"/>
      <c r="J393" s="134"/>
      <c r="K393" s="134"/>
      <c r="L393" s="134"/>
      <c r="M393" s="134"/>
      <c r="N393" s="134"/>
      <c r="O393" s="134"/>
      <c r="P393" s="134"/>
      <c r="Q393" s="134"/>
      <c r="R393" s="134"/>
      <c r="S393" s="134"/>
      <c r="T393" s="134"/>
      <c r="U393" s="134"/>
      <c r="V393" s="134"/>
      <c r="W393" s="134"/>
      <c r="X393" s="134"/>
      <c r="Y393" s="134"/>
      <c r="Z393" s="134"/>
    </row>
    <row r="394" spans="1:26" ht="15.75" customHeight="1">
      <c r="A394" s="13" t="s">
        <v>5511</v>
      </c>
      <c r="B394" s="13" t="s">
        <v>5512</v>
      </c>
      <c r="C394" s="13" t="s">
        <v>2368</v>
      </c>
      <c r="D394" s="13" t="s">
        <v>5513</v>
      </c>
      <c r="E394" s="13" t="s">
        <v>4527</v>
      </c>
      <c r="F394" s="134" t="str">
        <f t="shared" si="0"/>
        <v/>
      </c>
      <c r="G394" s="134" t="str">
        <f t="shared" si="1"/>
        <v>MAPLE MANOR CHRISTIAN HOME INC</v>
      </c>
      <c r="H394" s="134"/>
      <c r="I394" s="134"/>
      <c r="J394" s="134"/>
      <c r="K394" s="134"/>
      <c r="L394" s="134"/>
      <c r="M394" s="134"/>
      <c r="N394" s="134"/>
      <c r="O394" s="134"/>
      <c r="P394" s="134"/>
      <c r="Q394" s="134"/>
      <c r="R394" s="134"/>
      <c r="S394" s="134"/>
      <c r="T394" s="134"/>
      <c r="U394" s="134"/>
      <c r="V394" s="134"/>
      <c r="W394" s="134"/>
      <c r="X394" s="134"/>
      <c r="Y394" s="134"/>
      <c r="Z394" s="134"/>
    </row>
    <row r="395" spans="1:26" ht="15.75" customHeight="1">
      <c r="A395" s="13" t="s">
        <v>5514</v>
      </c>
      <c r="B395" s="13" t="s">
        <v>5515</v>
      </c>
      <c r="C395" s="13" t="s">
        <v>2372</v>
      </c>
      <c r="D395" s="13" t="s">
        <v>5516</v>
      </c>
      <c r="E395" s="13" t="s">
        <v>4563</v>
      </c>
      <c r="F395" s="134" t="str">
        <f t="shared" si="0"/>
        <v/>
      </c>
      <c r="G395" s="134" t="str">
        <f t="shared" si="1"/>
        <v>MAPLE PARK VILLAGE</v>
      </c>
      <c r="H395" s="134"/>
      <c r="I395" s="134"/>
      <c r="J395" s="134"/>
      <c r="K395" s="134"/>
      <c r="L395" s="134"/>
      <c r="M395" s="134"/>
      <c r="N395" s="134"/>
      <c r="O395" s="134"/>
      <c r="P395" s="134"/>
      <c r="Q395" s="134"/>
      <c r="R395" s="134"/>
      <c r="S395" s="134"/>
      <c r="T395" s="134"/>
      <c r="U395" s="134"/>
      <c r="V395" s="134"/>
      <c r="W395" s="134"/>
      <c r="X395" s="134"/>
      <c r="Y395" s="134"/>
      <c r="Z395" s="134"/>
    </row>
    <row r="396" spans="1:26" ht="15.75" customHeight="1">
      <c r="A396" s="13" t="s">
        <v>5517</v>
      </c>
      <c r="B396" s="13" t="s">
        <v>5518</v>
      </c>
      <c r="C396" s="13" t="s">
        <v>2377</v>
      </c>
      <c r="D396" s="13" t="s">
        <v>5519</v>
      </c>
      <c r="E396" s="13" t="s">
        <v>5520</v>
      </c>
      <c r="F396" s="134" t="str">
        <f t="shared" si="0"/>
        <v/>
      </c>
      <c r="G396" s="134" t="str">
        <f t="shared" si="1"/>
        <v>MARKLE HEALTH &amp; REHABILITATION</v>
      </c>
      <c r="H396" s="134"/>
      <c r="I396" s="134"/>
      <c r="J396" s="134"/>
      <c r="K396" s="134"/>
      <c r="L396" s="134"/>
      <c r="M396" s="134"/>
      <c r="N396" s="134"/>
      <c r="O396" s="134"/>
      <c r="P396" s="134"/>
      <c r="Q396" s="134"/>
      <c r="R396" s="134"/>
      <c r="S396" s="134"/>
      <c r="T396" s="134"/>
      <c r="U396" s="134"/>
      <c r="V396" s="134"/>
      <c r="W396" s="134"/>
      <c r="X396" s="134"/>
      <c r="Y396" s="134"/>
      <c r="Z396" s="134"/>
    </row>
    <row r="397" spans="1:26" ht="15.75" customHeight="1">
      <c r="A397" s="13" t="s">
        <v>5521</v>
      </c>
      <c r="B397" s="13" t="s">
        <v>5522</v>
      </c>
      <c r="C397" s="13" t="s">
        <v>2380</v>
      </c>
      <c r="D397" s="13" t="s">
        <v>5523</v>
      </c>
      <c r="E397" s="13" t="s">
        <v>3998</v>
      </c>
      <c r="F397" s="134" t="str">
        <f t="shared" si="0"/>
        <v/>
      </c>
      <c r="G397" s="134" t="str">
        <f t="shared" si="1"/>
        <v>MARQUETTE</v>
      </c>
      <c r="H397" s="134"/>
      <c r="I397" s="134"/>
      <c r="J397" s="134"/>
      <c r="K397" s="134"/>
      <c r="L397" s="134"/>
      <c r="M397" s="134"/>
      <c r="N397" s="134"/>
      <c r="O397" s="134"/>
      <c r="P397" s="134"/>
      <c r="Q397" s="134"/>
      <c r="R397" s="134"/>
      <c r="S397" s="134"/>
      <c r="T397" s="134"/>
      <c r="U397" s="134"/>
      <c r="V397" s="134"/>
      <c r="W397" s="134"/>
      <c r="X397" s="134"/>
      <c r="Y397" s="134"/>
      <c r="Z397" s="134"/>
    </row>
    <row r="398" spans="1:26" ht="15.75" customHeight="1">
      <c r="A398" s="13" t="s">
        <v>5524</v>
      </c>
      <c r="B398" s="13" t="s">
        <v>5525</v>
      </c>
      <c r="C398" s="13" t="s">
        <v>2384</v>
      </c>
      <c r="D398" s="13" t="s">
        <v>5526</v>
      </c>
      <c r="E398" s="13" t="s">
        <v>5366</v>
      </c>
      <c r="F398" s="134" t="str">
        <f t="shared" si="0"/>
        <v/>
      </c>
      <c r="G398" s="134" t="str">
        <f t="shared" si="1"/>
        <v>MASON HEALTH CARE CENTER</v>
      </c>
      <c r="H398" s="134"/>
      <c r="I398" s="134"/>
      <c r="J398" s="134"/>
      <c r="K398" s="134"/>
      <c r="L398" s="134"/>
      <c r="M398" s="134"/>
      <c r="N398" s="134"/>
      <c r="O398" s="134"/>
      <c r="P398" s="134"/>
      <c r="Q398" s="134"/>
      <c r="R398" s="134"/>
      <c r="S398" s="134"/>
      <c r="T398" s="134"/>
      <c r="U398" s="134"/>
      <c r="V398" s="134"/>
      <c r="W398" s="134"/>
      <c r="X398" s="134"/>
      <c r="Y398" s="134"/>
      <c r="Z398" s="134"/>
    </row>
    <row r="399" spans="1:26" ht="15.75" customHeight="1">
      <c r="A399" s="13" t="s">
        <v>5527</v>
      </c>
      <c r="B399" s="13" t="s">
        <v>5528</v>
      </c>
      <c r="C399" s="13" t="s">
        <v>5529</v>
      </c>
      <c r="D399" s="13" t="s">
        <v>5530</v>
      </c>
      <c r="E399" s="13" t="s">
        <v>5531</v>
      </c>
      <c r="F399" s="134" t="str">
        <f t="shared" si="0"/>
        <v/>
      </c>
      <c r="G399" s="134" t="str">
        <f t="shared" si="1"/>
        <v>MCCORDSVILLE SENIOR LIVING LLC</v>
      </c>
      <c r="H399" s="134"/>
      <c r="I399" s="134"/>
      <c r="J399" s="134"/>
      <c r="K399" s="134"/>
      <c r="L399" s="134"/>
      <c r="M399" s="134"/>
      <c r="N399" s="134"/>
      <c r="O399" s="134"/>
      <c r="P399" s="134"/>
      <c r="Q399" s="134"/>
      <c r="R399" s="134"/>
      <c r="S399" s="134"/>
      <c r="T399" s="134"/>
      <c r="U399" s="134"/>
      <c r="V399" s="134"/>
      <c r="W399" s="134"/>
      <c r="X399" s="134"/>
      <c r="Y399" s="134"/>
      <c r="Z399" s="134"/>
    </row>
    <row r="400" spans="1:26" ht="15.75" customHeight="1">
      <c r="A400" s="13" t="s">
        <v>5532</v>
      </c>
      <c r="B400" s="13" t="s">
        <v>5533</v>
      </c>
      <c r="C400" s="13" t="s">
        <v>2388</v>
      </c>
      <c r="D400" s="13" t="s">
        <v>5534</v>
      </c>
      <c r="E400" s="13" t="s">
        <v>4283</v>
      </c>
      <c r="F400" s="134" t="str">
        <f t="shared" si="0"/>
        <v/>
      </c>
      <c r="G400" s="134" t="str">
        <f t="shared" si="1"/>
        <v>MCGIVNEY HEALTH CARE CENTER</v>
      </c>
      <c r="H400" s="134"/>
      <c r="I400" s="134"/>
      <c r="J400" s="134"/>
      <c r="K400" s="134"/>
      <c r="L400" s="134"/>
      <c r="M400" s="134"/>
      <c r="N400" s="134"/>
      <c r="O400" s="134"/>
      <c r="P400" s="134"/>
      <c r="Q400" s="134"/>
      <c r="R400" s="134"/>
      <c r="S400" s="134"/>
      <c r="T400" s="134"/>
      <c r="U400" s="134"/>
      <c r="V400" s="134"/>
      <c r="W400" s="134"/>
      <c r="X400" s="134"/>
      <c r="Y400" s="134"/>
      <c r="Z400" s="134"/>
    </row>
    <row r="401" spans="1:26" ht="15.75" customHeight="1">
      <c r="A401" s="13" t="s">
        <v>5535</v>
      </c>
      <c r="B401" s="13" t="s">
        <v>5536</v>
      </c>
      <c r="C401" s="13" t="s">
        <v>5537</v>
      </c>
      <c r="D401" s="13" t="s">
        <v>5538</v>
      </c>
      <c r="E401" s="13" t="s">
        <v>4435</v>
      </c>
      <c r="F401" s="134" t="str">
        <f t="shared" si="0"/>
        <v/>
      </c>
      <c r="G401" s="134" t="str">
        <f t="shared" si="1"/>
        <v>MCKINNEY PLACE</v>
      </c>
      <c r="H401" s="134"/>
      <c r="I401" s="134"/>
      <c r="J401" s="134"/>
      <c r="K401" s="134"/>
      <c r="L401" s="134"/>
      <c r="M401" s="134"/>
      <c r="N401" s="134"/>
      <c r="O401" s="134"/>
      <c r="P401" s="134"/>
      <c r="Q401" s="134"/>
      <c r="R401" s="134"/>
      <c r="S401" s="134"/>
      <c r="T401" s="134"/>
      <c r="U401" s="134"/>
      <c r="V401" s="134"/>
      <c r="W401" s="134"/>
      <c r="X401" s="134"/>
      <c r="Y401" s="134"/>
      <c r="Z401" s="134"/>
    </row>
    <row r="402" spans="1:26" ht="15.75" customHeight="1">
      <c r="A402" s="13" t="s">
        <v>5539</v>
      </c>
      <c r="B402" s="13" t="s">
        <v>5540</v>
      </c>
      <c r="C402" s="13" t="s">
        <v>5541</v>
      </c>
      <c r="D402" s="13" t="s">
        <v>5542</v>
      </c>
      <c r="E402" s="13" t="s">
        <v>4032</v>
      </c>
      <c r="F402" s="134" t="str">
        <f t="shared" si="0"/>
        <v/>
      </c>
      <c r="G402" s="134" t="str">
        <f t="shared" si="1"/>
        <v>MEADOW BROOK SENIOR LIVING</v>
      </c>
      <c r="H402" s="134"/>
      <c r="I402" s="134"/>
      <c r="J402" s="134"/>
      <c r="K402" s="134"/>
      <c r="L402" s="134"/>
      <c r="M402" s="134"/>
      <c r="N402" s="134"/>
      <c r="O402" s="134"/>
      <c r="P402" s="134"/>
      <c r="Q402" s="134"/>
      <c r="R402" s="134"/>
      <c r="S402" s="134"/>
      <c r="T402" s="134"/>
      <c r="U402" s="134"/>
      <c r="V402" s="134"/>
      <c r="W402" s="134"/>
      <c r="X402" s="134"/>
      <c r="Y402" s="134"/>
      <c r="Z402" s="134"/>
    </row>
    <row r="403" spans="1:26" ht="15.75" customHeight="1">
      <c r="A403" s="13" t="s">
        <v>5543</v>
      </c>
      <c r="B403" s="13" t="s">
        <v>5544</v>
      </c>
      <c r="C403" s="13" t="s">
        <v>2393</v>
      </c>
      <c r="D403" s="13" t="s">
        <v>5545</v>
      </c>
      <c r="E403" s="13" t="s">
        <v>5546</v>
      </c>
      <c r="F403" s="134" t="str">
        <f t="shared" si="0"/>
        <v/>
      </c>
      <c r="G403" s="134" t="str">
        <f t="shared" si="1"/>
        <v>MEADOW LAKES</v>
      </c>
      <c r="H403" s="134"/>
      <c r="I403" s="134"/>
      <c r="J403" s="134"/>
      <c r="K403" s="134"/>
      <c r="L403" s="134"/>
      <c r="M403" s="134"/>
      <c r="N403" s="134"/>
      <c r="O403" s="134"/>
      <c r="P403" s="134"/>
      <c r="Q403" s="134"/>
      <c r="R403" s="134"/>
      <c r="S403" s="134"/>
      <c r="T403" s="134"/>
      <c r="U403" s="134"/>
      <c r="V403" s="134"/>
      <c r="W403" s="134"/>
      <c r="X403" s="134"/>
      <c r="Y403" s="134"/>
      <c r="Z403" s="134"/>
    </row>
    <row r="404" spans="1:26" ht="15.75" customHeight="1">
      <c r="A404" s="13" t="s">
        <v>5547</v>
      </c>
      <c r="B404" s="13" t="s">
        <v>5548</v>
      </c>
      <c r="C404" s="13" t="s">
        <v>2398</v>
      </c>
      <c r="D404" s="13" t="s">
        <v>5549</v>
      </c>
      <c r="E404" s="13" t="s">
        <v>5550</v>
      </c>
      <c r="F404" s="134" t="str">
        <f t="shared" si="0"/>
        <v/>
      </c>
      <c r="G404" s="134" t="str">
        <f t="shared" si="1"/>
        <v>MEADOW VIEW HEALTH AND REHABILITATION</v>
      </c>
      <c r="H404" s="134"/>
      <c r="I404" s="134"/>
      <c r="J404" s="134"/>
      <c r="K404" s="134"/>
      <c r="L404" s="134"/>
      <c r="M404" s="134"/>
      <c r="N404" s="134"/>
      <c r="O404" s="134"/>
      <c r="P404" s="134"/>
      <c r="Q404" s="134"/>
      <c r="R404" s="134"/>
      <c r="S404" s="134"/>
      <c r="T404" s="134"/>
      <c r="U404" s="134"/>
      <c r="V404" s="134"/>
      <c r="W404" s="134"/>
      <c r="X404" s="134"/>
      <c r="Y404" s="134"/>
      <c r="Z404" s="134"/>
    </row>
    <row r="405" spans="1:26" ht="15.75" customHeight="1">
      <c r="A405" s="13" t="s">
        <v>5551</v>
      </c>
      <c r="B405" s="13" t="s">
        <v>5552</v>
      </c>
      <c r="C405" s="13" t="s">
        <v>2402</v>
      </c>
      <c r="D405" s="13" t="s">
        <v>5553</v>
      </c>
      <c r="E405" s="13" t="s">
        <v>4230</v>
      </c>
      <c r="F405" s="134" t="str">
        <f t="shared" si="0"/>
        <v/>
      </c>
      <c r="G405" s="134" t="str">
        <f t="shared" si="1"/>
        <v>MEADOWOOD HEALTH PAVILION</v>
      </c>
      <c r="H405" s="134"/>
      <c r="I405" s="134"/>
      <c r="J405" s="134"/>
      <c r="K405" s="134"/>
      <c r="L405" s="134"/>
      <c r="M405" s="134"/>
      <c r="N405" s="134"/>
      <c r="O405" s="134"/>
      <c r="P405" s="134"/>
      <c r="Q405" s="134"/>
      <c r="R405" s="134"/>
      <c r="S405" s="134"/>
      <c r="T405" s="134"/>
      <c r="U405" s="134"/>
      <c r="V405" s="134"/>
      <c r="W405" s="134"/>
      <c r="X405" s="134"/>
      <c r="Y405" s="134"/>
      <c r="Z405" s="134"/>
    </row>
    <row r="406" spans="1:26" ht="15.75" customHeight="1">
      <c r="A406" s="13" t="s">
        <v>5554</v>
      </c>
      <c r="B406" s="13" t="s">
        <v>5555</v>
      </c>
      <c r="C406" s="13" t="s">
        <v>2405</v>
      </c>
      <c r="D406" s="13" t="s">
        <v>5556</v>
      </c>
      <c r="E406" s="13" t="s">
        <v>5557</v>
      </c>
      <c r="F406" s="134" t="str">
        <f t="shared" si="0"/>
        <v/>
      </c>
      <c r="G406" s="134" t="str">
        <f t="shared" si="1"/>
        <v>MEADOWS MANOR EAST</v>
      </c>
      <c r="H406" s="134"/>
      <c r="I406" s="134"/>
      <c r="J406" s="134"/>
      <c r="K406" s="134"/>
      <c r="L406" s="134"/>
      <c r="M406" s="134"/>
      <c r="N406" s="134"/>
      <c r="O406" s="134"/>
      <c r="P406" s="134"/>
      <c r="Q406" s="134"/>
      <c r="R406" s="134"/>
      <c r="S406" s="134"/>
      <c r="T406" s="134"/>
      <c r="U406" s="134"/>
      <c r="V406" s="134"/>
      <c r="W406" s="134"/>
      <c r="X406" s="134"/>
      <c r="Y406" s="134"/>
      <c r="Z406" s="134"/>
    </row>
    <row r="407" spans="1:26" ht="15.75" customHeight="1">
      <c r="A407" s="13" t="s">
        <v>5558</v>
      </c>
      <c r="B407" s="13" t="s">
        <v>5559</v>
      </c>
      <c r="C407" s="13" t="s">
        <v>2409</v>
      </c>
      <c r="D407" s="13" t="s">
        <v>5560</v>
      </c>
      <c r="E407" s="13" t="s">
        <v>5110</v>
      </c>
      <c r="F407" s="134" t="str">
        <f t="shared" si="0"/>
        <v/>
      </c>
      <c r="G407" s="134" t="str">
        <f t="shared" si="1"/>
        <v>MEADOWS MANOR NORTH</v>
      </c>
      <c r="H407" s="134"/>
      <c r="I407" s="134"/>
      <c r="J407" s="134"/>
      <c r="K407" s="134"/>
      <c r="L407" s="134"/>
      <c r="M407" s="134"/>
      <c r="N407" s="134"/>
      <c r="O407" s="134"/>
      <c r="P407" s="134"/>
      <c r="Q407" s="134"/>
      <c r="R407" s="134"/>
      <c r="S407" s="134"/>
      <c r="T407" s="134"/>
      <c r="U407" s="134"/>
      <c r="V407" s="134"/>
      <c r="W407" s="134"/>
      <c r="X407" s="134"/>
      <c r="Y407" s="134"/>
      <c r="Z407" s="134"/>
    </row>
    <row r="408" spans="1:26" ht="15.75" customHeight="1">
      <c r="A408" s="13" t="s">
        <v>5561</v>
      </c>
      <c r="B408" s="13" t="s">
        <v>5562</v>
      </c>
      <c r="C408" s="13" t="s">
        <v>2411</v>
      </c>
      <c r="D408" s="13" t="s">
        <v>5563</v>
      </c>
      <c r="E408" s="13" t="s">
        <v>5564</v>
      </c>
      <c r="F408" s="134" t="str">
        <f t="shared" si="0"/>
        <v/>
      </c>
      <c r="G408" s="134" t="str">
        <f t="shared" si="1"/>
        <v>MERIDIAN NURSING AND REHABILITATION CENTER</v>
      </c>
      <c r="H408" s="134"/>
      <c r="I408" s="134"/>
      <c r="J408" s="134"/>
      <c r="K408" s="134"/>
      <c r="L408" s="134"/>
      <c r="M408" s="134"/>
      <c r="N408" s="134"/>
      <c r="O408" s="134"/>
      <c r="P408" s="134"/>
      <c r="Q408" s="134"/>
      <c r="R408" s="134"/>
      <c r="S408" s="134"/>
      <c r="T408" s="134"/>
      <c r="U408" s="134"/>
      <c r="V408" s="134"/>
      <c r="W408" s="134"/>
      <c r="X408" s="134"/>
      <c r="Y408" s="134"/>
      <c r="Z408" s="134"/>
    </row>
    <row r="409" spans="1:26" ht="15.75" customHeight="1">
      <c r="A409" s="13" t="s">
        <v>5565</v>
      </c>
      <c r="B409" s="13" t="s">
        <v>5566</v>
      </c>
      <c r="C409" s="13" t="s">
        <v>2416</v>
      </c>
      <c r="D409" s="13" t="s">
        <v>5567</v>
      </c>
      <c r="E409" s="13" t="s">
        <v>5568</v>
      </c>
      <c r="F409" s="134" t="str">
        <f t="shared" si="0"/>
        <v/>
      </c>
      <c r="G409" s="134" t="str">
        <f t="shared" si="1"/>
        <v>MIDDLETOWN NURSING AND REHABILITATION CENTER</v>
      </c>
      <c r="H409" s="134"/>
      <c r="I409" s="134"/>
      <c r="J409" s="134"/>
      <c r="K409" s="134"/>
      <c r="L409" s="134"/>
      <c r="M409" s="134"/>
      <c r="N409" s="134"/>
      <c r="O409" s="134"/>
      <c r="P409" s="134"/>
      <c r="Q409" s="134"/>
      <c r="R409" s="134"/>
      <c r="S409" s="134"/>
      <c r="T409" s="134"/>
      <c r="U409" s="134"/>
      <c r="V409" s="134"/>
      <c r="W409" s="134"/>
      <c r="X409" s="134"/>
      <c r="Y409" s="134"/>
      <c r="Z409" s="134"/>
    </row>
    <row r="410" spans="1:26" ht="15.75" customHeight="1">
      <c r="A410" s="13" t="s">
        <v>5569</v>
      </c>
      <c r="B410" s="13" t="s">
        <v>5570</v>
      </c>
      <c r="C410" s="13" t="s">
        <v>2420</v>
      </c>
      <c r="D410" s="13" t="s">
        <v>5571</v>
      </c>
      <c r="E410" s="13" t="s">
        <v>4142</v>
      </c>
      <c r="F410" s="134" t="str">
        <f t="shared" si="0"/>
        <v/>
      </c>
      <c r="G410" s="134" t="str">
        <f t="shared" si="1"/>
        <v>MILL POND HEALTH CAMPUS</v>
      </c>
      <c r="H410" s="134"/>
      <c r="I410" s="134"/>
      <c r="J410" s="134"/>
      <c r="K410" s="134"/>
      <c r="L410" s="134"/>
      <c r="M410" s="134"/>
      <c r="N410" s="134"/>
      <c r="O410" s="134"/>
      <c r="P410" s="134"/>
      <c r="Q410" s="134"/>
      <c r="R410" s="134"/>
      <c r="S410" s="134"/>
      <c r="T410" s="134"/>
      <c r="U410" s="134"/>
      <c r="V410" s="134"/>
      <c r="W410" s="134"/>
      <c r="X410" s="134"/>
      <c r="Y410" s="134"/>
      <c r="Z410" s="134"/>
    </row>
    <row r="411" spans="1:26" ht="15.75" customHeight="1">
      <c r="A411" s="13" t="s">
        <v>5572</v>
      </c>
      <c r="B411" s="13" t="s">
        <v>5573</v>
      </c>
      <c r="C411" s="13" t="s">
        <v>5574</v>
      </c>
      <c r="D411" s="13" t="s">
        <v>5575</v>
      </c>
      <c r="E411" s="13" t="s">
        <v>5576</v>
      </c>
      <c r="F411" s="134" t="str">
        <f t="shared" si="0"/>
        <v/>
      </c>
      <c r="G411" s="134" t="str">
        <f t="shared" si="1"/>
        <v>MILLER BEACH TERRACE</v>
      </c>
      <c r="H411" s="134"/>
      <c r="I411" s="134"/>
      <c r="J411" s="134"/>
      <c r="K411" s="134"/>
      <c r="L411" s="134"/>
      <c r="M411" s="134"/>
      <c r="N411" s="134"/>
      <c r="O411" s="134"/>
      <c r="P411" s="134"/>
      <c r="Q411" s="134"/>
      <c r="R411" s="134"/>
      <c r="S411" s="134"/>
      <c r="T411" s="134"/>
      <c r="U411" s="134"/>
      <c r="V411" s="134"/>
      <c r="W411" s="134"/>
      <c r="X411" s="134"/>
      <c r="Y411" s="134"/>
      <c r="Z411" s="134"/>
    </row>
    <row r="412" spans="1:26" ht="15.75" customHeight="1">
      <c r="A412" s="13" t="s">
        <v>5577</v>
      </c>
      <c r="B412" s="13" t="s">
        <v>5578</v>
      </c>
      <c r="C412" s="13" t="s">
        <v>2427</v>
      </c>
      <c r="D412" s="13" t="s">
        <v>5579</v>
      </c>
      <c r="E412" s="13" t="s">
        <v>5580</v>
      </c>
      <c r="F412" s="134" t="str">
        <f t="shared" si="0"/>
        <v/>
      </c>
      <c r="G412" s="134" t="str">
        <f t="shared" si="1"/>
        <v>MILLER'S AT OAK POINTE</v>
      </c>
      <c r="H412" s="134"/>
      <c r="I412" s="134"/>
      <c r="J412" s="134"/>
      <c r="K412" s="134"/>
      <c r="L412" s="134"/>
      <c r="M412" s="134"/>
      <c r="N412" s="134"/>
      <c r="O412" s="134"/>
      <c r="P412" s="134"/>
      <c r="Q412" s="134"/>
      <c r="R412" s="134"/>
      <c r="S412" s="134"/>
      <c r="T412" s="134"/>
      <c r="U412" s="134"/>
      <c r="V412" s="134"/>
      <c r="W412" s="134"/>
      <c r="X412" s="134"/>
      <c r="Y412" s="134"/>
      <c r="Z412" s="134"/>
    </row>
    <row r="413" spans="1:26" ht="15.75" customHeight="1">
      <c r="A413" s="13" t="s">
        <v>5581</v>
      </c>
      <c r="B413" s="13" t="s">
        <v>5582</v>
      </c>
      <c r="C413" s="13" t="s">
        <v>2431</v>
      </c>
      <c r="D413" s="13" t="s">
        <v>5583</v>
      </c>
      <c r="E413" s="13" t="s">
        <v>4342</v>
      </c>
      <c r="F413" s="134" t="str">
        <f t="shared" si="0"/>
        <v/>
      </c>
      <c r="G413" s="134" t="str">
        <f t="shared" si="1"/>
        <v>MILLER'S HEALTH &amp; REHAB BY MILLER'S MERRY MANOR</v>
      </c>
      <c r="H413" s="134"/>
      <c r="I413" s="134"/>
      <c r="J413" s="134"/>
      <c r="K413" s="134"/>
      <c r="L413" s="134"/>
      <c r="M413" s="134"/>
      <c r="N413" s="134"/>
      <c r="O413" s="134"/>
      <c r="P413" s="134"/>
      <c r="Q413" s="134"/>
      <c r="R413" s="134"/>
      <c r="S413" s="134"/>
      <c r="T413" s="134"/>
      <c r="U413" s="134"/>
      <c r="V413" s="134"/>
      <c r="W413" s="134"/>
      <c r="X413" s="134"/>
      <c r="Y413" s="134"/>
      <c r="Z413" s="134"/>
    </row>
    <row r="414" spans="1:26" ht="15.75" customHeight="1">
      <c r="A414" s="13" t="s">
        <v>5584</v>
      </c>
      <c r="B414" s="13" t="s">
        <v>5585</v>
      </c>
      <c r="C414" s="13" t="s">
        <v>2435</v>
      </c>
      <c r="D414" s="13" t="s">
        <v>5586</v>
      </c>
      <c r="E414" s="13" t="s">
        <v>5587</v>
      </c>
      <c r="F414" s="134" t="str">
        <f t="shared" si="0"/>
        <v/>
      </c>
      <c r="G414" s="134" t="str">
        <f t="shared" si="1"/>
        <v>MILLER'S MERRY MANOR</v>
      </c>
      <c r="H414" s="134"/>
      <c r="I414" s="134"/>
      <c r="J414" s="134"/>
      <c r="K414" s="134"/>
      <c r="L414" s="134"/>
      <c r="M414" s="134"/>
      <c r="N414" s="134"/>
      <c r="O414" s="134"/>
      <c r="P414" s="134"/>
      <c r="Q414" s="134"/>
      <c r="R414" s="134"/>
      <c r="S414" s="134"/>
      <c r="T414" s="134"/>
      <c r="U414" s="134"/>
      <c r="V414" s="134"/>
      <c r="W414" s="134"/>
      <c r="X414" s="134"/>
      <c r="Y414" s="134"/>
      <c r="Z414" s="134"/>
    </row>
    <row r="415" spans="1:26" ht="15.75" customHeight="1">
      <c r="A415" s="13" t="s">
        <v>5584</v>
      </c>
      <c r="B415" s="13" t="s">
        <v>5588</v>
      </c>
      <c r="C415" s="13" t="s">
        <v>2439</v>
      </c>
      <c r="D415" s="13" t="s">
        <v>5589</v>
      </c>
      <c r="E415" s="13" t="s">
        <v>5580</v>
      </c>
      <c r="F415" s="134" t="str">
        <f t="shared" si="0"/>
        <v/>
      </c>
      <c r="G415" s="134" t="str">
        <f t="shared" si="1"/>
        <v>MILLER'S MERRY MANOR</v>
      </c>
      <c r="H415" s="134"/>
      <c r="I415" s="134"/>
      <c r="J415" s="134"/>
      <c r="K415" s="134"/>
      <c r="L415" s="134"/>
      <c r="M415" s="134"/>
      <c r="N415" s="134"/>
      <c r="O415" s="134"/>
      <c r="P415" s="134"/>
      <c r="Q415" s="134"/>
      <c r="R415" s="134"/>
      <c r="S415" s="134"/>
      <c r="T415" s="134"/>
      <c r="U415" s="134"/>
      <c r="V415" s="134"/>
      <c r="W415" s="134"/>
      <c r="X415" s="134"/>
      <c r="Y415" s="134"/>
      <c r="Z415" s="134"/>
    </row>
    <row r="416" spans="1:26" ht="15.75" customHeight="1">
      <c r="A416" s="13" t="s">
        <v>5584</v>
      </c>
      <c r="B416" s="13" t="s">
        <v>5590</v>
      </c>
      <c r="C416" s="13" t="s">
        <v>2443</v>
      </c>
      <c r="D416" s="13" t="s">
        <v>5591</v>
      </c>
      <c r="E416" s="13" t="s">
        <v>5592</v>
      </c>
      <c r="F416" s="134" t="str">
        <f t="shared" si="0"/>
        <v/>
      </c>
      <c r="G416" s="134" t="str">
        <f t="shared" si="1"/>
        <v>MILLER'S MERRY MANOR</v>
      </c>
      <c r="H416" s="134"/>
      <c r="I416" s="134"/>
      <c r="J416" s="134"/>
      <c r="K416" s="134"/>
      <c r="L416" s="134"/>
      <c r="M416" s="134"/>
      <c r="N416" s="134"/>
      <c r="O416" s="134"/>
      <c r="P416" s="134"/>
      <c r="Q416" s="134"/>
      <c r="R416" s="134"/>
      <c r="S416" s="134"/>
      <c r="T416" s="134"/>
      <c r="U416" s="134"/>
      <c r="V416" s="134"/>
      <c r="W416" s="134"/>
      <c r="X416" s="134"/>
      <c r="Y416" s="134"/>
      <c r="Z416" s="134"/>
    </row>
    <row r="417" spans="1:26" ht="15.75" customHeight="1">
      <c r="A417" s="13" t="s">
        <v>5584</v>
      </c>
      <c r="B417" s="13" t="s">
        <v>5593</v>
      </c>
      <c r="C417" s="13" t="s">
        <v>2448</v>
      </c>
      <c r="D417" s="13" t="s">
        <v>2449</v>
      </c>
      <c r="E417" s="13" t="s">
        <v>5594</v>
      </c>
      <c r="F417" s="134" t="str">
        <f t="shared" si="0"/>
        <v/>
      </c>
      <c r="G417" s="134" t="str">
        <f t="shared" si="1"/>
        <v>MILLER'S MERRY MANOR</v>
      </c>
      <c r="H417" s="134"/>
      <c r="I417" s="134"/>
      <c r="J417" s="134"/>
      <c r="K417" s="134"/>
      <c r="L417" s="134"/>
      <c r="M417" s="134"/>
      <c r="N417" s="134"/>
      <c r="O417" s="134"/>
      <c r="P417" s="134"/>
      <c r="Q417" s="134"/>
      <c r="R417" s="134"/>
      <c r="S417" s="134"/>
      <c r="T417" s="134"/>
      <c r="U417" s="134"/>
      <c r="V417" s="134"/>
      <c r="W417" s="134"/>
      <c r="X417" s="134"/>
      <c r="Y417" s="134"/>
      <c r="Z417" s="134"/>
    </row>
    <row r="418" spans="1:26" ht="15.75" customHeight="1">
      <c r="A418" s="13" t="s">
        <v>5584</v>
      </c>
      <c r="B418" s="13" t="s">
        <v>5595</v>
      </c>
      <c r="C418" s="13" t="s">
        <v>2452</v>
      </c>
      <c r="D418" s="13" t="s">
        <v>5596</v>
      </c>
      <c r="E418" s="13" t="s">
        <v>4379</v>
      </c>
      <c r="F418" s="134" t="str">
        <f t="shared" si="0"/>
        <v/>
      </c>
      <c r="G418" s="134" t="str">
        <f t="shared" si="1"/>
        <v>MILLER'S MERRY MANOR</v>
      </c>
      <c r="H418" s="134"/>
      <c r="I418" s="134"/>
      <c r="J418" s="134"/>
      <c r="K418" s="134"/>
      <c r="L418" s="134"/>
      <c r="M418" s="134"/>
      <c r="N418" s="134"/>
      <c r="O418" s="134"/>
      <c r="P418" s="134"/>
      <c r="Q418" s="134"/>
      <c r="R418" s="134"/>
      <c r="S418" s="134"/>
      <c r="T418" s="134"/>
      <c r="U418" s="134"/>
      <c r="V418" s="134"/>
      <c r="W418" s="134"/>
      <c r="X418" s="134"/>
      <c r="Y418" s="134"/>
      <c r="Z418" s="134"/>
    </row>
    <row r="419" spans="1:26" ht="15.75" customHeight="1">
      <c r="A419" s="13" t="s">
        <v>5584</v>
      </c>
      <c r="B419" s="13" t="s">
        <v>5597</v>
      </c>
      <c r="C419" s="13" t="s">
        <v>2456</v>
      </c>
      <c r="D419" s="13" t="s">
        <v>5598</v>
      </c>
      <c r="E419" s="13" t="s">
        <v>5599</v>
      </c>
      <c r="F419" s="134" t="str">
        <f t="shared" si="0"/>
        <v/>
      </c>
      <c r="G419" s="134" t="str">
        <f t="shared" si="1"/>
        <v>MILLER'S MERRY MANOR</v>
      </c>
      <c r="H419" s="134"/>
      <c r="I419" s="134"/>
      <c r="J419" s="134"/>
      <c r="K419" s="134"/>
      <c r="L419" s="134"/>
      <c r="M419" s="134"/>
      <c r="N419" s="134"/>
      <c r="O419" s="134"/>
      <c r="P419" s="134"/>
      <c r="Q419" s="134"/>
      <c r="R419" s="134"/>
      <c r="S419" s="134"/>
      <c r="T419" s="134"/>
      <c r="U419" s="134"/>
      <c r="V419" s="134"/>
      <c r="W419" s="134"/>
      <c r="X419" s="134"/>
      <c r="Y419" s="134"/>
      <c r="Z419" s="134"/>
    </row>
    <row r="420" spans="1:26" ht="15.75" customHeight="1">
      <c r="A420" s="13" t="s">
        <v>5584</v>
      </c>
      <c r="B420" s="13" t="s">
        <v>5600</v>
      </c>
      <c r="C420" s="13" t="s">
        <v>2460</v>
      </c>
      <c r="D420" s="13" t="s">
        <v>2461</v>
      </c>
      <c r="E420" s="13" t="s">
        <v>4362</v>
      </c>
      <c r="F420" s="134" t="str">
        <f t="shared" si="0"/>
        <v/>
      </c>
      <c r="G420" s="134" t="str">
        <f t="shared" si="1"/>
        <v>MILLER'S MERRY MANOR</v>
      </c>
      <c r="H420" s="134"/>
      <c r="I420" s="134"/>
      <c r="J420" s="134"/>
      <c r="K420" s="134"/>
      <c r="L420" s="134"/>
      <c r="M420" s="134"/>
      <c r="N420" s="134"/>
      <c r="O420" s="134"/>
      <c r="P420" s="134"/>
      <c r="Q420" s="134"/>
      <c r="R420" s="134"/>
      <c r="S420" s="134"/>
      <c r="T420" s="134"/>
      <c r="U420" s="134"/>
      <c r="V420" s="134"/>
      <c r="W420" s="134"/>
      <c r="X420" s="134"/>
      <c r="Y420" s="134"/>
      <c r="Z420" s="134"/>
    </row>
    <row r="421" spans="1:26" ht="15.75" customHeight="1">
      <c r="A421" s="13" t="s">
        <v>5584</v>
      </c>
      <c r="B421" s="13" t="s">
        <v>5601</v>
      </c>
      <c r="C421" s="13" t="s">
        <v>2464</v>
      </c>
      <c r="D421" s="13" t="s">
        <v>5602</v>
      </c>
      <c r="E421" s="13" t="s">
        <v>4337</v>
      </c>
      <c r="F421" s="134" t="str">
        <f t="shared" si="0"/>
        <v/>
      </c>
      <c r="G421" s="134" t="str">
        <f t="shared" si="1"/>
        <v>MILLER'S MERRY MANOR</v>
      </c>
      <c r="H421" s="134"/>
      <c r="I421" s="134"/>
      <c r="J421" s="134"/>
      <c r="K421" s="134"/>
      <c r="L421" s="134"/>
      <c r="M421" s="134"/>
      <c r="N421" s="134"/>
      <c r="O421" s="134"/>
      <c r="P421" s="134"/>
      <c r="Q421" s="134"/>
      <c r="R421" s="134"/>
      <c r="S421" s="134"/>
      <c r="T421" s="134"/>
      <c r="U421" s="134"/>
      <c r="V421" s="134"/>
      <c r="W421" s="134"/>
      <c r="X421" s="134"/>
      <c r="Y421" s="134"/>
      <c r="Z421" s="134"/>
    </row>
    <row r="422" spans="1:26" ht="15.75" customHeight="1">
      <c r="A422" s="13" t="s">
        <v>5584</v>
      </c>
      <c r="B422" s="13" t="s">
        <v>5603</v>
      </c>
      <c r="C422" s="13" t="s">
        <v>2469</v>
      </c>
      <c r="D422" s="13" t="s">
        <v>5604</v>
      </c>
      <c r="E422" s="13" t="s">
        <v>5605</v>
      </c>
      <c r="F422" s="134" t="str">
        <f t="shared" si="0"/>
        <v/>
      </c>
      <c r="G422" s="134" t="str">
        <f t="shared" si="1"/>
        <v>MILLER'S MERRY MANOR</v>
      </c>
      <c r="H422" s="134"/>
      <c r="I422" s="134"/>
      <c r="J422" s="134"/>
      <c r="K422" s="134"/>
      <c r="L422" s="134"/>
      <c r="M422" s="134"/>
      <c r="N422" s="134"/>
      <c r="O422" s="134"/>
      <c r="P422" s="134"/>
      <c r="Q422" s="134"/>
      <c r="R422" s="134"/>
      <c r="S422" s="134"/>
      <c r="T422" s="134"/>
      <c r="U422" s="134"/>
      <c r="V422" s="134"/>
      <c r="W422" s="134"/>
      <c r="X422" s="134"/>
      <c r="Y422" s="134"/>
      <c r="Z422" s="134"/>
    </row>
    <row r="423" spans="1:26" ht="15.75" customHeight="1">
      <c r="A423" s="13" t="s">
        <v>5584</v>
      </c>
      <c r="B423" s="13" t="s">
        <v>5606</v>
      </c>
      <c r="C423" s="13" t="s">
        <v>2473</v>
      </c>
      <c r="D423" s="13" t="s">
        <v>5607</v>
      </c>
      <c r="E423" s="13" t="s">
        <v>5192</v>
      </c>
      <c r="F423" s="134" t="str">
        <f t="shared" si="0"/>
        <v/>
      </c>
      <c r="G423" s="134" t="str">
        <f t="shared" si="1"/>
        <v>MILLER'S MERRY MANOR</v>
      </c>
      <c r="H423" s="134"/>
      <c r="I423" s="134"/>
      <c r="J423" s="134"/>
      <c r="K423" s="134"/>
      <c r="L423" s="134"/>
      <c r="M423" s="134"/>
      <c r="N423" s="134"/>
      <c r="O423" s="134"/>
      <c r="P423" s="134"/>
      <c r="Q423" s="134"/>
      <c r="R423" s="134"/>
      <c r="S423" s="134"/>
      <c r="T423" s="134"/>
      <c r="U423" s="134"/>
      <c r="V423" s="134"/>
      <c r="W423" s="134"/>
      <c r="X423" s="134"/>
      <c r="Y423" s="134"/>
      <c r="Z423" s="134"/>
    </row>
    <row r="424" spans="1:26" ht="15.75" customHeight="1">
      <c r="A424" s="13" t="s">
        <v>5584</v>
      </c>
      <c r="B424" s="13" t="s">
        <v>5608</v>
      </c>
      <c r="C424" s="13" t="s">
        <v>2476</v>
      </c>
      <c r="D424" s="13" t="s">
        <v>5609</v>
      </c>
      <c r="E424" s="13" t="s">
        <v>4138</v>
      </c>
      <c r="F424" s="134" t="str">
        <f t="shared" si="0"/>
        <v/>
      </c>
      <c r="G424" s="134" t="str">
        <f t="shared" si="1"/>
        <v>MILLER'S MERRY MANOR</v>
      </c>
      <c r="H424" s="134"/>
      <c r="I424" s="134"/>
      <c r="J424" s="134"/>
      <c r="K424" s="134"/>
      <c r="L424" s="134"/>
      <c r="M424" s="134"/>
      <c r="N424" s="134"/>
      <c r="O424" s="134"/>
      <c r="P424" s="134"/>
      <c r="Q424" s="134"/>
      <c r="R424" s="134"/>
      <c r="S424" s="134"/>
      <c r="T424" s="134"/>
      <c r="U424" s="134"/>
      <c r="V424" s="134"/>
      <c r="W424" s="134"/>
      <c r="X424" s="134"/>
      <c r="Y424" s="134"/>
      <c r="Z424" s="134"/>
    </row>
    <row r="425" spans="1:26" ht="15.75" customHeight="1">
      <c r="A425" s="13" t="s">
        <v>5584</v>
      </c>
      <c r="B425" s="13" t="s">
        <v>5610</v>
      </c>
      <c r="C425" s="13" t="s">
        <v>2479</v>
      </c>
      <c r="D425" s="13" t="s">
        <v>5611</v>
      </c>
      <c r="E425" s="13" t="s">
        <v>5408</v>
      </c>
      <c r="F425" s="134" t="str">
        <f t="shared" si="0"/>
        <v/>
      </c>
      <c r="G425" s="134" t="str">
        <f t="shared" si="1"/>
        <v>MILLER'S MERRY MANOR</v>
      </c>
      <c r="H425" s="134"/>
      <c r="I425" s="134"/>
      <c r="J425" s="134"/>
      <c r="K425" s="134"/>
      <c r="L425" s="134"/>
      <c r="M425" s="134"/>
      <c r="N425" s="134"/>
      <c r="O425" s="134"/>
      <c r="P425" s="134"/>
      <c r="Q425" s="134"/>
      <c r="R425" s="134"/>
      <c r="S425" s="134"/>
      <c r="T425" s="134"/>
      <c r="U425" s="134"/>
      <c r="V425" s="134"/>
      <c r="W425" s="134"/>
      <c r="X425" s="134"/>
      <c r="Y425" s="134"/>
      <c r="Z425" s="134"/>
    </row>
    <row r="426" spans="1:26" ht="15.75" customHeight="1">
      <c r="A426" s="13" t="s">
        <v>5584</v>
      </c>
      <c r="B426" s="13" t="s">
        <v>5612</v>
      </c>
      <c r="C426" s="13" t="s">
        <v>2482</v>
      </c>
      <c r="D426" s="13" t="s">
        <v>5613</v>
      </c>
      <c r="E426" s="13" t="s">
        <v>4435</v>
      </c>
      <c r="F426" s="134" t="str">
        <f t="shared" si="0"/>
        <v/>
      </c>
      <c r="G426" s="134" t="str">
        <f t="shared" si="1"/>
        <v>MILLER'S MERRY MANOR</v>
      </c>
      <c r="H426" s="134"/>
      <c r="I426" s="134"/>
      <c r="J426" s="134"/>
      <c r="K426" s="134"/>
      <c r="L426" s="134"/>
      <c r="M426" s="134"/>
      <c r="N426" s="134"/>
      <c r="O426" s="134"/>
      <c r="P426" s="134"/>
      <c r="Q426" s="134"/>
      <c r="R426" s="134"/>
      <c r="S426" s="134"/>
      <c r="T426" s="134"/>
      <c r="U426" s="134"/>
      <c r="V426" s="134"/>
      <c r="W426" s="134"/>
      <c r="X426" s="134"/>
      <c r="Y426" s="134"/>
      <c r="Z426" s="134"/>
    </row>
    <row r="427" spans="1:26" ht="15.75" customHeight="1">
      <c r="A427" s="13" t="s">
        <v>5584</v>
      </c>
      <c r="B427" s="13" t="s">
        <v>5614</v>
      </c>
      <c r="C427" s="13" t="s">
        <v>2485</v>
      </c>
      <c r="D427" s="13" t="s">
        <v>5615</v>
      </c>
      <c r="E427" s="13" t="s">
        <v>5616</v>
      </c>
      <c r="F427" s="134" t="str">
        <f t="shared" si="0"/>
        <v/>
      </c>
      <c r="G427" s="134" t="str">
        <f t="shared" si="1"/>
        <v>MILLER'S MERRY MANOR</v>
      </c>
      <c r="H427" s="134"/>
      <c r="I427" s="134"/>
      <c r="J427" s="134"/>
      <c r="K427" s="134"/>
      <c r="L427" s="134"/>
      <c r="M427" s="134"/>
      <c r="N427" s="134"/>
      <c r="O427" s="134"/>
      <c r="P427" s="134"/>
      <c r="Q427" s="134"/>
      <c r="R427" s="134"/>
      <c r="S427" s="134"/>
      <c r="T427" s="134"/>
      <c r="U427" s="134"/>
      <c r="V427" s="134"/>
      <c r="W427" s="134"/>
      <c r="X427" s="134"/>
      <c r="Y427" s="134"/>
      <c r="Z427" s="134"/>
    </row>
    <row r="428" spans="1:26" ht="15.75" customHeight="1">
      <c r="A428" s="13" t="s">
        <v>5584</v>
      </c>
      <c r="B428" s="13" t="s">
        <v>5617</v>
      </c>
      <c r="C428" s="13" t="s">
        <v>2489</v>
      </c>
      <c r="D428" s="13" t="s">
        <v>5618</v>
      </c>
      <c r="E428" s="13" t="s">
        <v>5568</v>
      </c>
      <c r="F428" s="134" t="str">
        <f t="shared" si="0"/>
        <v/>
      </c>
      <c r="G428" s="134" t="str">
        <f t="shared" si="1"/>
        <v>MILLER'S MERRY MANOR</v>
      </c>
      <c r="H428" s="134"/>
      <c r="I428" s="134"/>
      <c r="J428" s="134"/>
      <c r="K428" s="134"/>
      <c r="L428" s="134"/>
      <c r="M428" s="134"/>
      <c r="N428" s="134"/>
      <c r="O428" s="134"/>
      <c r="P428" s="134"/>
      <c r="Q428" s="134"/>
      <c r="R428" s="134"/>
      <c r="S428" s="134"/>
      <c r="T428" s="134"/>
      <c r="U428" s="134"/>
      <c r="V428" s="134"/>
      <c r="W428" s="134"/>
      <c r="X428" s="134"/>
      <c r="Y428" s="134"/>
      <c r="Z428" s="134"/>
    </row>
    <row r="429" spans="1:26" ht="15.75" customHeight="1">
      <c r="A429" s="13" t="s">
        <v>5584</v>
      </c>
      <c r="B429" s="13" t="s">
        <v>5619</v>
      </c>
      <c r="C429" s="13" t="s">
        <v>2492</v>
      </c>
      <c r="D429" s="13" t="s">
        <v>5620</v>
      </c>
      <c r="E429" s="13" t="s">
        <v>5546</v>
      </c>
      <c r="F429" s="134" t="str">
        <f t="shared" si="0"/>
        <v/>
      </c>
      <c r="G429" s="134" t="str">
        <f t="shared" si="1"/>
        <v>MILLER'S MERRY MANOR</v>
      </c>
      <c r="H429" s="134"/>
      <c r="I429" s="134"/>
      <c r="J429" s="134"/>
      <c r="K429" s="134"/>
      <c r="L429" s="134"/>
      <c r="M429" s="134"/>
      <c r="N429" s="134"/>
      <c r="O429" s="134"/>
      <c r="P429" s="134"/>
      <c r="Q429" s="134"/>
      <c r="R429" s="134"/>
      <c r="S429" s="134"/>
      <c r="T429" s="134"/>
      <c r="U429" s="134"/>
      <c r="V429" s="134"/>
      <c r="W429" s="134"/>
      <c r="X429" s="134"/>
      <c r="Y429" s="134"/>
      <c r="Z429" s="134"/>
    </row>
    <row r="430" spans="1:26" ht="15.75" customHeight="1">
      <c r="A430" s="13" t="s">
        <v>5584</v>
      </c>
      <c r="B430" s="13" t="s">
        <v>5621</v>
      </c>
      <c r="C430" s="13" t="s">
        <v>2495</v>
      </c>
      <c r="D430" s="13" t="s">
        <v>5622</v>
      </c>
      <c r="E430" s="13" t="s">
        <v>5060</v>
      </c>
      <c r="F430" s="134" t="str">
        <f t="shared" si="0"/>
        <v/>
      </c>
      <c r="G430" s="134" t="str">
        <f t="shared" si="1"/>
        <v>MILLER'S MERRY MANOR</v>
      </c>
      <c r="H430" s="134"/>
      <c r="I430" s="134"/>
      <c r="J430" s="134"/>
      <c r="K430" s="134"/>
      <c r="L430" s="134"/>
      <c r="M430" s="134"/>
      <c r="N430" s="134"/>
      <c r="O430" s="134"/>
      <c r="P430" s="134"/>
      <c r="Q430" s="134"/>
      <c r="R430" s="134"/>
      <c r="S430" s="134"/>
      <c r="T430" s="134"/>
      <c r="U430" s="134"/>
      <c r="V430" s="134"/>
      <c r="W430" s="134"/>
      <c r="X430" s="134"/>
      <c r="Y430" s="134"/>
      <c r="Z430" s="134"/>
    </row>
    <row r="431" spans="1:26" ht="15.75" customHeight="1">
      <c r="A431" s="13" t="s">
        <v>5584</v>
      </c>
      <c r="B431" s="13" t="s">
        <v>5623</v>
      </c>
      <c r="C431" s="13" t="s">
        <v>2498</v>
      </c>
      <c r="D431" s="13" t="s">
        <v>5624</v>
      </c>
      <c r="E431" s="13" t="s">
        <v>4099</v>
      </c>
      <c r="F431" s="134" t="str">
        <f t="shared" si="0"/>
        <v/>
      </c>
      <c r="G431" s="134" t="str">
        <f t="shared" si="1"/>
        <v>MILLER'S MERRY MANOR</v>
      </c>
      <c r="H431" s="134"/>
      <c r="I431" s="134"/>
      <c r="J431" s="134"/>
      <c r="K431" s="134"/>
      <c r="L431" s="134"/>
      <c r="M431" s="134"/>
      <c r="N431" s="134"/>
      <c r="O431" s="134"/>
      <c r="P431" s="134"/>
      <c r="Q431" s="134"/>
      <c r="R431" s="134"/>
      <c r="S431" s="134"/>
      <c r="T431" s="134"/>
      <c r="U431" s="134"/>
      <c r="V431" s="134"/>
      <c r="W431" s="134"/>
      <c r="X431" s="134"/>
      <c r="Y431" s="134"/>
      <c r="Z431" s="134"/>
    </row>
    <row r="432" spans="1:26" ht="15.75" customHeight="1">
      <c r="A432" s="13" t="s">
        <v>5584</v>
      </c>
      <c r="B432" s="13" t="s">
        <v>5625</v>
      </c>
      <c r="C432" s="13" t="s">
        <v>2503</v>
      </c>
      <c r="D432" s="13" t="s">
        <v>5626</v>
      </c>
      <c r="E432" s="13" t="s">
        <v>5627</v>
      </c>
      <c r="F432" s="134" t="str">
        <f t="shared" si="0"/>
        <v/>
      </c>
      <c r="G432" s="134" t="str">
        <f t="shared" si="1"/>
        <v>MILLER'S MERRY MANOR</v>
      </c>
      <c r="H432" s="134"/>
      <c r="I432" s="134"/>
      <c r="J432" s="134"/>
      <c r="K432" s="134"/>
      <c r="L432" s="134"/>
      <c r="M432" s="134"/>
      <c r="N432" s="134"/>
      <c r="O432" s="134"/>
      <c r="P432" s="134"/>
      <c r="Q432" s="134"/>
      <c r="R432" s="134"/>
      <c r="S432" s="134"/>
      <c r="T432" s="134"/>
      <c r="U432" s="134"/>
      <c r="V432" s="134"/>
      <c r="W432" s="134"/>
      <c r="X432" s="134"/>
      <c r="Y432" s="134"/>
      <c r="Z432" s="134"/>
    </row>
    <row r="433" spans="1:26" ht="15.75" customHeight="1">
      <c r="A433" s="13" t="s">
        <v>5584</v>
      </c>
      <c r="B433" s="13" t="s">
        <v>5628</v>
      </c>
      <c r="C433" s="13" t="s">
        <v>2507</v>
      </c>
      <c r="D433" s="13" t="s">
        <v>5629</v>
      </c>
      <c r="E433" s="13" t="s">
        <v>4908</v>
      </c>
      <c r="F433" s="134" t="str">
        <f t="shared" si="0"/>
        <v/>
      </c>
      <c r="G433" s="134" t="str">
        <f t="shared" si="1"/>
        <v>MILLER'S MERRY MANOR</v>
      </c>
      <c r="H433" s="134"/>
      <c r="I433" s="134"/>
      <c r="J433" s="134"/>
      <c r="K433" s="134"/>
      <c r="L433" s="134"/>
      <c r="M433" s="134"/>
      <c r="N433" s="134"/>
      <c r="O433" s="134"/>
      <c r="P433" s="134"/>
      <c r="Q433" s="134"/>
      <c r="R433" s="134"/>
      <c r="S433" s="134"/>
      <c r="T433" s="134"/>
      <c r="U433" s="134"/>
      <c r="V433" s="134"/>
      <c r="W433" s="134"/>
      <c r="X433" s="134"/>
      <c r="Y433" s="134"/>
      <c r="Z433" s="134"/>
    </row>
    <row r="434" spans="1:26" ht="15.75" customHeight="1">
      <c r="A434" s="13" t="s">
        <v>5584</v>
      </c>
      <c r="B434" s="13" t="s">
        <v>5630</v>
      </c>
      <c r="C434" s="13" t="s">
        <v>2511</v>
      </c>
      <c r="D434" s="13" t="s">
        <v>5631</v>
      </c>
      <c r="E434" s="13" t="s">
        <v>5632</v>
      </c>
      <c r="F434" s="134" t="str">
        <f t="shared" si="0"/>
        <v/>
      </c>
      <c r="G434" s="134" t="str">
        <f t="shared" si="1"/>
        <v>MILLER'S MERRY MANOR</v>
      </c>
      <c r="H434" s="134"/>
      <c r="I434" s="134"/>
      <c r="J434" s="134"/>
      <c r="K434" s="134"/>
      <c r="L434" s="134"/>
      <c r="M434" s="134"/>
      <c r="N434" s="134"/>
      <c r="O434" s="134"/>
      <c r="P434" s="134"/>
      <c r="Q434" s="134"/>
      <c r="R434" s="134"/>
      <c r="S434" s="134"/>
      <c r="T434" s="134"/>
      <c r="U434" s="134"/>
      <c r="V434" s="134"/>
      <c r="W434" s="134"/>
      <c r="X434" s="134"/>
      <c r="Y434" s="134"/>
      <c r="Z434" s="134"/>
    </row>
    <row r="435" spans="1:26" ht="15.75" customHeight="1">
      <c r="A435" s="13" t="s">
        <v>5584</v>
      </c>
      <c r="B435" s="13" t="s">
        <v>5633</v>
      </c>
      <c r="C435" s="13" t="s">
        <v>2515</v>
      </c>
      <c r="D435" s="13" t="s">
        <v>5634</v>
      </c>
      <c r="E435" s="13" t="s">
        <v>4809</v>
      </c>
      <c r="F435" s="134" t="str">
        <f t="shared" si="0"/>
        <v/>
      </c>
      <c r="G435" s="134" t="str">
        <f t="shared" si="1"/>
        <v>MILLER'S MERRY MANOR</v>
      </c>
      <c r="H435" s="134"/>
      <c r="I435" s="134"/>
      <c r="J435" s="134"/>
      <c r="K435" s="134"/>
      <c r="L435" s="134"/>
      <c r="M435" s="134"/>
      <c r="N435" s="134"/>
      <c r="O435" s="134"/>
      <c r="P435" s="134"/>
      <c r="Q435" s="134"/>
      <c r="R435" s="134"/>
      <c r="S435" s="134"/>
      <c r="T435" s="134"/>
      <c r="U435" s="134"/>
      <c r="V435" s="134"/>
      <c r="W435" s="134"/>
      <c r="X435" s="134"/>
      <c r="Y435" s="134"/>
      <c r="Z435" s="134"/>
    </row>
    <row r="436" spans="1:26" ht="15.75" customHeight="1">
      <c r="A436" s="13" t="s">
        <v>5584</v>
      </c>
      <c r="B436" s="13" t="s">
        <v>5635</v>
      </c>
      <c r="C436" s="13" t="s">
        <v>2518</v>
      </c>
      <c r="D436" s="13" t="s">
        <v>5636</v>
      </c>
      <c r="E436" s="13" t="s">
        <v>4329</v>
      </c>
      <c r="F436" s="134" t="str">
        <f t="shared" si="0"/>
        <v/>
      </c>
      <c r="G436" s="134" t="str">
        <f t="shared" si="1"/>
        <v>MILLER'S MERRY MANOR</v>
      </c>
      <c r="H436" s="134"/>
      <c r="I436" s="134"/>
      <c r="J436" s="134"/>
      <c r="K436" s="134"/>
      <c r="L436" s="134"/>
      <c r="M436" s="134"/>
      <c r="N436" s="134"/>
      <c r="O436" s="134"/>
      <c r="P436" s="134"/>
      <c r="Q436" s="134"/>
      <c r="R436" s="134"/>
      <c r="S436" s="134"/>
      <c r="T436" s="134"/>
      <c r="U436" s="134"/>
      <c r="V436" s="134"/>
      <c r="W436" s="134"/>
      <c r="X436" s="134"/>
      <c r="Y436" s="134"/>
      <c r="Z436" s="134"/>
    </row>
    <row r="437" spans="1:26" ht="15.75" customHeight="1">
      <c r="A437" s="13" t="s">
        <v>5584</v>
      </c>
      <c r="B437" s="13" t="s">
        <v>5637</v>
      </c>
      <c r="C437" s="13" t="s">
        <v>2522</v>
      </c>
      <c r="D437" s="13" t="s">
        <v>5638</v>
      </c>
      <c r="E437" s="13" t="s">
        <v>5639</v>
      </c>
      <c r="F437" s="134" t="str">
        <f t="shared" si="0"/>
        <v/>
      </c>
      <c r="G437" s="134" t="str">
        <f t="shared" si="1"/>
        <v>MILLER'S MERRY MANOR</v>
      </c>
      <c r="H437" s="134"/>
      <c r="I437" s="134"/>
      <c r="J437" s="134"/>
      <c r="K437" s="134"/>
      <c r="L437" s="134"/>
      <c r="M437" s="134"/>
      <c r="N437" s="134"/>
      <c r="O437" s="134"/>
      <c r="P437" s="134"/>
      <c r="Q437" s="134"/>
      <c r="R437" s="134"/>
      <c r="S437" s="134"/>
      <c r="T437" s="134"/>
      <c r="U437" s="134"/>
      <c r="V437" s="134"/>
      <c r="W437" s="134"/>
      <c r="X437" s="134"/>
      <c r="Y437" s="134"/>
      <c r="Z437" s="134"/>
    </row>
    <row r="438" spans="1:26" ht="15.75" customHeight="1">
      <c r="A438" s="13" t="s">
        <v>5584</v>
      </c>
      <c r="B438" s="13" t="s">
        <v>5640</v>
      </c>
      <c r="C438" s="13" t="s">
        <v>2527</v>
      </c>
      <c r="D438" s="13" t="s">
        <v>5641</v>
      </c>
      <c r="E438" s="13" t="s">
        <v>5642</v>
      </c>
      <c r="F438" s="134" t="str">
        <f t="shared" si="0"/>
        <v/>
      </c>
      <c r="G438" s="134" t="str">
        <f t="shared" si="1"/>
        <v>MILLER'S MERRY MANOR</v>
      </c>
      <c r="H438" s="134"/>
      <c r="I438" s="134"/>
      <c r="J438" s="134"/>
      <c r="K438" s="134"/>
      <c r="L438" s="134"/>
      <c r="M438" s="134"/>
      <c r="N438" s="134"/>
      <c r="O438" s="134"/>
      <c r="P438" s="134"/>
      <c r="Q438" s="134"/>
      <c r="R438" s="134"/>
      <c r="S438" s="134"/>
      <c r="T438" s="134"/>
      <c r="U438" s="134"/>
      <c r="V438" s="134"/>
      <c r="W438" s="134"/>
      <c r="X438" s="134"/>
      <c r="Y438" s="134"/>
      <c r="Z438" s="134"/>
    </row>
    <row r="439" spans="1:26" ht="15.75" customHeight="1">
      <c r="A439" s="13" t="s">
        <v>5584</v>
      </c>
      <c r="B439" s="13" t="s">
        <v>5643</v>
      </c>
      <c r="C439" s="13" t="s">
        <v>2531</v>
      </c>
      <c r="D439" s="13" t="s">
        <v>5644</v>
      </c>
      <c r="E439" s="13" t="s">
        <v>4191</v>
      </c>
      <c r="F439" s="134" t="str">
        <f t="shared" si="0"/>
        <v/>
      </c>
      <c r="G439" s="134" t="str">
        <f t="shared" si="1"/>
        <v>MILLER'S MERRY MANOR</v>
      </c>
      <c r="H439" s="134"/>
      <c r="I439" s="134"/>
      <c r="J439" s="134"/>
      <c r="K439" s="134"/>
      <c r="L439" s="134"/>
      <c r="M439" s="134"/>
      <c r="N439" s="134"/>
      <c r="O439" s="134"/>
      <c r="P439" s="134"/>
      <c r="Q439" s="134"/>
      <c r="R439" s="134"/>
      <c r="S439" s="134"/>
      <c r="T439" s="134"/>
      <c r="U439" s="134"/>
      <c r="V439" s="134"/>
      <c r="W439" s="134"/>
      <c r="X439" s="134"/>
      <c r="Y439" s="134"/>
      <c r="Z439" s="134"/>
    </row>
    <row r="440" spans="1:26" ht="15" customHeight="1">
      <c r="A440" s="13" t="s">
        <v>5584</v>
      </c>
      <c r="B440" s="13" t="s">
        <v>5645</v>
      </c>
      <c r="C440" s="13" t="s">
        <v>2534</v>
      </c>
      <c r="D440" s="13" t="s">
        <v>5646</v>
      </c>
      <c r="E440" s="13" t="s">
        <v>4191</v>
      </c>
      <c r="F440" s="134" t="str">
        <f t="shared" si="0"/>
        <v/>
      </c>
      <c r="G440" s="134" t="str">
        <f t="shared" si="1"/>
        <v>MILLER'S MERRY MANOR</v>
      </c>
      <c r="H440" s="134"/>
      <c r="I440" s="134"/>
      <c r="J440" s="134"/>
      <c r="K440" s="134"/>
      <c r="L440" s="134"/>
      <c r="M440" s="134"/>
      <c r="N440" s="134"/>
      <c r="O440" s="134"/>
      <c r="P440" s="134"/>
      <c r="Q440" s="134"/>
      <c r="R440" s="134"/>
      <c r="S440" s="134"/>
      <c r="T440" s="134"/>
      <c r="U440" s="134"/>
      <c r="V440" s="134"/>
      <c r="W440" s="134"/>
      <c r="X440" s="134"/>
      <c r="Y440" s="134"/>
      <c r="Z440" s="134"/>
    </row>
    <row r="441" spans="1:26" ht="15.75" customHeight="1">
      <c r="A441" s="13" t="s">
        <v>5584</v>
      </c>
      <c r="B441" s="13" t="s">
        <v>5647</v>
      </c>
      <c r="C441" s="13" t="s">
        <v>2538</v>
      </c>
      <c r="D441" s="13" t="s">
        <v>5648</v>
      </c>
      <c r="E441" s="13" t="s">
        <v>5649</v>
      </c>
      <c r="F441" s="134" t="str">
        <f t="shared" si="0"/>
        <v/>
      </c>
      <c r="G441" s="134" t="str">
        <f t="shared" si="1"/>
        <v>MILLER'S MERRY MANOR</v>
      </c>
      <c r="H441" s="134"/>
      <c r="I441" s="134"/>
      <c r="J441" s="134"/>
      <c r="K441" s="134"/>
      <c r="L441" s="134"/>
      <c r="M441" s="134"/>
      <c r="N441" s="134"/>
      <c r="O441" s="134"/>
      <c r="P441" s="134"/>
      <c r="Q441" s="134"/>
      <c r="R441" s="134"/>
      <c r="S441" s="134"/>
      <c r="T441" s="134"/>
      <c r="U441" s="134"/>
      <c r="V441" s="134"/>
      <c r="W441" s="134"/>
      <c r="X441" s="134"/>
      <c r="Y441" s="134"/>
      <c r="Z441" s="134"/>
    </row>
    <row r="442" spans="1:26" ht="15.75" customHeight="1">
      <c r="A442" s="13" t="s">
        <v>5584</v>
      </c>
      <c r="B442" s="13" t="s">
        <v>5650</v>
      </c>
      <c r="C442" s="13" t="s">
        <v>2543</v>
      </c>
      <c r="D442" s="13" t="s">
        <v>5651</v>
      </c>
      <c r="E442" s="13" t="s">
        <v>5652</v>
      </c>
      <c r="F442" s="134" t="str">
        <f t="shared" si="0"/>
        <v/>
      </c>
      <c r="G442" s="134" t="str">
        <f t="shared" si="1"/>
        <v>MILLER'S MERRY MANOR</v>
      </c>
      <c r="H442" s="134"/>
      <c r="I442" s="134"/>
      <c r="J442" s="134"/>
      <c r="K442" s="134"/>
      <c r="L442" s="134"/>
      <c r="M442" s="134"/>
      <c r="N442" s="134"/>
      <c r="O442" s="134"/>
      <c r="P442" s="134"/>
      <c r="Q442" s="134"/>
      <c r="R442" s="134"/>
      <c r="S442" s="134"/>
      <c r="T442" s="134"/>
      <c r="U442" s="134"/>
      <c r="V442" s="134"/>
      <c r="W442" s="134"/>
      <c r="X442" s="134"/>
      <c r="Y442" s="134"/>
      <c r="Z442" s="134"/>
    </row>
    <row r="443" spans="1:26" ht="15.75" customHeight="1">
      <c r="A443" s="13" t="s">
        <v>5584</v>
      </c>
      <c r="B443" s="13" t="s">
        <v>5653</v>
      </c>
      <c r="C443" s="13" t="s">
        <v>2547</v>
      </c>
      <c r="D443" s="13" t="s">
        <v>5654</v>
      </c>
      <c r="E443" s="13" t="s">
        <v>5366</v>
      </c>
      <c r="F443" s="134" t="str">
        <f t="shared" si="0"/>
        <v/>
      </c>
      <c r="G443" s="134" t="str">
        <f t="shared" si="1"/>
        <v>MILLER'S MERRY MANOR</v>
      </c>
      <c r="H443" s="134"/>
      <c r="I443" s="134"/>
      <c r="J443" s="134"/>
      <c r="K443" s="134"/>
      <c r="L443" s="134"/>
      <c r="M443" s="134"/>
      <c r="N443" s="134"/>
      <c r="O443" s="134"/>
      <c r="P443" s="134"/>
      <c r="Q443" s="134"/>
      <c r="R443" s="134"/>
      <c r="S443" s="134"/>
      <c r="T443" s="134"/>
      <c r="U443" s="134"/>
      <c r="V443" s="134"/>
      <c r="W443" s="134"/>
      <c r="X443" s="134"/>
      <c r="Y443" s="134"/>
      <c r="Z443" s="134"/>
    </row>
    <row r="444" spans="1:26" ht="15.75" customHeight="1">
      <c r="A444" s="13" t="s">
        <v>5655</v>
      </c>
      <c r="B444" s="13" t="s">
        <v>5656</v>
      </c>
      <c r="C444" s="13" t="s">
        <v>2550</v>
      </c>
      <c r="D444" s="13" t="s">
        <v>5657</v>
      </c>
      <c r="E444" s="13" t="s">
        <v>4457</v>
      </c>
      <c r="F444" s="134" t="str">
        <f t="shared" si="0"/>
        <v/>
      </c>
      <c r="G444" s="134" t="str">
        <f t="shared" si="1"/>
        <v>MILLER'S SENIOR LIVING COMMUNITY</v>
      </c>
      <c r="H444" s="134"/>
      <c r="I444" s="134"/>
      <c r="J444" s="134"/>
      <c r="K444" s="134"/>
      <c r="L444" s="134"/>
      <c r="M444" s="134"/>
      <c r="N444" s="134"/>
      <c r="O444" s="134"/>
      <c r="P444" s="134"/>
      <c r="Q444" s="134"/>
      <c r="R444" s="134"/>
      <c r="S444" s="134"/>
      <c r="T444" s="134"/>
      <c r="U444" s="134"/>
      <c r="V444" s="134"/>
      <c r="W444" s="134"/>
      <c r="X444" s="134"/>
      <c r="Y444" s="134"/>
      <c r="Z444" s="134"/>
    </row>
    <row r="445" spans="1:26" ht="15.75" customHeight="1">
      <c r="A445" s="13" t="s">
        <v>5658</v>
      </c>
      <c r="B445" s="13" t="s">
        <v>5659</v>
      </c>
      <c r="C445" s="13" t="s">
        <v>2554</v>
      </c>
      <c r="D445" s="13" t="s">
        <v>5660</v>
      </c>
      <c r="E445" s="13" t="s">
        <v>5661</v>
      </c>
      <c r="F445" s="134" t="str">
        <f t="shared" si="0"/>
        <v/>
      </c>
      <c r="G445" s="134" t="str">
        <f t="shared" si="1"/>
        <v>MILNER COMMUNITY HEALTH CARE</v>
      </c>
      <c r="H445" s="134"/>
      <c r="I445" s="134"/>
      <c r="J445" s="134"/>
      <c r="K445" s="134"/>
      <c r="L445" s="134"/>
      <c r="M445" s="134"/>
      <c r="N445" s="134"/>
      <c r="O445" s="134"/>
      <c r="P445" s="134"/>
      <c r="Q445" s="134"/>
      <c r="R445" s="134"/>
      <c r="S445" s="134"/>
      <c r="T445" s="134"/>
      <c r="U445" s="134"/>
      <c r="V445" s="134"/>
      <c r="W445" s="134"/>
      <c r="X445" s="134"/>
      <c r="Y445" s="134"/>
      <c r="Z445" s="134"/>
    </row>
    <row r="446" spans="1:26" ht="15.75" customHeight="1">
      <c r="A446" s="13" t="s">
        <v>5662</v>
      </c>
      <c r="B446" s="13" t="s">
        <v>5663</v>
      </c>
      <c r="C446" s="13" t="s">
        <v>2558</v>
      </c>
      <c r="D446" s="13" t="s">
        <v>5664</v>
      </c>
      <c r="E446" s="13" t="s">
        <v>5665</v>
      </c>
      <c r="F446" s="134" t="str">
        <f t="shared" si="0"/>
        <v/>
      </c>
      <c r="G446" s="134" t="str">
        <f t="shared" si="1"/>
        <v>MILTON HOME, THE</v>
      </c>
      <c r="H446" s="134"/>
      <c r="I446" s="134"/>
      <c r="J446" s="134"/>
      <c r="K446" s="134"/>
      <c r="L446" s="134"/>
      <c r="M446" s="134"/>
      <c r="N446" s="134"/>
      <c r="O446" s="134"/>
      <c r="P446" s="134"/>
      <c r="Q446" s="134"/>
      <c r="R446" s="134"/>
      <c r="S446" s="134"/>
      <c r="T446" s="134"/>
      <c r="U446" s="134"/>
      <c r="V446" s="134"/>
      <c r="W446" s="134"/>
      <c r="X446" s="134"/>
      <c r="Y446" s="134"/>
      <c r="Z446" s="134"/>
    </row>
    <row r="447" spans="1:26" ht="15.75" customHeight="1">
      <c r="A447" s="13" t="s">
        <v>5666</v>
      </c>
      <c r="B447" s="13" t="s">
        <v>5667</v>
      </c>
      <c r="C447" s="13" t="s">
        <v>2563</v>
      </c>
      <c r="D447" s="13" t="s">
        <v>5668</v>
      </c>
      <c r="E447" s="13" t="s">
        <v>5669</v>
      </c>
      <c r="F447" s="134" t="str">
        <f t="shared" si="0"/>
        <v/>
      </c>
      <c r="G447" s="134" t="str">
        <f t="shared" si="1"/>
        <v>MITCHELL MANOR</v>
      </c>
      <c r="H447" s="134"/>
      <c r="I447" s="134"/>
      <c r="J447" s="134"/>
      <c r="K447" s="134"/>
      <c r="L447" s="134"/>
      <c r="M447" s="134"/>
      <c r="N447" s="134"/>
      <c r="O447" s="134"/>
      <c r="P447" s="134"/>
      <c r="Q447" s="134"/>
      <c r="R447" s="134"/>
      <c r="S447" s="134"/>
      <c r="T447" s="134"/>
      <c r="U447" s="134"/>
      <c r="V447" s="134"/>
      <c r="W447" s="134"/>
      <c r="X447" s="134"/>
      <c r="Y447" s="134"/>
      <c r="Z447" s="134"/>
    </row>
    <row r="448" spans="1:26" ht="15.75" customHeight="1">
      <c r="A448" s="15" t="s">
        <v>5670</v>
      </c>
      <c r="B448" s="15" t="s">
        <v>5671</v>
      </c>
      <c r="C448" s="15" t="s">
        <v>5672</v>
      </c>
      <c r="D448" s="15" t="s">
        <v>5673</v>
      </c>
      <c r="E448" s="15" t="s">
        <v>4846</v>
      </c>
      <c r="F448" s="134" t="str">
        <f t="shared" si="0"/>
        <v/>
      </c>
      <c r="G448" s="134" t="str">
        <f t="shared" si="1"/>
        <v>MONROE PLACE</v>
      </c>
      <c r="H448" s="134"/>
      <c r="I448" s="134"/>
      <c r="J448" s="134"/>
      <c r="K448" s="134"/>
      <c r="L448" s="134"/>
      <c r="M448" s="134"/>
      <c r="N448" s="134"/>
      <c r="O448" s="134"/>
      <c r="P448" s="134"/>
      <c r="Q448" s="134"/>
      <c r="R448" s="134"/>
      <c r="S448" s="134"/>
      <c r="T448" s="134"/>
      <c r="U448" s="134"/>
      <c r="V448" s="134"/>
      <c r="W448" s="134"/>
      <c r="X448" s="134"/>
      <c r="Y448" s="134"/>
      <c r="Z448" s="134"/>
    </row>
    <row r="449" spans="1:26" ht="15.75" customHeight="1">
      <c r="A449" s="13" t="s">
        <v>5674</v>
      </c>
      <c r="B449" s="13" t="s">
        <v>5675</v>
      </c>
      <c r="C449" s="13" t="s">
        <v>2569</v>
      </c>
      <c r="D449" s="13" t="s">
        <v>5676</v>
      </c>
      <c r="E449" s="13" t="s">
        <v>5677</v>
      </c>
      <c r="F449" s="134" t="str">
        <f t="shared" si="0"/>
        <v/>
      </c>
      <c r="G449" s="134" t="str">
        <f t="shared" si="1"/>
        <v>MONTICELLO HEALTHCARE</v>
      </c>
      <c r="H449" s="134"/>
      <c r="I449" s="134"/>
      <c r="J449" s="134"/>
      <c r="K449" s="134"/>
      <c r="L449" s="134"/>
      <c r="M449" s="134"/>
      <c r="N449" s="134"/>
      <c r="O449" s="134"/>
      <c r="P449" s="134"/>
      <c r="Q449" s="134"/>
      <c r="R449" s="134"/>
      <c r="S449" s="134"/>
      <c r="T449" s="134"/>
      <c r="U449" s="134"/>
      <c r="V449" s="134"/>
      <c r="W449" s="134"/>
      <c r="X449" s="134"/>
      <c r="Y449" s="134"/>
      <c r="Z449" s="134"/>
    </row>
    <row r="450" spans="1:26" ht="15.75" customHeight="1">
      <c r="A450" s="13" t="s">
        <v>5678</v>
      </c>
      <c r="B450" s="13" t="s">
        <v>5679</v>
      </c>
      <c r="C450" s="13" t="s">
        <v>2574</v>
      </c>
      <c r="D450" s="13" t="s">
        <v>5680</v>
      </c>
      <c r="E450" s="13" t="s">
        <v>5681</v>
      </c>
      <c r="F450" s="134" t="str">
        <f t="shared" si="0"/>
        <v/>
      </c>
      <c r="G450" s="134" t="str">
        <f t="shared" si="1"/>
        <v>MORGANTOWN HEALTH CARE</v>
      </c>
      <c r="H450" s="134"/>
      <c r="I450" s="134"/>
      <c r="J450" s="134"/>
      <c r="K450" s="134"/>
      <c r="L450" s="134"/>
      <c r="M450" s="134"/>
      <c r="N450" s="134"/>
      <c r="O450" s="134"/>
      <c r="P450" s="134"/>
      <c r="Q450" s="134"/>
      <c r="R450" s="134"/>
      <c r="S450" s="134"/>
      <c r="T450" s="134"/>
      <c r="U450" s="134"/>
      <c r="V450" s="134"/>
      <c r="W450" s="134"/>
      <c r="X450" s="134"/>
      <c r="Y450" s="134"/>
      <c r="Z450" s="134"/>
    </row>
    <row r="451" spans="1:26" ht="15.75" customHeight="1">
      <c r="A451" s="13" t="s">
        <v>5682</v>
      </c>
      <c r="B451" s="13" t="s">
        <v>5683</v>
      </c>
      <c r="C451" s="13" t="s">
        <v>5684</v>
      </c>
      <c r="D451" s="13" t="s">
        <v>5685</v>
      </c>
      <c r="E451" s="13" t="s">
        <v>4130</v>
      </c>
      <c r="F451" s="134" t="str">
        <f t="shared" si="0"/>
        <v/>
      </c>
      <c r="G451" s="134" t="str">
        <f t="shared" si="1"/>
        <v>MORNING BREEZE RETIREMENT COMMUNITY AND HEALTHCARE</v>
      </c>
      <c r="H451" s="134"/>
      <c r="I451" s="134"/>
      <c r="J451" s="134"/>
      <c r="K451" s="134"/>
      <c r="L451" s="134"/>
      <c r="M451" s="134"/>
      <c r="N451" s="134"/>
      <c r="O451" s="134"/>
      <c r="P451" s="134"/>
      <c r="Q451" s="134"/>
      <c r="R451" s="134"/>
      <c r="S451" s="134"/>
      <c r="T451" s="134"/>
      <c r="U451" s="134"/>
      <c r="V451" s="134"/>
      <c r="W451" s="134"/>
      <c r="X451" s="134"/>
      <c r="Y451" s="134"/>
      <c r="Z451" s="134"/>
    </row>
    <row r="452" spans="1:26" ht="15.75" customHeight="1">
      <c r="A452" s="13" t="s">
        <v>5686</v>
      </c>
      <c r="B452" s="13" t="s">
        <v>5687</v>
      </c>
      <c r="C452" s="13" t="s">
        <v>5688</v>
      </c>
      <c r="D452" s="13" t="s">
        <v>5689</v>
      </c>
      <c r="E452" s="13" t="s">
        <v>4513</v>
      </c>
      <c r="F452" s="134" t="str">
        <f t="shared" si="0"/>
        <v/>
      </c>
      <c r="G452" s="134" t="str">
        <f t="shared" si="1"/>
        <v>MORNING POINTE OF FRANKLIN</v>
      </c>
      <c r="H452" s="134"/>
      <c r="I452" s="134"/>
      <c r="J452" s="134"/>
      <c r="K452" s="134"/>
      <c r="L452" s="134"/>
      <c r="M452" s="134"/>
      <c r="N452" s="134"/>
      <c r="O452" s="134"/>
      <c r="P452" s="134"/>
      <c r="Q452" s="134"/>
      <c r="R452" s="134"/>
      <c r="S452" s="134"/>
      <c r="T452" s="134"/>
      <c r="U452" s="134"/>
      <c r="V452" s="134"/>
      <c r="W452" s="134"/>
      <c r="X452" s="134"/>
      <c r="Y452" s="134"/>
      <c r="Z452" s="134"/>
    </row>
    <row r="453" spans="1:26" ht="15.75" customHeight="1">
      <c r="A453" s="13" t="s">
        <v>5690</v>
      </c>
      <c r="B453" s="13" t="s">
        <v>5691</v>
      </c>
      <c r="C453" s="13" t="s">
        <v>5692</v>
      </c>
      <c r="D453" s="13" t="s">
        <v>5693</v>
      </c>
      <c r="E453" s="13" t="s">
        <v>4442</v>
      </c>
      <c r="F453" s="134" t="str">
        <f t="shared" si="0"/>
        <v/>
      </c>
      <c r="G453" s="134" t="str">
        <f t="shared" si="1"/>
        <v>MORNING VIEW NURSING AND REHABILITATION CENTER</v>
      </c>
      <c r="H453" s="134"/>
      <c r="I453" s="134"/>
      <c r="J453" s="134"/>
      <c r="K453" s="134"/>
      <c r="L453" s="134"/>
      <c r="M453" s="134"/>
      <c r="N453" s="134"/>
      <c r="O453" s="134"/>
      <c r="P453" s="134"/>
      <c r="Q453" s="134"/>
      <c r="R453" s="134"/>
      <c r="S453" s="134"/>
      <c r="T453" s="134"/>
      <c r="U453" s="134"/>
      <c r="V453" s="134"/>
      <c r="W453" s="134"/>
      <c r="X453" s="134"/>
      <c r="Y453" s="134"/>
      <c r="Z453" s="134"/>
    </row>
    <row r="454" spans="1:26" ht="15.75" customHeight="1">
      <c r="A454" s="13" t="s">
        <v>5694</v>
      </c>
      <c r="B454" s="13" t="s">
        <v>5695</v>
      </c>
      <c r="C454" s="13" t="s">
        <v>2580</v>
      </c>
      <c r="D454" s="13" t="s">
        <v>5696</v>
      </c>
      <c r="E454" s="13" t="s">
        <v>4271</v>
      </c>
      <c r="F454" s="134" t="str">
        <f t="shared" si="0"/>
        <v/>
      </c>
      <c r="G454" s="134" t="str">
        <f t="shared" si="1"/>
        <v>MORRISON WOODS HEALTH CAMPUS</v>
      </c>
      <c r="H454" s="134"/>
      <c r="I454" s="134"/>
      <c r="J454" s="134"/>
      <c r="K454" s="134"/>
      <c r="L454" s="134"/>
      <c r="M454" s="134"/>
      <c r="N454" s="134"/>
      <c r="O454" s="134"/>
      <c r="P454" s="134"/>
      <c r="Q454" s="134"/>
      <c r="R454" s="134"/>
      <c r="S454" s="134"/>
      <c r="T454" s="134"/>
      <c r="U454" s="134"/>
      <c r="V454" s="134"/>
      <c r="W454" s="134"/>
      <c r="X454" s="134"/>
      <c r="Y454" s="134"/>
      <c r="Z454" s="134"/>
    </row>
    <row r="455" spans="1:26" ht="15.75" customHeight="1">
      <c r="A455" s="13" t="s">
        <v>5697</v>
      </c>
      <c r="B455" s="13" t="s">
        <v>5698</v>
      </c>
      <c r="C455" s="13" t="s">
        <v>5699</v>
      </c>
      <c r="D455" s="13" t="s">
        <v>5700</v>
      </c>
      <c r="E455" s="13" t="s">
        <v>5701</v>
      </c>
      <c r="F455" s="134" t="str">
        <f t="shared" si="0"/>
        <v/>
      </c>
      <c r="G455" s="134" t="str">
        <f t="shared" si="1"/>
        <v>MORRISTOWN MANOR</v>
      </c>
      <c r="H455" s="134"/>
      <c r="I455" s="134"/>
      <c r="J455" s="134"/>
      <c r="K455" s="134"/>
      <c r="L455" s="134"/>
      <c r="M455" s="134"/>
      <c r="N455" s="134"/>
      <c r="O455" s="134"/>
      <c r="P455" s="134"/>
      <c r="Q455" s="134"/>
      <c r="R455" s="134"/>
      <c r="S455" s="134"/>
      <c r="T455" s="134"/>
      <c r="U455" s="134"/>
      <c r="V455" s="134"/>
      <c r="W455" s="134"/>
      <c r="X455" s="134"/>
      <c r="Y455" s="134"/>
      <c r="Z455" s="134"/>
    </row>
    <row r="456" spans="1:26" ht="15.75" customHeight="1">
      <c r="A456" s="13" t="s">
        <v>5702</v>
      </c>
      <c r="B456" s="13" t="s">
        <v>5703</v>
      </c>
      <c r="C456" s="13" t="s">
        <v>2590</v>
      </c>
      <c r="D456" s="13" t="s">
        <v>5704</v>
      </c>
      <c r="E456" s="13" t="s">
        <v>5705</v>
      </c>
      <c r="F456" s="134" t="str">
        <f t="shared" si="0"/>
        <v/>
      </c>
      <c r="G456" s="134" t="str">
        <f t="shared" si="1"/>
        <v>MOUNT VERNON NURSING AND REHABILITATION</v>
      </c>
      <c r="H456" s="134"/>
      <c r="I456" s="134"/>
      <c r="J456" s="134"/>
      <c r="K456" s="134"/>
      <c r="L456" s="134"/>
      <c r="M456" s="134"/>
      <c r="N456" s="134"/>
      <c r="O456" s="134"/>
      <c r="P456" s="134"/>
      <c r="Q456" s="134"/>
      <c r="R456" s="134"/>
      <c r="S456" s="134"/>
      <c r="T456" s="134"/>
      <c r="U456" s="134"/>
      <c r="V456" s="134"/>
      <c r="W456" s="134"/>
      <c r="X456" s="134"/>
      <c r="Y456" s="134"/>
      <c r="Z456" s="134"/>
    </row>
    <row r="457" spans="1:26" ht="15.75" customHeight="1">
      <c r="A457" s="13" t="s">
        <v>5706</v>
      </c>
      <c r="B457" s="13" t="s">
        <v>5707</v>
      </c>
      <c r="C457" s="13" t="s">
        <v>2595</v>
      </c>
      <c r="D457" s="13" t="s">
        <v>5708</v>
      </c>
      <c r="E457" s="13" t="s">
        <v>5709</v>
      </c>
      <c r="F457" s="134" t="str">
        <f t="shared" si="0"/>
        <v/>
      </c>
      <c r="G457" s="134" t="str">
        <f t="shared" si="1"/>
        <v>MULBERRY HEALTH &amp; REHABILITATION CENTER</v>
      </c>
      <c r="H457" s="134"/>
      <c r="I457" s="134"/>
      <c r="J457" s="134"/>
      <c r="K457" s="134"/>
      <c r="L457" s="134"/>
      <c r="M457" s="134"/>
      <c r="N457" s="134"/>
      <c r="O457" s="134"/>
      <c r="P457" s="134"/>
      <c r="Q457" s="134"/>
      <c r="R457" s="134"/>
      <c r="S457" s="134"/>
      <c r="T457" s="134"/>
      <c r="U457" s="134"/>
      <c r="V457" s="134"/>
      <c r="W457" s="134"/>
      <c r="X457" s="134"/>
      <c r="Y457" s="134"/>
      <c r="Z457" s="134"/>
    </row>
    <row r="458" spans="1:26" ht="15.75" customHeight="1">
      <c r="A458" s="13" t="s">
        <v>5710</v>
      </c>
      <c r="B458" s="13" t="s">
        <v>5711</v>
      </c>
      <c r="C458" s="13" t="s">
        <v>2602</v>
      </c>
      <c r="D458" s="13" t="s">
        <v>5712</v>
      </c>
      <c r="E458" s="13" t="s">
        <v>4164</v>
      </c>
      <c r="F458" s="134" t="str">
        <f t="shared" si="0"/>
        <v/>
      </c>
      <c r="G458" s="134" t="str">
        <f t="shared" si="1"/>
        <v>MUNSTER MED-INN</v>
      </c>
      <c r="H458" s="134"/>
      <c r="I458" s="134"/>
      <c r="J458" s="134"/>
      <c r="K458" s="134"/>
      <c r="L458" s="134"/>
      <c r="M458" s="134"/>
      <c r="N458" s="134"/>
      <c r="O458" s="134"/>
      <c r="P458" s="134"/>
      <c r="Q458" s="134"/>
      <c r="R458" s="134"/>
      <c r="S458" s="134"/>
      <c r="T458" s="134"/>
      <c r="U458" s="134"/>
      <c r="V458" s="134"/>
      <c r="W458" s="134"/>
      <c r="X458" s="134"/>
      <c r="Y458" s="134"/>
      <c r="Z458" s="134"/>
    </row>
    <row r="459" spans="1:26" ht="15.75" customHeight="1">
      <c r="A459" s="13" t="s">
        <v>5713</v>
      </c>
      <c r="B459" s="13" t="s">
        <v>5714</v>
      </c>
      <c r="C459" s="13" t="s">
        <v>2606</v>
      </c>
      <c r="D459" s="13" t="s">
        <v>5715</v>
      </c>
      <c r="E459" s="13" t="s">
        <v>4195</v>
      </c>
      <c r="F459" s="134" t="str">
        <f t="shared" si="0"/>
        <v/>
      </c>
      <c r="G459" s="134" t="str">
        <f t="shared" si="1"/>
        <v>NEW ALBANY NURSING AND REHABILITATION CENTER</v>
      </c>
      <c r="H459" s="134"/>
      <c r="I459" s="134"/>
      <c r="J459" s="134"/>
      <c r="K459" s="134"/>
      <c r="L459" s="134"/>
      <c r="M459" s="134"/>
      <c r="N459" s="134"/>
      <c r="O459" s="134"/>
      <c r="P459" s="134"/>
      <c r="Q459" s="134"/>
      <c r="R459" s="134"/>
      <c r="S459" s="134"/>
      <c r="T459" s="134"/>
      <c r="U459" s="134"/>
      <c r="V459" s="134"/>
      <c r="W459" s="134"/>
      <c r="X459" s="134"/>
      <c r="Y459" s="134"/>
      <c r="Z459" s="134"/>
    </row>
    <row r="460" spans="1:26" ht="15.75" customHeight="1">
      <c r="A460" s="13" t="s">
        <v>5716</v>
      </c>
      <c r="B460" s="13" t="s">
        <v>5717</v>
      </c>
      <c r="C460" s="13" t="s">
        <v>2609</v>
      </c>
      <c r="D460" s="13" t="s">
        <v>5718</v>
      </c>
      <c r="E460" s="13" t="s">
        <v>4225</v>
      </c>
      <c r="F460" s="134" t="str">
        <f t="shared" si="0"/>
        <v/>
      </c>
      <c r="G460" s="134" t="str">
        <f t="shared" si="1"/>
        <v>NEWBURGH HEALTH CARE</v>
      </c>
      <c r="H460" s="134"/>
      <c r="I460" s="134"/>
      <c r="J460" s="134"/>
      <c r="K460" s="134"/>
      <c r="L460" s="134"/>
      <c r="M460" s="134"/>
      <c r="N460" s="134"/>
      <c r="O460" s="134"/>
      <c r="P460" s="134"/>
      <c r="Q460" s="134"/>
      <c r="R460" s="134"/>
      <c r="S460" s="134"/>
      <c r="T460" s="134"/>
      <c r="U460" s="134"/>
      <c r="V460" s="134"/>
      <c r="W460" s="134"/>
      <c r="X460" s="134"/>
      <c r="Y460" s="134"/>
      <c r="Z460" s="134"/>
    </row>
    <row r="461" spans="1:26" ht="15.75" customHeight="1">
      <c r="A461" s="13" t="s">
        <v>5719</v>
      </c>
      <c r="B461" s="13" t="s">
        <v>5720</v>
      </c>
      <c r="C461" s="13" t="s">
        <v>2612</v>
      </c>
      <c r="D461" s="13" t="s">
        <v>5721</v>
      </c>
      <c r="E461" s="13" t="s">
        <v>5722</v>
      </c>
      <c r="F461" s="134" t="str">
        <f t="shared" si="0"/>
        <v/>
      </c>
      <c r="G461" s="134" t="str">
        <f t="shared" si="1"/>
        <v>NORTH CAPITOL NURSING &amp; REHABILITATION CENTER</v>
      </c>
      <c r="H461" s="134"/>
      <c r="I461" s="134"/>
      <c r="J461" s="134"/>
      <c r="K461" s="134"/>
      <c r="L461" s="134"/>
      <c r="M461" s="134"/>
      <c r="N461" s="134"/>
      <c r="O461" s="134"/>
      <c r="P461" s="134"/>
      <c r="Q461" s="134"/>
      <c r="R461" s="134"/>
      <c r="S461" s="134"/>
      <c r="T461" s="134"/>
      <c r="U461" s="134"/>
      <c r="V461" s="134"/>
      <c r="W461" s="134"/>
      <c r="X461" s="134"/>
      <c r="Y461" s="134"/>
      <c r="Z461" s="134"/>
    </row>
    <row r="462" spans="1:26" ht="15.75" customHeight="1">
      <c r="A462" s="13" t="s">
        <v>5723</v>
      </c>
      <c r="B462" s="13" t="s">
        <v>5724</v>
      </c>
      <c r="C462" s="13" t="s">
        <v>2616</v>
      </c>
      <c r="D462" s="13" t="s">
        <v>5725</v>
      </c>
      <c r="E462" s="13" t="s">
        <v>4267</v>
      </c>
      <c r="F462" s="134" t="str">
        <f t="shared" si="0"/>
        <v/>
      </c>
      <c r="G462" s="134" t="str">
        <f t="shared" si="1"/>
        <v>NORTH PARK NURSING CENTER</v>
      </c>
      <c r="H462" s="134"/>
      <c r="I462" s="134"/>
      <c r="J462" s="134"/>
      <c r="K462" s="134"/>
      <c r="L462" s="134"/>
      <c r="M462" s="134"/>
      <c r="N462" s="134"/>
      <c r="O462" s="134"/>
      <c r="P462" s="134"/>
      <c r="Q462" s="134"/>
      <c r="R462" s="134"/>
      <c r="S462" s="134"/>
      <c r="T462" s="134"/>
      <c r="U462" s="134"/>
      <c r="V462" s="134"/>
      <c r="W462" s="134"/>
      <c r="X462" s="134"/>
      <c r="Y462" s="134"/>
      <c r="Z462" s="134"/>
    </row>
    <row r="463" spans="1:26" ht="15.75" customHeight="1">
      <c r="A463" s="13" t="s">
        <v>5726</v>
      </c>
      <c r="B463" s="13" t="s">
        <v>5727</v>
      </c>
      <c r="C463" s="13" t="s">
        <v>2619</v>
      </c>
      <c r="D463" s="13" t="s">
        <v>5728</v>
      </c>
      <c r="E463" s="13" t="s">
        <v>5729</v>
      </c>
      <c r="F463" s="134" t="str">
        <f t="shared" si="0"/>
        <v/>
      </c>
      <c r="G463" s="134" t="str">
        <f t="shared" si="1"/>
        <v>NORTH RIDGE VILLAGE NURSING &amp; REHABILITATION CENTE</v>
      </c>
      <c r="H463" s="134"/>
      <c r="I463" s="134"/>
      <c r="J463" s="134"/>
      <c r="K463" s="134"/>
      <c r="L463" s="134"/>
      <c r="M463" s="134"/>
      <c r="N463" s="134"/>
      <c r="O463" s="134"/>
      <c r="P463" s="134"/>
      <c r="Q463" s="134"/>
      <c r="R463" s="134"/>
      <c r="S463" s="134"/>
      <c r="T463" s="134"/>
      <c r="U463" s="134"/>
      <c r="V463" s="134"/>
      <c r="W463" s="134"/>
      <c r="X463" s="134"/>
      <c r="Y463" s="134"/>
      <c r="Z463" s="134"/>
    </row>
    <row r="464" spans="1:26" ht="15.75" customHeight="1">
      <c r="A464" s="13" t="s">
        <v>5730</v>
      </c>
      <c r="B464" s="13" t="s">
        <v>5731</v>
      </c>
      <c r="C464" s="13" t="s">
        <v>2623</v>
      </c>
      <c r="D464" s="13" t="s">
        <v>5732</v>
      </c>
      <c r="E464" s="13" t="s">
        <v>5733</v>
      </c>
      <c r="F464" s="134" t="str">
        <f t="shared" si="0"/>
        <v/>
      </c>
      <c r="G464" s="134" t="str">
        <f t="shared" si="1"/>
        <v>NORTH RIVER HEALTH CAMPUS</v>
      </c>
      <c r="H464" s="134"/>
      <c r="I464" s="134"/>
      <c r="J464" s="134"/>
      <c r="K464" s="134"/>
      <c r="L464" s="134"/>
      <c r="M464" s="134"/>
      <c r="N464" s="134"/>
      <c r="O464" s="134"/>
      <c r="P464" s="134"/>
      <c r="Q464" s="134"/>
      <c r="R464" s="134"/>
      <c r="S464" s="134"/>
      <c r="T464" s="134"/>
      <c r="U464" s="134"/>
      <c r="V464" s="134"/>
      <c r="W464" s="134"/>
      <c r="X464" s="134"/>
      <c r="Y464" s="134"/>
      <c r="Z464" s="134"/>
    </row>
    <row r="465" spans="1:26" ht="15.75" customHeight="1">
      <c r="A465" s="13" t="s">
        <v>5734</v>
      </c>
      <c r="B465" s="13" t="s">
        <v>5735</v>
      </c>
      <c r="C465" s="13" t="s">
        <v>2627</v>
      </c>
      <c r="D465" s="13" t="s">
        <v>5736</v>
      </c>
      <c r="E465" s="13" t="s">
        <v>4805</v>
      </c>
      <c r="F465" s="134" t="str">
        <f t="shared" si="0"/>
        <v/>
      </c>
      <c r="G465" s="134" t="str">
        <f t="shared" si="1"/>
        <v>NORTH WOODS VILLAGE</v>
      </c>
      <c r="H465" s="134"/>
      <c r="I465" s="134"/>
      <c r="J465" s="134"/>
      <c r="K465" s="134"/>
      <c r="L465" s="134"/>
      <c r="M465" s="134"/>
      <c r="N465" s="134"/>
      <c r="O465" s="134"/>
      <c r="P465" s="134"/>
      <c r="Q465" s="134"/>
      <c r="R465" s="134"/>
      <c r="S465" s="134"/>
      <c r="T465" s="134"/>
      <c r="U465" s="134"/>
      <c r="V465" s="134"/>
      <c r="W465" s="134"/>
      <c r="X465" s="134"/>
      <c r="Y465" s="134"/>
      <c r="Z465" s="134"/>
    </row>
    <row r="466" spans="1:26" ht="15.75" customHeight="1">
      <c r="A466" s="13" t="s">
        <v>5737</v>
      </c>
      <c r="B466" s="13" t="s">
        <v>5738</v>
      </c>
      <c r="C466" s="13" t="s">
        <v>5739</v>
      </c>
      <c r="D466" s="13" t="s">
        <v>5740</v>
      </c>
      <c r="E466" s="13" t="s">
        <v>4613</v>
      </c>
      <c r="F466" s="134" t="str">
        <f t="shared" si="0"/>
        <v/>
      </c>
      <c r="G466" s="134" t="str">
        <f t="shared" si="1"/>
        <v>NORTH WOODS VILLAGE AT EDISON LAKES</v>
      </c>
      <c r="H466" s="134"/>
      <c r="I466" s="134"/>
      <c r="J466" s="134"/>
      <c r="K466" s="134"/>
      <c r="L466" s="134"/>
      <c r="M466" s="134"/>
      <c r="N466" s="134"/>
      <c r="O466" s="134"/>
      <c r="P466" s="134"/>
      <c r="Q466" s="134"/>
      <c r="R466" s="134"/>
      <c r="S466" s="134"/>
      <c r="T466" s="134"/>
      <c r="U466" s="134"/>
      <c r="V466" s="134"/>
      <c r="W466" s="134"/>
      <c r="X466" s="134"/>
      <c r="Y466" s="134"/>
      <c r="Z466" s="134"/>
    </row>
    <row r="467" spans="1:26" ht="15.75" customHeight="1">
      <c r="A467" s="13" t="s">
        <v>5741</v>
      </c>
      <c r="B467" s="13" t="s">
        <v>5742</v>
      </c>
      <c r="C467" s="13" t="s">
        <v>2631</v>
      </c>
      <c r="D467" s="13" t="s">
        <v>5743</v>
      </c>
      <c r="E467" s="13" t="s">
        <v>4083</v>
      </c>
      <c r="F467" s="134" t="str">
        <f t="shared" si="0"/>
        <v/>
      </c>
      <c r="G467" s="134" t="str">
        <f t="shared" si="1"/>
        <v>NORTH WOODS VILLAGE AT INVERNESS LAKE</v>
      </c>
      <c r="H467" s="134"/>
      <c r="I467" s="134"/>
      <c r="J467" s="134"/>
      <c r="K467" s="134"/>
      <c r="L467" s="134"/>
      <c r="M467" s="134"/>
      <c r="N467" s="134"/>
      <c r="O467" s="134"/>
      <c r="P467" s="134"/>
      <c r="Q467" s="134"/>
      <c r="R467" s="134"/>
      <c r="S467" s="134"/>
      <c r="T467" s="134"/>
      <c r="U467" s="134"/>
      <c r="V467" s="134"/>
      <c r="W467" s="134"/>
      <c r="X467" s="134"/>
      <c r="Y467" s="134"/>
      <c r="Z467" s="134"/>
    </row>
    <row r="468" spans="1:26" ht="15.75" customHeight="1">
      <c r="A468" s="13" t="s">
        <v>5744</v>
      </c>
      <c r="B468" s="13" t="s">
        <v>5745</v>
      </c>
      <c r="C468" s="13" t="s">
        <v>2634</v>
      </c>
      <c r="D468" s="13" t="s">
        <v>5746</v>
      </c>
      <c r="E468" s="13" t="s">
        <v>4071</v>
      </c>
      <c r="F468" s="134" t="str">
        <f t="shared" si="0"/>
        <v/>
      </c>
      <c r="G468" s="134" t="str">
        <f t="shared" si="1"/>
        <v>NORTHERN LAKES NURSING AND REHABILITATION CENTER</v>
      </c>
      <c r="H468" s="134"/>
      <c r="I468" s="134"/>
      <c r="J468" s="134"/>
      <c r="K468" s="134"/>
      <c r="L468" s="134"/>
      <c r="M468" s="134"/>
      <c r="N468" s="134"/>
      <c r="O468" s="134"/>
      <c r="P468" s="134"/>
      <c r="Q468" s="134"/>
      <c r="R468" s="134"/>
      <c r="S468" s="134"/>
      <c r="T468" s="134"/>
      <c r="U468" s="134"/>
      <c r="V468" s="134"/>
      <c r="W468" s="134"/>
      <c r="X468" s="134"/>
      <c r="Y468" s="134"/>
      <c r="Z468" s="134"/>
    </row>
    <row r="469" spans="1:26" ht="15.75" customHeight="1">
      <c r="A469" s="13" t="s">
        <v>5747</v>
      </c>
      <c r="B469" s="13" t="s">
        <v>5748</v>
      </c>
      <c r="C469" s="13" t="s">
        <v>2636</v>
      </c>
      <c r="D469" s="13" t="s">
        <v>5749</v>
      </c>
      <c r="E469" s="13" t="s">
        <v>4718</v>
      </c>
      <c r="F469" s="134" t="str">
        <f t="shared" si="0"/>
        <v/>
      </c>
      <c r="G469" s="134" t="str">
        <f t="shared" si="1"/>
        <v>NORTHVIEW HEALTH AND LIVING</v>
      </c>
      <c r="H469" s="134"/>
      <c r="I469" s="134"/>
      <c r="J469" s="134"/>
      <c r="K469" s="134"/>
      <c r="L469" s="134"/>
      <c r="M469" s="134"/>
      <c r="N469" s="134"/>
      <c r="O469" s="134"/>
      <c r="P469" s="134"/>
      <c r="Q469" s="134"/>
      <c r="R469" s="134"/>
      <c r="S469" s="134"/>
      <c r="T469" s="134"/>
      <c r="U469" s="134"/>
      <c r="V469" s="134"/>
      <c r="W469" s="134"/>
      <c r="X469" s="134"/>
      <c r="Y469" s="134"/>
      <c r="Z469" s="134"/>
    </row>
    <row r="470" spans="1:26" ht="15.75" customHeight="1">
      <c r="A470" s="13" t="s">
        <v>5750</v>
      </c>
      <c r="B470" s="13" t="s">
        <v>5751</v>
      </c>
      <c r="C470" s="13" t="s">
        <v>2640</v>
      </c>
      <c r="D470" s="13" t="s">
        <v>5752</v>
      </c>
      <c r="E470" s="13" t="s">
        <v>5382</v>
      </c>
      <c r="F470" s="134" t="str">
        <f t="shared" si="0"/>
        <v/>
      </c>
      <c r="G470" s="134" t="str">
        <f t="shared" si="1"/>
        <v>NORTHWEST MANOR HEALTH CARE CENTER</v>
      </c>
      <c r="H470" s="134"/>
      <c r="I470" s="134"/>
      <c r="J470" s="134"/>
      <c r="K470" s="134"/>
      <c r="L470" s="134"/>
      <c r="M470" s="134"/>
      <c r="N470" s="134"/>
      <c r="O470" s="134"/>
      <c r="P470" s="134"/>
      <c r="Q470" s="134"/>
      <c r="R470" s="134"/>
      <c r="S470" s="134"/>
      <c r="T470" s="134"/>
      <c r="U470" s="134"/>
      <c r="V470" s="134"/>
      <c r="W470" s="134"/>
      <c r="X470" s="134"/>
      <c r="Y470" s="134"/>
      <c r="Z470" s="134"/>
    </row>
    <row r="471" spans="1:26" ht="15.75" customHeight="1">
      <c r="A471" s="13" t="s">
        <v>5753</v>
      </c>
      <c r="B471" s="13" t="s">
        <v>5754</v>
      </c>
      <c r="C471" s="13" t="s">
        <v>2648</v>
      </c>
      <c r="D471" s="13" t="s">
        <v>5755</v>
      </c>
      <c r="E471" s="13" t="s">
        <v>4079</v>
      </c>
      <c r="F471" s="134" t="str">
        <f t="shared" si="0"/>
        <v/>
      </c>
      <c r="G471" s="134" t="str">
        <f t="shared" si="1"/>
        <v>OAK GROVE CHRISTIAN RETIREMENT VILLAGE</v>
      </c>
      <c r="H471" s="134"/>
      <c r="I471" s="134"/>
      <c r="J471" s="134"/>
      <c r="K471" s="134"/>
      <c r="L471" s="134"/>
      <c r="M471" s="134"/>
      <c r="N471" s="134"/>
      <c r="O471" s="134"/>
      <c r="P471" s="134"/>
      <c r="Q471" s="134"/>
      <c r="R471" s="134"/>
      <c r="S471" s="134"/>
      <c r="T471" s="134"/>
      <c r="U471" s="134"/>
      <c r="V471" s="134"/>
      <c r="W471" s="134"/>
      <c r="X471" s="134"/>
      <c r="Y471" s="134"/>
      <c r="Z471" s="134"/>
    </row>
    <row r="472" spans="1:26" ht="15.75" customHeight="1">
      <c r="A472" s="13" t="s">
        <v>5756</v>
      </c>
      <c r="B472" s="13" t="s">
        <v>5757</v>
      </c>
      <c r="C472" s="13" t="s">
        <v>2651</v>
      </c>
      <c r="D472" s="13" t="s">
        <v>5758</v>
      </c>
      <c r="E472" s="13" t="s">
        <v>5759</v>
      </c>
      <c r="F472" s="134" t="str">
        <f t="shared" si="0"/>
        <v/>
      </c>
      <c r="G472" s="134" t="str">
        <f t="shared" si="1"/>
        <v>OAK VILLAGE</v>
      </c>
      <c r="H472" s="134"/>
      <c r="I472" s="134"/>
      <c r="J472" s="134"/>
      <c r="K472" s="134"/>
      <c r="L472" s="134"/>
      <c r="M472" s="134"/>
      <c r="N472" s="134"/>
      <c r="O472" s="134"/>
      <c r="P472" s="134"/>
      <c r="Q472" s="134"/>
      <c r="R472" s="134"/>
      <c r="S472" s="134"/>
      <c r="T472" s="134"/>
      <c r="U472" s="134"/>
      <c r="V472" s="134"/>
      <c r="W472" s="134"/>
      <c r="X472" s="134"/>
      <c r="Y472" s="134"/>
      <c r="Z472" s="134"/>
    </row>
    <row r="473" spans="1:26" ht="15.75" customHeight="1">
      <c r="A473" s="13" t="s">
        <v>5760</v>
      </c>
      <c r="B473" s="13" t="s">
        <v>5761</v>
      </c>
      <c r="C473" s="13" t="s">
        <v>719</v>
      </c>
      <c r="D473" s="13" t="s">
        <v>5762</v>
      </c>
      <c r="E473" s="13" t="s">
        <v>5192</v>
      </c>
      <c r="F473" s="134" t="str">
        <f t="shared" si="0"/>
        <v/>
      </c>
      <c r="G473" s="134" t="str">
        <f t="shared" si="1"/>
        <v>OAKBROOK VILLAGE</v>
      </c>
      <c r="H473" s="134"/>
      <c r="I473" s="134"/>
      <c r="J473" s="134"/>
      <c r="K473" s="134"/>
      <c r="L473" s="134"/>
      <c r="M473" s="134"/>
      <c r="N473" s="134"/>
      <c r="O473" s="134"/>
      <c r="P473" s="134"/>
      <c r="Q473" s="134"/>
      <c r="R473" s="134"/>
      <c r="S473" s="134"/>
      <c r="T473" s="134"/>
      <c r="U473" s="134"/>
      <c r="V473" s="134"/>
      <c r="W473" s="134"/>
      <c r="X473" s="134"/>
      <c r="Y473" s="134"/>
      <c r="Z473" s="134"/>
    </row>
    <row r="474" spans="1:26" ht="15.75" customHeight="1">
      <c r="A474" s="13" t="s">
        <v>5763</v>
      </c>
      <c r="B474" s="13" t="s">
        <v>5764</v>
      </c>
      <c r="C474" s="13" t="s">
        <v>2656</v>
      </c>
      <c r="D474" s="13" t="s">
        <v>5765</v>
      </c>
      <c r="E474" s="13" t="s">
        <v>4931</v>
      </c>
      <c r="F474" s="134" t="str">
        <f t="shared" si="0"/>
        <v/>
      </c>
      <c r="G474" s="134" t="str">
        <f t="shared" si="1"/>
        <v>OAKWOOD HEALTH CAMPUS</v>
      </c>
      <c r="H474" s="134"/>
      <c r="I474" s="134"/>
      <c r="J474" s="134"/>
      <c r="K474" s="134"/>
      <c r="L474" s="134"/>
      <c r="M474" s="134"/>
      <c r="N474" s="134"/>
      <c r="O474" s="134"/>
      <c r="P474" s="134"/>
      <c r="Q474" s="134"/>
      <c r="R474" s="134"/>
      <c r="S474" s="134"/>
      <c r="T474" s="134"/>
      <c r="U474" s="134"/>
      <c r="V474" s="134"/>
      <c r="W474" s="134"/>
      <c r="X474" s="134"/>
      <c r="Y474" s="134"/>
      <c r="Z474" s="134"/>
    </row>
    <row r="475" spans="1:26" ht="15.75" customHeight="1">
      <c r="A475" s="13" t="s">
        <v>5766</v>
      </c>
      <c r="B475" s="13" t="s">
        <v>5767</v>
      </c>
      <c r="C475" s="13" t="s">
        <v>5768</v>
      </c>
      <c r="D475" s="13" t="s">
        <v>5769</v>
      </c>
      <c r="E475" s="13" t="s">
        <v>4763</v>
      </c>
      <c r="F475" s="134" t="str">
        <f t="shared" si="0"/>
        <v/>
      </c>
      <c r="G475" s="134" t="str">
        <f t="shared" si="1"/>
        <v>OASIS ASSISTED LIVING, INC</v>
      </c>
      <c r="H475" s="134"/>
      <c r="I475" s="134"/>
      <c r="J475" s="134"/>
      <c r="K475" s="134"/>
      <c r="L475" s="134"/>
      <c r="M475" s="134"/>
      <c r="N475" s="134"/>
      <c r="O475" s="134"/>
      <c r="P475" s="134"/>
      <c r="Q475" s="134"/>
      <c r="R475" s="134"/>
      <c r="S475" s="134"/>
      <c r="T475" s="134"/>
      <c r="U475" s="134"/>
      <c r="V475" s="134"/>
      <c r="W475" s="134"/>
      <c r="X475" s="134"/>
      <c r="Y475" s="134"/>
      <c r="Z475" s="134"/>
    </row>
    <row r="476" spans="1:26" ht="15.75" customHeight="1">
      <c r="A476" s="13" t="s">
        <v>5770</v>
      </c>
      <c r="B476" s="13" t="s">
        <v>5771</v>
      </c>
      <c r="C476" s="13" t="s">
        <v>5772</v>
      </c>
      <c r="D476" s="13" t="s">
        <v>5773</v>
      </c>
      <c r="E476" s="13" t="s">
        <v>4138</v>
      </c>
      <c r="F476" s="134" t="str">
        <f t="shared" si="0"/>
        <v/>
      </c>
      <c r="G476" s="134" t="str">
        <f t="shared" si="1"/>
        <v>OASIS AT 30TH</v>
      </c>
      <c r="H476" s="134"/>
      <c r="I476" s="134"/>
      <c r="J476" s="134"/>
      <c r="K476" s="134"/>
      <c r="L476" s="134"/>
      <c r="M476" s="134"/>
      <c r="N476" s="134"/>
      <c r="O476" s="134"/>
      <c r="P476" s="134"/>
      <c r="Q476" s="134"/>
      <c r="R476" s="134"/>
      <c r="S476" s="134"/>
      <c r="T476" s="134"/>
      <c r="U476" s="134"/>
      <c r="V476" s="134"/>
      <c r="W476" s="134"/>
      <c r="X476" s="134"/>
      <c r="Y476" s="134"/>
      <c r="Z476" s="134"/>
    </row>
    <row r="477" spans="1:26" ht="15.75" customHeight="1">
      <c r="A477" s="13" t="s">
        <v>5774</v>
      </c>
      <c r="B477" s="13" t="s">
        <v>5775</v>
      </c>
      <c r="C477" s="13" t="s">
        <v>5776</v>
      </c>
      <c r="D477" s="13" t="s">
        <v>5777</v>
      </c>
      <c r="E477" s="13" t="s">
        <v>4305</v>
      </c>
      <c r="F477" s="134" t="str">
        <f t="shared" si="0"/>
        <v/>
      </c>
      <c r="G477" s="134" t="str">
        <f t="shared" si="1"/>
        <v>OASIS AT 56TH</v>
      </c>
      <c r="H477" s="134"/>
      <c r="I477" s="134"/>
      <c r="J477" s="134"/>
      <c r="K477" s="134"/>
      <c r="L477" s="134"/>
      <c r="M477" s="134"/>
      <c r="N477" s="134"/>
      <c r="O477" s="134"/>
      <c r="P477" s="134"/>
      <c r="Q477" s="134"/>
      <c r="R477" s="134"/>
      <c r="S477" s="134"/>
      <c r="T477" s="134"/>
      <c r="U477" s="134"/>
      <c r="V477" s="134"/>
      <c r="W477" s="134"/>
      <c r="X477" s="134"/>
      <c r="Y477" s="134"/>
      <c r="Z477" s="134"/>
    </row>
    <row r="478" spans="1:26" ht="15.75" customHeight="1">
      <c r="A478" s="13" t="s">
        <v>5778</v>
      </c>
      <c r="B478" s="13" t="s">
        <v>5779</v>
      </c>
      <c r="C478" s="13" t="s">
        <v>2660</v>
      </c>
      <c r="D478" s="13" t="s">
        <v>5780</v>
      </c>
      <c r="E478" s="13" t="s">
        <v>4486</v>
      </c>
      <c r="F478" s="134" t="str">
        <f t="shared" si="0"/>
        <v/>
      </c>
      <c r="G478" s="134" t="str">
        <f t="shared" si="1"/>
        <v>ORCHARD POINTE HEALTH CAMPUS</v>
      </c>
      <c r="H478" s="134"/>
      <c r="I478" s="134"/>
      <c r="J478" s="134"/>
      <c r="K478" s="134"/>
      <c r="L478" s="134"/>
      <c r="M478" s="134"/>
      <c r="N478" s="134"/>
      <c r="O478" s="134"/>
      <c r="P478" s="134"/>
      <c r="Q478" s="134"/>
      <c r="R478" s="134"/>
      <c r="S478" s="134"/>
      <c r="T478" s="134"/>
      <c r="U478" s="134"/>
      <c r="V478" s="134"/>
      <c r="W478" s="134"/>
      <c r="X478" s="134"/>
      <c r="Y478" s="134"/>
      <c r="Z478" s="134"/>
    </row>
    <row r="479" spans="1:26" ht="15.75" customHeight="1">
      <c r="A479" s="13" t="s">
        <v>5781</v>
      </c>
      <c r="B479" s="13" t="s">
        <v>5782</v>
      </c>
      <c r="C479" s="13" t="s">
        <v>5783</v>
      </c>
      <c r="D479" s="13" t="s">
        <v>5784</v>
      </c>
      <c r="E479" s="13" t="s">
        <v>5785</v>
      </c>
      <c r="F479" s="134" t="str">
        <f t="shared" si="0"/>
        <v/>
      </c>
      <c r="G479" s="134" t="str">
        <f t="shared" si="1"/>
        <v>OSSIAN HEALTH CARE AND REHABILITATION CENTER</v>
      </c>
      <c r="H479" s="134"/>
      <c r="I479" s="134"/>
      <c r="J479" s="134"/>
      <c r="K479" s="134"/>
      <c r="L479" s="134"/>
      <c r="M479" s="134"/>
      <c r="N479" s="134"/>
      <c r="O479" s="134"/>
      <c r="P479" s="134"/>
      <c r="Q479" s="134"/>
      <c r="R479" s="134"/>
      <c r="S479" s="134"/>
      <c r="T479" s="134"/>
      <c r="U479" s="134"/>
      <c r="V479" s="134"/>
      <c r="W479" s="134"/>
      <c r="X479" s="134"/>
      <c r="Y479" s="134"/>
      <c r="Z479" s="134"/>
    </row>
    <row r="480" spans="1:26" ht="15.75" customHeight="1">
      <c r="A480" s="13" t="s">
        <v>5786</v>
      </c>
      <c r="B480" s="13" t="s">
        <v>5787</v>
      </c>
      <c r="C480" s="13" t="s">
        <v>2666</v>
      </c>
      <c r="D480" s="13" t="s">
        <v>5788</v>
      </c>
      <c r="E480" s="13" t="s">
        <v>4513</v>
      </c>
      <c r="F480" s="134" t="str">
        <f t="shared" si="0"/>
        <v/>
      </c>
      <c r="G480" s="134" t="str">
        <f t="shared" si="1"/>
        <v>OTTERBEIN FRANKLIN SENIORLIFE COMM RES &amp; COM CARE</v>
      </c>
      <c r="H480" s="134"/>
      <c r="I480" s="134"/>
      <c r="J480" s="134"/>
      <c r="K480" s="134"/>
      <c r="L480" s="134"/>
      <c r="M480" s="134"/>
      <c r="N480" s="134"/>
      <c r="O480" s="134"/>
      <c r="P480" s="134"/>
      <c r="Q480" s="134"/>
      <c r="R480" s="134"/>
      <c r="S480" s="134"/>
      <c r="T480" s="134"/>
      <c r="U480" s="134"/>
      <c r="V480" s="134"/>
      <c r="W480" s="134"/>
      <c r="X480" s="134"/>
      <c r="Y480" s="134"/>
      <c r="Z480" s="134"/>
    </row>
    <row r="481" spans="1:26" ht="15.75" customHeight="1">
      <c r="A481" s="13" t="s">
        <v>5789</v>
      </c>
      <c r="B481" s="13" t="s">
        <v>5790</v>
      </c>
      <c r="C481" s="13" t="s">
        <v>2669</v>
      </c>
      <c r="D481" s="13" t="s">
        <v>5791</v>
      </c>
      <c r="E481" s="13" t="s">
        <v>4104</v>
      </c>
      <c r="F481" s="134" t="str">
        <f t="shared" si="0"/>
        <v/>
      </c>
      <c r="G481" s="134" t="str">
        <f t="shared" si="1"/>
        <v>OWEN VALLEY HEALTH CAMPUS</v>
      </c>
      <c r="H481" s="134"/>
      <c r="I481" s="134"/>
      <c r="J481" s="134"/>
      <c r="K481" s="134"/>
      <c r="L481" s="134"/>
      <c r="M481" s="134"/>
      <c r="N481" s="134"/>
      <c r="O481" s="134"/>
      <c r="P481" s="134"/>
      <c r="Q481" s="134"/>
      <c r="R481" s="134"/>
      <c r="S481" s="134"/>
      <c r="T481" s="134"/>
      <c r="U481" s="134"/>
      <c r="V481" s="134"/>
      <c r="W481" s="134"/>
      <c r="X481" s="134"/>
      <c r="Y481" s="134"/>
      <c r="Z481" s="134"/>
    </row>
    <row r="482" spans="1:26" ht="15.75" customHeight="1">
      <c r="A482" s="13" t="s">
        <v>5792</v>
      </c>
      <c r="B482" s="13" t="s">
        <v>5793</v>
      </c>
      <c r="C482" s="13" t="s">
        <v>2673</v>
      </c>
      <c r="D482" s="13" t="s">
        <v>5794</v>
      </c>
      <c r="E482" s="13" t="s">
        <v>5795</v>
      </c>
      <c r="F482" s="134" t="str">
        <f t="shared" si="0"/>
        <v/>
      </c>
      <c r="G482" s="134" t="str">
        <f t="shared" si="1"/>
        <v>PADDOCK SPRINGS</v>
      </c>
      <c r="H482" s="134"/>
      <c r="I482" s="134"/>
      <c r="J482" s="134"/>
      <c r="K482" s="134"/>
      <c r="L482" s="134"/>
      <c r="M482" s="134"/>
      <c r="N482" s="134"/>
      <c r="O482" s="134"/>
      <c r="P482" s="134"/>
      <c r="Q482" s="134"/>
      <c r="R482" s="134"/>
      <c r="S482" s="134"/>
      <c r="T482" s="134"/>
      <c r="U482" s="134"/>
      <c r="V482" s="134"/>
      <c r="W482" s="134"/>
      <c r="X482" s="134"/>
      <c r="Y482" s="134"/>
      <c r="Z482" s="134"/>
    </row>
    <row r="483" spans="1:26" ht="15.75" customHeight="1">
      <c r="A483" s="13" t="s">
        <v>5796</v>
      </c>
      <c r="B483" s="13" t="s">
        <v>5797</v>
      </c>
      <c r="C483" s="13" t="s">
        <v>2679</v>
      </c>
      <c r="D483" s="13" t="s">
        <v>5798</v>
      </c>
      <c r="E483" s="13" t="s">
        <v>5799</v>
      </c>
      <c r="F483" s="134" t="str">
        <f t="shared" si="0"/>
        <v/>
      </c>
      <c r="G483" s="134" t="str">
        <f t="shared" si="1"/>
        <v>PAOLI HEALTH AND LIVING COMMUNITY</v>
      </c>
      <c r="H483" s="134"/>
      <c r="I483" s="134"/>
      <c r="J483" s="134"/>
      <c r="K483" s="134"/>
      <c r="L483" s="134"/>
      <c r="M483" s="134"/>
      <c r="N483" s="134"/>
      <c r="O483" s="134"/>
      <c r="P483" s="134"/>
      <c r="Q483" s="134"/>
      <c r="R483" s="134"/>
      <c r="S483" s="134"/>
      <c r="T483" s="134"/>
      <c r="U483" s="134"/>
      <c r="V483" s="134"/>
      <c r="W483" s="134"/>
      <c r="X483" s="134"/>
      <c r="Y483" s="134"/>
      <c r="Z483" s="134"/>
    </row>
    <row r="484" spans="1:26" ht="15.75" customHeight="1">
      <c r="A484" s="13" t="s">
        <v>5800</v>
      </c>
      <c r="B484" s="13" t="s">
        <v>5801</v>
      </c>
      <c r="C484" s="13" t="s">
        <v>2685</v>
      </c>
      <c r="D484" s="13" t="s">
        <v>5802</v>
      </c>
      <c r="E484" s="13" t="s">
        <v>5803</v>
      </c>
      <c r="F484" s="134" t="str">
        <f t="shared" si="0"/>
        <v/>
      </c>
      <c r="G484" s="134" t="str">
        <f t="shared" si="1"/>
        <v>PARK PLACE HEALTH AND WELLNESS CENTER</v>
      </c>
      <c r="H484" s="134"/>
      <c r="I484" s="134"/>
      <c r="J484" s="134"/>
      <c r="K484" s="134"/>
      <c r="L484" s="134"/>
      <c r="M484" s="134"/>
      <c r="N484" s="134"/>
      <c r="O484" s="134"/>
      <c r="P484" s="134"/>
      <c r="Q484" s="134"/>
      <c r="R484" s="134"/>
      <c r="S484" s="134"/>
      <c r="T484" s="134"/>
      <c r="U484" s="134"/>
      <c r="V484" s="134"/>
      <c r="W484" s="134"/>
      <c r="X484" s="134"/>
      <c r="Y484" s="134"/>
      <c r="Z484" s="134"/>
    </row>
    <row r="485" spans="1:26" ht="15.75" customHeight="1">
      <c r="A485" s="13" t="s">
        <v>5804</v>
      </c>
      <c r="B485" s="13" t="s">
        <v>5805</v>
      </c>
      <c r="C485" s="13" t="s">
        <v>5806</v>
      </c>
      <c r="D485" s="13" t="s">
        <v>5807</v>
      </c>
      <c r="E485" s="13" t="s">
        <v>4151</v>
      </c>
      <c r="F485" s="134" t="str">
        <f t="shared" si="0"/>
        <v/>
      </c>
      <c r="G485" s="134" t="str">
        <f t="shared" si="1"/>
        <v>PARK PLACE II, LLC</v>
      </c>
      <c r="H485" s="134"/>
      <c r="I485" s="134"/>
      <c r="J485" s="134"/>
      <c r="K485" s="134"/>
      <c r="L485" s="134"/>
      <c r="M485" s="134"/>
      <c r="N485" s="134"/>
      <c r="O485" s="134"/>
      <c r="P485" s="134"/>
      <c r="Q485" s="134"/>
      <c r="R485" s="134"/>
      <c r="S485" s="134"/>
      <c r="T485" s="134"/>
      <c r="U485" s="134"/>
      <c r="V485" s="134"/>
      <c r="W485" s="134"/>
      <c r="X485" s="134"/>
      <c r="Y485" s="134"/>
      <c r="Z485" s="134"/>
    </row>
    <row r="486" spans="1:26" ht="15.75" customHeight="1">
      <c r="A486" s="13" t="s">
        <v>5808</v>
      </c>
      <c r="B486" s="13" t="s">
        <v>5809</v>
      </c>
      <c r="C486" s="13" t="s">
        <v>2689</v>
      </c>
      <c r="D486" s="13" t="s">
        <v>5810</v>
      </c>
      <c r="E486" s="13" t="s">
        <v>5811</v>
      </c>
      <c r="F486" s="134" t="str">
        <f t="shared" si="0"/>
        <v/>
      </c>
      <c r="G486" s="134" t="str">
        <f t="shared" si="1"/>
        <v>PARK TERRACE VILLAGE</v>
      </c>
      <c r="H486" s="134"/>
      <c r="I486" s="134"/>
      <c r="J486" s="134"/>
      <c r="K486" s="134"/>
      <c r="L486" s="134"/>
      <c r="M486" s="134"/>
      <c r="N486" s="134"/>
      <c r="O486" s="134"/>
      <c r="P486" s="134"/>
      <c r="Q486" s="134"/>
      <c r="R486" s="134"/>
      <c r="S486" s="134"/>
      <c r="T486" s="134"/>
      <c r="U486" s="134"/>
      <c r="V486" s="134"/>
      <c r="W486" s="134"/>
      <c r="X486" s="134"/>
      <c r="Y486" s="134"/>
      <c r="Z486" s="134"/>
    </row>
    <row r="487" spans="1:26" ht="15.75" customHeight="1">
      <c r="A487" s="13" t="s">
        <v>5812</v>
      </c>
      <c r="B487" s="13" t="s">
        <v>5813</v>
      </c>
      <c r="C487" s="13" t="s">
        <v>5814</v>
      </c>
      <c r="D487" s="13" t="s">
        <v>5815</v>
      </c>
      <c r="E487" s="13" t="s">
        <v>5816</v>
      </c>
      <c r="F487" s="134" t="str">
        <f t="shared" si="0"/>
        <v/>
      </c>
      <c r="G487" s="134" t="str">
        <f t="shared" si="1"/>
        <v>PARKER HEALTH CARE &amp; REHABILITATION CENTER</v>
      </c>
      <c r="H487" s="134"/>
      <c r="I487" s="134"/>
      <c r="J487" s="134"/>
      <c r="K487" s="134"/>
      <c r="L487" s="134"/>
      <c r="M487" s="134"/>
      <c r="N487" s="134"/>
      <c r="O487" s="134"/>
      <c r="P487" s="134"/>
      <c r="Q487" s="134"/>
      <c r="R487" s="134"/>
      <c r="S487" s="134"/>
      <c r="T487" s="134"/>
      <c r="U487" s="134"/>
      <c r="V487" s="134"/>
      <c r="W487" s="134"/>
      <c r="X487" s="134"/>
      <c r="Y487" s="134"/>
      <c r="Z487" s="134"/>
    </row>
    <row r="488" spans="1:26" ht="15.75" customHeight="1">
      <c r="A488" s="13" t="s">
        <v>5817</v>
      </c>
      <c r="B488" s="13" t="s">
        <v>5818</v>
      </c>
      <c r="C488" s="13" t="s">
        <v>5819</v>
      </c>
      <c r="D488" s="13" t="s">
        <v>5820</v>
      </c>
      <c r="E488" s="13" t="s">
        <v>5821</v>
      </c>
      <c r="F488" s="134" t="str">
        <f t="shared" si="0"/>
        <v/>
      </c>
      <c r="G488" s="134" t="str">
        <f t="shared" si="1"/>
        <v>PARKVIEW CARE CENTER</v>
      </c>
      <c r="H488" s="134"/>
      <c r="I488" s="134"/>
      <c r="J488" s="134"/>
      <c r="K488" s="134"/>
      <c r="L488" s="134"/>
      <c r="M488" s="134"/>
      <c r="N488" s="134"/>
      <c r="O488" s="134"/>
      <c r="P488" s="134"/>
      <c r="Q488" s="134"/>
      <c r="R488" s="134"/>
      <c r="S488" s="134"/>
      <c r="T488" s="134"/>
      <c r="U488" s="134"/>
      <c r="V488" s="134"/>
      <c r="W488" s="134"/>
      <c r="X488" s="134"/>
      <c r="Y488" s="134"/>
      <c r="Z488" s="134"/>
    </row>
    <row r="489" spans="1:26" ht="15.75" customHeight="1">
      <c r="A489" s="13" t="s">
        <v>5822</v>
      </c>
      <c r="B489" s="13" t="s">
        <v>5823</v>
      </c>
      <c r="C489" s="13" t="s">
        <v>2702</v>
      </c>
      <c r="D489" s="13" t="s">
        <v>5824</v>
      </c>
      <c r="E489" s="13" t="s">
        <v>5825</v>
      </c>
      <c r="F489" s="134" t="str">
        <f t="shared" si="0"/>
        <v/>
      </c>
      <c r="G489" s="134" t="str">
        <f t="shared" si="1"/>
        <v>PARKVIEW HAVEN</v>
      </c>
      <c r="H489" s="134"/>
      <c r="I489" s="134"/>
      <c r="J489" s="134"/>
      <c r="K489" s="134"/>
      <c r="L489" s="134"/>
      <c r="M489" s="134"/>
      <c r="N489" s="134"/>
      <c r="O489" s="134"/>
      <c r="P489" s="134"/>
      <c r="Q489" s="134"/>
      <c r="R489" s="134"/>
      <c r="S489" s="134"/>
      <c r="T489" s="134"/>
      <c r="U489" s="134"/>
      <c r="V489" s="134"/>
      <c r="W489" s="134"/>
      <c r="X489" s="134"/>
      <c r="Y489" s="134"/>
      <c r="Z489" s="134"/>
    </row>
    <row r="490" spans="1:26" ht="15.75" customHeight="1">
      <c r="A490" s="13" t="s">
        <v>5826</v>
      </c>
      <c r="B490" s="13" t="s">
        <v>5827</v>
      </c>
      <c r="C490" s="13" t="s">
        <v>2707</v>
      </c>
      <c r="D490" s="13" t="s">
        <v>5828</v>
      </c>
      <c r="E490" s="13" t="s">
        <v>5829</v>
      </c>
      <c r="F490" s="134" t="str">
        <f t="shared" si="0"/>
        <v/>
      </c>
      <c r="G490" s="134" t="str">
        <f t="shared" si="1"/>
        <v>PEABODY RETIREMENT COMMUNITY</v>
      </c>
      <c r="H490" s="134"/>
      <c r="I490" s="134"/>
      <c r="J490" s="134"/>
      <c r="K490" s="134"/>
      <c r="L490" s="134"/>
      <c r="M490" s="134"/>
      <c r="N490" s="134"/>
      <c r="O490" s="134"/>
      <c r="P490" s="134"/>
      <c r="Q490" s="134"/>
      <c r="R490" s="134"/>
      <c r="S490" s="134"/>
      <c r="T490" s="134"/>
      <c r="U490" s="134"/>
      <c r="V490" s="134"/>
      <c r="W490" s="134"/>
      <c r="X490" s="134"/>
      <c r="Y490" s="134"/>
      <c r="Z490" s="134"/>
    </row>
    <row r="491" spans="1:26" ht="15.75" customHeight="1">
      <c r="A491" s="13" t="s">
        <v>5830</v>
      </c>
      <c r="B491" s="13" t="s">
        <v>5831</v>
      </c>
      <c r="C491" s="13" t="s">
        <v>2712</v>
      </c>
      <c r="D491" s="13" t="s">
        <v>5832</v>
      </c>
      <c r="E491" s="13" t="s">
        <v>4660</v>
      </c>
      <c r="F491" s="134" t="str">
        <f t="shared" si="0"/>
        <v/>
      </c>
      <c r="G491" s="134" t="str">
        <f t="shared" si="1"/>
        <v>PERSIMMON RIDGE REHABILITATION CENTRE</v>
      </c>
      <c r="H491" s="134"/>
      <c r="I491" s="134"/>
      <c r="J491" s="134"/>
      <c r="K491" s="134"/>
      <c r="L491" s="134"/>
      <c r="M491" s="134"/>
      <c r="N491" s="134"/>
      <c r="O491" s="134"/>
      <c r="P491" s="134"/>
      <c r="Q491" s="134"/>
      <c r="R491" s="134"/>
      <c r="S491" s="134"/>
      <c r="T491" s="134"/>
      <c r="U491" s="134"/>
      <c r="V491" s="134"/>
      <c r="W491" s="134"/>
      <c r="X491" s="134"/>
      <c r="Y491" s="134"/>
      <c r="Z491" s="134"/>
    </row>
    <row r="492" spans="1:26" ht="15.75" customHeight="1">
      <c r="A492" s="13" t="s">
        <v>5833</v>
      </c>
      <c r="B492" s="13" t="s">
        <v>5834</v>
      </c>
      <c r="C492" s="13" t="s">
        <v>2716</v>
      </c>
      <c r="D492" s="13" t="s">
        <v>5835</v>
      </c>
      <c r="E492" s="13" t="s">
        <v>5627</v>
      </c>
      <c r="F492" s="134" t="str">
        <f t="shared" si="0"/>
        <v/>
      </c>
      <c r="G492" s="134" t="str">
        <f t="shared" si="1"/>
        <v>PILGRIM MANOR</v>
      </c>
      <c r="H492" s="134"/>
      <c r="I492" s="134"/>
      <c r="J492" s="134"/>
      <c r="K492" s="134"/>
      <c r="L492" s="134"/>
      <c r="M492" s="134"/>
      <c r="N492" s="134"/>
      <c r="O492" s="134"/>
      <c r="P492" s="134"/>
      <c r="Q492" s="134"/>
      <c r="R492" s="134"/>
      <c r="S492" s="134"/>
      <c r="T492" s="134"/>
      <c r="U492" s="134"/>
      <c r="V492" s="134"/>
      <c r="W492" s="134"/>
      <c r="X492" s="134"/>
      <c r="Y492" s="134"/>
      <c r="Z492" s="134"/>
    </row>
    <row r="493" spans="1:26" ht="15.75" customHeight="1">
      <c r="A493" s="13" t="s">
        <v>5836</v>
      </c>
      <c r="B493" s="13" t="s">
        <v>5837</v>
      </c>
      <c r="C493" s="13" t="s">
        <v>5838</v>
      </c>
      <c r="D493" s="13" t="s">
        <v>5839</v>
      </c>
      <c r="E493" s="13" t="s">
        <v>5821</v>
      </c>
      <c r="F493" s="134" t="str">
        <f t="shared" si="0"/>
        <v/>
      </c>
      <c r="G493" s="134" t="str">
        <f t="shared" si="1"/>
        <v>PINE HAVEN HEALTH AND REHABILITATION CENTER</v>
      </c>
      <c r="H493" s="134"/>
      <c r="I493" s="134"/>
      <c r="J493" s="134"/>
      <c r="K493" s="134"/>
      <c r="L493" s="134"/>
      <c r="M493" s="134"/>
      <c r="N493" s="134"/>
      <c r="O493" s="134"/>
      <c r="P493" s="134"/>
      <c r="Q493" s="134"/>
      <c r="R493" s="134"/>
      <c r="S493" s="134"/>
      <c r="T493" s="134"/>
      <c r="U493" s="134"/>
      <c r="V493" s="134"/>
      <c r="W493" s="134"/>
      <c r="X493" s="134"/>
      <c r="Y493" s="134"/>
      <c r="Z493" s="134"/>
    </row>
    <row r="494" spans="1:26" ht="15.75" customHeight="1">
      <c r="A494" s="13" t="s">
        <v>5840</v>
      </c>
      <c r="B494" s="13" t="s">
        <v>5841</v>
      </c>
      <c r="C494" s="13" t="s">
        <v>5842</v>
      </c>
      <c r="D494" s="13" t="s">
        <v>5843</v>
      </c>
      <c r="E494" s="13" t="s">
        <v>5844</v>
      </c>
      <c r="F494" s="134" t="str">
        <f t="shared" si="0"/>
        <v/>
      </c>
      <c r="G494" s="134" t="str">
        <f t="shared" si="1"/>
        <v>PINE KNOLL ASSISTED LIVING CENTER</v>
      </c>
      <c r="H494" s="134"/>
      <c r="I494" s="134"/>
      <c r="J494" s="134"/>
      <c r="K494" s="134"/>
      <c r="L494" s="134"/>
      <c r="M494" s="134"/>
      <c r="N494" s="134"/>
      <c r="O494" s="134"/>
      <c r="P494" s="134"/>
      <c r="Q494" s="134"/>
      <c r="R494" s="134"/>
      <c r="S494" s="134"/>
      <c r="T494" s="134"/>
      <c r="U494" s="134"/>
      <c r="V494" s="134"/>
      <c r="W494" s="134"/>
      <c r="X494" s="134"/>
      <c r="Y494" s="134"/>
      <c r="Z494" s="134"/>
    </row>
    <row r="495" spans="1:26" ht="15.75" customHeight="1">
      <c r="A495" s="13" t="s">
        <v>5845</v>
      </c>
      <c r="B495" s="13" t="s">
        <v>5846</v>
      </c>
      <c r="C495" s="13" t="s">
        <v>2721</v>
      </c>
      <c r="D495" s="13" t="s">
        <v>5847</v>
      </c>
      <c r="E495" s="13" t="s">
        <v>4866</v>
      </c>
      <c r="F495" s="134" t="str">
        <f t="shared" si="0"/>
        <v/>
      </c>
      <c r="G495" s="134" t="str">
        <f t="shared" si="1"/>
        <v>PINEKNOLL REHABILITATION CENTRE</v>
      </c>
      <c r="H495" s="134"/>
      <c r="I495" s="134"/>
      <c r="J495" s="134"/>
      <c r="K495" s="134"/>
      <c r="L495" s="134"/>
      <c r="M495" s="134"/>
      <c r="N495" s="134"/>
      <c r="O495" s="134"/>
      <c r="P495" s="134"/>
      <c r="Q495" s="134"/>
      <c r="R495" s="134"/>
      <c r="S495" s="134"/>
      <c r="T495" s="134"/>
      <c r="U495" s="134"/>
      <c r="V495" s="134"/>
      <c r="W495" s="134"/>
      <c r="X495" s="134"/>
      <c r="Y495" s="134"/>
      <c r="Z495" s="134"/>
    </row>
    <row r="496" spans="1:26" ht="15.75" customHeight="1">
      <c r="A496" s="13" t="s">
        <v>5848</v>
      </c>
      <c r="B496" s="13" t="s">
        <v>5849</v>
      </c>
      <c r="C496" s="13" t="s">
        <v>2724</v>
      </c>
      <c r="D496" s="13" t="s">
        <v>5850</v>
      </c>
      <c r="E496" s="13" t="s">
        <v>4669</v>
      </c>
      <c r="F496" s="134" t="str">
        <f t="shared" si="0"/>
        <v/>
      </c>
      <c r="G496" s="134" t="str">
        <f t="shared" si="1"/>
        <v>PLAINFIELD HEALTH CARE CENTER</v>
      </c>
      <c r="H496" s="134"/>
      <c r="I496" s="134"/>
      <c r="J496" s="134"/>
      <c r="K496" s="134"/>
      <c r="L496" s="134"/>
      <c r="M496" s="134"/>
      <c r="N496" s="134"/>
      <c r="O496" s="134"/>
      <c r="P496" s="134"/>
      <c r="Q496" s="134"/>
      <c r="R496" s="134"/>
      <c r="S496" s="134"/>
      <c r="T496" s="134"/>
      <c r="U496" s="134"/>
      <c r="V496" s="134"/>
      <c r="W496" s="134"/>
      <c r="X496" s="134"/>
      <c r="Y496" s="134"/>
      <c r="Z496" s="134"/>
    </row>
    <row r="497" spans="1:26" ht="15.75" customHeight="1">
      <c r="A497" s="13" t="s">
        <v>5851</v>
      </c>
      <c r="B497" s="13" t="s">
        <v>5852</v>
      </c>
      <c r="C497" s="13" t="s">
        <v>2728</v>
      </c>
      <c r="D497" s="13" t="s">
        <v>5853</v>
      </c>
      <c r="E497" s="13" t="s">
        <v>5854</v>
      </c>
      <c r="F497" s="134" t="str">
        <f t="shared" si="0"/>
        <v/>
      </c>
      <c r="G497" s="134" t="str">
        <f t="shared" si="1"/>
        <v>PLEASANT VIEW LODGE</v>
      </c>
      <c r="H497" s="134"/>
      <c r="I497" s="134"/>
      <c r="J497" s="134"/>
      <c r="K497" s="134"/>
      <c r="L497" s="134"/>
      <c r="M497" s="134"/>
      <c r="N497" s="134"/>
      <c r="O497" s="134"/>
      <c r="P497" s="134"/>
      <c r="Q497" s="134"/>
      <c r="R497" s="134"/>
      <c r="S497" s="134"/>
      <c r="T497" s="134"/>
      <c r="U497" s="134"/>
      <c r="V497" s="134"/>
      <c r="W497" s="134"/>
      <c r="X497" s="134"/>
      <c r="Y497" s="134"/>
      <c r="Z497" s="134"/>
    </row>
    <row r="498" spans="1:26" ht="15.75" customHeight="1">
      <c r="A498" s="13" t="s">
        <v>5855</v>
      </c>
      <c r="B498" s="13" t="s">
        <v>5856</v>
      </c>
      <c r="C498" s="13" t="s">
        <v>5857</v>
      </c>
      <c r="D498" s="13" t="s">
        <v>5858</v>
      </c>
      <c r="E498" s="13" t="s">
        <v>5859</v>
      </c>
      <c r="F498" s="134" t="str">
        <f t="shared" si="0"/>
        <v/>
      </c>
      <c r="G498" s="134" t="str">
        <f t="shared" si="1"/>
        <v>PORTAGE MANOR HEALTH CARE FACILITY</v>
      </c>
      <c r="H498" s="134"/>
      <c r="I498" s="134"/>
      <c r="J498" s="134"/>
      <c r="K498" s="134"/>
      <c r="L498" s="134"/>
      <c r="M498" s="134"/>
      <c r="N498" s="134"/>
      <c r="O498" s="134"/>
      <c r="P498" s="134"/>
      <c r="Q498" s="134"/>
      <c r="R498" s="134"/>
      <c r="S498" s="134"/>
      <c r="T498" s="134"/>
      <c r="U498" s="134"/>
      <c r="V498" s="134"/>
      <c r="W498" s="134"/>
      <c r="X498" s="134"/>
      <c r="Y498" s="134"/>
      <c r="Z498" s="134"/>
    </row>
    <row r="499" spans="1:26" ht="15.75" customHeight="1">
      <c r="A499" s="13" t="s">
        <v>5860</v>
      </c>
      <c r="B499" s="13" t="s">
        <v>5861</v>
      </c>
      <c r="C499" s="13" t="s">
        <v>2733</v>
      </c>
      <c r="D499" s="13" t="s">
        <v>5862</v>
      </c>
      <c r="E499" s="13" t="s">
        <v>5089</v>
      </c>
      <c r="F499" s="134" t="str">
        <f t="shared" si="0"/>
        <v/>
      </c>
      <c r="G499" s="134" t="str">
        <f t="shared" si="1"/>
        <v>PRAIRIE LAKES HEALTH CAMPUS</v>
      </c>
      <c r="H499" s="134"/>
      <c r="I499" s="134"/>
      <c r="J499" s="134"/>
      <c r="K499" s="134"/>
      <c r="L499" s="134"/>
      <c r="M499" s="134"/>
      <c r="N499" s="134"/>
      <c r="O499" s="134"/>
      <c r="P499" s="134"/>
      <c r="Q499" s="134"/>
      <c r="R499" s="134"/>
      <c r="S499" s="134"/>
      <c r="T499" s="134"/>
      <c r="U499" s="134"/>
      <c r="V499" s="134"/>
      <c r="W499" s="134"/>
      <c r="X499" s="134"/>
      <c r="Y499" s="134"/>
      <c r="Z499" s="134"/>
    </row>
    <row r="500" spans="1:26" ht="15.75" customHeight="1">
      <c r="A500" s="13" t="s">
        <v>5863</v>
      </c>
      <c r="B500" s="13" t="s">
        <v>5864</v>
      </c>
      <c r="C500" s="13" t="s">
        <v>2737</v>
      </c>
      <c r="D500" s="13" t="s">
        <v>5865</v>
      </c>
      <c r="E500" s="13" t="s">
        <v>4710</v>
      </c>
      <c r="F500" s="134" t="str">
        <f t="shared" si="0"/>
        <v/>
      </c>
      <c r="G500" s="134" t="str">
        <f t="shared" si="1"/>
        <v>PRAIRIE VILLAGE NURSING AND REHABILITATION</v>
      </c>
      <c r="H500" s="134"/>
      <c r="I500" s="134"/>
      <c r="J500" s="134"/>
      <c r="K500" s="134"/>
      <c r="L500" s="134"/>
      <c r="M500" s="134"/>
      <c r="N500" s="134"/>
      <c r="O500" s="134"/>
      <c r="P500" s="134"/>
      <c r="Q500" s="134"/>
      <c r="R500" s="134"/>
      <c r="S500" s="134"/>
      <c r="T500" s="134"/>
      <c r="U500" s="134"/>
      <c r="V500" s="134"/>
      <c r="W500" s="134"/>
      <c r="X500" s="134"/>
      <c r="Y500" s="134"/>
      <c r="Z500" s="134"/>
    </row>
    <row r="501" spans="1:26" ht="15.75" customHeight="1">
      <c r="A501" s="13" t="s">
        <v>5866</v>
      </c>
      <c r="B501" s="13" t="s">
        <v>5867</v>
      </c>
      <c r="C501" s="13" t="s">
        <v>2741</v>
      </c>
      <c r="D501" s="13" t="s">
        <v>5868</v>
      </c>
      <c r="E501" s="13" t="s">
        <v>4495</v>
      </c>
      <c r="F501" s="134" t="str">
        <f t="shared" si="0"/>
        <v/>
      </c>
      <c r="G501" s="134" t="str">
        <f t="shared" si="1"/>
        <v>PREMIER HEALTHCARE OF NEW HARMONY</v>
      </c>
      <c r="H501" s="134"/>
      <c r="I501" s="134"/>
      <c r="J501" s="134"/>
      <c r="K501" s="134"/>
      <c r="L501" s="134"/>
      <c r="M501" s="134"/>
      <c r="N501" s="134"/>
      <c r="O501" s="134"/>
      <c r="P501" s="134"/>
      <c r="Q501" s="134"/>
      <c r="R501" s="134"/>
      <c r="S501" s="134"/>
      <c r="T501" s="134"/>
      <c r="U501" s="134"/>
      <c r="V501" s="134"/>
      <c r="W501" s="134"/>
      <c r="X501" s="134"/>
      <c r="Y501" s="134"/>
      <c r="Z501" s="134"/>
    </row>
    <row r="502" spans="1:26" ht="15.75" customHeight="1">
      <c r="A502" s="13" t="s">
        <v>5869</v>
      </c>
      <c r="B502" s="13" t="s">
        <v>5870</v>
      </c>
      <c r="C502" s="13" t="s">
        <v>5871</v>
      </c>
      <c r="D502" s="13" t="s">
        <v>5872</v>
      </c>
      <c r="E502" s="13" t="s">
        <v>5873</v>
      </c>
      <c r="F502" s="134" t="str">
        <f t="shared" si="0"/>
        <v/>
      </c>
      <c r="G502" s="134" t="str">
        <f t="shared" si="1"/>
        <v>PRESENCE SACRED HEART HOME</v>
      </c>
      <c r="H502" s="134"/>
      <c r="I502" s="134"/>
      <c r="J502" s="134"/>
      <c r="K502" s="134"/>
      <c r="L502" s="134"/>
      <c r="M502" s="134"/>
      <c r="N502" s="134"/>
      <c r="O502" s="134"/>
      <c r="P502" s="134"/>
      <c r="Q502" s="134"/>
      <c r="R502" s="134"/>
      <c r="S502" s="134"/>
      <c r="T502" s="134"/>
      <c r="U502" s="134"/>
      <c r="V502" s="134"/>
      <c r="W502" s="134"/>
      <c r="X502" s="134"/>
      <c r="Y502" s="134"/>
      <c r="Z502" s="134"/>
    </row>
    <row r="503" spans="1:26" ht="15.75" hidden="1" customHeight="1">
      <c r="A503" s="13" t="s">
        <v>5874</v>
      </c>
      <c r="B503" s="13" t="s">
        <v>5875</v>
      </c>
      <c r="C503" s="13" t="s">
        <v>5876</v>
      </c>
      <c r="D503" s="13" t="s">
        <v>5877</v>
      </c>
      <c r="E503" s="13" t="s">
        <v>4718</v>
      </c>
      <c r="F503" s="134" t="str">
        <f t="shared" si="0"/>
        <v/>
      </c>
      <c r="G503" s="134" t="str">
        <f t="shared" si="1"/>
        <v>PRIMROSE MEMORY CARE OF ANDERSON</v>
      </c>
      <c r="H503" s="134"/>
      <c r="I503" s="134"/>
      <c r="J503" s="134"/>
      <c r="K503" s="134"/>
      <c r="L503" s="134"/>
      <c r="M503" s="134"/>
      <c r="N503" s="134"/>
      <c r="O503" s="134"/>
      <c r="P503" s="134"/>
      <c r="Q503" s="134"/>
      <c r="R503" s="134"/>
      <c r="S503" s="134"/>
      <c r="T503" s="134"/>
      <c r="U503" s="134"/>
      <c r="V503" s="134"/>
      <c r="W503" s="134"/>
      <c r="X503" s="134"/>
      <c r="Y503" s="134"/>
      <c r="Z503" s="134"/>
    </row>
    <row r="504" spans="1:26" ht="15.75" customHeight="1">
      <c r="A504" s="13" t="s">
        <v>5878</v>
      </c>
      <c r="B504" s="13" t="s">
        <v>5879</v>
      </c>
      <c r="C504" s="13" t="s">
        <v>2748</v>
      </c>
      <c r="D504" s="13" t="s">
        <v>5880</v>
      </c>
      <c r="E504" s="13" t="s">
        <v>4938</v>
      </c>
      <c r="F504" s="134" t="str">
        <f t="shared" si="0"/>
        <v/>
      </c>
      <c r="G504" s="134" t="str">
        <f t="shared" si="1"/>
        <v>PRIMROSE OF MISHAWAKA</v>
      </c>
      <c r="H504" s="134"/>
      <c r="I504" s="134"/>
      <c r="J504" s="134"/>
      <c r="K504" s="134"/>
      <c r="L504" s="134"/>
      <c r="M504" s="134"/>
      <c r="N504" s="134"/>
      <c r="O504" s="134"/>
      <c r="P504" s="134"/>
      <c r="Q504" s="134"/>
      <c r="R504" s="134"/>
      <c r="S504" s="134"/>
      <c r="T504" s="134"/>
      <c r="U504" s="134"/>
      <c r="V504" s="134"/>
      <c r="W504" s="134"/>
      <c r="X504" s="134"/>
      <c r="Y504" s="134"/>
      <c r="Z504" s="134"/>
    </row>
    <row r="505" spans="1:26" ht="15.75" hidden="1" customHeight="1">
      <c r="A505" s="13" t="s">
        <v>5881</v>
      </c>
      <c r="B505" s="13" t="s">
        <v>5882</v>
      </c>
      <c r="C505" s="13" t="s">
        <v>5883</v>
      </c>
      <c r="D505" s="13" t="s">
        <v>5884</v>
      </c>
      <c r="E505" s="13" t="s">
        <v>4225</v>
      </c>
      <c r="F505" s="134" t="str">
        <f t="shared" si="0"/>
        <v/>
      </c>
      <c r="G505" s="134" t="str">
        <f t="shared" si="1"/>
        <v>PRIMROSE OF NEWBURGH</v>
      </c>
      <c r="H505" s="134"/>
      <c r="I505" s="134"/>
      <c r="J505" s="134"/>
      <c r="K505" s="134"/>
      <c r="L505" s="134"/>
      <c r="M505" s="134"/>
      <c r="N505" s="134"/>
      <c r="O505" s="134"/>
      <c r="P505" s="134"/>
      <c r="Q505" s="134"/>
      <c r="R505" s="134"/>
      <c r="S505" s="134"/>
      <c r="T505" s="134"/>
      <c r="U505" s="134"/>
      <c r="V505" s="134"/>
      <c r="W505" s="134"/>
      <c r="X505" s="134"/>
      <c r="Y505" s="134"/>
      <c r="Z505" s="134"/>
    </row>
    <row r="506" spans="1:26" ht="15.75" customHeight="1">
      <c r="A506" s="13" t="s">
        <v>5885</v>
      </c>
      <c r="B506" s="13" t="s">
        <v>5886</v>
      </c>
      <c r="C506" s="13" t="s">
        <v>5887</v>
      </c>
      <c r="D506" s="13" t="s">
        <v>5888</v>
      </c>
      <c r="E506" s="13" t="s">
        <v>4718</v>
      </c>
      <c r="F506" s="134" t="str">
        <f t="shared" si="0"/>
        <v/>
      </c>
      <c r="G506" s="134" t="str">
        <f t="shared" si="1"/>
        <v>PRIMROSE RETIREMENT COMMUNITY OF ANDERSON</v>
      </c>
      <c r="H506" s="134"/>
      <c r="I506" s="134"/>
      <c r="J506" s="134"/>
      <c r="K506" s="134"/>
      <c r="L506" s="134"/>
      <c r="M506" s="134"/>
      <c r="N506" s="134"/>
      <c r="O506" s="134"/>
      <c r="P506" s="134"/>
      <c r="Q506" s="134"/>
      <c r="R506" s="134"/>
      <c r="S506" s="134"/>
      <c r="T506" s="134"/>
      <c r="U506" s="134"/>
      <c r="V506" s="134"/>
      <c r="W506" s="134"/>
      <c r="X506" s="134"/>
      <c r="Y506" s="134"/>
      <c r="Z506" s="134"/>
    </row>
    <row r="507" spans="1:26" ht="15.75" customHeight="1">
      <c r="A507" s="13" t="s">
        <v>5889</v>
      </c>
      <c r="B507" s="13" t="s">
        <v>5890</v>
      </c>
      <c r="C507" s="13" t="s">
        <v>5891</v>
      </c>
      <c r="D507" s="13" t="s">
        <v>5892</v>
      </c>
      <c r="E507" s="13" t="s">
        <v>4805</v>
      </c>
      <c r="F507" s="134" t="str">
        <f t="shared" si="0"/>
        <v/>
      </c>
      <c r="G507" s="134" t="str">
        <f t="shared" si="1"/>
        <v>PRIMROSE RETIREMENT COMMUNITY OF KOKOMO</v>
      </c>
      <c r="H507" s="134"/>
      <c r="I507" s="134"/>
      <c r="J507" s="134"/>
      <c r="K507" s="134"/>
      <c r="L507" s="134"/>
      <c r="M507" s="134"/>
      <c r="N507" s="134"/>
      <c r="O507" s="134"/>
      <c r="P507" s="134"/>
      <c r="Q507" s="134"/>
      <c r="R507" s="134"/>
      <c r="S507" s="134"/>
      <c r="T507" s="134"/>
      <c r="U507" s="134"/>
      <c r="V507" s="134"/>
      <c r="W507" s="134"/>
      <c r="X507" s="134"/>
      <c r="Y507" s="134"/>
      <c r="Z507" s="134"/>
    </row>
    <row r="508" spans="1:26" ht="15.75" customHeight="1">
      <c r="A508" s="13" t="s">
        <v>5893</v>
      </c>
      <c r="B508" s="13" t="s">
        <v>5894</v>
      </c>
      <c r="C508" s="13" t="s">
        <v>2751</v>
      </c>
      <c r="D508" s="13" t="s">
        <v>5895</v>
      </c>
      <c r="E508" s="13" t="s">
        <v>4718</v>
      </c>
      <c r="F508" s="134" t="str">
        <f t="shared" si="0"/>
        <v/>
      </c>
      <c r="G508" s="134" t="str">
        <f t="shared" si="1"/>
        <v>PROVIDENCE ANDERSON</v>
      </c>
      <c r="H508" s="134"/>
      <c r="I508" s="134"/>
      <c r="J508" s="134"/>
      <c r="K508" s="134"/>
      <c r="L508" s="134"/>
      <c r="M508" s="134"/>
      <c r="N508" s="134"/>
      <c r="O508" s="134"/>
      <c r="P508" s="134"/>
      <c r="Q508" s="134"/>
      <c r="R508" s="134"/>
      <c r="S508" s="134"/>
      <c r="T508" s="134"/>
      <c r="U508" s="134"/>
      <c r="V508" s="134"/>
      <c r="W508" s="134"/>
      <c r="X508" s="134"/>
      <c r="Y508" s="134"/>
      <c r="Z508" s="134"/>
    </row>
    <row r="509" spans="1:26" ht="15.75" customHeight="1">
      <c r="A509" s="13" t="s">
        <v>5896</v>
      </c>
      <c r="B509" s="13" t="s">
        <v>5897</v>
      </c>
      <c r="C509" s="13" t="s">
        <v>2754</v>
      </c>
      <c r="D509" s="13" t="s">
        <v>5898</v>
      </c>
      <c r="E509" s="13" t="s">
        <v>5899</v>
      </c>
      <c r="F509" s="134" t="str">
        <f t="shared" si="0"/>
        <v/>
      </c>
      <c r="G509" s="134" t="str">
        <f t="shared" si="1"/>
        <v>PROVIDENCE HEALTH CARE CENTER</v>
      </c>
      <c r="H509" s="134"/>
      <c r="I509" s="134"/>
      <c r="J509" s="134"/>
      <c r="K509" s="134"/>
      <c r="L509" s="134"/>
      <c r="M509" s="134"/>
      <c r="N509" s="134"/>
      <c r="O509" s="134"/>
      <c r="P509" s="134"/>
      <c r="Q509" s="134"/>
      <c r="R509" s="134"/>
      <c r="S509" s="134"/>
      <c r="T509" s="134"/>
      <c r="U509" s="134"/>
      <c r="V509" s="134"/>
      <c r="W509" s="134"/>
      <c r="X509" s="134"/>
      <c r="Y509" s="134"/>
      <c r="Z509" s="134"/>
    </row>
    <row r="510" spans="1:26" ht="15.75" customHeight="1">
      <c r="A510" s="13" t="s">
        <v>5900</v>
      </c>
      <c r="B510" s="13" t="s">
        <v>5901</v>
      </c>
      <c r="C510" s="13" t="s">
        <v>2758</v>
      </c>
      <c r="D510" s="13" t="s">
        <v>5902</v>
      </c>
      <c r="E510" s="13" t="s">
        <v>5259</v>
      </c>
      <c r="F510" s="134" t="str">
        <f t="shared" si="0"/>
        <v/>
      </c>
      <c r="G510" s="134" t="str">
        <f t="shared" si="1"/>
        <v>PULASKI HEALTH CARE CENTER</v>
      </c>
      <c r="H510" s="134"/>
      <c r="I510" s="134"/>
      <c r="J510" s="134"/>
      <c r="K510" s="134"/>
      <c r="L510" s="134"/>
      <c r="M510" s="134"/>
      <c r="N510" s="134"/>
      <c r="O510" s="134"/>
      <c r="P510" s="134"/>
      <c r="Q510" s="134"/>
      <c r="R510" s="134"/>
      <c r="S510" s="134"/>
      <c r="T510" s="134"/>
      <c r="U510" s="134"/>
      <c r="V510" s="134"/>
      <c r="W510" s="134"/>
      <c r="X510" s="134"/>
      <c r="Y510" s="134"/>
      <c r="Z510" s="134"/>
    </row>
    <row r="511" spans="1:26" ht="15.75" customHeight="1">
      <c r="A511" s="13" t="s">
        <v>5903</v>
      </c>
      <c r="B511" s="13" t="s">
        <v>5904</v>
      </c>
      <c r="C511" s="13" t="s">
        <v>2760</v>
      </c>
      <c r="D511" s="13" t="s">
        <v>5905</v>
      </c>
      <c r="E511" s="13" t="s">
        <v>4866</v>
      </c>
      <c r="F511" s="134" t="str">
        <f t="shared" si="0"/>
        <v/>
      </c>
      <c r="G511" s="134" t="str">
        <f t="shared" si="1"/>
        <v>RANDOLPH NURSING HOME</v>
      </c>
      <c r="H511" s="134"/>
      <c r="I511" s="134"/>
      <c r="J511" s="134"/>
      <c r="K511" s="134"/>
      <c r="L511" s="134"/>
      <c r="M511" s="134"/>
      <c r="N511" s="134"/>
      <c r="O511" s="134"/>
      <c r="P511" s="134"/>
      <c r="Q511" s="134"/>
      <c r="R511" s="134"/>
      <c r="S511" s="134"/>
      <c r="T511" s="134"/>
      <c r="U511" s="134"/>
      <c r="V511" s="134"/>
      <c r="W511" s="134"/>
      <c r="X511" s="134"/>
      <c r="Y511" s="134"/>
      <c r="Z511" s="134"/>
    </row>
    <row r="512" spans="1:26" ht="15.75" customHeight="1">
      <c r="A512" s="13" t="s">
        <v>5906</v>
      </c>
      <c r="B512" s="13" t="s">
        <v>5907</v>
      </c>
      <c r="C512" s="13" t="s">
        <v>5908</v>
      </c>
      <c r="D512" s="13" t="s">
        <v>5909</v>
      </c>
      <c r="E512" s="13" t="s">
        <v>5910</v>
      </c>
      <c r="F512" s="134" t="str">
        <f t="shared" si="0"/>
        <v/>
      </c>
      <c r="G512" s="134" t="str">
        <f t="shared" si="1"/>
        <v>RAWLINS HOUSE HEALTH &amp; LIVING COMMUNITY</v>
      </c>
      <c r="H512" s="134"/>
      <c r="I512" s="134"/>
      <c r="J512" s="134"/>
      <c r="K512" s="134"/>
      <c r="L512" s="134"/>
      <c r="M512" s="134"/>
      <c r="N512" s="134"/>
      <c r="O512" s="134"/>
      <c r="P512" s="134"/>
      <c r="Q512" s="134"/>
      <c r="R512" s="134"/>
      <c r="S512" s="134"/>
      <c r="T512" s="134"/>
      <c r="U512" s="134"/>
      <c r="V512" s="134"/>
      <c r="W512" s="134"/>
      <c r="X512" s="134"/>
      <c r="Y512" s="134"/>
      <c r="Z512" s="134"/>
    </row>
    <row r="513" spans="1:26" ht="15.75" customHeight="1">
      <c r="A513" s="13" t="s">
        <v>5911</v>
      </c>
      <c r="B513" s="13" t="s">
        <v>5912</v>
      </c>
      <c r="C513" s="13" t="s">
        <v>2767</v>
      </c>
      <c r="D513" s="13" t="s">
        <v>5913</v>
      </c>
      <c r="E513" s="13" t="s">
        <v>4164</v>
      </c>
      <c r="F513" s="134" t="str">
        <f t="shared" si="0"/>
        <v/>
      </c>
      <c r="G513" s="134" t="str">
        <f t="shared" si="1"/>
        <v>REHABILITATION CENTER AT HARTSFIELD VILLAGE</v>
      </c>
      <c r="H513" s="134"/>
      <c r="I513" s="134"/>
      <c r="J513" s="134"/>
      <c r="K513" s="134"/>
      <c r="L513" s="134"/>
      <c r="M513" s="134"/>
      <c r="N513" s="134"/>
      <c r="O513" s="134"/>
      <c r="P513" s="134"/>
      <c r="Q513" s="134"/>
      <c r="R513" s="134"/>
      <c r="S513" s="134"/>
      <c r="T513" s="134"/>
      <c r="U513" s="134"/>
      <c r="V513" s="134"/>
      <c r="W513" s="134"/>
      <c r="X513" s="134"/>
      <c r="Y513" s="134"/>
      <c r="Z513" s="134"/>
    </row>
    <row r="514" spans="1:26" ht="15.75" customHeight="1">
      <c r="A514" s="13" t="s">
        <v>5914</v>
      </c>
      <c r="B514" s="13" t="s">
        <v>5915</v>
      </c>
      <c r="C514" s="13" t="s">
        <v>2771</v>
      </c>
      <c r="D514" s="13" t="s">
        <v>5916</v>
      </c>
      <c r="E514" s="13" t="s">
        <v>4829</v>
      </c>
      <c r="F514" s="134" t="str">
        <f t="shared" si="0"/>
        <v/>
      </c>
      <c r="G514" s="134" t="str">
        <f t="shared" si="1"/>
        <v>RENSSELAER CARE CENTER</v>
      </c>
      <c r="H514" s="134"/>
      <c r="I514" s="134"/>
      <c r="J514" s="134"/>
      <c r="K514" s="134"/>
      <c r="L514" s="134"/>
      <c r="M514" s="134"/>
      <c r="N514" s="134"/>
      <c r="O514" s="134"/>
      <c r="P514" s="134"/>
      <c r="Q514" s="134"/>
      <c r="R514" s="134"/>
      <c r="S514" s="134"/>
      <c r="T514" s="134"/>
      <c r="U514" s="134"/>
      <c r="V514" s="134"/>
      <c r="W514" s="134"/>
      <c r="X514" s="134"/>
      <c r="Y514" s="134"/>
      <c r="Z514" s="134"/>
    </row>
    <row r="515" spans="1:26" ht="15.75" hidden="1" customHeight="1">
      <c r="A515" s="13" t="s">
        <v>5917</v>
      </c>
      <c r="B515" s="13" t="s">
        <v>5918</v>
      </c>
      <c r="C515" s="13" t="s">
        <v>5919</v>
      </c>
      <c r="D515" s="13" t="s">
        <v>5920</v>
      </c>
      <c r="E515" s="13" t="s">
        <v>4015</v>
      </c>
      <c r="F515" s="134" t="str">
        <f t="shared" si="0"/>
        <v/>
      </c>
      <c r="G515" s="134" t="str">
        <f t="shared" si="1"/>
        <v>RESIDENCES AT COFFEE CREEK</v>
      </c>
      <c r="H515" s="134"/>
      <c r="I515" s="134"/>
      <c r="J515" s="134"/>
      <c r="K515" s="134"/>
      <c r="L515" s="134"/>
      <c r="M515" s="134"/>
      <c r="N515" s="134"/>
      <c r="O515" s="134"/>
      <c r="P515" s="134"/>
      <c r="Q515" s="134"/>
      <c r="R515" s="134"/>
      <c r="S515" s="134"/>
      <c r="T515" s="134"/>
      <c r="U515" s="134"/>
      <c r="V515" s="134"/>
      <c r="W515" s="134"/>
      <c r="X515" s="134"/>
      <c r="Y515" s="134"/>
      <c r="Z515" s="134"/>
    </row>
    <row r="516" spans="1:26" ht="15.75" hidden="1" customHeight="1">
      <c r="A516" s="13" t="s">
        <v>5921</v>
      </c>
      <c r="B516" s="13" t="s">
        <v>5922</v>
      </c>
      <c r="C516" s="13" t="s">
        <v>5923</v>
      </c>
      <c r="D516" s="13" t="s">
        <v>5924</v>
      </c>
      <c r="E516" s="13" t="s">
        <v>4518</v>
      </c>
      <c r="F516" s="134" t="str">
        <f t="shared" si="0"/>
        <v/>
      </c>
      <c r="G516" s="134" t="str">
        <f t="shared" si="1"/>
        <v>RESIDENCES AT DEER CREEK</v>
      </c>
      <c r="H516" s="134"/>
      <c r="I516" s="134"/>
      <c r="J516" s="134"/>
      <c r="K516" s="134"/>
      <c r="L516" s="134"/>
      <c r="M516" s="134"/>
      <c r="N516" s="134"/>
      <c r="O516" s="134"/>
      <c r="P516" s="134"/>
      <c r="Q516" s="134"/>
      <c r="R516" s="134"/>
      <c r="S516" s="134"/>
      <c r="T516" s="134"/>
      <c r="U516" s="134"/>
      <c r="V516" s="134"/>
      <c r="W516" s="134"/>
      <c r="X516" s="134"/>
      <c r="Y516" s="134"/>
      <c r="Z516" s="134"/>
    </row>
    <row r="517" spans="1:26" ht="15.75" customHeight="1">
      <c r="A517" s="13" t="s">
        <v>5925</v>
      </c>
      <c r="B517" s="13" t="s">
        <v>5926</v>
      </c>
      <c r="C517" s="13" t="s">
        <v>5927</v>
      </c>
      <c r="D517" s="13" t="s">
        <v>5928</v>
      </c>
      <c r="E517" s="13" t="s">
        <v>4216</v>
      </c>
      <c r="F517" s="134" t="str">
        <f t="shared" si="0"/>
        <v/>
      </c>
      <c r="G517" s="134" t="str">
        <f t="shared" si="1"/>
        <v>RETREAT AT THE STRATFORD, THE</v>
      </c>
      <c r="H517" s="134"/>
      <c r="I517" s="134"/>
      <c r="J517" s="134"/>
      <c r="K517" s="134"/>
      <c r="L517" s="134"/>
      <c r="M517" s="134"/>
      <c r="N517" s="134"/>
      <c r="O517" s="134"/>
      <c r="P517" s="134"/>
      <c r="Q517" s="134"/>
      <c r="R517" s="134"/>
      <c r="S517" s="134"/>
      <c r="T517" s="134"/>
      <c r="U517" s="134"/>
      <c r="V517" s="134"/>
      <c r="W517" s="134"/>
      <c r="X517" s="134"/>
      <c r="Y517" s="134"/>
      <c r="Z517" s="134"/>
    </row>
    <row r="518" spans="1:26" ht="15.75" customHeight="1">
      <c r="A518" s="13" t="s">
        <v>5929</v>
      </c>
      <c r="B518" s="13" t="s">
        <v>4772</v>
      </c>
      <c r="C518" s="13" t="s">
        <v>2777</v>
      </c>
      <c r="D518" s="13" t="s">
        <v>5930</v>
      </c>
      <c r="E518" s="13" t="s">
        <v>5931</v>
      </c>
      <c r="F518" s="134" t="str">
        <f t="shared" si="0"/>
        <v/>
      </c>
      <c r="G518" s="134" t="str">
        <f t="shared" si="1"/>
        <v>RICHLAND BEAN BLOSSOM HEALTH CARE CENTER</v>
      </c>
      <c r="H518" s="134"/>
      <c r="I518" s="134"/>
      <c r="J518" s="134"/>
      <c r="K518" s="134"/>
      <c r="L518" s="134"/>
      <c r="M518" s="134"/>
      <c r="N518" s="134"/>
      <c r="O518" s="134"/>
      <c r="P518" s="134"/>
      <c r="Q518" s="134"/>
      <c r="R518" s="134"/>
      <c r="S518" s="134"/>
      <c r="T518" s="134"/>
      <c r="U518" s="134"/>
      <c r="V518" s="134"/>
      <c r="W518" s="134"/>
      <c r="X518" s="134"/>
      <c r="Y518" s="134"/>
      <c r="Z518" s="134"/>
    </row>
    <row r="519" spans="1:26" ht="15.75" customHeight="1">
      <c r="A519" s="13" t="s">
        <v>5932</v>
      </c>
      <c r="B519" s="13" t="s">
        <v>5933</v>
      </c>
      <c r="C519" s="13" t="s">
        <v>2783</v>
      </c>
      <c r="D519" s="13" t="s">
        <v>5934</v>
      </c>
      <c r="E519" s="13" t="s">
        <v>5844</v>
      </c>
      <c r="F519" s="134" t="str">
        <f t="shared" si="0"/>
        <v/>
      </c>
      <c r="G519" s="134" t="str">
        <f t="shared" si="1"/>
        <v>RIDGEWOOD HEALTH CAMPUS</v>
      </c>
      <c r="H519" s="134"/>
      <c r="I519" s="134"/>
      <c r="J519" s="134"/>
      <c r="K519" s="134"/>
      <c r="L519" s="134"/>
      <c r="M519" s="134"/>
      <c r="N519" s="134"/>
      <c r="O519" s="134"/>
      <c r="P519" s="134"/>
      <c r="Q519" s="134"/>
      <c r="R519" s="134"/>
      <c r="S519" s="134"/>
      <c r="T519" s="134"/>
      <c r="U519" s="134"/>
      <c r="V519" s="134"/>
      <c r="W519" s="134"/>
      <c r="X519" s="134"/>
      <c r="Y519" s="134"/>
      <c r="Z519" s="134"/>
    </row>
    <row r="520" spans="1:26" ht="15.75" customHeight="1">
      <c r="A520" s="13" t="s">
        <v>5935</v>
      </c>
      <c r="B520" s="13" t="s">
        <v>5936</v>
      </c>
      <c r="C520" s="13" t="s">
        <v>2788</v>
      </c>
      <c r="D520" s="13" t="s">
        <v>5937</v>
      </c>
      <c r="E520" s="13" t="s">
        <v>5938</v>
      </c>
      <c r="F520" s="134" t="str">
        <f t="shared" si="0"/>
        <v/>
      </c>
      <c r="G520" s="134" t="str">
        <f t="shared" si="1"/>
        <v>RIPLEY CROSSING</v>
      </c>
      <c r="H520" s="134"/>
      <c r="I520" s="134"/>
      <c r="J520" s="134"/>
      <c r="K520" s="134"/>
      <c r="L520" s="134"/>
      <c r="M520" s="134"/>
      <c r="N520" s="134"/>
      <c r="O520" s="134"/>
      <c r="P520" s="134"/>
      <c r="Q520" s="134"/>
      <c r="R520" s="134"/>
      <c r="S520" s="134"/>
      <c r="T520" s="134"/>
      <c r="U520" s="134"/>
      <c r="V520" s="134"/>
      <c r="W520" s="134"/>
      <c r="X520" s="134"/>
      <c r="Y520" s="134"/>
      <c r="Z520" s="134"/>
    </row>
    <row r="521" spans="1:26" ht="15.75" customHeight="1">
      <c r="A521" s="13" t="s">
        <v>5939</v>
      </c>
      <c r="B521" s="13" t="s">
        <v>5940</v>
      </c>
      <c r="C521" s="13" t="s">
        <v>5941</v>
      </c>
      <c r="D521" s="13" t="s">
        <v>5942</v>
      </c>
      <c r="E521" s="13" t="s">
        <v>4075</v>
      </c>
      <c r="F521" s="134" t="str">
        <f t="shared" si="0"/>
        <v/>
      </c>
      <c r="G521" s="134" t="str">
        <f t="shared" si="1"/>
        <v>RITTENHOUSE VILLAGE AT MICHIGAN CITY</v>
      </c>
      <c r="H521" s="134"/>
      <c r="I521" s="134"/>
      <c r="J521" s="134"/>
      <c r="K521" s="134"/>
      <c r="L521" s="134"/>
      <c r="M521" s="134"/>
      <c r="N521" s="134"/>
      <c r="O521" s="134"/>
      <c r="P521" s="134"/>
      <c r="Q521" s="134"/>
      <c r="R521" s="134"/>
      <c r="S521" s="134"/>
      <c r="T521" s="134"/>
      <c r="U521" s="134"/>
      <c r="V521" s="134"/>
      <c r="W521" s="134"/>
      <c r="X521" s="134"/>
      <c r="Y521" s="134"/>
      <c r="Z521" s="134"/>
    </row>
    <row r="522" spans="1:26" ht="15.75" hidden="1" customHeight="1">
      <c r="A522" s="13" t="s">
        <v>5943</v>
      </c>
      <c r="B522" s="13" t="s">
        <v>5944</v>
      </c>
      <c r="C522" s="13" t="s">
        <v>5945</v>
      </c>
      <c r="D522" s="13" t="s">
        <v>5946</v>
      </c>
      <c r="E522" s="13" t="s">
        <v>3998</v>
      </c>
      <c r="F522" s="134" t="str">
        <f t="shared" si="0"/>
        <v/>
      </c>
      <c r="G522" s="134" t="str">
        <f t="shared" si="1"/>
        <v>RITTENHOUSE VILLAGE AT NORTHSIDE</v>
      </c>
      <c r="H522" s="134"/>
      <c r="I522" s="134"/>
      <c r="J522" s="134"/>
      <c r="K522" s="134"/>
      <c r="L522" s="134"/>
      <c r="M522" s="134"/>
      <c r="N522" s="134"/>
      <c r="O522" s="134"/>
      <c r="P522" s="134"/>
      <c r="Q522" s="134"/>
      <c r="R522" s="134"/>
      <c r="S522" s="134"/>
      <c r="T522" s="134"/>
      <c r="U522" s="134"/>
      <c r="V522" s="134"/>
      <c r="W522" s="134"/>
      <c r="X522" s="134"/>
      <c r="Y522" s="134"/>
      <c r="Z522" s="134"/>
    </row>
    <row r="523" spans="1:26" ht="15.75" customHeight="1">
      <c r="A523" s="13" t="s">
        <v>5947</v>
      </c>
      <c r="B523" s="13" t="s">
        <v>5948</v>
      </c>
      <c r="C523" s="13" t="s">
        <v>5949</v>
      </c>
      <c r="D523" s="13" t="s">
        <v>5950</v>
      </c>
      <c r="E523" s="13" t="s">
        <v>4908</v>
      </c>
      <c r="F523" s="134" t="str">
        <f t="shared" si="0"/>
        <v/>
      </c>
      <c r="G523" s="134" t="str">
        <f t="shared" si="1"/>
        <v>RITTENHOUSE VILLAGE AT PORTAGE</v>
      </c>
      <c r="H523" s="134"/>
      <c r="I523" s="134"/>
      <c r="J523" s="134"/>
      <c r="K523" s="134"/>
      <c r="L523" s="134"/>
      <c r="M523" s="134"/>
      <c r="N523" s="134"/>
      <c r="O523" s="134"/>
      <c r="P523" s="134"/>
      <c r="Q523" s="134"/>
      <c r="R523" s="134"/>
      <c r="S523" s="134"/>
      <c r="T523" s="134"/>
      <c r="U523" s="134"/>
      <c r="V523" s="134"/>
      <c r="W523" s="134"/>
      <c r="X523" s="134"/>
      <c r="Y523" s="134"/>
      <c r="Z523" s="134"/>
    </row>
    <row r="524" spans="1:26" ht="15.75" hidden="1" customHeight="1">
      <c r="A524" s="13" t="s">
        <v>5951</v>
      </c>
      <c r="B524" s="13" t="s">
        <v>5952</v>
      </c>
      <c r="C524" s="13" t="s">
        <v>5953</v>
      </c>
      <c r="D524" s="13" t="s">
        <v>5954</v>
      </c>
      <c r="E524" s="13" t="s">
        <v>4199</v>
      </c>
      <c r="F524" s="134" t="str">
        <f t="shared" si="0"/>
        <v/>
      </c>
      <c r="G524" s="134" t="str">
        <f t="shared" si="1"/>
        <v>RITTENHOUSE VILLAGE AT VALPARAISO</v>
      </c>
      <c r="H524" s="134"/>
      <c r="I524" s="134"/>
      <c r="J524" s="134"/>
      <c r="K524" s="134"/>
      <c r="L524" s="134"/>
      <c r="M524" s="134"/>
      <c r="N524" s="134"/>
      <c r="O524" s="134"/>
      <c r="P524" s="134"/>
      <c r="Q524" s="134"/>
      <c r="R524" s="134"/>
      <c r="S524" s="134"/>
      <c r="T524" s="134"/>
      <c r="U524" s="134"/>
      <c r="V524" s="134"/>
      <c r="W524" s="134"/>
      <c r="X524" s="134"/>
      <c r="Y524" s="134"/>
      <c r="Z524" s="134"/>
    </row>
    <row r="525" spans="1:26" ht="15.75" customHeight="1">
      <c r="A525" s="13" t="s">
        <v>5955</v>
      </c>
      <c r="B525" s="13" t="s">
        <v>5956</v>
      </c>
      <c r="C525" s="13" t="s">
        <v>5957</v>
      </c>
      <c r="D525" s="13" t="s">
        <v>5958</v>
      </c>
      <c r="E525" s="13" t="s">
        <v>5959</v>
      </c>
      <c r="F525" s="134" t="str">
        <f t="shared" si="0"/>
        <v/>
      </c>
      <c r="G525" s="134" t="str">
        <f t="shared" si="1"/>
        <v>RIVER CROSSING ASSISTED LIVING</v>
      </c>
      <c r="H525" s="134"/>
      <c r="I525" s="134"/>
      <c r="J525" s="134"/>
      <c r="K525" s="134"/>
      <c r="L525" s="134"/>
      <c r="M525" s="134"/>
      <c r="N525" s="134"/>
      <c r="O525" s="134"/>
      <c r="P525" s="134"/>
      <c r="Q525" s="134"/>
      <c r="R525" s="134"/>
      <c r="S525" s="134"/>
      <c r="T525" s="134"/>
      <c r="U525" s="134"/>
      <c r="V525" s="134"/>
      <c r="W525" s="134"/>
      <c r="X525" s="134"/>
      <c r="Y525" s="134"/>
      <c r="Z525" s="134"/>
    </row>
    <row r="526" spans="1:26" ht="15.75" customHeight="1">
      <c r="A526" s="13" t="s">
        <v>5960</v>
      </c>
      <c r="B526" s="13" t="s">
        <v>5961</v>
      </c>
      <c r="C526" s="13" t="s">
        <v>2792</v>
      </c>
      <c r="D526" s="13" t="s">
        <v>5962</v>
      </c>
      <c r="E526" s="13" t="s">
        <v>5963</v>
      </c>
      <c r="F526" s="134" t="str">
        <f t="shared" si="0"/>
        <v/>
      </c>
      <c r="G526" s="134" t="str">
        <f t="shared" si="1"/>
        <v>RIVER POINTE HEALTH CAMPUS</v>
      </c>
      <c r="H526" s="134"/>
      <c r="I526" s="134"/>
      <c r="J526" s="134"/>
      <c r="K526" s="134"/>
      <c r="L526" s="134"/>
      <c r="M526" s="134"/>
      <c r="N526" s="134"/>
      <c r="O526" s="134"/>
      <c r="P526" s="134"/>
      <c r="Q526" s="134"/>
      <c r="R526" s="134"/>
      <c r="S526" s="134"/>
      <c r="T526" s="134"/>
      <c r="U526" s="134"/>
      <c r="V526" s="134"/>
      <c r="W526" s="134"/>
      <c r="X526" s="134"/>
      <c r="Y526" s="134"/>
      <c r="Z526" s="134"/>
    </row>
    <row r="527" spans="1:26" ht="15.75" customHeight="1">
      <c r="A527" s="13" t="s">
        <v>5964</v>
      </c>
      <c r="B527" s="13" t="s">
        <v>5965</v>
      </c>
      <c r="C527" s="13" t="s">
        <v>2796</v>
      </c>
      <c r="D527" s="13" t="s">
        <v>5966</v>
      </c>
      <c r="E527" s="13" t="s">
        <v>5239</v>
      </c>
      <c r="F527" s="134" t="str">
        <f t="shared" si="0"/>
        <v/>
      </c>
      <c r="G527" s="134" t="str">
        <f t="shared" si="1"/>
        <v>RIVER TERRACE HEALTH CAMPUS</v>
      </c>
      <c r="H527" s="134"/>
      <c r="I527" s="134"/>
      <c r="J527" s="134"/>
      <c r="K527" s="134"/>
      <c r="L527" s="134"/>
      <c r="M527" s="134"/>
      <c r="N527" s="134"/>
      <c r="O527" s="134"/>
      <c r="P527" s="134"/>
      <c r="Q527" s="134"/>
      <c r="R527" s="134"/>
      <c r="S527" s="134"/>
      <c r="T527" s="134"/>
      <c r="U527" s="134"/>
      <c r="V527" s="134"/>
      <c r="W527" s="134"/>
      <c r="X527" s="134"/>
      <c r="Y527" s="134"/>
      <c r="Z527" s="134"/>
    </row>
    <row r="528" spans="1:26" ht="15.75" customHeight="1">
      <c r="A528" s="13" t="s">
        <v>5967</v>
      </c>
      <c r="B528" s="13" t="s">
        <v>5968</v>
      </c>
      <c r="C528" s="13" t="s">
        <v>2798</v>
      </c>
      <c r="D528" s="13" t="s">
        <v>5969</v>
      </c>
      <c r="E528" s="13" t="s">
        <v>4321</v>
      </c>
      <c r="F528" s="134" t="str">
        <f t="shared" si="0"/>
        <v/>
      </c>
      <c r="G528" s="134" t="str">
        <f t="shared" si="1"/>
        <v>RIVER TERRACE HEALTH CARE CENTER</v>
      </c>
      <c r="H528" s="134"/>
      <c r="I528" s="134"/>
      <c r="J528" s="134"/>
      <c r="K528" s="134"/>
      <c r="L528" s="134"/>
      <c r="M528" s="134"/>
      <c r="N528" s="134"/>
      <c r="O528" s="134"/>
      <c r="P528" s="134"/>
      <c r="Q528" s="134"/>
      <c r="R528" s="134"/>
      <c r="S528" s="134"/>
      <c r="T528" s="134"/>
      <c r="U528" s="134"/>
      <c r="V528" s="134"/>
      <c r="W528" s="134"/>
      <c r="X528" s="134"/>
      <c r="Y528" s="134"/>
      <c r="Z528" s="134"/>
    </row>
    <row r="529" spans="1:26" ht="15.75" hidden="1" customHeight="1">
      <c r="A529" s="13" t="s">
        <v>5970</v>
      </c>
      <c r="B529" s="13" t="s">
        <v>5971</v>
      </c>
      <c r="C529" s="13" t="s">
        <v>5972</v>
      </c>
      <c r="D529" s="13" t="s">
        <v>5973</v>
      </c>
      <c r="E529" s="13" t="s">
        <v>5267</v>
      </c>
      <c r="F529" s="134" t="str">
        <f t="shared" si="0"/>
        <v/>
      </c>
      <c r="G529" s="134" t="str">
        <f t="shared" si="1"/>
        <v>RIVERBEND</v>
      </c>
      <c r="H529" s="134"/>
      <c r="I529" s="134"/>
      <c r="J529" s="134"/>
      <c r="K529" s="134"/>
      <c r="L529" s="134"/>
      <c r="M529" s="134"/>
      <c r="N529" s="134"/>
      <c r="O529" s="134"/>
      <c r="P529" s="134"/>
      <c r="Q529" s="134"/>
      <c r="R529" s="134"/>
      <c r="S529" s="134"/>
      <c r="T529" s="134"/>
      <c r="U529" s="134"/>
      <c r="V529" s="134"/>
      <c r="W529" s="134"/>
      <c r="X529" s="134"/>
      <c r="Y529" s="134"/>
      <c r="Z529" s="134"/>
    </row>
    <row r="530" spans="1:26" ht="15.75" customHeight="1">
      <c r="A530" s="13" t="s">
        <v>5974</v>
      </c>
      <c r="B530" s="13" t="s">
        <v>5975</v>
      </c>
      <c r="C530" s="13" t="s">
        <v>2802</v>
      </c>
      <c r="D530" s="13" t="s">
        <v>5976</v>
      </c>
      <c r="E530" s="13" t="s">
        <v>5977</v>
      </c>
      <c r="F530" s="134" t="str">
        <f t="shared" si="0"/>
        <v/>
      </c>
      <c r="G530" s="134" t="str">
        <f t="shared" si="1"/>
        <v>RIVEROAKS HEALTH CAMPUS</v>
      </c>
      <c r="H530" s="134"/>
      <c r="I530" s="134"/>
      <c r="J530" s="134"/>
      <c r="K530" s="134"/>
      <c r="L530" s="134"/>
      <c r="M530" s="134"/>
      <c r="N530" s="134"/>
      <c r="O530" s="134"/>
      <c r="P530" s="134"/>
      <c r="Q530" s="134"/>
      <c r="R530" s="134"/>
      <c r="S530" s="134"/>
      <c r="T530" s="134"/>
      <c r="U530" s="134"/>
      <c r="V530" s="134"/>
      <c r="W530" s="134"/>
      <c r="X530" s="134"/>
      <c r="Y530" s="134"/>
      <c r="Z530" s="134"/>
    </row>
    <row r="531" spans="1:26" ht="15.75" customHeight="1">
      <c r="A531" s="13" t="s">
        <v>5978</v>
      </c>
      <c r="B531" s="13" t="s">
        <v>5979</v>
      </c>
      <c r="C531" s="13" t="s">
        <v>2807</v>
      </c>
      <c r="D531" s="13" t="s">
        <v>5980</v>
      </c>
      <c r="E531" s="13" t="s">
        <v>5981</v>
      </c>
      <c r="F531" s="134" t="str">
        <f t="shared" si="0"/>
        <v/>
      </c>
      <c r="G531" s="134" t="str">
        <f t="shared" si="1"/>
        <v>RIVERSIDE VILLAGE</v>
      </c>
      <c r="H531" s="134"/>
      <c r="I531" s="134"/>
      <c r="J531" s="134"/>
      <c r="K531" s="134"/>
      <c r="L531" s="134"/>
      <c r="M531" s="134"/>
      <c r="N531" s="134"/>
      <c r="O531" s="134"/>
      <c r="P531" s="134"/>
      <c r="Q531" s="134"/>
      <c r="R531" s="134"/>
      <c r="S531" s="134"/>
      <c r="T531" s="134"/>
      <c r="U531" s="134"/>
      <c r="V531" s="134"/>
      <c r="W531" s="134"/>
      <c r="X531" s="134"/>
      <c r="Y531" s="134"/>
      <c r="Z531" s="134"/>
    </row>
    <row r="532" spans="1:26" ht="15.75" customHeight="1">
      <c r="A532" s="13" t="s">
        <v>5982</v>
      </c>
      <c r="B532" s="13" t="s">
        <v>5983</v>
      </c>
      <c r="C532" s="13" t="s">
        <v>2813</v>
      </c>
      <c r="D532" s="13" t="s">
        <v>5984</v>
      </c>
      <c r="E532" s="13" t="s">
        <v>4522</v>
      </c>
      <c r="F532" s="134" t="str">
        <f t="shared" si="0"/>
        <v/>
      </c>
      <c r="G532" s="134" t="str">
        <f t="shared" si="1"/>
        <v>RIVERVIEW VILLAGE</v>
      </c>
      <c r="H532" s="134"/>
      <c r="I532" s="134"/>
      <c r="J532" s="134"/>
      <c r="K532" s="134"/>
      <c r="L532" s="134"/>
      <c r="M532" s="134"/>
      <c r="N532" s="134"/>
      <c r="O532" s="134"/>
      <c r="P532" s="134"/>
      <c r="Q532" s="134"/>
      <c r="R532" s="134"/>
      <c r="S532" s="134"/>
      <c r="T532" s="134"/>
      <c r="U532" s="134"/>
      <c r="V532" s="134"/>
      <c r="W532" s="134"/>
      <c r="X532" s="134"/>
      <c r="Y532" s="134"/>
      <c r="Z532" s="134"/>
    </row>
    <row r="533" spans="1:26" ht="15.75" customHeight="1">
      <c r="A533" s="13" t="s">
        <v>5985</v>
      </c>
      <c r="B533" s="13" t="s">
        <v>5986</v>
      </c>
      <c r="C533" s="13" t="s">
        <v>5987</v>
      </c>
      <c r="D533" s="13" t="s">
        <v>5988</v>
      </c>
      <c r="E533" s="13" t="s">
        <v>4894</v>
      </c>
      <c r="F533" s="134" t="str">
        <f t="shared" si="0"/>
        <v/>
      </c>
      <c r="G533" s="134" t="str">
        <f t="shared" si="1"/>
        <v>RIVERWALK COMMUNITIES</v>
      </c>
      <c r="H533" s="134"/>
      <c r="I533" s="134"/>
      <c r="J533" s="134"/>
      <c r="K533" s="134"/>
      <c r="L533" s="134"/>
      <c r="M533" s="134"/>
      <c r="N533" s="134"/>
      <c r="O533" s="134"/>
      <c r="P533" s="134"/>
      <c r="Q533" s="134"/>
      <c r="R533" s="134"/>
      <c r="S533" s="134"/>
      <c r="T533" s="134"/>
      <c r="U533" s="134"/>
      <c r="V533" s="134"/>
      <c r="W533" s="134"/>
      <c r="X533" s="134"/>
      <c r="Y533" s="134"/>
      <c r="Z533" s="134"/>
    </row>
    <row r="534" spans="1:26" ht="15.75" customHeight="1">
      <c r="A534" s="13" t="s">
        <v>5989</v>
      </c>
      <c r="B534" s="13" t="s">
        <v>5990</v>
      </c>
      <c r="C534" s="13" t="s">
        <v>2816</v>
      </c>
      <c r="D534" s="13" t="s">
        <v>5991</v>
      </c>
      <c r="E534" s="13" t="s">
        <v>5089</v>
      </c>
      <c r="F534" s="134" t="str">
        <f t="shared" si="0"/>
        <v/>
      </c>
      <c r="G534" s="134" t="str">
        <f t="shared" si="1"/>
        <v>RIVERWALK VILLAGE</v>
      </c>
      <c r="H534" s="134"/>
      <c r="I534" s="134"/>
      <c r="J534" s="134"/>
      <c r="K534" s="134"/>
      <c r="L534" s="134"/>
      <c r="M534" s="134"/>
      <c r="N534" s="134"/>
      <c r="O534" s="134"/>
      <c r="P534" s="134"/>
      <c r="Q534" s="134"/>
      <c r="R534" s="134"/>
      <c r="S534" s="134"/>
      <c r="T534" s="134"/>
      <c r="U534" s="134"/>
      <c r="V534" s="134"/>
      <c r="W534" s="134"/>
      <c r="X534" s="134"/>
      <c r="Y534" s="134"/>
      <c r="Z534" s="134"/>
    </row>
    <row r="535" spans="1:26" ht="15.75" hidden="1" customHeight="1">
      <c r="A535" s="13" t="s">
        <v>5992</v>
      </c>
      <c r="B535" s="13" t="s">
        <v>5993</v>
      </c>
      <c r="C535" s="13" t="s">
        <v>5994</v>
      </c>
      <c r="D535" s="13" t="s">
        <v>5995</v>
      </c>
      <c r="E535" s="13" t="s">
        <v>5292</v>
      </c>
      <c r="F535" s="134" t="str">
        <f t="shared" si="0"/>
        <v/>
      </c>
      <c r="G535" s="134" t="str">
        <f t="shared" si="1"/>
        <v>ROBIN RUN</v>
      </c>
      <c r="H535" s="134"/>
      <c r="I535" s="134"/>
      <c r="J535" s="134"/>
      <c r="K535" s="134"/>
      <c r="L535" s="134"/>
      <c r="M535" s="134"/>
      <c r="N535" s="134"/>
      <c r="O535" s="134"/>
      <c r="P535" s="134"/>
      <c r="Q535" s="134"/>
      <c r="R535" s="134"/>
      <c r="S535" s="134"/>
      <c r="T535" s="134"/>
      <c r="U535" s="134"/>
      <c r="V535" s="134"/>
      <c r="W535" s="134"/>
      <c r="X535" s="134"/>
      <c r="Y535" s="134"/>
      <c r="Z535" s="134"/>
    </row>
    <row r="536" spans="1:26" ht="15.75" customHeight="1">
      <c r="A536" s="13" t="s">
        <v>5996</v>
      </c>
      <c r="B536" s="13" t="s">
        <v>5997</v>
      </c>
      <c r="C536" s="13" t="s">
        <v>5998</v>
      </c>
      <c r="D536" s="13" t="s">
        <v>5999</v>
      </c>
      <c r="E536" s="13" t="s">
        <v>5292</v>
      </c>
      <c r="F536" s="134" t="str">
        <f t="shared" si="0"/>
        <v/>
      </c>
      <c r="G536" s="134" t="str">
        <f t="shared" si="1"/>
        <v>ROBIN RUN HEALTH CENTER</v>
      </c>
      <c r="H536" s="134"/>
      <c r="I536" s="134"/>
      <c r="J536" s="134"/>
      <c r="K536" s="134"/>
      <c r="L536" s="134"/>
      <c r="M536" s="134"/>
      <c r="N536" s="134"/>
      <c r="O536" s="134"/>
      <c r="P536" s="134"/>
      <c r="Q536" s="134"/>
      <c r="R536" s="134"/>
      <c r="S536" s="134"/>
      <c r="T536" s="134"/>
      <c r="U536" s="134"/>
      <c r="V536" s="134"/>
      <c r="W536" s="134"/>
      <c r="X536" s="134"/>
      <c r="Y536" s="134"/>
      <c r="Z536" s="134"/>
    </row>
    <row r="537" spans="1:26" ht="15.75" customHeight="1">
      <c r="A537" s="13" t="s">
        <v>6000</v>
      </c>
      <c r="B537" s="13" t="s">
        <v>6001</v>
      </c>
      <c r="C537" s="13" t="s">
        <v>2824</v>
      </c>
      <c r="D537" s="13" t="s">
        <v>6002</v>
      </c>
      <c r="E537" s="13" t="s">
        <v>4195</v>
      </c>
      <c r="F537" s="134" t="str">
        <f t="shared" si="0"/>
        <v/>
      </c>
      <c r="G537" s="134" t="str">
        <f t="shared" si="1"/>
        <v>ROLLING HILLS HEALTHCARE CENTER</v>
      </c>
      <c r="H537" s="134"/>
      <c r="I537" s="134"/>
      <c r="J537" s="134"/>
      <c r="K537" s="134"/>
      <c r="L537" s="134"/>
      <c r="M537" s="134"/>
      <c r="N537" s="134"/>
      <c r="O537" s="134"/>
      <c r="P537" s="134"/>
      <c r="Q537" s="134"/>
      <c r="R537" s="134"/>
      <c r="S537" s="134"/>
      <c r="T537" s="134"/>
      <c r="U537" s="134"/>
      <c r="V537" s="134"/>
      <c r="W537" s="134"/>
      <c r="X537" s="134"/>
      <c r="Y537" s="134"/>
      <c r="Z537" s="134"/>
    </row>
    <row r="538" spans="1:26" ht="15.75" customHeight="1">
      <c r="A538" s="13" t="s">
        <v>1162</v>
      </c>
      <c r="B538" s="13" t="s">
        <v>6003</v>
      </c>
      <c r="C538" s="13" t="s">
        <v>6004</v>
      </c>
      <c r="D538" s="13" t="s">
        <v>6005</v>
      </c>
      <c r="E538" s="13" t="s">
        <v>6006</v>
      </c>
      <c r="F538" s="134" t="str">
        <f t="shared" si="0"/>
        <v/>
      </c>
      <c r="G538" s="134" t="str">
        <f t="shared" si="1"/>
        <v>ROLLING MEADOWS HEALTH CARE CENTER</v>
      </c>
      <c r="H538" s="134"/>
      <c r="I538" s="134"/>
      <c r="J538" s="134"/>
      <c r="K538" s="134"/>
      <c r="L538" s="134"/>
      <c r="M538" s="134"/>
      <c r="N538" s="134"/>
      <c r="O538" s="134"/>
      <c r="P538" s="134"/>
      <c r="Q538" s="134"/>
      <c r="R538" s="134"/>
      <c r="S538" s="134"/>
      <c r="T538" s="134"/>
      <c r="U538" s="134"/>
      <c r="V538" s="134"/>
      <c r="W538" s="134"/>
      <c r="X538" s="134"/>
      <c r="Y538" s="134"/>
      <c r="Z538" s="134"/>
    </row>
    <row r="539" spans="1:26" ht="15.75" customHeight="1">
      <c r="A539" s="13" t="s">
        <v>6007</v>
      </c>
      <c r="B539" s="13" t="s">
        <v>6008</v>
      </c>
      <c r="C539" s="13" t="s">
        <v>6009</v>
      </c>
      <c r="D539" s="13" t="s">
        <v>6010</v>
      </c>
      <c r="E539" s="13" t="s">
        <v>4216</v>
      </c>
      <c r="F539" s="134" t="str">
        <f t="shared" si="0"/>
        <v/>
      </c>
      <c r="G539" s="134" t="str">
        <f t="shared" si="1"/>
        <v>ROSE SENIOR LIVING CARMEL</v>
      </c>
      <c r="H539" s="134"/>
      <c r="I539" s="134"/>
      <c r="J539" s="134"/>
      <c r="K539" s="134"/>
      <c r="L539" s="134"/>
      <c r="M539" s="134"/>
      <c r="N539" s="134"/>
      <c r="O539" s="134"/>
      <c r="P539" s="134"/>
      <c r="Q539" s="134"/>
      <c r="R539" s="134"/>
      <c r="S539" s="134"/>
      <c r="T539" s="134"/>
      <c r="U539" s="134"/>
      <c r="V539" s="134"/>
      <c r="W539" s="134"/>
      <c r="X539" s="134"/>
      <c r="Y539" s="134"/>
      <c r="Z539" s="134"/>
    </row>
    <row r="540" spans="1:26" ht="15.75" customHeight="1">
      <c r="A540" s="13" t="s">
        <v>6011</v>
      </c>
      <c r="B540" s="13" t="s">
        <v>6012</v>
      </c>
      <c r="C540" s="13" t="s">
        <v>2831</v>
      </c>
      <c r="D540" s="13" t="s">
        <v>6013</v>
      </c>
      <c r="E540" s="13" t="s">
        <v>4134</v>
      </c>
      <c r="F540" s="134" t="str">
        <f t="shared" si="0"/>
        <v/>
      </c>
      <c r="G540" s="134" t="str">
        <f t="shared" si="1"/>
        <v>ROSEBUD VILLAGE</v>
      </c>
      <c r="H540" s="134"/>
      <c r="I540" s="134"/>
      <c r="J540" s="134"/>
      <c r="K540" s="134"/>
      <c r="L540" s="134"/>
      <c r="M540" s="134"/>
      <c r="N540" s="134"/>
      <c r="O540" s="134"/>
      <c r="P540" s="134"/>
      <c r="Q540" s="134"/>
      <c r="R540" s="134"/>
      <c r="S540" s="134"/>
      <c r="T540" s="134"/>
      <c r="U540" s="134"/>
      <c r="V540" s="134"/>
      <c r="W540" s="134"/>
      <c r="X540" s="134"/>
      <c r="Y540" s="134"/>
      <c r="Z540" s="134"/>
    </row>
    <row r="541" spans="1:26" ht="15.75" customHeight="1">
      <c r="A541" s="13" t="s">
        <v>6014</v>
      </c>
      <c r="B541" s="13" t="s">
        <v>6015</v>
      </c>
      <c r="C541" s="13" t="s">
        <v>6016</v>
      </c>
      <c r="D541" s="13" t="s">
        <v>6017</v>
      </c>
      <c r="E541" s="13" t="s">
        <v>4046</v>
      </c>
      <c r="F541" s="134" t="str">
        <f t="shared" si="0"/>
        <v/>
      </c>
      <c r="G541" s="134" t="str">
        <f t="shared" si="1"/>
        <v>ROSEGATE COMMONS ASSISTED LIVING</v>
      </c>
      <c r="H541" s="134"/>
      <c r="I541" s="134"/>
      <c r="J541" s="134"/>
      <c r="K541" s="134"/>
      <c r="L541" s="134"/>
      <c r="M541" s="134"/>
      <c r="N541" s="134"/>
      <c r="O541" s="134"/>
      <c r="P541" s="134"/>
      <c r="Q541" s="134"/>
      <c r="R541" s="134"/>
      <c r="S541" s="134"/>
      <c r="T541" s="134"/>
      <c r="U541" s="134"/>
      <c r="V541" s="134"/>
      <c r="W541" s="134"/>
      <c r="X541" s="134"/>
      <c r="Y541" s="134"/>
      <c r="Z541" s="134"/>
    </row>
    <row r="542" spans="1:26" ht="15.75" customHeight="1">
      <c r="A542" s="13" t="s">
        <v>6018</v>
      </c>
      <c r="B542" s="13" t="s">
        <v>6019</v>
      </c>
      <c r="C542" s="13" t="s">
        <v>2835</v>
      </c>
      <c r="D542" s="13" t="s">
        <v>6020</v>
      </c>
      <c r="E542" s="13" t="s">
        <v>4046</v>
      </c>
      <c r="F542" s="134" t="str">
        <f t="shared" si="0"/>
        <v/>
      </c>
      <c r="G542" s="134" t="str">
        <f t="shared" si="1"/>
        <v>ROSEGATE VILLAGE</v>
      </c>
      <c r="H542" s="134"/>
      <c r="I542" s="134"/>
      <c r="J542" s="134"/>
      <c r="K542" s="134"/>
      <c r="L542" s="134"/>
      <c r="M542" s="134"/>
      <c r="N542" s="134"/>
      <c r="O542" s="134"/>
      <c r="P542" s="134"/>
      <c r="Q542" s="134"/>
      <c r="R542" s="134"/>
      <c r="S542" s="134"/>
      <c r="T542" s="134"/>
      <c r="U542" s="134"/>
      <c r="V542" s="134"/>
      <c r="W542" s="134"/>
      <c r="X542" s="134"/>
      <c r="Y542" s="134"/>
      <c r="Z542" s="134"/>
    </row>
    <row r="543" spans="1:26" ht="15.75" customHeight="1">
      <c r="A543" s="13" t="s">
        <v>6021</v>
      </c>
      <c r="B543" s="13" t="s">
        <v>6022</v>
      </c>
      <c r="C543" s="13" t="s">
        <v>6023</v>
      </c>
      <c r="D543" s="13" t="s">
        <v>6024</v>
      </c>
      <c r="E543" s="13" t="s">
        <v>4650</v>
      </c>
      <c r="F543" s="134" t="str">
        <f t="shared" si="0"/>
        <v/>
      </c>
      <c r="G543" s="134" t="str">
        <f t="shared" si="1"/>
        <v>ROSEWALK AT LUTHERWOODS</v>
      </c>
      <c r="H543" s="134"/>
      <c r="I543" s="134"/>
      <c r="J543" s="134"/>
      <c r="K543" s="134"/>
      <c r="L543" s="134"/>
      <c r="M543" s="134"/>
      <c r="N543" s="134"/>
      <c r="O543" s="134"/>
      <c r="P543" s="134"/>
      <c r="Q543" s="134"/>
      <c r="R543" s="134"/>
      <c r="S543" s="134"/>
      <c r="T543" s="134"/>
      <c r="U543" s="134"/>
      <c r="V543" s="134"/>
      <c r="W543" s="134"/>
      <c r="X543" s="134"/>
      <c r="Y543" s="134"/>
      <c r="Z543" s="134"/>
    </row>
    <row r="544" spans="1:26" ht="15.75" customHeight="1">
      <c r="A544" s="13" t="s">
        <v>6025</v>
      </c>
      <c r="B544" s="13" t="s">
        <v>6026</v>
      </c>
      <c r="C544" s="13" t="s">
        <v>6027</v>
      </c>
      <c r="D544" s="13" t="s">
        <v>6028</v>
      </c>
      <c r="E544" s="13" t="s">
        <v>4650</v>
      </c>
      <c r="F544" s="134" t="str">
        <f t="shared" si="0"/>
        <v/>
      </c>
      <c r="G544" s="134" t="str">
        <f t="shared" si="1"/>
        <v>ROSEWALK VILLAGE</v>
      </c>
      <c r="H544" s="134"/>
      <c r="I544" s="134"/>
      <c r="J544" s="134"/>
      <c r="K544" s="134"/>
      <c r="L544" s="134"/>
      <c r="M544" s="134"/>
      <c r="N544" s="134"/>
      <c r="O544" s="134"/>
      <c r="P544" s="134"/>
      <c r="Q544" s="134"/>
      <c r="R544" s="134"/>
      <c r="S544" s="134"/>
      <c r="T544" s="134"/>
      <c r="U544" s="134"/>
      <c r="V544" s="134"/>
      <c r="W544" s="134"/>
      <c r="X544" s="134"/>
      <c r="Y544" s="134"/>
      <c r="Z544" s="134"/>
    </row>
    <row r="545" spans="1:26" ht="15.75" customHeight="1">
      <c r="A545" s="13" t="s">
        <v>6029</v>
      </c>
      <c r="B545" s="13" t="s">
        <v>6030</v>
      </c>
      <c r="C545" s="13" t="s">
        <v>2841</v>
      </c>
      <c r="D545" s="13" t="s">
        <v>6031</v>
      </c>
      <c r="E545" s="13" t="s">
        <v>6032</v>
      </c>
      <c r="F545" s="134" t="str">
        <f t="shared" si="0"/>
        <v/>
      </c>
      <c r="G545" s="134" t="str">
        <f t="shared" si="1"/>
        <v>ROSEWALK VILLAGE AT LAFAYETTE</v>
      </c>
      <c r="H545" s="134"/>
      <c r="I545" s="134"/>
      <c r="J545" s="134"/>
      <c r="K545" s="134"/>
      <c r="L545" s="134"/>
      <c r="M545" s="134"/>
      <c r="N545" s="134"/>
      <c r="O545" s="134"/>
      <c r="P545" s="134"/>
      <c r="Q545" s="134"/>
      <c r="R545" s="134"/>
      <c r="S545" s="134"/>
      <c r="T545" s="134"/>
      <c r="U545" s="134"/>
      <c r="V545" s="134"/>
      <c r="W545" s="134"/>
      <c r="X545" s="134"/>
      <c r="Y545" s="134"/>
      <c r="Z545" s="134"/>
    </row>
    <row r="546" spans="1:26" ht="15.75" customHeight="1">
      <c r="A546" s="13" t="s">
        <v>6033</v>
      </c>
      <c r="B546" s="13" t="s">
        <v>6034</v>
      </c>
      <c r="C546" s="13" t="s">
        <v>6035</v>
      </c>
      <c r="D546" s="13" t="s">
        <v>6036</v>
      </c>
      <c r="E546" s="13" t="s">
        <v>6037</v>
      </c>
      <c r="F546" s="134" t="str">
        <f t="shared" si="0"/>
        <v/>
      </c>
      <c r="G546" s="134" t="str">
        <f t="shared" si="1"/>
        <v>ROSEWOOD MANOR</v>
      </c>
      <c r="H546" s="134"/>
      <c r="I546" s="134"/>
      <c r="J546" s="134"/>
      <c r="K546" s="134"/>
      <c r="L546" s="134"/>
      <c r="M546" s="134"/>
      <c r="N546" s="134"/>
      <c r="O546" s="134"/>
      <c r="P546" s="134"/>
      <c r="Q546" s="134"/>
      <c r="R546" s="134"/>
      <c r="S546" s="134"/>
      <c r="T546" s="134"/>
      <c r="U546" s="134"/>
      <c r="V546" s="134"/>
      <c r="W546" s="134"/>
      <c r="X546" s="134"/>
      <c r="Y546" s="134"/>
      <c r="Z546" s="134"/>
    </row>
    <row r="547" spans="1:26" ht="15.75" customHeight="1">
      <c r="A547" s="13" t="s">
        <v>6038</v>
      </c>
      <c r="B547" s="13" t="s">
        <v>6039</v>
      </c>
      <c r="C547" s="13" t="s">
        <v>2844</v>
      </c>
      <c r="D547" s="13" t="s">
        <v>6040</v>
      </c>
      <c r="E547" s="13" t="s">
        <v>4138</v>
      </c>
      <c r="F547" s="134" t="str">
        <f t="shared" si="0"/>
        <v/>
      </c>
      <c r="G547" s="134" t="str">
        <f t="shared" si="1"/>
        <v>RURAL HEALTH CARE CENTER</v>
      </c>
      <c r="H547" s="134"/>
      <c r="I547" s="134"/>
      <c r="J547" s="134"/>
      <c r="K547" s="134"/>
      <c r="L547" s="134"/>
      <c r="M547" s="134"/>
      <c r="N547" s="134"/>
      <c r="O547" s="134"/>
      <c r="P547" s="134"/>
      <c r="Q547" s="134"/>
      <c r="R547" s="134"/>
      <c r="S547" s="134"/>
      <c r="T547" s="134"/>
      <c r="U547" s="134"/>
      <c r="V547" s="134"/>
      <c r="W547" s="134"/>
      <c r="X547" s="134"/>
      <c r="Y547" s="134"/>
      <c r="Z547" s="134"/>
    </row>
    <row r="548" spans="1:26" ht="15.75" customHeight="1">
      <c r="A548" s="13" t="s">
        <v>1114</v>
      </c>
      <c r="B548" s="14" t="s">
        <v>5476</v>
      </c>
      <c r="C548" s="13" t="s">
        <v>6041</v>
      </c>
      <c r="D548" s="13" t="s">
        <v>6042</v>
      </c>
      <c r="E548" s="13" t="s">
        <v>4083</v>
      </c>
      <c r="F548" s="134" t="str">
        <f t="shared" si="0"/>
        <v/>
      </c>
      <c r="G548" s="134" t="str">
        <f t="shared" si="1"/>
        <v>SAGE BLUFF HEALTH &amp; REHAB CENTER</v>
      </c>
      <c r="H548" s="134"/>
      <c r="I548" s="134"/>
      <c r="J548" s="134"/>
      <c r="K548" s="134"/>
      <c r="L548" s="134"/>
      <c r="M548" s="134"/>
      <c r="N548" s="134"/>
      <c r="O548" s="134"/>
      <c r="P548" s="134"/>
      <c r="Q548" s="134"/>
      <c r="R548" s="134"/>
      <c r="S548" s="134"/>
      <c r="T548" s="134"/>
      <c r="U548" s="134"/>
      <c r="V548" s="134"/>
      <c r="W548" s="134"/>
      <c r="X548" s="134"/>
      <c r="Y548" s="134"/>
      <c r="Z548" s="134"/>
    </row>
    <row r="549" spans="1:26" ht="15.75" customHeight="1">
      <c r="A549" s="13" t="s">
        <v>6043</v>
      </c>
      <c r="B549" s="13" t="s">
        <v>6044</v>
      </c>
      <c r="C549" s="13" t="s">
        <v>6045</v>
      </c>
      <c r="D549" s="13" t="s">
        <v>6046</v>
      </c>
      <c r="E549" s="13" t="s">
        <v>5192</v>
      </c>
      <c r="F549" s="134" t="str">
        <f t="shared" si="0"/>
        <v/>
      </c>
      <c r="G549" s="134" t="str">
        <f t="shared" si="1"/>
        <v>SAINT ANNE - VICTORY NOLL</v>
      </c>
      <c r="H549" s="134"/>
      <c r="I549" s="134"/>
      <c r="J549" s="134"/>
      <c r="K549" s="134"/>
      <c r="L549" s="134"/>
      <c r="M549" s="134"/>
      <c r="N549" s="134"/>
      <c r="O549" s="134"/>
      <c r="P549" s="134"/>
      <c r="Q549" s="134"/>
      <c r="R549" s="134"/>
      <c r="S549" s="134"/>
      <c r="T549" s="134"/>
      <c r="U549" s="134"/>
      <c r="V549" s="134"/>
      <c r="W549" s="134"/>
      <c r="X549" s="134"/>
      <c r="Y549" s="134"/>
      <c r="Z549" s="134"/>
    </row>
    <row r="550" spans="1:26" ht="15.75" customHeight="1">
      <c r="A550" s="13" t="s">
        <v>1009</v>
      </c>
      <c r="B550" s="13" t="s">
        <v>6047</v>
      </c>
      <c r="C550" s="13" t="s">
        <v>6048</v>
      </c>
      <c r="D550" s="13" t="s">
        <v>6049</v>
      </c>
      <c r="E550" s="13" t="s">
        <v>4126</v>
      </c>
      <c r="F550" s="134" t="str">
        <f t="shared" si="0"/>
        <v/>
      </c>
      <c r="G550" s="134" t="str">
        <f t="shared" si="1"/>
        <v>SAINT ANNE HOME</v>
      </c>
      <c r="H550" s="134"/>
      <c r="I550" s="134"/>
      <c r="J550" s="134"/>
      <c r="K550" s="134"/>
      <c r="L550" s="134"/>
      <c r="M550" s="134"/>
      <c r="N550" s="134"/>
      <c r="O550" s="134"/>
      <c r="P550" s="134"/>
      <c r="Q550" s="134"/>
      <c r="R550" s="134"/>
      <c r="S550" s="134"/>
      <c r="T550" s="134"/>
      <c r="U550" s="134"/>
      <c r="V550" s="134"/>
      <c r="W550" s="134"/>
      <c r="X550" s="134"/>
      <c r="Y550" s="134"/>
      <c r="Z550" s="134"/>
    </row>
    <row r="551" spans="1:26" ht="15.75" customHeight="1">
      <c r="A551" s="13" t="s">
        <v>6050</v>
      </c>
      <c r="B551" s="13" t="s">
        <v>6051</v>
      </c>
      <c r="C551" s="13" t="s">
        <v>6052</v>
      </c>
      <c r="D551" s="13" t="s">
        <v>6053</v>
      </c>
      <c r="E551" s="13" t="s">
        <v>4288</v>
      </c>
      <c r="F551" s="134" t="str">
        <f t="shared" si="0"/>
        <v/>
      </c>
      <c r="G551" s="134" t="str">
        <f t="shared" si="1"/>
        <v>SAINT ANTHONY</v>
      </c>
      <c r="H551" s="134"/>
      <c r="I551" s="134"/>
      <c r="J551" s="134"/>
      <c r="K551" s="134"/>
      <c r="L551" s="134"/>
      <c r="M551" s="134"/>
      <c r="N551" s="134"/>
      <c r="O551" s="134"/>
      <c r="P551" s="134"/>
      <c r="Q551" s="134"/>
      <c r="R551" s="134"/>
      <c r="S551" s="134"/>
      <c r="T551" s="134"/>
      <c r="U551" s="134"/>
      <c r="V551" s="134"/>
      <c r="W551" s="134"/>
      <c r="X551" s="134"/>
      <c r="Y551" s="134"/>
      <c r="Z551" s="134"/>
    </row>
    <row r="552" spans="1:26" ht="15.75" customHeight="1">
      <c r="A552" s="13" t="s">
        <v>1025</v>
      </c>
      <c r="B552" s="13" t="s">
        <v>6054</v>
      </c>
      <c r="C552" s="13" t="s">
        <v>6055</v>
      </c>
      <c r="D552" s="13" t="s">
        <v>6056</v>
      </c>
      <c r="E552" s="13" t="s">
        <v>6032</v>
      </c>
      <c r="F552" s="134" t="str">
        <f t="shared" si="0"/>
        <v/>
      </c>
      <c r="G552" s="134" t="str">
        <f t="shared" si="1"/>
        <v>SAINT ANTHONY REHAB AND NURSING CENTER</v>
      </c>
      <c r="H552" s="134"/>
      <c r="I552" s="134"/>
      <c r="J552" s="134"/>
      <c r="K552" s="134"/>
      <c r="L552" s="134"/>
      <c r="M552" s="134"/>
      <c r="N552" s="134"/>
      <c r="O552" s="134"/>
      <c r="P552" s="134"/>
      <c r="Q552" s="134"/>
      <c r="R552" s="134"/>
      <c r="S552" s="134"/>
      <c r="T552" s="134"/>
      <c r="U552" s="134"/>
      <c r="V552" s="134"/>
      <c r="W552" s="134"/>
      <c r="X552" s="134"/>
      <c r="Y552" s="134"/>
      <c r="Z552" s="134"/>
    </row>
    <row r="553" spans="1:26" ht="15.75" customHeight="1">
      <c r="A553" s="13" t="s">
        <v>6057</v>
      </c>
      <c r="B553" s="13" t="s">
        <v>6058</v>
      </c>
      <c r="C553" s="13" t="s">
        <v>2853</v>
      </c>
      <c r="D553" s="13" t="s">
        <v>6059</v>
      </c>
      <c r="E553" s="13" t="s">
        <v>5550</v>
      </c>
      <c r="F553" s="134" t="str">
        <f t="shared" si="0"/>
        <v/>
      </c>
      <c r="G553" s="134" t="str">
        <f t="shared" si="1"/>
        <v>SALEM CROSSING</v>
      </c>
      <c r="H553" s="134"/>
      <c r="I553" s="134"/>
      <c r="J553" s="134"/>
      <c r="K553" s="134"/>
      <c r="L553" s="134"/>
      <c r="M553" s="134"/>
      <c r="N553" s="134"/>
      <c r="O553" s="134"/>
      <c r="P553" s="134"/>
      <c r="Q553" s="134"/>
      <c r="R553" s="134"/>
      <c r="S553" s="134"/>
      <c r="T553" s="134"/>
      <c r="U553" s="134"/>
      <c r="V553" s="134"/>
      <c r="W553" s="134"/>
      <c r="X553" s="134"/>
      <c r="Y553" s="134"/>
      <c r="Z553" s="134"/>
    </row>
    <row r="554" spans="1:26" ht="15.75" customHeight="1">
      <c r="A554" s="13" t="s">
        <v>6060</v>
      </c>
      <c r="B554" s="13" t="s">
        <v>6061</v>
      </c>
      <c r="C554" s="13" t="s">
        <v>2857</v>
      </c>
      <c r="D554" s="13" t="s">
        <v>6062</v>
      </c>
      <c r="E554" s="13" t="s">
        <v>4392</v>
      </c>
      <c r="F554" s="134" t="str">
        <f t="shared" si="0"/>
        <v/>
      </c>
      <c r="G554" s="134" t="str">
        <f t="shared" si="1"/>
        <v>SANCTUARY AT HOLY CROSS</v>
      </c>
      <c r="H554" s="134"/>
      <c r="I554" s="134"/>
      <c r="J554" s="134"/>
      <c r="K554" s="134"/>
      <c r="L554" s="134"/>
      <c r="M554" s="134"/>
      <c r="N554" s="134"/>
      <c r="O554" s="134"/>
      <c r="P554" s="134"/>
      <c r="Q554" s="134"/>
      <c r="R554" s="134"/>
      <c r="S554" s="134"/>
      <c r="T554" s="134"/>
      <c r="U554" s="134"/>
      <c r="V554" s="134"/>
      <c r="W554" s="134"/>
      <c r="X554" s="134"/>
      <c r="Y554" s="134"/>
      <c r="Z554" s="134"/>
    </row>
    <row r="555" spans="1:26" ht="15.75" hidden="1" customHeight="1">
      <c r="A555" s="13" t="s">
        <v>6063</v>
      </c>
      <c r="B555" s="13" t="s">
        <v>6064</v>
      </c>
      <c r="C555" s="13" t="s">
        <v>6065</v>
      </c>
      <c r="D555" s="13" t="s">
        <v>6066</v>
      </c>
      <c r="E555" s="13" t="s">
        <v>5000</v>
      </c>
      <c r="F555" s="134" t="str">
        <f t="shared" si="0"/>
        <v/>
      </c>
      <c r="G555" s="134" t="str">
        <f t="shared" si="1"/>
        <v>SANCTUARY AT ST PAUL'S</v>
      </c>
      <c r="H555" s="134"/>
      <c r="I555" s="134"/>
      <c r="J555" s="134"/>
      <c r="K555" s="134"/>
      <c r="L555" s="134"/>
      <c r="M555" s="134"/>
      <c r="N555" s="134"/>
      <c r="O555" s="134"/>
      <c r="P555" s="134"/>
      <c r="Q555" s="134"/>
      <c r="R555" s="134"/>
      <c r="S555" s="134"/>
      <c r="T555" s="134"/>
      <c r="U555" s="134"/>
      <c r="V555" s="134"/>
      <c r="W555" s="134"/>
      <c r="X555" s="134"/>
      <c r="Y555" s="134"/>
      <c r="Z555" s="134"/>
    </row>
    <row r="556" spans="1:26" ht="15.75" customHeight="1">
      <c r="A556" s="13" t="s">
        <v>6067</v>
      </c>
      <c r="B556" s="13" t="s">
        <v>6068</v>
      </c>
      <c r="C556" s="13" t="s">
        <v>6069</v>
      </c>
      <c r="D556" s="13" t="s">
        <v>6070</v>
      </c>
      <c r="E556" s="13" t="s">
        <v>4563</v>
      </c>
      <c r="F556" s="134" t="str">
        <f t="shared" si="0"/>
        <v/>
      </c>
      <c r="G556" s="134" t="str">
        <f t="shared" si="1"/>
        <v>SANDERS GLEN</v>
      </c>
      <c r="H556" s="134"/>
      <c r="I556" s="134"/>
      <c r="J556" s="134"/>
      <c r="K556" s="134"/>
      <c r="L556" s="134"/>
      <c r="M556" s="134"/>
      <c r="N556" s="134"/>
      <c r="O556" s="134"/>
      <c r="P556" s="134"/>
      <c r="Q556" s="134"/>
      <c r="R556" s="134"/>
      <c r="S556" s="134"/>
      <c r="T556" s="134"/>
      <c r="U556" s="134"/>
      <c r="V556" s="134"/>
      <c r="W556" s="134"/>
      <c r="X556" s="134"/>
      <c r="Y556" s="134"/>
      <c r="Z556" s="134"/>
    </row>
    <row r="557" spans="1:26" ht="15.75" customHeight="1">
      <c r="A557" s="13" t="s">
        <v>6071</v>
      </c>
      <c r="B557" s="13" t="s">
        <v>6072</v>
      </c>
      <c r="C557" s="13" t="s">
        <v>2861</v>
      </c>
      <c r="D557" s="13" t="s">
        <v>6073</v>
      </c>
      <c r="E557" s="13" t="s">
        <v>5263</v>
      </c>
      <c r="F557" s="134" t="str">
        <f t="shared" si="0"/>
        <v/>
      </c>
      <c r="G557" s="134" t="str">
        <f t="shared" si="1"/>
        <v>SCENIC HILLS AT THE MONASTERY</v>
      </c>
      <c r="H557" s="134"/>
      <c r="I557" s="134"/>
      <c r="J557" s="134"/>
      <c r="K557" s="134"/>
      <c r="L557" s="134"/>
      <c r="M557" s="134"/>
      <c r="N557" s="134"/>
      <c r="O557" s="134"/>
      <c r="P557" s="134"/>
      <c r="Q557" s="134"/>
      <c r="R557" s="134"/>
      <c r="S557" s="134"/>
      <c r="T557" s="134"/>
      <c r="U557" s="134"/>
      <c r="V557" s="134"/>
      <c r="W557" s="134"/>
      <c r="X557" s="134"/>
      <c r="Y557" s="134"/>
      <c r="Z557" s="134"/>
    </row>
    <row r="558" spans="1:26" ht="15.75" customHeight="1">
      <c r="A558" s="13" t="s">
        <v>6074</v>
      </c>
      <c r="B558" s="13" t="s">
        <v>6075</v>
      </c>
      <c r="C558" s="13" t="s">
        <v>2865</v>
      </c>
      <c r="D558" s="13" t="s">
        <v>6076</v>
      </c>
      <c r="E558" s="13" t="s">
        <v>4337</v>
      </c>
      <c r="F558" s="134" t="str">
        <f t="shared" si="0"/>
        <v/>
      </c>
      <c r="G558" s="134" t="str">
        <f t="shared" si="1"/>
        <v>SEBO'S NURSING AND REHABILITATION CENTER</v>
      </c>
      <c r="H558" s="134"/>
      <c r="I558" s="134"/>
      <c r="J558" s="134"/>
      <c r="K558" s="134"/>
      <c r="L558" s="134"/>
      <c r="M558" s="134"/>
      <c r="N558" s="134"/>
      <c r="O558" s="134"/>
      <c r="P558" s="134"/>
      <c r="Q558" s="134"/>
      <c r="R558" s="134"/>
      <c r="S558" s="134"/>
      <c r="T558" s="134"/>
      <c r="U558" s="134"/>
      <c r="V558" s="134"/>
      <c r="W558" s="134"/>
      <c r="X558" s="134"/>
      <c r="Y558" s="134"/>
      <c r="Z558" s="134"/>
    </row>
    <row r="559" spans="1:26" ht="15.75" customHeight="1">
      <c r="A559" s="13" t="s">
        <v>6077</v>
      </c>
      <c r="B559" s="13" t="s">
        <v>6078</v>
      </c>
      <c r="C559" s="13" t="s">
        <v>2870</v>
      </c>
      <c r="D559" s="13" t="s">
        <v>6079</v>
      </c>
      <c r="E559" s="13" t="s">
        <v>4527</v>
      </c>
      <c r="F559" s="134" t="str">
        <f t="shared" si="0"/>
        <v/>
      </c>
      <c r="G559" s="134" t="str">
        <f t="shared" si="1"/>
        <v>SELLERSBURG HEALTHCARE CENTER</v>
      </c>
      <c r="H559" s="134"/>
      <c r="I559" s="134"/>
      <c r="J559" s="134"/>
      <c r="K559" s="134"/>
      <c r="L559" s="134"/>
      <c r="M559" s="134"/>
      <c r="N559" s="134"/>
      <c r="O559" s="134"/>
      <c r="P559" s="134"/>
      <c r="Q559" s="134"/>
      <c r="R559" s="134"/>
      <c r="S559" s="134"/>
      <c r="T559" s="134"/>
      <c r="U559" s="134"/>
      <c r="V559" s="134"/>
      <c r="W559" s="134"/>
      <c r="X559" s="134"/>
      <c r="Y559" s="134"/>
      <c r="Z559" s="134"/>
    </row>
    <row r="560" spans="1:26" ht="15.75" customHeight="1">
      <c r="A560" s="13" t="s">
        <v>6080</v>
      </c>
      <c r="B560" s="13" t="s">
        <v>6081</v>
      </c>
      <c r="C560" s="13" t="s">
        <v>6082</v>
      </c>
      <c r="D560" s="13" t="s">
        <v>6083</v>
      </c>
      <c r="E560" s="13" t="s">
        <v>4134</v>
      </c>
      <c r="F560" s="134" t="str">
        <f t="shared" si="0"/>
        <v/>
      </c>
      <c r="G560" s="134" t="str">
        <f t="shared" si="1"/>
        <v>SENIOR SUITES AT THE LELAND, LLC</v>
      </c>
      <c r="H560" s="134"/>
      <c r="I560" s="134"/>
      <c r="J560" s="134"/>
      <c r="K560" s="134"/>
      <c r="L560" s="134"/>
      <c r="M560" s="134"/>
      <c r="N560" s="134"/>
      <c r="O560" s="134"/>
      <c r="P560" s="134"/>
      <c r="Q560" s="134"/>
      <c r="R560" s="134"/>
      <c r="S560" s="134"/>
      <c r="T560" s="134"/>
      <c r="U560" s="134"/>
      <c r="V560" s="134"/>
      <c r="W560" s="134"/>
      <c r="X560" s="134"/>
      <c r="Y560" s="134"/>
      <c r="Z560" s="134"/>
    </row>
    <row r="561" spans="1:26" ht="15.75" customHeight="1">
      <c r="A561" s="13" t="s">
        <v>6084</v>
      </c>
      <c r="B561" s="13" t="s">
        <v>6085</v>
      </c>
      <c r="C561" s="13" t="s">
        <v>6086</v>
      </c>
      <c r="D561" s="13" t="s">
        <v>6087</v>
      </c>
      <c r="E561" s="13" t="s">
        <v>4342</v>
      </c>
      <c r="F561" s="134" t="str">
        <f t="shared" si="0"/>
        <v/>
      </c>
      <c r="G561" s="134" t="str">
        <f t="shared" si="1"/>
        <v>SETTLERS PLACE</v>
      </c>
      <c r="H561" s="134"/>
      <c r="I561" s="134"/>
      <c r="J561" s="134"/>
      <c r="K561" s="134"/>
      <c r="L561" s="134"/>
      <c r="M561" s="134"/>
      <c r="N561" s="134"/>
      <c r="O561" s="134"/>
      <c r="P561" s="134"/>
      <c r="Q561" s="134"/>
      <c r="R561" s="134"/>
      <c r="S561" s="134"/>
      <c r="T561" s="134"/>
      <c r="U561" s="134"/>
      <c r="V561" s="134"/>
      <c r="W561" s="134"/>
      <c r="X561" s="134"/>
      <c r="Y561" s="134"/>
      <c r="Z561" s="134"/>
    </row>
    <row r="562" spans="1:26" ht="15.75" customHeight="1">
      <c r="A562" s="13" t="s">
        <v>6088</v>
      </c>
      <c r="B562" s="13" t="s">
        <v>6089</v>
      </c>
      <c r="C562" s="13" t="s">
        <v>6090</v>
      </c>
      <c r="D562" s="13" t="s">
        <v>6091</v>
      </c>
      <c r="E562" s="13" t="s">
        <v>4598</v>
      </c>
      <c r="F562" s="134" t="str">
        <f t="shared" si="0"/>
        <v/>
      </c>
      <c r="G562" s="134" t="str">
        <f t="shared" si="1"/>
        <v>SEYMOUR CROSSING</v>
      </c>
      <c r="H562" s="134"/>
      <c r="I562" s="134"/>
      <c r="J562" s="134"/>
      <c r="K562" s="134"/>
      <c r="L562" s="134"/>
      <c r="M562" s="134"/>
      <c r="N562" s="134"/>
      <c r="O562" s="134"/>
      <c r="P562" s="134"/>
      <c r="Q562" s="134"/>
      <c r="R562" s="134"/>
      <c r="S562" s="134"/>
      <c r="T562" s="134"/>
      <c r="U562" s="134"/>
      <c r="V562" s="134"/>
      <c r="W562" s="134"/>
      <c r="X562" s="134"/>
      <c r="Y562" s="134"/>
      <c r="Z562" s="134"/>
    </row>
    <row r="563" spans="1:26" ht="15.75" customHeight="1">
      <c r="A563" s="13" t="s">
        <v>6092</v>
      </c>
      <c r="B563" s="13" t="s">
        <v>4510</v>
      </c>
      <c r="C563" s="13" t="s">
        <v>6093</v>
      </c>
      <c r="D563" s="13" t="s">
        <v>6094</v>
      </c>
      <c r="E563" s="13" t="s">
        <v>4598</v>
      </c>
      <c r="F563" s="134" t="str">
        <f t="shared" si="0"/>
        <v/>
      </c>
      <c r="G563" s="134" t="str">
        <f t="shared" si="1"/>
        <v>SEYMOUR PLACE</v>
      </c>
      <c r="H563" s="134"/>
      <c r="I563" s="134"/>
      <c r="J563" s="134"/>
      <c r="K563" s="134"/>
      <c r="L563" s="134"/>
      <c r="M563" s="134"/>
      <c r="N563" s="134"/>
      <c r="O563" s="134"/>
      <c r="P563" s="134"/>
      <c r="Q563" s="134"/>
      <c r="R563" s="134"/>
      <c r="S563" s="134"/>
      <c r="T563" s="134"/>
      <c r="U563" s="134"/>
      <c r="V563" s="134"/>
      <c r="W563" s="134"/>
      <c r="X563" s="134"/>
      <c r="Y563" s="134"/>
      <c r="Z563" s="134"/>
    </row>
    <row r="564" spans="1:26" ht="15.75" customHeight="1">
      <c r="A564" s="13" t="s">
        <v>6095</v>
      </c>
      <c r="B564" s="13" t="s">
        <v>6096</v>
      </c>
      <c r="C564" s="13" t="s">
        <v>2878</v>
      </c>
      <c r="D564" s="13" t="s">
        <v>6097</v>
      </c>
      <c r="E564" s="13" t="s">
        <v>5844</v>
      </c>
      <c r="F564" s="134" t="str">
        <f t="shared" si="0"/>
        <v/>
      </c>
      <c r="G564" s="134" t="str">
        <f t="shared" si="1"/>
        <v>SHADY NOOK CARE CENTER</v>
      </c>
      <c r="H564" s="134"/>
      <c r="I564" s="134"/>
      <c r="J564" s="134"/>
      <c r="K564" s="134"/>
      <c r="L564" s="134"/>
      <c r="M564" s="134"/>
      <c r="N564" s="134"/>
      <c r="O564" s="134"/>
      <c r="P564" s="134"/>
      <c r="Q564" s="134"/>
      <c r="R564" s="134"/>
      <c r="S564" s="134"/>
      <c r="T564" s="134"/>
      <c r="U564" s="134"/>
      <c r="V564" s="134"/>
      <c r="W564" s="134"/>
      <c r="X564" s="134"/>
      <c r="Y564" s="134"/>
      <c r="Z564" s="134"/>
    </row>
    <row r="565" spans="1:26" ht="15.75" customHeight="1">
      <c r="A565" s="13" t="s">
        <v>6098</v>
      </c>
      <c r="B565" s="13" t="s">
        <v>6099</v>
      </c>
      <c r="C565" s="13" t="s">
        <v>2882</v>
      </c>
      <c r="D565" s="13" t="s">
        <v>6100</v>
      </c>
      <c r="E565" s="13" t="s">
        <v>4655</v>
      </c>
      <c r="F565" s="134" t="str">
        <f t="shared" si="0"/>
        <v/>
      </c>
      <c r="G565" s="134" t="str">
        <f t="shared" si="1"/>
        <v>SIGNATURE HEALTHCARE AT PARKWOOD</v>
      </c>
      <c r="H565" s="134"/>
      <c r="I565" s="134"/>
      <c r="J565" s="134"/>
      <c r="K565" s="134"/>
      <c r="L565" s="134"/>
      <c r="M565" s="134"/>
      <c r="N565" s="134"/>
      <c r="O565" s="134"/>
      <c r="P565" s="134"/>
      <c r="Q565" s="134"/>
      <c r="R565" s="134"/>
      <c r="S565" s="134"/>
      <c r="T565" s="134"/>
      <c r="U565" s="134"/>
      <c r="V565" s="134"/>
      <c r="W565" s="134"/>
      <c r="X565" s="134"/>
      <c r="Y565" s="134"/>
      <c r="Z565" s="134"/>
    </row>
    <row r="566" spans="1:26" ht="15.75" customHeight="1">
      <c r="A566" s="13" t="s">
        <v>6101</v>
      </c>
      <c r="B566" s="13" t="s">
        <v>6102</v>
      </c>
      <c r="C566" s="13" t="s">
        <v>2884</v>
      </c>
      <c r="D566" s="13" t="s">
        <v>6103</v>
      </c>
      <c r="E566" s="13" t="s">
        <v>4321</v>
      </c>
      <c r="F566" s="134" t="str">
        <f t="shared" si="0"/>
        <v/>
      </c>
      <c r="G566" s="134" t="str">
        <f t="shared" si="1"/>
        <v>SIGNATURE HEALTHCARE OF BLUFFTON</v>
      </c>
      <c r="H566" s="134"/>
      <c r="I566" s="134"/>
      <c r="J566" s="134"/>
      <c r="K566" s="134"/>
      <c r="L566" s="134"/>
      <c r="M566" s="134"/>
      <c r="N566" s="134"/>
      <c r="O566" s="134"/>
      <c r="P566" s="134"/>
      <c r="Q566" s="134"/>
      <c r="R566" s="134"/>
      <c r="S566" s="134"/>
      <c r="T566" s="134"/>
      <c r="U566" s="134"/>
      <c r="V566" s="134"/>
      <c r="W566" s="134"/>
      <c r="X566" s="134"/>
      <c r="Y566" s="134"/>
      <c r="Z566" s="134"/>
    </row>
    <row r="567" spans="1:26" ht="15.75" customHeight="1">
      <c r="A567" s="13" t="s">
        <v>6104</v>
      </c>
      <c r="B567" s="13" t="s">
        <v>6105</v>
      </c>
      <c r="C567" s="13" t="s">
        <v>2887</v>
      </c>
      <c r="D567" s="13" t="s">
        <v>6106</v>
      </c>
      <c r="E567" s="13" t="s">
        <v>6107</v>
      </c>
      <c r="F567" s="134" t="str">
        <f t="shared" si="0"/>
        <v/>
      </c>
      <c r="G567" s="134" t="str">
        <f t="shared" si="1"/>
        <v>SIGNATURE HEALTHCARE OF BREMEN</v>
      </c>
      <c r="H567" s="134"/>
      <c r="I567" s="134"/>
      <c r="J567" s="134"/>
      <c r="K567" s="134"/>
      <c r="L567" s="134"/>
      <c r="M567" s="134"/>
      <c r="N567" s="134"/>
      <c r="O567" s="134"/>
      <c r="P567" s="134"/>
      <c r="Q567" s="134"/>
      <c r="R567" s="134"/>
      <c r="S567" s="134"/>
      <c r="T567" s="134"/>
      <c r="U567" s="134"/>
      <c r="V567" s="134"/>
      <c r="W567" s="134"/>
      <c r="X567" s="134"/>
      <c r="Y567" s="134"/>
      <c r="Z567" s="134"/>
    </row>
    <row r="568" spans="1:26" ht="15.75" customHeight="1">
      <c r="A568" s="13" t="s">
        <v>6108</v>
      </c>
      <c r="B568" s="13" t="s">
        <v>6109</v>
      </c>
      <c r="C568" s="13" t="s">
        <v>2890</v>
      </c>
      <c r="D568" s="13" t="s">
        <v>6110</v>
      </c>
      <c r="E568" s="13" t="s">
        <v>4379</v>
      </c>
      <c r="F568" s="134" t="str">
        <f t="shared" si="0"/>
        <v/>
      </c>
      <c r="G568" s="134" t="str">
        <f t="shared" si="1"/>
        <v>SIGNATURE HEALTHCARE OF FORT WAYNE</v>
      </c>
      <c r="H568" s="134"/>
      <c r="I568" s="134"/>
      <c r="J568" s="134"/>
      <c r="K568" s="134"/>
      <c r="L568" s="134"/>
      <c r="M568" s="134"/>
      <c r="N568" s="134"/>
      <c r="O568" s="134"/>
      <c r="P568" s="134"/>
      <c r="Q568" s="134"/>
      <c r="R568" s="134"/>
      <c r="S568" s="134"/>
      <c r="T568" s="134"/>
      <c r="U568" s="134"/>
      <c r="V568" s="134"/>
      <c r="W568" s="134"/>
      <c r="X568" s="134"/>
      <c r="Y568" s="134"/>
      <c r="Z568" s="134"/>
    </row>
    <row r="569" spans="1:26" ht="15.75" customHeight="1">
      <c r="A569" s="13" t="s">
        <v>6111</v>
      </c>
      <c r="B569" s="13" t="s">
        <v>6112</v>
      </c>
      <c r="C569" s="13" t="s">
        <v>2892</v>
      </c>
      <c r="D569" s="13" t="s">
        <v>6113</v>
      </c>
      <c r="E569" s="13" t="s">
        <v>4174</v>
      </c>
      <c r="F569" s="134" t="str">
        <f t="shared" si="0"/>
        <v/>
      </c>
      <c r="G569" s="134" t="str">
        <f t="shared" si="1"/>
        <v>SIGNATURE HEALTHCARE OF LAFAYETTE</v>
      </c>
      <c r="H569" s="134"/>
      <c r="I569" s="134"/>
      <c r="J569" s="134"/>
      <c r="K569" s="134"/>
      <c r="L569" s="134"/>
      <c r="M569" s="134"/>
      <c r="N569" s="134"/>
      <c r="O569" s="134"/>
      <c r="P569" s="134"/>
      <c r="Q569" s="134"/>
      <c r="R569" s="134"/>
      <c r="S569" s="134"/>
      <c r="T569" s="134"/>
      <c r="U569" s="134"/>
      <c r="V569" s="134"/>
      <c r="W569" s="134"/>
      <c r="X569" s="134"/>
      <c r="Y569" s="134"/>
      <c r="Z569" s="134"/>
    </row>
    <row r="570" spans="1:26" ht="15.75" customHeight="1">
      <c r="A570" s="13" t="s">
        <v>6114</v>
      </c>
      <c r="B570" s="13" t="s">
        <v>6115</v>
      </c>
      <c r="C570" s="13" t="s">
        <v>6116</v>
      </c>
      <c r="D570" s="13" t="s">
        <v>6117</v>
      </c>
      <c r="E570" s="13" t="s">
        <v>4403</v>
      </c>
      <c r="F570" s="134" t="str">
        <f t="shared" si="0"/>
        <v/>
      </c>
      <c r="G570" s="134" t="str">
        <f t="shared" si="1"/>
        <v>SIGNATURE HEALTHCARE OF MUNCIE</v>
      </c>
      <c r="H570" s="134"/>
      <c r="I570" s="134"/>
      <c r="J570" s="134"/>
      <c r="K570" s="134"/>
      <c r="L570" s="134"/>
      <c r="M570" s="134"/>
      <c r="N570" s="134"/>
      <c r="O570" s="134"/>
      <c r="P570" s="134"/>
      <c r="Q570" s="134"/>
      <c r="R570" s="134"/>
      <c r="S570" s="134"/>
      <c r="T570" s="134"/>
      <c r="U570" s="134"/>
      <c r="V570" s="134"/>
      <c r="W570" s="134"/>
      <c r="X570" s="134"/>
      <c r="Y570" s="134"/>
      <c r="Z570" s="134"/>
    </row>
    <row r="571" spans="1:26" ht="15.75" customHeight="1">
      <c r="A571" s="13" t="s">
        <v>6118</v>
      </c>
      <c r="B571" s="13" t="s">
        <v>6119</v>
      </c>
      <c r="C571" s="13" t="s">
        <v>2894</v>
      </c>
      <c r="D571" s="13" t="s">
        <v>6120</v>
      </c>
      <c r="E571" s="13" t="s">
        <v>4225</v>
      </c>
      <c r="F571" s="134" t="str">
        <f t="shared" si="0"/>
        <v/>
      </c>
      <c r="G571" s="134" t="str">
        <f t="shared" si="1"/>
        <v>SIGNATURE HEALTHCARE OF NEWBURGH</v>
      </c>
      <c r="H571" s="134"/>
      <c r="I571" s="134"/>
      <c r="J571" s="134"/>
      <c r="K571" s="134"/>
      <c r="L571" s="134"/>
      <c r="M571" s="134"/>
      <c r="N571" s="134"/>
      <c r="O571" s="134"/>
      <c r="P571" s="134"/>
      <c r="Q571" s="134"/>
      <c r="R571" s="134"/>
      <c r="S571" s="134"/>
      <c r="T571" s="134"/>
      <c r="U571" s="134"/>
      <c r="V571" s="134"/>
      <c r="W571" s="134"/>
      <c r="X571" s="134"/>
      <c r="Y571" s="134"/>
      <c r="Z571" s="134"/>
    </row>
    <row r="572" spans="1:26" ht="15.75" customHeight="1">
      <c r="A572" s="13" t="s">
        <v>6121</v>
      </c>
      <c r="B572" s="13" t="s">
        <v>6122</v>
      </c>
      <c r="C572" s="13" t="s">
        <v>2897</v>
      </c>
      <c r="D572" s="13" t="s">
        <v>6123</v>
      </c>
      <c r="E572" s="13" t="s">
        <v>4392</v>
      </c>
      <c r="F572" s="134" t="str">
        <f t="shared" si="0"/>
        <v/>
      </c>
      <c r="G572" s="134" t="str">
        <f t="shared" si="1"/>
        <v>SIGNATURE HEALTHCARE OF SOUTH BEND</v>
      </c>
      <c r="H572" s="134"/>
      <c r="I572" s="134"/>
      <c r="J572" s="134"/>
      <c r="K572" s="134"/>
      <c r="L572" s="134"/>
      <c r="M572" s="134"/>
      <c r="N572" s="134"/>
      <c r="O572" s="134"/>
      <c r="P572" s="134"/>
      <c r="Q572" s="134"/>
      <c r="R572" s="134"/>
      <c r="S572" s="134"/>
      <c r="T572" s="134"/>
      <c r="U572" s="134"/>
      <c r="V572" s="134"/>
      <c r="W572" s="134"/>
      <c r="X572" s="134"/>
      <c r="Y572" s="134"/>
      <c r="Z572" s="134"/>
    </row>
    <row r="573" spans="1:26" ht="15.75" customHeight="1">
      <c r="A573" s="13" t="s">
        <v>6124</v>
      </c>
      <c r="B573" s="13" t="s">
        <v>6125</v>
      </c>
      <c r="C573" s="13" t="s">
        <v>2899</v>
      </c>
      <c r="D573" s="13" t="s">
        <v>6126</v>
      </c>
      <c r="E573" s="13" t="s">
        <v>5110</v>
      </c>
      <c r="F573" s="134" t="str">
        <f t="shared" si="0"/>
        <v/>
      </c>
      <c r="G573" s="134" t="str">
        <f t="shared" si="1"/>
        <v>SIGNATURE HEALTHCARE OF TERRE HAUTE</v>
      </c>
      <c r="H573" s="134"/>
      <c r="I573" s="134"/>
      <c r="J573" s="134"/>
      <c r="K573" s="134"/>
      <c r="L573" s="134"/>
      <c r="M573" s="134"/>
      <c r="N573" s="134"/>
      <c r="O573" s="134"/>
      <c r="P573" s="134"/>
      <c r="Q573" s="134"/>
      <c r="R573" s="134"/>
      <c r="S573" s="134"/>
      <c r="T573" s="134"/>
      <c r="U573" s="134"/>
      <c r="V573" s="134"/>
      <c r="W573" s="134"/>
      <c r="X573" s="134"/>
      <c r="Y573" s="134"/>
      <c r="Z573" s="134"/>
    </row>
    <row r="574" spans="1:26" ht="15.75" customHeight="1">
      <c r="A574" s="13" t="s">
        <v>6127</v>
      </c>
      <c r="B574" s="13" t="s">
        <v>6128</v>
      </c>
      <c r="C574" s="13" t="s">
        <v>6129</v>
      </c>
      <c r="D574" s="13" t="s">
        <v>6130</v>
      </c>
      <c r="E574" s="13" t="s">
        <v>4431</v>
      </c>
      <c r="F574" s="134" t="str">
        <f t="shared" si="0"/>
        <v/>
      </c>
      <c r="G574" s="134" t="str">
        <f t="shared" si="1"/>
        <v>SILVER BIRCH AT COOK ROAD</v>
      </c>
      <c r="H574" s="134"/>
      <c r="I574" s="134"/>
      <c r="J574" s="134"/>
      <c r="K574" s="134"/>
      <c r="L574" s="134"/>
      <c r="M574" s="134"/>
      <c r="N574" s="134"/>
      <c r="O574" s="134"/>
      <c r="P574" s="134"/>
      <c r="Q574" s="134"/>
      <c r="R574" s="134"/>
      <c r="S574" s="134"/>
      <c r="T574" s="134"/>
      <c r="U574" s="134"/>
      <c r="V574" s="134"/>
      <c r="W574" s="134"/>
      <c r="X574" s="134"/>
      <c r="Y574" s="134"/>
      <c r="Z574" s="134"/>
    </row>
    <row r="575" spans="1:26" ht="15.75" hidden="1" customHeight="1">
      <c r="A575" s="13" t="s">
        <v>6131</v>
      </c>
      <c r="B575" s="13" t="s">
        <v>6132</v>
      </c>
      <c r="C575" s="13" t="s">
        <v>6133</v>
      </c>
      <c r="D575" s="13" t="s">
        <v>6134</v>
      </c>
      <c r="E575" s="13" t="s">
        <v>4894</v>
      </c>
      <c r="F575" s="134" t="str">
        <f t="shared" si="0"/>
        <v/>
      </c>
      <c r="G575" s="134" t="str">
        <f t="shared" si="1"/>
        <v>SILVER BIRCH OF EVANSVILLE</v>
      </c>
      <c r="H575" s="134"/>
      <c r="I575" s="134"/>
      <c r="J575" s="134"/>
      <c r="K575" s="134"/>
      <c r="L575" s="134"/>
      <c r="M575" s="134"/>
      <c r="N575" s="134"/>
      <c r="O575" s="134"/>
      <c r="P575" s="134"/>
      <c r="Q575" s="134"/>
      <c r="R575" s="134"/>
      <c r="S575" s="134"/>
      <c r="T575" s="134"/>
      <c r="U575" s="134"/>
      <c r="V575" s="134"/>
      <c r="W575" s="134"/>
      <c r="X575" s="134"/>
      <c r="Y575" s="134"/>
      <c r="Z575" s="134"/>
    </row>
    <row r="576" spans="1:26" ht="15.75" customHeight="1">
      <c r="A576" s="13" t="s">
        <v>6135</v>
      </c>
      <c r="B576" s="13" t="s">
        <v>6136</v>
      </c>
      <c r="C576" s="13" t="s">
        <v>6129</v>
      </c>
      <c r="D576" s="13" t="s">
        <v>6137</v>
      </c>
      <c r="E576" s="13" t="s">
        <v>5456</v>
      </c>
      <c r="F576" s="134" t="str">
        <f t="shared" si="0"/>
        <v/>
      </c>
      <c r="G576" s="134" t="str">
        <f t="shared" si="1"/>
        <v>SILVER BIRCH OF FORT WAYNE</v>
      </c>
      <c r="H576" s="134"/>
      <c r="I576" s="134"/>
      <c r="J576" s="134"/>
      <c r="K576" s="134"/>
      <c r="L576" s="134"/>
      <c r="M576" s="134"/>
      <c r="N576" s="134"/>
      <c r="O576" s="134"/>
      <c r="P576" s="134"/>
      <c r="Q576" s="134"/>
      <c r="R576" s="134"/>
      <c r="S576" s="134"/>
      <c r="T576" s="134"/>
      <c r="U576" s="134"/>
      <c r="V576" s="134"/>
      <c r="W576" s="134"/>
      <c r="X576" s="134"/>
      <c r="Y576" s="134"/>
      <c r="Z576" s="134"/>
    </row>
    <row r="577" spans="1:26" ht="15.75" customHeight="1">
      <c r="A577" s="13" t="s">
        <v>6138</v>
      </c>
      <c r="B577" s="13" t="s">
        <v>6139</v>
      </c>
      <c r="C577" s="13" t="s">
        <v>6140</v>
      </c>
      <c r="D577" s="13" t="s">
        <v>6141</v>
      </c>
      <c r="E577" s="13" t="s">
        <v>6142</v>
      </c>
      <c r="F577" s="134" t="str">
        <f t="shared" si="0"/>
        <v/>
      </c>
      <c r="G577" s="134" t="str">
        <f t="shared" si="1"/>
        <v>SILVER BIRCH OF HAMMOND</v>
      </c>
      <c r="H577" s="134"/>
      <c r="I577" s="134"/>
      <c r="J577" s="134"/>
      <c r="K577" s="134"/>
      <c r="L577" s="134"/>
      <c r="M577" s="134"/>
      <c r="N577" s="134"/>
      <c r="O577" s="134"/>
      <c r="P577" s="134"/>
      <c r="Q577" s="134"/>
      <c r="R577" s="134"/>
      <c r="S577" s="134"/>
      <c r="T577" s="134"/>
      <c r="U577" s="134"/>
      <c r="V577" s="134"/>
      <c r="W577" s="134"/>
      <c r="X577" s="134"/>
      <c r="Y577" s="134"/>
      <c r="Z577" s="134"/>
    </row>
    <row r="578" spans="1:26" ht="15.75" customHeight="1">
      <c r="A578" s="13" t="s">
        <v>6143</v>
      </c>
      <c r="B578" s="13" t="s">
        <v>6144</v>
      </c>
      <c r="C578" s="13" t="s">
        <v>6145</v>
      </c>
      <c r="D578" s="13" t="s">
        <v>6146</v>
      </c>
      <c r="E578" s="13" t="s">
        <v>4805</v>
      </c>
      <c r="F578" s="134" t="str">
        <f t="shared" si="0"/>
        <v/>
      </c>
      <c r="G578" s="134" t="str">
        <f t="shared" si="1"/>
        <v>SILVER BIRCH OF KOKOMO</v>
      </c>
      <c r="H578" s="134"/>
      <c r="I578" s="134"/>
      <c r="J578" s="134"/>
      <c r="K578" s="134"/>
      <c r="L578" s="134"/>
      <c r="M578" s="134"/>
      <c r="N578" s="134"/>
      <c r="O578" s="134"/>
      <c r="P578" s="134"/>
      <c r="Q578" s="134"/>
      <c r="R578" s="134"/>
      <c r="S578" s="134"/>
      <c r="T578" s="134"/>
      <c r="U578" s="134"/>
      <c r="V578" s="134"/>
      <c r="W578" s="134"/>
      <c r="X578" s="134"/>
      <c r="Y578" s="134"/>
      <c r="Z578" s="134"/>
    </row>
    <row r="579" spans="1:26" ht="15.75" customHeight="1">
      <c r="A579" s="13" t="s">
        <v>6147</v>
      </c>
      <c r="B579" s="13" t="s">
        <v>6148</v>
      </c>
      <c r="C579" s="13" t="s">
        <v>6149</v>
      </c>
      <c r="D579" s="13" t="s">
        <v>6150</v>
      </c>
      <c r="E579" s="13" t="s">
        <v>4075</v>
      </c>
      <c r="F579" s="134" t="str">
        <f t="shared" si="0"/>
        <v/>
      </c>
      <c r="G579" s="134" t="str">
        <f t="shared" si="1"/>
        <v>SILVER BIRCH OF MICHIGAN CITY</v>
      </c>
      <c r="H579" s="134"/>
      <c r="I579" s="134"/>
      <c r="J579" s="134"/>
      <c r="K579" s="134"/>
      <c r="L579" s="134"/>
      <c r="M579" s="134"/>
      <c r="N579" s="134"/>
      <c r="O579" s="134"/>
      <c r="P579" s="134"/>
      <c r="Q579" s="134"/>
      <c r="R579" s="134"/>
      <c r="S579" s="134"/>
      <c r="T579" s="134"/>
      <c r="U579" s="134"/>
      <c r="V579" s="134"/>
      <c r="W579" s="134"/>
      <c r="X579" s="134"/>
      <c r="Y579" s="134"/>
      <c r="Z579" s="134"/>
    </row>
    <row r="580" spans="1:26" ht="15.75" customHeight="1">
      <c r="A580" s="13" t="s">
        <v>6151</v>
      </c>
      <c r="B580" s="13" t="s">
        <v>6152</v>
      </c>
      <c r="C580" s="13" t="s">
        <v>6153</v>
      </c>
      <c r="D580" s="13" t="s">
        <v>6154</v>
      </c>
      <c r="E580" s="13" t="s">
        <v>4613</v>
      </c>
      <c r="F580" s="134" t="str">
        <f t="shared" si="0"/>
        <v/>
      </c>
      <c r="G580" s="134" t="str">
        <f t="shared" si="1"/>
        <v>SILVER BIRCH OF MISHAWAKA</v>
      </c>
      <c r="H580" s="134"/>
      <c r="I580" s="134"/>
      <c r="J580" s="134"/>
      <c r="K580" s="134"/>
      <c r="L580" s="134"/>
      <c r="M580" s="134"/>
      <c r="N580" s="134"/>
      <c r="O580" s="134"/>
      <c r="P580" s="134"/>
      <c r="Q580" s="134"/>
      <c r="R580" s="134"/>
      <c r="S580" s="134"/>
      <c r="T580" s="134"/>
      <c r="U580" s="134"/>
      <c r="V580" s="134"/>
      <c r="W580" s="134"/>
      <c r="X580" s="134"/>
      <c r="Y580" s="134"/>
      <c r="Z580" s="134"/>
    </row>
    <row r="581" spans="1:26" ht="15.75" customHeight="1">
      <c r="A581" s="13" t="s">
        <v>6155</v>
      </c>
      <c r="B581" s="13" t="s">
        <v>6156</v>
      </c>
      <c r="C581" s="13" t="s">
        <v>6157</v>
      </c>
      <c r="D581" s="13" t="s">
        <v>6158</v>
      </c>
      <c r="E581" s="13" t="s">
        <v>4271</v>
      </c>
      <c r="F581" s="134" t="str">
        <f t="shared" si="0"/>
        <v/>
      </c>
      <c r="G581" s="134" t="str">
        <f t="shared" si="1"/>
        <v>SILVER BIRCH OF MUNCIE</v>
      </c>
      <c r="H581" s="134"/>
      <c r="I581" s="134"/>
      <c r="J581" s="134"/>
      <c r="K581" s="134"/>
      <c r="L581" s="134"/>
      <c r="M581" s="134"/>
      <c r="N581" s="134"/>
      <c r="O581" s="134"/>
      <c r="P581" s="134"/>
      <c r="Q581" s="134"/>
      <c r="R581" s="134"/>
      <c r="S581" s="134"/>
      <c r="T581" s="134"/>
      <c r="U581" s="134"/>
      <c r="V581" s="134"/>
      <c r="W581" s="134"/>
      <c r="X581" s="134"/>
      <c r="Y581" s="134"/>
      <c r="Z581" s="134"/>
    </row>
    <row r="582" spans="1:26" ht="15.75" customHeight="1">
      <c r="A582" s="13" t="s">
        <v>6159</v>
      </c>
      <c r="B582" s="13" t="s">
        <v>6160</v>
      </c>
      <c r="C582" s="13" t="s">
        <v>6161</v>
      </c>
      <c r="D582" s="13" t="s">
        <v>6162</v>
      </c>
      <c r="E582" s="13" t="s">
        <v>6163</v>
      </c>
      <c r="F582" s="134" t="str">
        <f t="shared" si="0"/>
        <v/>
      </c>
      <c r="G582" s="134" t="str">
        <f t="shared" si="1"/>
        <v>SILVER BIRCH OF TERRE HAUTE</v>
      </c>
      <c r="H582" s="134"/>
      <c r="I582" s="134"/>
      <c r="J582" s="134"/>
      <c r="K582" s="134"/>
      <c r="L582" s="134"/>
      <c r="M582" s="134"/>
      <c r="N582" s="134"/>
      <c r="O582" s="134"/>
      <c r="P582" s="134"/>
      <c r="Q582" s="134"/>
      <c r="R582" s="134"/>
      <c r="S582" s="134"/>
      <c r="T582" s="134"/>
      <c r="U582" s="134"/>
      <c r="V582" s="134"/>
      <c r="W582" s="134"/>
      <c r="X582" s="134"/>
      <c r="Y582" s="134"/>
      <c r="Z582" s="134"/>
    </row>
    <row r="583" spans="1:26" ht="15.75" customHeight="1">
      <c r="A583" s="13" t="s">
        <v>6164</v>
      </c>
      <c r="B583" s="13" t="s">
        <v>6165</v>
      </c>
      <c r="C583" s="13" t="s">
        <v>2903</v>
      </c>
      <c r="D583" s="13" t="s">
        <v>6166</v>
      </c>
      <c r="E583" s="13" t="s">
        <v>6167</v>
      </c>
      <c r="F583" s="134" t="str">
        <f t="shared" si="0"/>
        <v/>
      </c>
      <c r="G583" s="134" t="str">
        <f t="shared" si="1"/>
        <v>SILVER MEMORIES HEALTH CARE</v>
      </c>
      <c r="H583" s="134"/>
      <c r="I583" s="134"/>
      <c r="J583" s="134"/>
      <c r="K583" s="134"/>
      <c r="L583" s="134"/>
      <c r="M583" s="134"/>
      <c r="N583" s="134"/>
      <c r="O583" s="134"/>
      <c r="P583" s="134"/>
      <c r="Q583" s="134"/>
      <c r="R583" s="134"/>
      <c r="S583" s="134"/>
      <c r="T583" s="134"/>
      <c r="U583" s="134"/>
      <c r="V583" s="134"/>
      <c r="W583" s="134"/>
      <c r="X583" s="134"/>
      <c r="Y583" s="134"/>
      <c r="Z583" s="134"/>
    </row>
    <row r="584" spans="1:26" ht="15.75" customHeight="1">
      <c r="A584" s="13" t="s">
        <v>6168</v>
      </c>
      <c r="B584" s="13" t="s">
        <v>6169</v>
      </c>
      <c r="C584" s="13" t="s">
        <v>2907</v>
      </c>
      <c r="D584" s="13" t="s">
        <v>6170</v>
      </c>
      <c r="E584" s="13" t="s">
        <v>4824</v>
      </c>
      <c r="F584" s="134" t="str">
        <f t="shared" si="0"/>
        <v/>
      </c>
      <c r="G584" s="134" t="str">
        <f t="shared" si="1"/>
        <v>SILVER OAKS HEALTH CAMPUS</v>
      </c>
      <c r="H584" s="134"/>
      <c r="I584" s="134"/>
      <c r="J584" s="134"/>
      <c r="K584" s="134"/>
      <c r="L584" s="134"/>
      <c r="M584" s="134"/>
      <c r="N584" s="134"/>
      <c r="O584" s="134"/>
      <c r="P584" s="134"/>
      <c r="Q584" s="134"/>
      <c r="R584" s="134"/>
      <c r="S584" s="134"/>
      <c r="T584" s="134"/>
      <c r="U584" s="134"/>
      <c r="V584" s="134"/>
      <c r="W584" s="134"/>
      <c r="X584" s="134"/>
      <c r="Y584" s="134"/>
      <c r="Z584" s="134"/>
    </row>
    <row r="585" spans="1:26" ht="15.75" customHeight="1">
      <c r="A585" s="13" t="s">
        <v>6171</v>
      </c>
      <c r="B585" s="13" t="s">
        <v>6172</v>
      </c>
      <c r="C585" s="13" t="s">
        <v>6173</v>
      </c>
      <c r="D585" s="13" t="s">
        <v>6174</v>
      </c>
      <c r="E585" s="13" t="s">
        <v>6175</v>
      </c>
      <c r="F585" s="134" t="str">
        <f t="shared" si="0"/>
        <v/>
      </c>
      <c r="G585" s="134" t="str">
        <f t="shared" si="1"/>
        <v>SIMMONS LOVING CARE HEALTH FACILITY</v>
      </c>
      <c r="H585" s="134"/>
      <c r="I585" s="134"/>
      <c r="J585" s="134"/>
      <c r="K585" s="134"/>
      <c r="L585" s="134"/>
      <c r="M585" s="134"/>
      <c r="N585" s="134"/>
      <c r="O585" s="134"/>
      <c r="P585" s="134"/>
      <c r="Q585" s="134"/>
      <c r="R585" s="134"/>
      <c r="S585" s="134"/>
      <c r="T585" s="134"/>
      <c r="U585" s="134"/>
      <c r="V585" s="134"/>
      <c r="W585" s="134"/>
      <c r="X585" s="134"/>
      <c r="Y585" s="134"/>
      <c r="Z585" s="134"/>
    </row>
    <row r="586" spans="1:26" ht="15.75" customHeight="1">
      <c r="A586" s="13" t="s">
        <v>6176</v>
      </c>
      <c r="B586" s="13" t="s">
        <v>6177</v>
      </c>
      <c r="C586" s="13" t="s">
        <v>6178</v>
      </c>
      <c r="D586" s="13" t="s">
        <v>6179</v>
      </c>
      <c r="E586" s="13" t="s">
        <v>4408</v>
      </c>
      <c r="F586" s="134" t="str">
        <f t="shared" si="0"/>
        <v/>
      </c>
      <c r="G586" s="134" t="str">
        <f t="shared" si="1"/>
        <v>SKILLED CARING CENTER OF MEMORIAL HOSPITAL</v>
      </c>
      <c r="H586" s="134"/>
      <c r="I586" s="134"/>
      <c r="J586" s="134"/>
      <c r="K586" s="134"/>
      <c r="L586" s="134"/>
      <c r="M586" s="134"/>
      <c r="N586" s="134"/>
      <c r="O586" s="134"/>
      <c r="P586" s="134"/>
      <c r="Q586" s="134"/>
      <c r="R586" s="134"/>
      <c r="S586" s="134"/>
      <c r="T586" s="134"/>
      <c r="U586" s="134"/>
      <c r="V586" s="134"/>
      <c r="W586" s="134"/>
      <c r="X586" s="134"/>
      <c r="Y586" s="134"/>
      <c r="Z586" s="134"/>
    </row>
    <row r="587" spans="1:26" ht="15.75" customHeight="1">
      <c r="A587" s="13" t="s">
        <v>6180</v>
      </c>
      <c r="B587" s="13" t="s">
        <v>6181</v>
      </c>
      <c r="C587" s="13" t="s">
        <v>2913</v>
      </c>
      <c r="D587" s="13" t="s">
        <v>6182</v>
      </c>
      <c r="E587" s="13" t="s">
        <v>6183</v>
      </c>
      <c r="F587" s="134" t="str">
        <f t="shared" si="0"/>
        <v/>
      </c>
      <c r="G587" s="134" t="str">
        <f t="shared" si="1"/>
        <v>SOUTH SHORE HEALTH &amp; REHABILITATION CENTER</v>
      </c>
      <c r="H587" s="134"/>
      <c r="I587" s="134"/>
      <c r="J587" s="134"/>
      <c r="K587" s="134"/>
      <c r="L587" s="134"/>
      <c r="M587" s="134"/>
      <c r="N587" s="134"/>
      <c r="O587" s="134"/>
      <c r="P587" s="134"/>
      <c r="Q587" s="134"/>
      <c r="R587" s="134"/>
      <c r="S587" s="134"/>
      <c r="T587" s="134"/>
      <c r="U587" s="134"/>
      <c r="V587" s="134"/>
      <c r="W587" s="134"/>
      <c r="X587" s="134"/>
      <c r="Y587" s="134"/>
      <c r="Z587" s="134"/>
    </row>
    <row r="588" spans="1:26" ht="15.75" customHeight="1">
      <c r="A588" s="13" t="s">
        <v>6184</v>
      </c>
      <c r="B588" s="13" t="s">
        <v>6185</v>
      </c>
      <c r="C588" s="13" t="s">
        <v>2918</v>
      </c>
      <c r="D588" s="13" t="s">
        <v>6186</v>
      </c>
      <c r="E588" s="13" t="s">
        <v>4195</v>
      </c>
      <c r="F588" s="134" t="str">
        <f t="shared" si="0"/>
        <v/>
      </c>
      <c r="G588" s="134" t="str">
        <f t="shared" si="1"/>
        <v>SOUTHERN INDIANA REHABILITATION HOSPITAL - SNF</v>
      </c>
      <c r="H588" s="134"/>
      <c r="I588" s="134"/>
      <c r="J588" s="134"/>
      <c r="K588" s="134"/>
      <c r="L588" s="134"/>
      <c r="M588" s="134"/>
      <c r="N588" s="134"/>
      <c r="O588" s="134"/>
      <c r="P588" s="134"/>
      <c r="Q588" s="134"/>
      <c r="R588" s="134"/>
      <c r="S588" s="134"/>
      <c r="T588" s="134"/>
      <c r="U588" s="134"/>
      <c r="V588" s="134"/>
      <c r="W588" s="134"/>
      <c r="X588" s="134"/>
      <c r="Y588" s="134"/>
      <c r="Z588" s="134"/>
    </row>
    <row r="589" spans="1:26" ht="15.75" customHeight="1">
      <c r="A589" s="13" t="s">
        <v>6187</v>
      </c>
      <c r="B589" s="13" t="s">
        <v>6188</v>
      </c>
      <c r="C589" s="13" t="s">
        <v>2922</v>
      </c>
      <c r="D589" s="13" t="s">
        <v>6189</v>
      </c>
      <c r="E589" s="13" t="s">
        <v>5000</v>
      </c>
      <c r="F589" s="134" t="str">
        <f t="shared" si="0"/>
        <v/>
      </c>
      <c r="G589" s="134" t="str">
        <f t="shared" si="1"/>
        <v>SOUTHFIELD VILLAGE</v>
      </c>
      <c r="H589" s="134"/>
      <c r="I589" s="134"/>
      <c r="J589" s="134"/>
      <c r="K589" s="134"/>
      <c r="L589" s="134"/>
      <c r="M589" s="134"/>
      <c r="N589" s="134"/>
      <c r="O589" s="134"/>
      <c r="P589" s="134"/>
      <c r="Q589" s="134"/>
      <c r="R589" s="134"/>
      <c r="S589" s="134"/>
      <c r="T589" s="134"/>
      <c r="U589" s="134"/>
      <c r="V589" s="134"/>
      <c r="W589" s="134"/>
      <c r="X589" s="134"/>
      <c r="Y589" s="134"/>
      <c r="Z589" s="134"/>
    </row>
    <row r="590" spans="1:26" ht="15.75" customHeight="1">
      <c r="A590" s="13" t="s">
        <v>6190</v>
      </c>
      <c r="B590" s="13" t="s">
        <v>6191</v>
      </c>
      <c r="C590" s="13" t="s">
        <v>2927</v>
      </c>
      <c r="D590" s="13" t="s">
        <v>6192</v>
      </c>
      <c r="E590" s="13" t="s">
        <v>4046</v>
      </c>
      <c r="F590" s="134" t="str">
        <f t="shared" si="0"/>
        <v/>
      </c>
      <c r="G590" s="134" t="str">
        <f t="shared" si="1"/>
        <v>SOUTHPOINTE HEALTHCARE CENTER</v>
      </c>
      <c r="H590" s="134"/>
      <c r="I590" s="134"/>
      <c r="J590" s="134"/>
      <c r="K590" s="134"/>
      <c r="L590" s="134"/>
      <c r="M590" s="134"/>
      <c r="N590" s="134"/>
      <c r="O590" s="134"/>
      <c r="P590" s="134"/>
      <c r="Q590" s="134"/>
      <c r="R590" s="134"/>
      <c r="S590" s="134"/>
      <c r="T590" s="134"/>
      <c r="U590" s="134"/>
      <c r="V590" s="134"/>
      <c r="W590" s="134"/>
      <c r="X590" s="134"/>
      <c r="Y590" s="134"/>
      <c r="Z590" s="134"/>
    </row>
    <row r="591" spans="1:26" ht="15.75" customHeight="1">
      <c r="A591" s="13" t="s">
        <v>6193</v>
      </c>
      <c r="B591" s="13" t="s">
        <v>6194</v>
      </c>
      <c r="C591" s="13" t="s">
        <v>2932</v>
      </c>
      <c r="D591" s="13" t="s">
        <v>6195</v>
      </c>
      <c r="E591" s="13" t="s">
        <v>4542</v>
      </c>
      <c r="F591" s="134" t="str">
        <f t="shared" si="0"/>
        <v/>
      </c>
      <c r="G591" s="134" t="str">
        <f t="shared" si="1"/>
        <v>SOUTHWOOD HEALTHCARE CENTER</v>
      </c>
      <c r="H591" s="134"/>
      <c r="I591" s="134"/>
      <c r="J591" s="134"/>
      <c r="K591" s="134"/>
      <c r="L591" s="134"/>
      <c r="M591" s="134"/>
      <c r="N591" s="134"/>
      <c r="O591" s="134"/>
      <c r="P591" s="134"/>
      <c r="Q591" s="134"/>
      <c r="R591" s="134"/>
      <c r="S591" s="134"/>
      <c r="T591" s="134"/>
      <c r="U591" s="134"/>
      <c r="V591" s="134"/>
      <c r="W591" s="134"/>
      <c r="X591" s="134"/>
      <c r="Y591" s="134"/>
      <c r="Z591" s="134"/>
    </row>
    <row r="592" spans="1:26" ht="15.75" customHeight="1">
      <c r="A592" s="13" t="s">
        <v>6196</v>
      </c>
      <c r="B592" s="13" t="s">
        <v>6197</v>
      </c>
      <c r="C592" s="13" t="s">
        <v>2935</v>
      </c>
      <c r="D592" s="13" t="s">
        <v>6198</v>
      </c>
      <c r="E592" s="13" t="s">
        <v>4938</v>
      </c>
      <c r="F592" s="134" t="str">
        <f t="shared" si="0"/>
        <v/>
      </c>
      <c r="G592" s="134" t="str">
        <f t="shared" si="1"/>
        <v>SPRENGER HEALTH CARE OF MISHAWAKA</v>
      </c>
      <c r="H592" s="134"/>
      <c r="I592" s="134"/>
      <c r="J592" s="134"/>
      <c r="K592" s="134"/>
      <c r="L592" s="134"/>
      <c r="M592" s="134"/>
      <c r="N592" s="134"/>
      <c r="O592" s="134"/>
      <c r="P592" s="134"/>
      <c r="Q592" s="134"/>
      <c r="R592" s="134"/>
      <c r="S592" s="134"/>
      <c r="T592" s="134"/>
      <c r="U592" s="134"/>
      <c r="V592" s="134"/>
      <c r="W592" s="134"/>
      <c r="X592" s="134"/>
      <c r="Y592" s="134"/>
      <c r="Z592" s="134"/>
    </row>
    <row r="593" spans="1:26" ht="15.75" customHeight="1">
      <c r="A593" s="13" t="s">
        <v>6199</v>
      </c>
      <c r="B593" s="13" t="s">
        <v>6200</v>
      </c>
      <c r="C593" s="13" t="s">
        <v>2938</v>
      </c>
      <c r="D593" s="13" t="s">
        <v>6201</v>
      </c>
      <c r="E593" s="13" t="s">
        <v>4239</v>
      </c>
      <c r="F593" s="134" t="str">
        <f t="shared" si="0"/>
        <v/>
      </c>
      <c r="G593" s="134" t="str">
        <f t="shared" si="1"/>
        <v>SPRING MILL HEALTH CAMPUS</v>
      </c>
      <c r="H593" s="134"/>
      <c r="I593" s="134"/>
      <c r="J593" s="134"/>
      <c r="K593" s="134"/>
      <c r="L593" s="134"/>
      <c r="M593" s="134"/>
      <c r="N593" s="134"/>
      <c r="O593" s="134"/>
      <c r="P593" s="134"/>
      <c r="Q593" s="134"/>
      <c r="R593" s="134"/>
      <c r="S593" s="134"/>
      <c r="T593" s="134"/>
      <c r="U593" s="134"/>
      <c r="V593" s="134"/>
      <c r="W593" s="134"/>
      <c r="X593" s="134"/>
      <c r="Y593" s="134"/>
      <c r="Z593" s="134"/>
    </row>
    <row r="594" spans="1:26" ht="15.75" customHeight="1">
      <c r="A594" s="13" t="s">
        <v>6202</v>
      </c>
      <c r="B594" s="13" t="s">
        <v>6203</v>
      </c>
      <c r="C594" s="13" t="s">
        <v>2941</v>
      </c>
      <c r="D594" s="13" t="s">
        <v>6204</v>
      </c>
      <c r="E594" s="13" t="s">
        <v>3998</v>
      </c>
      <c r="F594" s="134" t="str">
        <f t="shared" si="0"/>
        <v/>
      </c>
      <c r="G594" s="134" t="str">
        <f t="shared" si="1"/>
        <v>SPRING MILL MEADOWS</v>
      </c>
      <c r="H594" s="134"/>
      <c r="I594" s="134"/>
      <c r="J594" s="134"/>
      <c r="K594" s="134"/>
      <c r="L594" s="134"/>
      <c r="M594" s="134"/>
      <c r="N594" s="134"/>
      <c r="O594" s="134"/>
      <c r="P594" s="134"/>
      <c r="Q594" s="134"/>
      <c r="R594" s="134"/>
      <c r="S594" s="134"/>
      <c r="T594" s="134"/>
      <c r="U594" s="134"/>
      <c r="V594" s="134"/>
      <c r="W594" s="134"/>
      <c r="X594" s="134"/>
      <c r="Y594" s="134"/>
      <c r="Z594" s="134"/>
    </row>
    <row r="595" spans="1:26" ht="15.75" customHeight="1">
      <c r="A595" s="13" t="s">
        <v>6205</v>
      </c>
      <c r="B595" s="13" t="s">
        <v>6206</v>
      </c>
      <c r="C595" s="13" t="s">
        <v>2944</v>
      </c>
      <c r="D595" s="13" t="s">
        <v>6207</v>
      </c>
      <c r="E595" s="13" t="s">
        <v>4542</v>
      </c>
      <c r="F595" s="134" t="str">
        <f t="shared" si="0"/>
        <v/>
      </c>
      <c r="G595" s="134" t="str">
        <f t="shared" si="1"/>
        <v>SPRINGHILL VILLAGE</v>
      </c>
      <c r="H595" s="134"/>
      <c r="I595" s="134"/>
      <c r="J595" s="134"/>
      <c r="K595" s="134"/>
      <c r="L595" s="134"/>
      <c r="M595" s="134"/>
      <c r="N595" s="134"/>
      <c r="O595" s="134"/>
      <c r="P595" s="134"/>
      <c r="Q595" s="134"/>
      <c r="R595" s="134"/>
      <c r="S595" s="134"/>
      <c r="T595" s="134"/>
      <c r="U595" s="134"/>
      <c r="V595" s="134"/>
      <c r="W595" s="134"/>
      <c r="X595" s="134"/>
      <c r="Y595" s="134"/>
      <c r="Z595" s="134"/>
    </row>
    <row r="596" spans="1:26" ht="15.75" customHeight="1">
      <c r="A596" s="13" t="s">
        <v>6208</v>
      </c>
      <c r="B596" s="13" t="s">
        <v>6209</v>
      </c>
      <c r="C596" s="13" t="s">
        <v>2947</v>
      </c>
      <c r="D596" s="13" t="s">
        <v>6210</v>
      </c>
      <c r="E596" s="13" t="s">
        <v>4641</v>
      </c>
      <c r="F596" s="134" t="str">
        <f t="shared" si="0"/>
        <v/>
      </c>
      <c r="G596" s="134" t="str">
        <f t="shared" si="1"/>
        <v>SPRINGHURST HEALTH CAMPUS</v>
      </c>
      <c r="H596" s="134"/>
      <c r="I596" s="134"/>
      <c r="J596" s="134"/>
      <c r="K596" s="134"/>
      <c r="L596" s="134"/>
      <c r="M596" s="134"/>
      <c r="N596" s="134"/>
      <c r="O596" s="134"/>
      <c r="P596" s="134"/>
      <c r="Q596" s="134"/>
      <c r="R596" s="134"/>
      <c r="S596" s="134"/>
      <c r="T596" s="134"/>
      <c r="U596" s="134"/>
      <c r="V596" s="134"/>
      <c r="W596" s="134"/>
      <c r="X596" s="134"/>
      <c r="Y596" s="134"/>
      <c r="Z596" s="134"/>
    </row>
    <row r="597" spans="1:26" ht="15.75" customHeight="1">
      <c r="A597" s="13" t="s">
        <v>6211</v>
      </c>
      <c r="B597" s="13" t="s">
        <v>6212</v>
      </c>
      <c r="C597" s="13" t="s">
        <v>2950</v>
      </c>
      <c r="D597" s="13" t="s">
        <v>6213</v>
      </c>
      <c r="E597" s="13" t="s">
        <v>6032</v>
      </c>
      <c r="F597" s="134" t="str">
        <f t="shared" si="0"/>
        <v/>
      </c>
      <c r="G597" s="134" t="str">
        <f t="shared" si="1"/>
        <v>SPRINGS AT LAFAYETTE, THE</v>
      </c>
      <c r="H597" s="134"/>
      <c r="I597" s="134"/>
      <c r="J597" s="134"/>
      <c r="K597" s="134"/>
      <c r="L597" s="134"/>
      <c r="M597" s="134"/>
      <c r="N597" s="134"/>
      <c r="O597" s="134"/>
      <c r="P597" s="134"/>
      <c r="Q597" s="134"/>
      <c r="R597" s="134"/>
      <c r="S597" s="134"/>
      <c r="T597" s="134"/>
      <c r="U597" s="134"/>
      <c r="V597" s="134"/>
      <c r="W597" s="134"/>
      <c r="X597" s="134"/>
      <c r="Y597" s="134"/>
      <c r="Z597" s="134"/>
    </row>
    <row r="598" spans="1:26" ht="15.75" customHeight="1">
      <c r="A598" s="13" t="s">
        <v>6214</v>
      </c>
      <c r="B598" s="13" t="s">
        <v>6215</v>
      </c>
      <c r="C598" s="13" t="s">
        <v>2953</v>
      </c>
      <c r="D598" s="13" t="s">
        <v>6216</v>
      </c>
      <c r="E598" s="13" t="s">
        <v>5546</v>
      </c>
      <c r="F598" s="134" t="str">
        <f t="shared" si="0"/>
        <v/>
      </c>
      <c r="G598" s="134" t="str">
        <f t="shared" si="1"/>
        <v>SPRINGS OF MOORESVILLE, THE</v>
      </c>
      <c r="H598" s="134"/>
      <c r="I598" s="134"/>
      <c r="J598" s="134"/>
      <c r="K598" s="134"/>
      <c r="L598" s="134"/>
      <c r="M598" s="134"/>
      <c r="N598" s="134"/>
      <c r="O598" s="134"/>
      <c r="P598" s="134"/>
      <c r="Q598" s="134"/>
      <c r="R598" s="134"/>
      <c r="S598" s="134"/>
      <c r="T598" s="134"/>
      <c r="U598" s="134"/>
      <c r="V598" s="134"/>
      <c r="W598" s="134"/>
      <c r="X598" s="134"/>
      <c r="Y598" s="134"/>
      <c r="Z598" s="134"/>
    </row>
    <row r="599" spans="1:26" ht="15.75" customHeight="1">
      <c r="A599" s="13" t="s">
        <v>6217</v>
      </c>
      <c r="B599" s="13" t="s">
        <v>6218</v>
      </c>
      <c r="C599" s="13" t="s">
        <v>2956</v>
      </c>
      <c r="D599" s="13" t="s">
        <v>6219</v>
      </c>
      <c r="E599" s="13" t="s">
        <v>4134</v>
      </c>
      <c r="F599" s="134" t="str">
        <f t="shared" si="0"/>
        <v/>
      </c>
      <c r="G599" s="134" t="str">
        <f t="shared" si="1"/>
        <v>SPRINGS OF RICHMOND, THE</v>
      </c>
      <c r="H599" s="134"/>
      <c r="I599" s="134"/>
      <c r="J599" s="134"/>
      <c r="K599" s="134"/>
      <c r="L599" s="134"/>
      <c r="M599" s="134"/>
      <c r="N599" s="134"/>
      <c r="O599" s="134"/>
      <c r="P599" s="134"/>
      <c r="Q599" s="134"/>
      <c r="R599" s="134"/>
      <c r="S599" s="134"/>
      <c r="T599" s="134"/>
      <c r="U599" s="134"/>
      <c r="V599" s="134"/>
      <c r="W599" s="134"/>
      <c r="X599" s="134"/>
      <c r="Y599" s="134"/>
      <c r="Z599" s="134"/>
    </row>
    <row r="600" spans="1:26" ht="15.75" customHeight="1">
      <c r="A600" s="13" t="s">
        <v>6220</v>
      </c>
      <c r="B600" s="13" t="s">
        <v>6221</v>
      </c>
      <c r="C600" s="13" t="s">
        <v>2960</v>
      </c>
      <c r="D600" s="13" t="s">
        <v>6222</v>
      </c>
      <c r="E600" s="13" t="s">
        <v>6223</v>
      </c>
      <c r="F600" s="134" t="str">
        <f t="shared" si="0"/>
        <v/>
      </c>
      <c r="G600" s="134" t="str">
        <f t="shared" si="1"/>
        <v>SPRINGS VALLEY MEADOWS</v>
      </c>
      <c r="H600" s="134"/>
      <c r="I600" s="134"/>
      <c r="J600" s="134"/>
      <c r="K600" s="134"/>
      <c r="L600" s="134"/>
      <c r="M600" s="134"/>
      <c r="N600" s="134"/>
      <c r="O600" s="134"/>
      <c r="P600" s="134"/>
      <c r="Q600" s="134"/>
      <c r="R600" s="134"/>
      <c r="S600" s="134"/>
      <c r="T600" s="134"/>
      <c r="U600" s="134"/>
      <c r="V600" s="134"/>
      <c r="W600" s="134"/>
      <c r="X600" s="134"/>
      <c r="Y600" s="134"/>
      <c r="Z600" s="134"/>
    </row>
    <row r="601" spans="1:26" ht="15.75" customHeight="1">
      <c r="A601" s="13" t="s">
        <v>6224</v>
      </c>
      <c r="B601" s="13" t="s">
        <v>6225</v>
      </c>
      <c r="C601" s="13" t="s">
        <v>2965</v>
      </c>
      <c r="D601" s="13" t="s">
        <v>6226</v>
      </c>
      <c r="E601" s="13" t="s">
        <v>4169</v>
      </c>
      <c r="F601" s="134" t="str">
        <f t="shared" si="0"/>
        <v/>
      </c>
      <c r="G601" s="134" t="str">
        <f t="shared" si="1"/>
        <v>ST ANDREWS HEALTH CAMPUS</v>
      </c>
      <c r="H601" s="134"/>
      <c r="I601" s="134"/>
      <c r="J601" s="134"/>
      <c r="K601" s="134"/>
      <c r="L601" s="134"/>
      <c r="M601" s="134"/>
      <c r="N601" s="134"/>
      <c r="O601" s="134"/>
      <c r="P601" s="134"/>
      <c r="Q601" s="134"/>
      <c r="R601" s="134"/>
      <c r="S601" s="134"/>
      <c r="T601" s="134"/>
      <c r="U601" s="134"/>
      <c r="V601" s="134"/>
      <c r="W601" s="134"/>
      <c r="X601" s="134"/>
      <c r="Y601" s="134"/>
      <c r="Z601" s="134"/>
    </row>
    <row r="602" spans="1:26" ht="15.75" customHeight="1">
      <c r="A602" s="13" t="s">
        <v>6227</v>
      </c>
      <c r="B602" s="13" t="s">
        <v>6228</v>
      </c>
      <c r="C602" s="13" t="s">
        <v>2972</v>
      </c>
      <c r="D602" s="13" t="s">
        <v>6229</v>
      </c>
      <c r="E602" s="13" t="s">
        <v>3998</v>
      </c>
      <c r="F602" s="134" t="str">
        <f t="shared" si="0"/>
        <v/>
      </c>
      <c r="G602" s="134" t="str">
        <f t="shared" si="1"/>
        <v>ST AUGUSTINE HOME FOR THE AGED</v>
      </c>
      <c r="H602" s="134"/>
      <c r="I602" s="134"/>
      <c r="J602" s="134"/>
      <c r="K602" s="134"/>
      <c r="L602" s="134"/>
      <c r="M602" s="134"/>
      <c r="N602" s="134"/>
      <c r="O602" s="134"/>
      <c r="P602" s="134"/>
      <c r="Q602" s="134"/>
      <c r="R602" s="134"/>
      <c r="S602" s="134"/>
      <c r="T602" s="134"/>
      <c r="U602" s="134"/>
      <c r="V602" s="134"/>
      <c r="W602" s="134"/>
      <c r="X602" s="134"/>
      <c r="Y602" s="134"/>
      <c r="Z602" s="134"/>
    </row>
    <row r="603" spans="1:26" ht="15.75" customHeight="1">
      <c r="A603" s="13" t="s">
        <v>6230</v>
      </c>
      <c r="B603" s="13" t="s">
        <v>6231</v>
      </c>
      <c r="C603" s="13" t="s">
        <v>2975</v>
      </c>
      <c r="D603" s="13" t="s">
        <v>6232</v>
      </c>
      <c r="E603" s="13" t="s">
        <v>4408</v>
      </c>
      <c r="F603" s="134" t="str">
        <f t="shared" si="0"/>
        <v/>
      </c>
      <c r="G603" s="134" t="str">
        <f t="shared" si="1"/>
        <v>ST CHARLES HEALTH CAMPUS</v>
      </c>
      <c r="H603" s="134"/>
      <c r="I603" s="134"/>
      <c r="J603" s="134"/>
      <c r="K603" s="134"/>
      <c r="L603" s="134"/>
      <c r="M603" s="134"/>
      <c r="N603" s="134"/>
      <c r="O603" s="134"/>
      <c r="P603" s="134"/>
      <c r="Q603" s="134"/>
      <c r="R603" s="134"/>
      <c r="S603" s="134"/>
      <c r="T603" s="134"/>
      <c r="U603" s="134"/>
      <c r="V603" s="134"/>
      <c r="W603" s="134"/>
      <c r="X603" s="134"/>
      <c r="Y603" s="134"/>
      <c r="Z603" s="134"/>
    </row>
    <row r="604" spans="1:26" ht="15.75" customHeight="1">
      <c r="A604" s="13" t="s">
        <v>6233</v>
      </c>
      <c r="B604" s="13" t="s">
        <v>6234</v>
      </c>
      <c r="C604" s="13" t="s">
        <v>2980</v>
      </c>
      <c r="D604" s="13" t="s">
        <v>6235</v>
      </c>
      <c r="E604" s="13" t="s">
        <v>6236</v>
      </c>
      <c r="F604" s="134" t="str">
        <f t="shared" si="0"/>
        <v/>
      </c>
      <c r="G604" s="134" t="str">
        <f t="shared" si="1"/>
        <v>ST ELIZABETH HEALTHCARE CENTER</v>
      </c>
      <c r="H604" s="134"/>
      <c r="I604" s="134"/>
      <c r="J604" s="134"/>
      <c r="K604" s="134"/>
      <c r="L604" s="134"/>
      <c r="M604" s="134"/>
      <c r="N604" s="134"/>
      <c r="O604" s="134"/>
      <c r="P604" s="134"/>
      <c r="Q604" s="134"/>
      <c r="R604" s="134"/>
      <c r="S604" s="134"/>
      <c r="T604" s="134"/>
      <c r="U604" s="134"/>
      <c r="V604" s="134"/>
      <c r="W604" s="134"/>
      <c r="X604" s="134"/>
      <c r="Y604" s="134"/>
      <c r="Z604" s="134"/>
    </row>
    <row r="605" spans="1:26" ht="15.75" customHeight="1">
      <c r="A605" s="13" t="s">
        <v>6237</v>
      </c>
      <c r="B605" s="13" t="s">
        <v>6238</v>
      </c>
      <c r="C605" s="13" t="s">
        <v>2984</v>
      </c>
      <c r="D605" s="13" t="s">
        <v>6239</v>
      </c>
      <c r="E605" s="13" t="s">
        <v>6032</v>
      </c>
      <c r="F605" s="134" t="str">
        <f t="shared" si="0"/>
        <v/>
      </c>
      <c r="G605" s="134" t="str">
        <f t="shared" si="1"/>
        <v>ST MARY HEALTHCARE CENTER</v>
      </c>
      <c r="H605" s="134"/>
      <c r="I605" s="134"/>
      <c r="J605" s="134"/>
      <c r="K605" s="134"/>
      <c r="L605" s="134"/>
      <c r="M605" s="134"/>
      <c r="N605" s="134"/>
      <c r="O605" s="134"/>
      <c r="P605" s="134"/>
      <c r="Q605" s="134"/>
      <c r="R605" s="134"/>
      <c r="S605" s="134"/>
      <c r="T605" s="134"/>
      <c r="U605" s="134"/>
      <c r="V605" s="134"/>
      <c r="W605" s="134"/>
      <c r="X605" s="134"/>
      <c r="Y605" s="134"/>
      <c r="Z605" s="134"/>
    </row>
    <row r="606" spans="1:26" ht="15.75" customHeight="1">
      <c r="A606" s="13" t="s">
        <v>6240</v>
      </c>
      <c r="B606" s="13" t="s">
        <v>6241</v>
      </c>
      <c r="C606" s="13" t="s">
        <v>2986</v>
      </c>
      <c r="D606" s="13" t="s">
        <v>6242</v>
      </c>
      <c r="E606" s="13" t="s">
        <v>4220</v>
      </c>
      <c r="F606" s="134" t="str">
        <f t="shared" si="0"/>
        <v/>
      </c>
      <c r="G606" s="134" t="str">
        <f t="shared" si="1"/>
        <v>ST PAUL HERMITAGE</v>
      </c>
      <c r="H606" s="134"/>
      <c r="I606" s="134"/>
      <c r="J606" s="134"/>
      <c r="K606" s="134"/>
      <c r="L606" s="134"/>
      <c r="M606" s="134"/>
      <c r="N606" s="134"/>
      <c r="O606" s="134"/>
      <c r="P606" s="134"/>
      <c r="Q606" s="134"/>
      <c r="R606" s="134"/>
      <c r="S606" s="134"/>
      <c r="T606" s="134"/>
      <c r="U606" s="134"/>
      <c r="V606" s="134"/>
      <c r="W606" s="134"/>
      <c r="X606" s="134"/>
      <c r="Y606" s="134"/>
      <c r="Z606" s="134"/>
    </row>
    <row r="607" spans="1:26" ht="15.75" customHeight="1">
      <c r="A607" s="13" t="s">
        <v>6243</v>
      </c>
      <c r="B607" s="13" t="s">
        <v>6244</v>
      </c>
      <c r="C607" s="13" t="s">
        <v>2989</v>
      </c>
      <c r="D607" s="13" t="s">
        <v>6245</v>
      </c>
      <c r="E607" s="13" t="s">
        <v>4300</v>
      </c>
      <c r="F607" s="134" t="str">
        <f t="shared" si="0"/>
        <v/>
      </c>
      <c r="G607" s="134" t="str">
        <f t="shared" si="1"/>
        <v>STONEBRIDGE HEALTH CAMPUS</v>
      </c>
      <c r="H607" s="134"/>
      <c r="I607" s="134"/>
      <c r="J607" s="134"/>
      <c r="K607" s="134"/>
      <c r="L607" s="134"/>
      <c r="M607" s="134"/>
      <c r="N607" s="134"/>
      <c r="O607" s="134"/>
      <c r="P607" s="134"/>
      <c r="Q607" s="134"/>
      <c r="R607" s="134"/>
      <c r="S607" s="134"/>
      <c r="T607" s="134"/>
      <c r="U607" s="134"/>
      <c r="V607" s="134"/>
      <c r="W607" s="134"/>
      <c r="X607" s="134"/>
      <c r="Y607" s="134"/>
      <c r="Z607" s="134"/>
    </row>
    <row r="608" spans="1:26" ht="15.75" customHeight="1">
      <c r="A608" s="13" t="s">
        <v>6246</v>
      </c>
      <c r="B608" s="13" t="s">
        <v>6247</v>
      </c>
      <c r="C608" s="13" t="s">
        <v>2992</v>
      </c>
      <c r="D608" s="13" t="s">
        <v>6248</v>
      </c>
      <c r="E608" s="13" t="s">
        <v>4011</v>
      </c>
      <c r="F608" s="134" t="str">
        <f t="shared" si="0"/>
        <v/>
      </c>
      <c r="G608" s="134" t="str">
        <f t="shared" si="1"/>
        <v>STONEBROOKE REHABILITATION CENTER</v>
      </c>
      <c r="H608" s="134"/>
      <c r="I608" s="134"/>
      <c r="J608" s="134"/>
      <c r="K608" s="134"/>
      <c r="L608" s="134"/>
      <c r="M608" s="134"/>
      <c r="N608" s="134"/>
      <c r="O608" s="134"/>
      <c r="P608" s="134"/>
      <c r="Q608" s="134"/>
      <c r="R608" s="134"/>
      <c r="S608" s="134"/>
      <c r="T608" s="134"/>
      <c r="U608" s="134"/>
      <c r="V608" s="134"/>
      <c r="W608" s="134"/>
      <c r="X608" s="134"/>
      <c r="Y608" s="134"/>
      <c r="Z608" s="134"/>
    </row>
    <row r="609" spans="1:26" ht="15.75" customHeight="1">
      <c r="A609" s="13" t="s">
        <v>6249</v>
      </c>
      <c r="B609" s="13" t="s">
        <v>6250</v>
      </c>
      <c r="C609" s="13" t="s">
        <v>2995</v>
      </c>
      <c r="D609" s="13" t="s">
        <v>6251</v>
      </c>
      <c r="E609" s="13" t="s">
        <v>4846</v>
      </c>
      <c r="F609" s="134" t="str">
        <f t="shared" si="0"/>
        <v/>
      </c>
      <c r="G609" s="134" t="str">
        <f t="shared" si="1"/>
        <v>STONECROFT HEALTH CAMPUS</v>
      </c>
      <c r="H609" s="134"/>
      <c r="I609" s="134"/>
      <c r="J609" s="134"/>
      <c r="K609" s="134"/>
      <c r="L609" s="134"/>
      <c r="M609" s="134"/>
      <c r="N609" s="134"/>
      <c r="O609" s="134"/>
      <c r="P609" s="134"/>
      <c r="Q609" s="134"/>
      <c r="R609" s="134"/>
      <c r="S609" s="134"/>
      <c r="T609" s="134"/>
      <c r="U609" s="134"/>
      <c r="V609" s="134"/>
      <c r="W609" s="134"/>
      <c r="X609" s="134"/>
      <c r="Y609" s="134"/>
      <c r="Z609" s="134"/>
    </row>
    <row r="610" spans="1:26" ht="15.75" customHeight="1">
      <c r="A610" s="13" t="s">
        <v>6252</v>
      </c>
      <c r="B610" s="13" t="s">
        <v>6253</v>
      </c>
      <c r="C610" s="13" t="s">
        <v>2997</v>
      </c>
      <c r="D610" s="13" t="s">
        <v>6254</v>
      </c>
      <c r="E610" s="13" t="s">
        <v>4641</v>
      </c>
      <c r="F610" s="134" t="str">
        <f t="shared" si="0"/>
        <v/>
      </c>
      <c r="G610" s="134" t="str">
        <f t="shared" si="1"/>
        <v>SUGAR CREEK REHABILITATION AND CONVALESCENT CENTER</v>
      </c>
      <c r="H610" s="134"/>
      <c r="I610" s="134"/>
      <c r="J610" s="134"/>
      <c r="K610" s="134"/>
      <c r="L610" s="134"/>
      <c r="M610" s="134"/>
      <c r="N610" s="134"/>
      <c r="O610" s="134"/>
      <c r="P610" s="134"/>
      <c r="Q610" s="134"/>
      <c r="R610" s="134"/>
      <c r="S610" s="134"/>
      <c r="T610" s="134"/>
      <c r="U610" s="134"/>
      <c r="V610" s="134"/>
      <c r="W610" s="134"/>
      <c r="X610" s="134"/>
      <c r="Y610" s="134"/>
      <c r="Z610" s="134"/>
    </row>
    <row r="611" spans="1:26" ht="15.75" hidden="1" customHeight="1">
      <c r="A611" s="13" t="s">
        <v>6255</v>
      </c>
      <c r="B611" s="13" t="s">
        <v>6256</v>
      </c>
      <c r="C611" s="13" t="s">
        <v>6257</v>
      </c>
      <c r="D611" s="13" t="s">
        <v>6258</v>
      </c>
      <c r="E611" s="13" t="s">
        <v>6259</v>
      </c>
      <c r="F611" s="134" t="str">
        <f t="shared" si="0"/>
        <v/>
      </c>
      <c r="G611" s="134" t="str">
        <f t="shared" si="1"/>
        <v>SUGAR FORK CROSSING</v>
      </c>
      <c r="H611" s="134"/>
      <c r="I611" s="134"/>
      <c r="J611" s="134"/>
      <c r="K611" s="134"/>
      <c r="L611" s="134"/>
      <c r="M611" s="134"/>
      <c r="N611" s="134"/>
      <c r="O611" s="134"/>
      <c r="P611" s="134"/>
      <c r="Q611" s="134"/>
      <c r="R611" s="134"/>
      <c r="S611" s="134"/>
      <c r="T611" s="134"/>
      <c r="U611" s="134"/>
      <c r="V611" s="134"/>
      <c r="W611" s="134"/>
      <c r="X611" s="134"/>
      <c r="Y611" s="134"/>
      <c r="Z611" s="134"/>
    </row>
    <row r="612" spans="1:26" ht="15.75" hidden="1" customHeight="1">
      <c r="A612" s="13" t="s">
        <v>6260</v>
      </c>
      <c r="B612" s="13" t="s">
        <v>6261</v>
      </c>
      <c r="C612" s="13" t="s">
        <v>6262</v>
      </c>
      <c r="D612" s="13" t="s">
        <v>6263</v>
      </c>
      <c r="E612" s="13" t="s">
        <v>4669</v>
      </c>
      <c r="F612" s="134" t="str">
        <f t="shared" si="0"/>
        <v/>
      </c>
      <c r="G612" s="134" t="str">
        <f t="shared" si="1"/>
        <v>SUGAR GROVE SENIOR LIVING</v>
      </c>
      <c r="H612" s="134"/>
      <c r="I612" s="134"/>
      <c r="J612" s="134"/>
      <c r="K612" s="134"/>
      <c r="L612" s="134"/>
      <c r="M612" s="134"/>
      <c r="N612" s="134"/>
      <c r="O612" s="134"/>
      <c r="P612" s="134"/>
      <c r="Q612" s="134"/>
      <c r="R612" s="134"/>
      <c r="S612" s="134"/>
      <c r="T612" s="134"/>
      <c r="U612" s="134"/>
      <c r="V612" s="134"/>
      <c r="W612" s="134"/>
      <c r="X612" s="134"/>
      <c r="Y612" s="134"/>
      <c r="Z612" s="134"/>
    </row>
    <row r="613" spans="1:26" ht="15.75" customHeight="1">
      <c r="A613" s="13" t="s">
        <v>6264</v>
      </c>
      <c r="B613" s="13" t="s">
        <v>6265</v>
      </c>
      <c r="C613" s="13" t="s">
        <v>3001</v>
      </c>
      <c r="D613" s="13" t="s">
        <v>6266</v>
      </c>
      <c r="E613" s="13" t="s">
        <v>6267</v>
      </c>
      <c r="F613" s="134" t="str">
        <f t="shared" si="0"/>
        <v/>
      </c>
      <c r="G613" s="134" t="str">
        <f t="shared" si="1"/>
        <v>SUMMERFIELD HEALTH CARE CENTER</v>
      </c>
      <c r="H613" s="134"/>
      <c r="I613" s="134"/>
      <c r="J613" s="134"/>
      <c r="K613" s="134"/>
      <c r="L613" s="134"/>
      <c r="M613" s="134"/>
      <c r="N613" s="134"/>
      <c r="O613" s="134"/>
      <c r="P613" s="134"/>
      <c r="Q613" s="134"/>
      <c r="R613" s="134"/>
      <c r="S613" s="134"/>
      <c r="T613" s="134"/>
      <c r="U613" s="134"/>
      <c r="V613" s="134"/>
      <c r="W613" s="134"/>
      <c r="X613" s="134"/>
      <c r="Y613" s="134"/>
      <c r="Z613" s="134"/>
    </row>
    <row r="614" spans="1:26" ht="15.75" customHeight="1">
      <c r="A614" s="13" t="s">
        <v>6268</v>
      </c>
      <c r="B614" s="13" t="s">
        <v>6269</v>
      </c>
      <c r="C614" s="13" t="s">
        <v>3005</v>
      </c>
      <c r="D614" s="13" t="s">
        <v>6270</v>
      </c>
      <c r="E614" s="13" t="s">
        <v>4126</v>
      </c>
      <c r="F614" s="134" t="str">
        <f t="shared" si="0"/>
        <v/>
      </c>
      <c r="G614" s="134" t="str">
        <f t="shared" si="1"/>
        <v>SUMMIT CITY NURSING AND REHABILITATION</v>
      </c>
      <c r="H614" s="134"/>
      <c r="I614" s="134"/>
      <c r="J614" s="134"/>
      <c r="K614" s="134"/>
      <c r="L614" s="134"/>
      <c r="M614" s="134"/>
      <c r="N614" s="134"/>
      <c r="O614" s="134"/>
      <c r="P614" s="134"/>
      <c r="Q614" s="134"/>
      <c r="R614" s="134"/>
      <c r="S614" s="134"/>
      <c r="T614" s="134"/>
      <c r="U614" s="134"/>
      <c r="V614" s="134"/>
      <c r="W614" s="134"/>
      <c r="X614" s="134"/>
      <c r="Y614" s="134"/>
      <c r="Z614" s="134"/>
    </row>
    <row r="615" spans="1:26" ht="15.75" customHeight="1">
      <c r="A615" s="13" t="s">
        <v>6271</v>
      </c>
      <c r="B615" s="13" t="s">
        <v>6272</v>
      </c>
      <c r="C615" s="13" t="s">
        <v>3007</v>
      </c>
      <c r="D615" s="13" t="s">
        <v>6273</v>
      </c>
      <c r="E615" s="13" t="s">
        <v>6274</v>
      </c>
      <c r="F615" s="134" t="str">
        <f t="shared" si="0"/>
        <v/>
      </c>
      <c r="G615" s="134" t="str">
        <f t="shared" si="1"/>
        <v>SUMMIT HEALTH AND LIVING</v>
      </c>
      <c r="H615" s="134"/>
      <c r="I615" s="134"/>
      <c r="J615" s="134"/>
      <c r="K615" s="134"/>
      <c r="L615" s="134"/>
      <c r="M615" s="134"/>
      <c r="N615" s="134"/>
      <c r="O615" s="134"/>
      <c r="P615" s="134"/>
      <c r="Q615" s="134"/>
      <c r="R615" s="134"/>
      <c r="S615" s="134"/>
      <c r="T615" s="134"/>
      <c r="U615" s="134"/>
      <c r="V615" s="134"/>
      <c r="W615" s="134"/>
      <c r="X615" s="134"/>
      <c r="Y615" s="134"/>
      <c r="Z615" s="134"/>
    </row>
    <row r="616" spans="1:26" ht="15.75" customHeight="1">
      <c r="A616" s="13" t="s">
        <v>6275</v>
      </c>
      <c r="B616" s="13" t="s">
        <v>6276</v>
      </c>
      <c r="C616" s="13" t="s">
        <v>6277</v>
      </c>
      <c r="D616" s="13" t="s">
        <v>6278</v>
      </c>
      <c r="E616" s="13" t="s">
        <v>4702</v>
      </c>
      <c r="F616" s="134" t="str">
        <f t="shared" si="0"/>
        <v/>
      </c>
      <c r="G616" s="134" t="str">
        <f t="shared" si="1"/>
        <v>SUMMIT PLACE WEST</v>
      </c>
      <c r="H616" s="134"/>
      <c r="I616" s="134"/>
      <c r="J616" s="134"/>
      <c r="K616" s="134"/>
      <c r="L616" s="134"/>
      <c r="M616" s="134"/>
      <c r="N616" s="134"/>
      <c r="O616" s="134"/>
      <c r="P616" s="134"/>
      <c r="Q616" s="134"/>
      <c r="R616" s="134"/>
      <c r="S616" s="134"/>
      <c r="T616" s="134"/>
      <c r="U616" s="134"/>
      <c r="V616" s="134"/>
      <c r="W616" s="134"/>
      <c r="X616" s="134"/>
      <c r="Y616" s="134"/>
      <c r="Z616" s="134"/>
    </row>
    <row r="617" spans="1:26" ht="15.75" hidden="1" customHeight="1">
      <c r="A617" s="13" t="s">
        <v>6279</v>
      </c>
      <c r="B617" s="13" t="s">
        <v>6280</v>
      </c>
      <c r="C617" s="13" t="s">
        <v>6281</v>
      </c>
      <c r="D617" s="13" t="s">
        <v>6282</v>
      </c>
      <c r="E617" s="13" t="s">
        <v>4216</v>
      </c>
      <c r="F617" s="134" t="str">
        <f t="shared" si="0"/>
        <v/>
      </c>
      <c r="G617" s="134" t="str">
        <f t="shared" si="1"/>
        <v>SUNRISE ON OLD MERIDIAN</v>
      </c>
      <c r="H617" s="134"/>
      <c r="I617" s="134"/>
      <c r="J617" s="134"/>
      <c r="K617" s="134"/>
      <c r="L617" s="134"/>
      <c r="M617" s="134"/>
      <c r="N617" s="134"/>
      <c r="O617" s="134"/>
      <c r="P617" s="134"/>
      <c r="Q617" s="134"/>
      <c r="R617" s="134"/>
      <c r="S617" s="134"/>
      <c r="T617" s="134"/>
      <c r="U617" s="134"/>
      <c r="V617" s="134"/>
      <c r="W617" s="134"/>
      <c r="X617" s="134"/>
      <c r="Y617" s="134"/>
      <c r="Z617" s="134"/>
    </row>
    <row r="618" spans="1:26" ht="15.75" customHeight="1">
      <c r="A618" s="13" t="s">
        <v>6283</v>
      </c>
      <c r="B618" s="13" t="s">
        <v>6284</v>
      </c>
      <c r="C618" s="13" t="s">
        <v>3013</v>
      </c>
      <c r="D618" s="13" t="s">
        <v>6285</v>
      </c>
      <c r="E618" s="13" t="s">
        <v>6286</v>
      </c>
      <c r="F618" s="134" t="str">
        <f t="shared" si="0"/>
        <v/>
      </c>
      <c r="G618" s="134" t="str">
        <f t="shared" si="1"/>
        <v>SWISS VILLA NURSING AND REHABILITATION</v>
      </c>
      <c r="H618" s="134"/>
      <c r="I618" s="134"/>
      <c r="J618" s="134"/>
      <c r="K618" s="134"/>
      <c r="L618" s="134"/>
      <c r="M618" s="134"/>
      <c r="N618" s="134"/>
      <c r="O618" s="134"/>
      <c r="P618" s="134"/>
      <c r="Q618" s="134"/>
      <c r="R618" s="134"/>
      <c r="S618" s="134"/>
      <c r="T618" s="134"/>
      <c r="U618" s="134"/>
      <c r="V618" s="134"/>
      <c r="W618" s="134"/>
      <c r="X618" s="134"/>
      <c r="Y618" s="134"/>
      <c r="Z618" s="134"/>
    </row>
    <row r="619" spans="1:26" ht="15.75" customHeight="1">
      <c r="A619" s="13" t="s">
        <v>6287</v>
      </c>
      <c r="B619" s="13" t="s">
        <v>6288</v>
      </c>
      <c r="C619" s="13" t="s">
        <v>3019</v>
      </c>
      <c r="D619" s="13" t="s">
        <v>6289</v>
      </c>
      <c r="E619" s="13" t="s">
        <v>4481</v>
      </c>
      <c r="F619" s="134" t="str">
        <f t="shared" si="0"/>
        <v/>
      </c>
      <c r="G619" s="134" t="str">
        <f t="shared" si="1"/>
        <v>SWISS VILLAGE</v>
      </c>
      <c r="H619" s="134"/>
      <c r="I619" s="134"/>
      <c r="J619" s="134"/>
      <c r="K619" s="134"/>
      <c r="L619" s="134"/>
      <c r="M619" s="134"/>
      <c r="N619" s="134"/>
      <c r="O619" s="134"/>
      <c r="P619" s="134"/>
      <c r="Q619" s="134"/>
      <c r="R619" s="134"/>
      <c r="S619" s="134"/>
      <c r="T619" s="134"/>
      <c r="U619" s="134"/>
      <c r="V619" s="134"/>
      <c r="W619" s="134"/>
      <c r="X619" s="134"/>
      <c r="Y619" s="134"/>
      <c r="Z619" s="134"/>
    </row>
    <row r="620" spans="1:26" ht="15.75" customHeight="1">
      <c r="A620" s="13" t="s">
        <v>6290</v>
      </c>
      <c r="B620" s="13" t="s">
        <v>6291</v>
      </c>
      <c r="C620" s="13" t="s">
        <v>3024</v>
      </c>
      <c r="D620" s="13" t="s">
        <v>6292</v>
      </c>
      <c r="E620" s="13" t="s">
        <v>4015</v>
      </c>
      <c r="F620" s="134" t="str">
        <f t="shared" si="0"/>
        <v/>
      </c>
      <c r="G620" s="134" t="str">
        <f t="shared" si="1"/>
        <v>SYMPHONY OF CHESTERTON LLC</v>
      </c>
      <c r="H620" s="134"/>
      <c r="I620" s="134"/>
      <c r="J620" s="134"/>
      <c r="K620" s="134"/>
      <c r="L620" s="134"/>
      <c r="M620" s="134"/>
      <c r="N620" s="134"/>
      <c r="O620" s="134"/>
      <c r="P620" s="134"/>
      <c r="Q620" s="134"/>
      <c r="R620" s="134"/>
      <c r="S620" s="134"/>
      <c r="T620" s="134"/>
      <c r="U620" s="134"/>
      <c r="V620" s="134"/>
      <c r="W620" s="134"/>
      <c r="X620" s="134"/>
      <c r="Y620" s="134"/>
      <c r="Z620" s="134"/>
    </row>
    <row r="621" spans="1:26" ht="15.75" customHeight="1">
      <c r="A621" s="13" t="s">
        <v>6293</v>
      </c>
      <c r="B621" s="13" t="s">
        <v>6294</v>
      </c>
      <c r="C621" s="13" t="s">
        <v>3026</v>
      </c>
      <c r="D621" s="13" t="s">
        <v>6295</v>
      </c>
      <c r="E621" s="13" t="s">
        <v>4288</v>
      </c>
      <c r="F621" s="134" t="str">
        <f t="shared" si="0"/>
        <v/>
      </c>
      <c r="G621" s="134" t="str">
        <f t="shared" si="1"/>
        <v>SYMPHONY OF CROWN POINT LLC</v>
      </c>
      <c r="H621" s="134"/>
      <c r="I621" s="134"/>
      <c r="J621" s="134"/>
      <c r="K621" s="134"/>
      <c r="L621" s="134"/>
      <c r="M621" s="134"/>
      <c r="N621" s="134"/>
      <c r="O621" s="134"/>
      <c r="P621" s="134"/>
      <c r="Q621" s="134"/>
      <c r="R621" s="134"/>
      <c r="S621" s="134"/>
      <c r="T621" s="134"/>
      <c r="U621" s="134"/>
      <c r="V621" s="134"/>
      <c r="W621" s="134"/>
      <c r="X621" s="134"/>
      <c r="Y621" s="134"/>
      <c r="Z621" s="134"/>
    </row>
    <row r="622" spans="1:26" ht="15.75" customHeight="1">
      <c r="A622" s="13" t="s">
        <v>6296</v>
      </c>
      <c r="B622" s="13" t="s">
        <v>6297</v>
      </c>
      <c r="C622" s="13" t="s">
        <v>3030</v>
      </c>
      <c r="D622" s="13" t="s">
        <v>6298</v>
      </c>
      <c r="E622" s="13" t="s">
        <v>4695</v>
      </c>
      <c r="F622" s="134" t="str">
        <f t="shared" si="0"/>
        <v/>
      </c>
      <c r="G622" s="134" t="str">
        <f t="shared" si="1"/>
        <v>SYMPHONY OF DYER LLC</v>
      </c>
      <c r="H622" s="134"/>
      <c r="I622" s="134"/>
      <c r="J622" s="134"/>
      <c r="K622" s="134"/>
      <c r="L622" s="134"/>
      <c r="M622" s="134"/>
      <c r="N622" s="134"/>
      <c r="O622" s="134"/>
      <c r="P622" s="134"/>
      <c r="Q622" s="134"/>
      <c r="R622" s="134"/>
      <c r="S622" s="134"/>
      <c r="T622" s="134"/>
      <c r="U622" s="134"/>
      <c r="V622" s="134"/>
      <c r="W622" s="134"/>
      <c r="X622" s="134"/>
      <c r="Y622" s="134"/>
      <c r="Z622" s="134"/>
    </row>
    <row r="623" spans="1:26" ht="15.75" customHeight="1">
      <c r="A623" s="13" t="s">
        <v>6299</v>
      </c>
      <c r="B623" s="13" t="s">
        <v>6300</v>
      </c>
      <c r="C623" s="13" t="s">
        <v>6301</v>
      </c>
      <c r="D623" s="13" t="s">
        <v>6302</v>
      </c>
      <c r="E623" s="13" t="s">
        <v>4613</v>
      </c>
      <c r="F623" s="134" t="str">
        <f t="shared" si="0"/>
        <v/>
      </c>
      <c r="G623" s="134" t="str">
        <f t="shared" si="1"/>
        <v>TANGLEWOOD TRACE</v>
      </c>
      <c r="H623" s="134"/>
      <c r="I623" s="134"/>
      <c r="J623" s="134"/>
      <c r="K623" s="134"/>
      <c r="L623" s="134"/>
      <c r="M623" s="134"/>
      <c r="N623" s="134"/>
      <c r="O623" s="134"/>
      <c r="P623" s="134"/>
      <c r="Q623" s="134"/>
      <c r="R623" s="134"/>
      <c r="S623" s="134"/>
      <c r="T623" s="134"/>
      <c r="U623" s="134"/>
      <c r="V623" s="134"/>
      <c r="W623" s="134"/>
      <c r="X623" s="134"/>
      <c r="Y623" s="134"/>
      <c r="Z623" s="134"/>
    </row>
    <row r="624" spans="1:26" ht="15.75" customHeight="1">
      <c r="A624" s="13" t="s">
        <v>6303</v>
      </c>
      <c r="B624" s="13" t="s">
        <v>6304</v>
      </c>
      <c r="C624" s="13" t="s">
        <v>3033</v>
      </c>
      <c r="D624" s="13" t="s">
        <v>6305</v>
      </c>
      <c r="E624" s="13" t="s">
        <v>5811</v>
      </c>
      <c r="F624" s="134" t="str">
        <f t="shared" si="0"/>
        <v/>
      </c>
      <c r="G624" s="134" t="str">
        <f t="shared" si="1"/>
        <v>TERRACE AT SOLARBRON THE</v>
      </c>
      <c r="H624" s="134"/>
      <c r="I624" s="134"/>
      <c r="J624" s="134"/>
      <c r="K624" s="134"/>
      <c r="L624" s="134"/>
      <c r="M624" s="134"/>
      <c r="N624" s="134"/>
      <c r="O624" s="134"/>
      <c r="P624" s="134"/>
      <c r="Q624" s="134"/>
      <c r="R624" s="134"/>
      <c r="S624" s="134"/>
      <c r="T624" s="134"/>
      <c r="U624" s="134"/>
      <c r="V624" s="134"/>
      <c r="W624" s="134"/>
      <c r="X624" s="134"/>
      <c r="Y624" s="134"/>
      <c r="Z624" s="134"/>
    </row>
    <row r="625" spans="1:26" ht="15.75" customHeight="1">
      <c r="A625" s="13" t="s">
        <v>6306</v>
      </c>
      <c r="B625" s="13" t="s">
        <v>6307</v>
      </c>
      <c r="C625" s="13" t="s">
        <v>6308</v>
      </c>
      <c r="D625" s="13" t="s">
        <v>6309</v>
      </c>
      <c r="E625" s="13" t="s">
        <v>4239</v>
      </c>
      <c r="F625" s="134" t="str">
        <f t="shared" si="0"/>
        <v/>
      </c>
      <c r="G625" s="134" t="str">
        <f t="shared" si="1"/>
        <v>TERRACE AT TOWNE CENTRE THE</v>
      </c>
      <c r="H625" s="134"/>
      <c r="I625" s="134"/>
      <c r="J625" s="134"/>
      <c r="K625" s="134"/>
      <c r="L625" s="134"/>
      <c r="M625" s="134"/>
      <c r="N625" s="134"/>
      <c r="O625" s="134"/>
      <c r="P625" s="134"/>
      <c r="Q625" s="134"/>
      <c r="R625" s="134"/>
      <c r="S625" s="134"/>
      <c r="T625" s="134"/>
      <c r="U625" s="134"/>
      <c r="V625" s="134"/>
      <c r="W625" s="134"/>
      <c r="X625" s="134"/>
      <c r="Y625" s="134"/>
      <c r="Z625" s="134"/>
    </row>
    <row r="626" spans="1:26" ht="15.75" customHeight="1">
      <c r="A626" s="13" t="s">
        <v>6310</v>
      </c>
      <c r="B626" s="13" t="s">
        <v>6311</v>
      </c>
      <c r="C626" s="13" t="s">
        <v>3043</v>
      </c>
      <c r="D626" s="13" t="s">
        <v>6312</v>
      </c>
      <c r="E626" s="13" t="s">
        <v>5084</v>
      </c>
      <c r="F626" s="134" t="str">
        <f t="shared" si="0"/>
        <v/>
      </c>
      <c r="G626" s="134" t="str">
        <f t="shared" si="1"/>
        <v>THORNTON TERRACE HEALTH CAMPUS</v>
      </c>
      <c r="H626" s="134"/>
      <c r="I626" s="134"/>
      <c r="J626" s="134"/>
      <c r="K626" s="134"/>
      <c r="L626" s="134"/>
      <c r="M626" s="134"/>
      <c r="N626" s="134"/>
      <c r="O626" s="134"/>
      <c r="P626" s="134"/>
      <c r="Q626" s="134"/>
      <c r="R626" s="134"/>
      <c r="S626" s="134"/>
      <c r="T626" s="134"/>
      <c r="U626" s="134"/>
      <c r="V626" s="134"/>
      <c r="W626" s="134"/>
      <c r="X626" s="134"/>
      <c r="Y626" s="134"/>
      <c r="Z626" s="134"/>
    </row>
    <row r="627" spans="1:26" ht="15.75" customHeight="1">
      <c r="A627" s="13" t="s">
        <v>6313</v>
      </c>
      <c r="B627" s="13" t="s">
        <v>6314</v>
      </c>
      <c r="C627" s="13" t="s">
        <v>6315</v>
      </c>
      <c r="D627" s="13" t="s">
        <v>6316</v>
      </c>
      <c r="E627" s="13" t="s">
        <v>4146</v>
      </c>
      <c r="F627" s="134" t="str">
        <f t="shared" si="0"/>
        <v/>
      </c>
      <c r="G627" s="134" t="str">
        <f t="shared" si="1"/>
        <v>TIMBER CREEK VILLAGE</v>
      </c>
      <c r="H627" s="134"/>
      <c r="I627" s="134"/>
      <c r="J627" s="134"/>
      <c r="K627" s="134"/>
      <c r="L627" s="134"/>
      <c r="M627" s="134"/>
      <c r="N627" s="134"/>
      <c r="O627" s="134"/>
      <c r="P627" s="134"/>
      <c r="Q627" s="134"/>
      <c r="R627" s="134"/>
      <c r="S627" s="134"/>
      <c r="T627" s="134"/>
      <c r="U627" s="134"/>
      <c r="V627" s="134"/>
      <c r="W627" s="134"/>
      <c r="X627" s="134"/>
      <c r="Y627" s="134"/>
      <c r="Z627" s="134"/>
    </row>
    <row r="628" spans="1:26" ht="15.75" customHeight="1">
      <c r="A628" s="13" t="s">
        <v>6317</v>
      </c>
      <c r="B628" s="13" t="s">
        <v>6318</v>
      </c>
      <c r="C628" s="13" t="s">
        <v>3046</v>
      </c>
      <c r="D628" s="13" t="s">
        <v>6319</v>
      </c>
      <c r="E628" s="13" t="s">
        <v>5829</v>
      </c>
      <c r="F628" s="134" t="str">
        <f t="shared" si="0"/>
        <v/>
      </c>
      <c r="G628" s="134" t="str">
        <f t="shared" si="1"/>
        <v>TIMBERCREST CHURCH OF THE BRETHREN HOME</v>
      </c>
      <c r="H628" s="134"/>
      <c r="I628" s="134"/>
      <c r="J628" s="134"/>
      <c r="K628" s="134"/>
      <c r="L628" s="134"/>
      <c r="M628" s="134"/>
      <c r="N628" s="134"/>
      <c r="O628" s="134"/>
      <c r="P628" s="134"/>
      <c r="Q628" s="134"/>
      <c r="R628" s="134"/>
      <c r="S628" s="134"/>
      <c r="T628" s="134"/>
      <c r="U628" s="134"/>
      <c r="V628" s="134"/>
      <c r="W628" s="134"/>
      <c r="X628" s="134"/>
      <c r="Y628" s="134"/>
      <c r="Z628" s="134"/>
    </row>
    <row r="629" spans="1:26" ht="15.75" customHeight="1">
      <c r="A629" s="13" t="s">
        <v>6320</v>
      </c>
      <c r="B629" s="13" t="s">
        <v>6321</v>
      </c>
      <c r="C629" s="13" t="s">
        <v>3049</v>
      </c>
      <c r="D629" s="13" t="s">
        <v>6322</v>
      </c>
      <c r="E629" s="13" t="s">
        <v>4408</v>
      </c>
      <c r="F629" s="134" t="str">
        <f t="shared" si="0"/>
        <v/>
      </c>
      <c r="G629" s="134" t="str">
        <f t="shared" si="1"/>
        <v>TIMBERS OF JASPER THE</v>
      </c>
      <c r="H629" s="134"/>
      <c r="I629" s="134"/>
      <c r="J629" s="134"/>
      <c r="K629" s="134"/>
      <c r="L629" s="134"/>
      <c r="M629" s="134"/>
      <c r="N629" s="134"/>
      <c r="O629" s="134"/>
      <c r="P629" s="134"/>
      <c r="Q629" s="134"/>
      <c r="R629" s="134"/>
      <c r="S629" s="134"/>
      <c r="T629" s="134"/>
      <c r="U629" s="134"/>
      <c r="V629" s="134"/>
      <c r="W629" s="134"/>
      <c r="X629" s="134"/>
      <c r="Y629" s="134"/>
      <c r="Z629" s="134"/>
    </row>
    <row r="630" spans="1:26" ht="15.75" customHeight="1">
      <c r="A630" s="13" t="s">
        <v>6323</v>
      </c>
      <c r="B630" s="13" t="s">
        <v>6324</v>
      </c>
      <c r="C630" s="13" t="s">
        <v>6325</v>
      </c>
      <c r="D630" s="13" t="s">
        <v>6326</v>
      </c>
      <c r="E630" s="13" t="s">
        <v>5192</v>
      </c>
      <c r="F630" s="134" t="str">
        <f t="shared" si="0"/>
        <v/>
      </c>
      <c r="G630" s="134" t="str">
        <f t="shared" si="1"/>
        <v>TIPTON PLACE</v>
      </c>
      <c r="H630" s="134"/>
      <c r="I630" s="134"/>
      <c r="J630" s="134"/>
      <c r="K630" s="134"/>
      <c r="L630" s="134"/>
      <c r="M630" s="134"/>
      <c r="N630" s="134"/>
      <c r="O630" s="134"/>
      <c r="P630" s="134"/>
      <c r="Q630" s="134"/>
      <c r="R630" s="134"/>
      <c r="S630" s="134"/>
      <c r="T630" s="134"/>
      <c r="U630" s="134"/>
      <c r="V630" s="134"/>
      <c r="W630" s="134"/>
      <c r="X630" s="134"/>
      <c r="Y630" s="134"/>
      <c r="Z630" s="134"/>
    </row>
    <row r="631" spans="1:26" ht="15.75" customHeight="1">
      <c r="A631" s="13" t="s">
        <v>6327</v>
      </c>
      <c r="B631" s="13" t="s">
        <v>6328</v>
      </c>
      <c r="C631" s="13" t="s">
        <v>3054</v>
      </c>
      <c r="D631" s="13" t="s">
        <v>6329</v>
      </c>
      <c r="E631" s="13" t="s">
        <v>6330</v>
      </c>
      <c r="F631" s="134" t="str">
        <f t="shared" si="0"/>
        <v/>
      </c>
      <c r="G631" s="134" t="str">
        <f t="shared" si="1"/>
        <v>TODD-DICKEY NURSING AND REHABILITATION</v>
      </c>
      <c r="H631" s="134"/>
      <c r="I631" s="134"/>
      <c r="J631" s="134"/>
      <c r="K631" s="134"/>
      <c r="L631" s="134"/>
      <c r="M631" s="134"/>
      <c r="N631" s="134"/>
      <c r="O631" s="134"/>
      <c r="P631" s="134"/>
      <c r="Q631" s="134"/>
      <c r="R631" s="134"/>
      <c r="S631" s="134"/>
      <c r="T631" s="134"/>
      <c r="U631" s="134"/>
      <c r="V631" s="134"/>
      <c r="W631" s="134"/>
      <c r="X631" s="134"/>
      <c r="Y631" s="134"/>
      <c r="Z631" s="134"/>
    </row>
    <row r="632" spans="1:26" ht="15.75" customHeight="1">
      <c r="A632" s="13" t="s">
        <v>6331</v>
      </c>
      <c r="B632" s="13" t="s">
        <v>6332</v>
      </c>
      <c r="C632" s="13" t="s">
        <v>3058</v>
      </c>
      <c r="D632" s="13" t="s">
        <v>6333</v>
      </c>
      <c r="E632" s="13" t="s">
        <v>4113</v>
      </c>
      <c r="F632" s="134" t="str">
        <f t="shared" si="0"/>
        <v/>
      </c>
      <c r="G632" s="134" t="str">
        <f t="shared" si="1"/>
        <v>TOWNE HOUSE RETIREMENT COMMUNITY</v>
      </c>
      <c r="H632" s="134"/>
      <c r="I632" s="134"/>
      <c r="J632" s="134"/>
      <c r="K632" s="134"/>
      <c r="L632" s="134"/>
      <c r="M632" s="134"/>
      <c r="N632" s="134"/>
      <c r="O632" s="134"/>
      <c r="P632" s="134"/>
      <c r="Q632" s="134"/>
      <c r="R632" s="134"/>
      <c r="S632" s="134"/>
      <c r="T632" s="134"/>
      <c r="U632" s="134"/>
      <c r="V632" s="134"/>
      <c r="W632" s="134"/>
      <c r="X632" s="134"/>
      <c r="Y632" s="134"/>
      <c r="Z632" s="134"/>
    </row>
    <row r="633" spans="1:26" ht="15.75" customHeight="1">
      <c r="A633" s="13" t="s">
        <v>6334</v>
      </c>
      <c r="B633" s="13" t="s">
        <v>6335</v>
      </c>
      <c r="C633" s="13" t="s">
        <v>6336</v>
      </c>
      <c r="D633" s="13" t="s">
        <v>6337</v>
      </c>
      <c r="E633" s="13" t="s">
        <v>4775</v>
      </c>
      <c r="F633" s="134" t="str">
        <f t="shared" si="0"/>
        <v/>
      </c>
      <c r="G633" s="134" t="str">
        <f t="shared" si="1"/>
        <v>TOWNE PARK ASSISTED LIVING</v>
      </c>
      <c r="H633" s="134"/>
      <c r="I633" s="134"/>
      <c r="J633" s="134"/>
      <c r="K633" s="134"/>
      <c r="L633" s="134"/>
      <c r="M633" s="134"/>
      <c r="N633" s="134"/>
      <c r="O633" s="134"/>
      <c r="P633" s="134"/>
      <c r="Q633" s="134"/>
      <c r="R633" s="134"/>
      <c r="S633" s="134"/>
      <c r="T633" s="134"/>
      <c r="U633" s="134"/>
      <c r="V633" s="134"/>
      <c r="W633" s="134"/>
      <c r="X633" s="134"/>
      <c r="Y633" s="134"/>
      <c r="Z633" s="134"/>
    </row>
    <row r="634" spans="1:26" ht="15.75" hidden="1" customHeight="1">
      <c r="A634" s="13" t="s">
        <v>6338</v>
      </c>
      <c r="B634" s="13" t="s">
        <v>6339</v>
      </c>
      <c r="C634" s="13" t="s">
        <v>6340</v>
      </c>
      <c r="D634" s="13" t="s">
        <v>6341</v>
      </c>
      <c r="E634" s="13" t="s">
        <v>4207</v>
      </c>
      <c r="F634" s="134" t="str">
        <f t="shared" si="0"/>
        <v/>
      </c>
      <c r="G634" s="134" t="str">
        <f t="shared" si="1"/>
        <v>TRADITIONS AT REAGAN PARK</v>
      </c>
      <c r="H634" s="134"/>
      <c r="I634" s="134"/>
      <c r="J634" s="134"/>
      <c r="K634" s="134"/>
      <c r="L634" s="134"/>
      <c r="M634" s="134"/>
      <c r="N634" s="134"/>
      <c r="O634" s="134"/>
      <c r="P634" s="134"/>
      <c r="Q634" s="134"/>
      <c r="R634" s="134"/>
      <c r="S634" s="134"/>
      <c r="T634" s="134"/>
      <c r="U634" s="134"/>
      <c r="V634" s="134"/>
      <c r="W634" s="134"/>
      <c r="X634" s="134"/>
      <c r="Y634" s="134"/>
      <c r="Z634" s="134"/>
    </row>
    <row r="635" spans="1:26" ht="15.75" customHeight="1">
      <c r="A635" s="13" t="s">
        <v>6342</v>
      </c>
      <c r="B635" s="13" t="s">
        <v>6343</v>
      </c>
      <c r="C635" s="13" t="s">
        <v>6344</v>
      </c>
      <c r="D635" s="13" t="s">
        <v>6345</v>
      </c>
      <c r="E635" s="13" t="s">
        <v>4820</v>
      </c>
      <c r="F635" s="134" t="str">
        <f t="shared" si="0"/>
        <v/>
      </c>
      <c r="G635" s="134" t="str">
        <f t="shared" si="1"/>
        <v>TRADITIONS AT SOLANA</v>
      </c>
      <c r="H635" s="134"/>
      <c r="I635" s="134"/>
      <c r="J635" s="134"/>
      <c r="K635" s="134"/>
      <c r="L635" s="134"/>
      <c r="M635" s="134"/>
      <c r="N635" s="134"/>
      <c r="O635" s="134"/>
      <c r="P635" s="134"/>
      <c r="Q635" s="134"/>
      <c r="R635" s="134"/>
      <c r="S635" s="134"/>
      <c r="T635" s="134"/>
      <c r="U635" s="134"/>
      <c r="V635" s="134"/>
      <c r="W635" s="134"/>
      <c r="X635" s="134"/>
      <c r="Y635" s="134"/>
      <c r="Z635" s="134"/>
    </row>
    <row r="636" spans="1:26" ht="15.75" hidden="1" customHeight="1">
      <c r="A636" s="13" t="s">
        <v>6346</v>
      </c>
      <c r="B636" s="13" t="s">
        <v>6347</v>
      </c>
      <c r="C636" s="13" t="s">
        <v>6348</v>
      </c>
      <c r="D636" s="13" t="s">
        <v>6349</v>
      </c>
      <c r="E636" s="13" t="s">
        <v>4075</v>
      </c>
      <c r="F636" s="134" t="str">
        <f t="shared" si="0"/>
        <v/>
      </c>
      <c r="G636" s="134" t="str">
        <f t="shared" si="1"/>
        <v>TRAIL CREEK PLACE- ASSISTED LIVING</v>
      </c>
      <c r="H636" s="134"/>
      <c r="I636" s="134"/>
      <c r="J636" s="134"/>
      <c r="K636" s="134"/>
      <c r="L636" s="134"/>
      <c r="M636" s="134"/>
      <c r="N636" s="134"/>
      <c r="O636" s="134"/>
      <c r="P636" s="134"/>
      <c r="Q636" s="134"/>
      <c r="R636" s="134"/>
      <c r="S636" s="134"/>
      <c r="T636" s="134"/>
      <c r="U636" s="134"/>
      <c r="V636" s="134"/>
      <c r="W636" s="134"/>
      <c r="X636" s="134"/>
      <c r="Y636" s="134"/>
      <c r="Z636" s="134"/>
    </row>
    <row r="637" spans="1:26" ht="15.75" customHeight="1">
      <c r="A637" s="13" t="s">
        <v>6350</v>
      </c>
      <c r="B637" s="13" t="s">
        <v>6351</v>
      </c>
      <c r="C637" s="13" t="s">
        <v>3061</v>
      </c>
      <c r="D637" s="13" t="s">
        <v>6352</v>
      </c>
      <c r="E637" s="13" t="s">
        <v>5000</v>
      </c>
      <c r="F637" s="134" t="str">
        <f t="shared" si="0"/>
        <v/>
      </c>
      <c r="G637" s="134" t="str">
        <f t="shared" si="1"/>
        <v>TRAILPOINT VILLAGE</v>
      </c>
      <c r="H637" s="134"/>
      <c r="I637" s="134"/>
      <c r="J637" s="134"/>
      <c r="K637" s="134"/>
      <c r="L637" s="134"/>
      <c r="M637" s="134"/>
      <c r="N637" s="134"/>
      <c r="O637" s="134"/>
      <c r="P637" s="134"/>
      <c r="Q637" s="134"/>
      <c r="R637" s="134"/>
      <c r="S637" s="134"/>
      <c r="T637" s="134"/>
      <c r="U637" s="134"/>
      <c r="V637" s="134"/>
      <c r="W637" s="134"/>
      <c r="X637" s="134"/>
      <c r="Y637" s="134"/>
      <c r="Z637" s="134"/>
    </row>
    <row r="638" spans="1:26" ht="15.75" customHeight="1">
      <c r="A638" s="13" t="s">
        <v>6353</v>
      </c>
      <c r="B638" s="13" t="s">
        <v>6354</v>
      </c>
      <c r="C638" s="13" t="s">
        <v>3063</v>
      </c>
      <c r="D638" s="13" t="s">
        <v>6355</v>
      </c>
      <c r="E638" s="13" t="s">
        <v>4609</v>
      </c>
      <c r="F638" s="134" t="str">
        <f t="shared" si="0"/>
        <v/>
      </c>
      <c r="G638" s="134" t="str">
        <f t="shared" si="1"/>
        <v>TRANQUILITY NURSING AND REHAB</v>
      </c>
      <c r="H638" s="134"/>
      <c r="I638" s="134"/>
      <c r="J638" s="134"/>
      <c r="K638" s="134"/>
      <c r="L638" s="134"/>
      <c r="M638" s="134"/>
      <c r="N638" s="134"/>
      <c r="O638" s="134"/>
      <c r="P638" s="134"/>
      <c r="Q638" s="134"/>
      <c r="R638" s="134"/>
      <c r="S638" s="134"/>
      <c r="T638" s="134"/>
      <c r="U638" s="134"/>
      <c r="V638" s="134"/>
      <c r="W638" s="134"/>
      <c r="X638" s="134"/>
      <c r="Y638" s="134"/>
      <c r="Z638" s="134"/>
    </row>
    <row r="639" spans="1:26" ht="15.75" customHeight="1">
      <c r="A639" s="13" t="s">
        <v>6356</v>
      </c>
      <c r="B639" s="13" t="s">
        <v>6357</v>
      </c>
      <c r="C639" s="13" t="s">
        <v>3067</v>
      </c>
      <c r="D639" s="13" t="s">
        <v>6358</v>
      </c>
      <c r="E639" s="13" t="s">
        <v>6359</v>
      </c>
      <c r="F639" s="134" t="str">
        <f t="shared" si="0"/>
        <v/>
      </c>
      <c r="G639" s="134" t="str">
        <f t="shared" si="1"/>
        <v>TRANSCENDENT HEALTHCARE OF BOONVILLE</v>
      </c>
      <c r="H639" s="134"/>
      <c r="I639" s="134"/>
      <c r="J639" s="134"/>
      <c r="K639" s="134"/>
      <c r="L639" s="134"/>
      <c r="M639" s="134"/>
      <c r="N639" s="134"/>
      <c r="O639" s="134"/>
      <c r="P639" s="134"/>
      <c r="Q639" s="134"/>
      <c r="R639" s="134"/>
      <c r="S639" s="134"/>
      <c r="T639" s="134"/>
      <c r="U639" s="134"/>
      <c r="V639" s="134"/>
      <c r="W639" s="134"/>
      <c r="X639" s="134"/>
      <c r="Y639" s="134"/>
      <c r="Z639" s="134"/>
    </row>
    <row r="640" spans="1:26" ht="15.75" customHeight="1">
      <c r="A640" s="13" t="s">
        <v>6360</v>
      </c>
      <c r="B640" s="13" t="s">
        <v>6361</v>
      </c>
      <c r="C640" s="13" t="s">
        <v>3071</v>
      </c>
      <c r="D640" s="13" t="s">
        <v>6362</v>
      </c>
      <c r="E640" s="13" t="s">
        <v>6359</v>
      </c>
      <c r="F640" s="134" t="str">
        <f t="shared" si="0"/>
        <v/>
      </c>
      <c r="G640" s="134" t="str">
        <f t="shared" si="1"/>
        <v>TRANSCENDENT HEALTHCARE OF BOONVILLE - NORTH</v>
      </c>
      <c r="H640" s="134"/>
      <c r="I640" s="134"/>
      <c r="J640" s="134"/>
      <c r="K640" s="134"/>
      <c r="L640" s="134"/>
      <c r="M640" s="134"/>
      <c r="N640" s="134"/>
      <c r="O640" s="134"/>
      <c r="P640" s="134"/>
      <c r="Q640" s="134"/>
      <c r="R640" s="134"/>
      <c r="S640" s="134"/>
      <c r="T640" s="134"/>
      <c r="U640" s="134"/>
      <c r="V640" s="134"/>
      <c r="W640" s="134"/>
      <c r="X640" s="134"/>
      <c r="Y640" s="134"/>
      <c r="Z640" s="134"/>
    </row>
    <row r="641" spans="1:26" ht="15.75" customHeight="1">
      <c r="A641" s="13" t="s">
        <v>6363</v>
      </c>
      <c r="B641" s="13" t="s">
        <v>6364</v>
      </c>
      <c r="C641" s="13" t="s">
        <v>3074</v>
      </c>
      <c r="D641" s="13" t="s">
        <v>6365</v>
      </c>
      <c r="E641" s="13" t="s">
        <v>6366</v>
      </c>
      <c r="F641" s="134" t="str">
        <f t="shared" si="0"/>
        <v/>
      </c>
      <c r="G641" s="134" t="str">
        <f t="shared" si="1"/>
        <v>TRANSCENDENT HEALTHCARE OF OWENSVILLE</v>
      </c>
      <c r="H641" s="134"/>
      <c r="I641" s="134"/>
      <c r="J641" s="134"/>
      <c r="K641" s="134"/>
      <c r="L641" s="134"/>
      <c r="M641" s="134"/>
      <c r="N641" s="134"/>
      <c r="O641" s="134"/>
      <c r="P641" s="134"/>
      <c r="Q641" s="134"/>
      <c r="R641" s="134"/>
      <c r="S641" s="134"/>
      <c r="T641" s="134"/>
      <c r="U641" s="134"/>
      <c r="V641" s="134"/>
      <c r="W641" s="134"/>
      <c r="X641" s="134"/>
      <c r="Y641" s="134"/>
      <c r="Z641" s="134"/>
    </row>
    <row r="642" spans="1:26" ht="15.75" customHeight="1">
      <c r="A642" s="13" t="s">
        <v>6367</v>
      </c>
      <c r="B642" s="13" t="s">
        <v>6368</v>
      </c>
      <c r="C642" s="13" t="s">
        <v>6369</v>
      </c>
      <c r="D642" s="13" t="s">
        <v>6370</v>
      </c>
      <c r="E642" s="13" t="s">
        <v>5387</v>
      </c>
      <c r="F642" s="134" t="str">
        <f t="shared" si="0"/>
        <v/>
      </c>
      <c r="G642" s="134" t="str">
        <f t="shared" si="1"/>
        <v>TRANSITIONAL CARE UNIT OF ST JOSEPH</v>
      </c>
      <c r="H642" s="134"/>
      <c r="I642" s="134"/>
      <c r="J642" s="134"/>
      <c r="K642" s="134"/>
      <c r="L642" s="134"/>
      <c r="M642" s="134"/>
      <c r="N642" s="134"/>
      <c r="O642" s="134"/>
      <c r="P642" s="134"/>
      <c r="Q642" s="134"/>
      <c r="R642" s="134"/>
      <c r="S642" s="134"/>
      <c r="T642" s="134"/>
      <c r="U642" s="134"/>
      <c r="V642" s="134"/>
      <c r="W642" s="134"/>
      <c r="X642" s="134"/>
      <c r="Y642" s="134"/>
      <c r="Z642" s="134"/>
    </row>
    <row r="643" spans="1:26" ht="15.75" customHeight="1">
      <c r="A643" s="13" t="s">
        <v>6371</v>
      </c>
      <c r="B643" s="13" t="s">
        <v>6372</v>
      </c>
      <c r="C643" s="13" t="s">
        <v>3079</v>
      </c>
      <c r="D643" s="13" t="s">
        <v>6373</v>
      </c>
      <c r="E643" s="13" t="s">
        <v>6374</v>
      </c>
      <c r="F643" s="134" t="str">
        <f t="shared" si="0"/>
        <v/>
      </c>
      <c r="G643" s="134" t="str">
        <f t="shared" si="1"/>
        <v>TWIN CITY HEALTH CARE</v>
      </c>
      <c r="H643" s="134"/>
      <c r="I643" s="134"/>
      <c r="J643" s="134"/>
      <c r="K643" s="134"/>
      <c r="L643" s="134"/>
      <c r="M643" s="134"/>
      <c r="N643" s="134"/>
      <c r="O643" s="134"/>
      <c r="P643" s="134"/>
      <c r="Q643" s="134"/>
      <c r="R643" s="134"/>
      <c r="S643" s="134"/>
      <c r="T643" s="134"/>
      <c r="U643" s="134"/>
      <c r="V643" s="134"/>
      <c r="W643" s="134"/>
      <c r="X643" s="134"/>
      <c r="Y643" s="134"/>
      <c r="Z643" s="134"/>
    </row>
    <row r="644" spans="1:26" ht="15.75" customHeight="1">
      <c r="A644" s="13" t="s">
        <v>6375</v>
      </c>
      <c r="B644" s="13" t="s">
        <v>6376</v>
      </c>
      <c r="C644" s="13" t="s">
        <v>3084</v>
      </c>
      <c r="D644" s="13" t="s">
        <v>6377</v>
      </c>
      <c r="E644" s="13" t="s">
        <v>4259</v>
      </c>
      <c r="F644" s="134" t="str">
        <f t="shared" si="0"/>
        <v/>
      </c>
      <c r="G644" s="134" t="str">
        <f t="shared" si="1"/>
        <v>UNIVERSITY HEIGHTS HEALTH AND LIVING COMMUNITY</v>
      </c>
      <c r="H644" s="134"/>
      <c r="I644" s="134"/>
      <c r="J644" s="134"/>
      <c r="K644" s="134"/>
      <c r="L644" s="134"/>
      <c r="M644" s="134"/>
      <c r="N644" s="134"/>
      <c r="O644" s="134"/>
      <c r="P644" s="134"/>
      <c r="Q644" s="134"/>
      <c r="R644" s="134"/>
      <c r="S644" s="134"/>
      <c r="T644" s="134"/>
      <c r="U644" s="134"/>
      <c r="V644" s="134"/>
      <c r="W644" s="134"/>
      <c r="X644" s="134"/>
      <c r="Y644" s="134"/>
      <c r="Z644" s="134"/>
    </row>
    <row r="645" spans="1:26" ht="15.75" customHeight="1">
      <c r="A645" s="13" t="s">
        <v>6378</v>
      </c>
      <c r="B645" s="13" t="s">
        <v>6379</v>
      </c>
      <c r="C645" s="13" t="s">
        <v>3088</v>
      </c>
      <c r="D645" s="13" t="s">
        <v>6380</v>
      </c>
      <c r="E645" s="13" t="s">
        <v>4763</v>
      </c>
      <c r="F645" s="134" t="str">
        <f t="shared" si="0"/>
        <v/>
      </c>
      <c r="G645" s="134" t="str">
        <f t="shared" si="1"/>
        <v>UNIVERSITY NURSING AND REHABILITATION CENTER</v>
      </c>
      <c r="H645" s="134"/>
      <c r="I645" s="134"/>
      <c r="J645" s="134"/>
      <c r="K645" s="134"/>
      <c r="L645" s="134"/>
      <c r="M645" s="134"/>
      <c r="N645" s="134"/>
      <c r="O645" s="134"/>
      <c r="P645" s="134"/>
      <c r="Q645" s="134"/>
      <c r="R645" s="134"/>
      <c r="S645" s="134"/>
      <c r="T645" s="134"/>
      <c r="U645" s="134"/>
      <c r="V645" s="134"/>
      <c r="W645" s="134"/>
      <c r="X645" s="134"/>
      <c r="Y645" s="134"/>
      <c r="Z645" s="134"/>
    </row>
    <row r="646" spans="1:26" ht="15.75" customHeight="1">
      <c r="A646" s="13" t="s">
        <v>6381</v>
      </c>
      <c r="B646" s="13" t="s">
        <v>6382</v>
      </c>
      <c r="C646" s="13" t="s">
        <v>3093</v>
      </c>
      <c r="D646" s="13" t="s">
        <v>6383</v>
      </c>
      <c r="E646" s="13" t="s">
        <v>6384</v>
      </c>
      <c r="F646" s="134" t="str">
        <f t="shared" si="0"/>
        <v/>
      </c>
      <c r="G646" s="134" t="str">
        <f t="shared" si="1"/>
        <v>UNIVERSITY NURSING CENTER</v>
      </c>
      <c r="H646" s="134"/>
      <c r="I646" s="134"/>
      <c r="J646" s="134"/>
      <c r="K646" s="134"/>
      <c r="L646" s="134"/>
      <c r="M646" s="134"/>
      <c r="N646" s="134"/>
      <c r="O646" s="134"/>
      <c r="P646" s="134"/>
      <c r="Q646" s="134"/>
      <c r="R646" s="134"/>
      <c r="S646" s="134"/>
      <c r="T646" s="134"/>
      <c r="U646" s="134"/>
      <c r="V646" s="134"/>
      <c r="W646" s="134"/>
      <c r="X646" s="134"/>
      <c r="Y646" s="134"/>
      <c r="Z646" s="134"/>
    </row>
    <row r="647" spans="1:26" ht="15.75" customHeight="1">
      <c r="A647" s="13" t="s">
        <v>6385</v>
      </c>
      <c r="B647" s="13" t="s">
        <v>6386</v>
      </c>
      <c r="C647" s="13" t="s">
        <v>3098</v>
      </c>
      <c r="D647" s="13" t="s">
        <v>6387</v>
      </c>
      <c r="E647" s="13" t="s">
        <v>4664</v>
      </c>
      <c r="F647" s="134" t="str">
        <f t="shared" si="0"/>
        <v/>
      </c>
      <c r="G647" s="134" t="str">
        <f t="shared" si="1"/>
        <v>UNIVERSITY PLACE HEALTH CENTER AND ASSISTED LIVING</v>
      </c>
      <c r="H647" s="134"/>
      <c r="I647" s="134"/>
      <c r="J647" s="134"/>
      <c r="K647" s="134"/>
      <c r="L647" s="134"/>
      <c r="M647" s="134"/>
      <c r="N647" s="134"/>
      <c r="O647" s="134"/>
      <c r="P647" s="134"/>
      <c r="Q647" s="134"/>
      <c r="R647" s="134"/>
      <c r="S647" s="134"/>
      <c r="T647" s="134"/>
      <c r="U647" s="134"/>
      <c r="V647" s="134"/>
      <c r="W647" s="134"/>
      <c r="X647" s="134"/>
      <c r="Y647" s="134"/>
      <c r="Z647" s="134"/>
    </row>
    <row r="648" spans="1:26" ht="15.75" customHeight="1">
      <c r="A648" s="13" t="s">
        <v>6388</v>
      </c>
      <c r="B648" s="13" t="s">
        <v>6389</v>
      </c>
      <c r="C648" s="13" t="s">
        <v>3101</v>
      </c>
      <c r="D648" s="13" t="s">
        <v>6390</v>
      </c>
      <c r="E648" s="13" t="s">
        <v>4722</v>
      </c>
      <c r="F648" s="134" t="str">
        <f t="shared" si="0"/>
        <v/>
      </c>
      <c r="G648" s="134" t="str">
        <f t="shared" si="1"/>
        <v>VALLEY VIEW HEALTHCARE CENTER</v>
      </c>
      <c r="H648" s="134"/>
      <c r="I648" s="134"/>
      <c r="J648" s="134"/>
      <c r="K648" s="134"/>
      <c r="L648" s="134"/>
      <c r="M648" s="134"/>
      <c r="N648" s="134"/>
      <c r="O648" s="134"/>
      <c r="P648" s="134"/>
      <c r="Q648" s="134"/>
      <c r="R648" s="134"/>
      <c r="S648" s="134"/>
      <c r="T648" s="134"/>
      <c r="U648" s="134"/>
      <c r="V648" s="134"/>
      <c r="W648" s="134"/>
      <c r="X648" s="134"/>
      <c r="Y648" s="134"/>
      <c r="Z648" s="134"/>
    </row>
    <row r="649" spans="1:26" ht="15.75" customHeight="1">
      <c r="A649" s="13" t="s">
        <v>6391</v>
      </c>
      <c r="B649" s="13" t="s">
        <v>6392</v>
      </c>
      <c r="C649" s="13" t="s">
        <v>3104</v>
      </c>
      <c r="D649" s="13" t="s">
        <v>6393</v>
      </c>
      <c r="E649" s="13" t="s">
        <v>4199</v>
      </c>
      <c r="F649" s="134" t="str">
        <f t="shared" si="0"/>
        <v/>
      </c>
      <c r="G649" s="134" t="str">
        <f t="shared" si="1"/>
        <v>VALPARAISO CARE &amp; REHABILITATION</v>
      </c>
      <c r="H649" s="134"/>
      <c r="I649" s="134"/>
      <c r="J649" s="134"/>
      <c r="K649" s="134"/>
      <c r="L649" s="134"/>
      <c r="M649" s="134"/>
      <c r="N649" s="134"/>
      <c r="O649" s="134"/>
      <c r="P649" s="134"/>
      <c r="Q649" s="134"/>
      <c r="R649" s="134"/>
      <c r="S649" s="134"/>
      <c r="T649" s="134"/>
      <c r="U649" s="134"/>
      <c r="V649" s="134"/>
      <c r="W649" s="134"/>
      <c r="X649" s="134"/>
      <c r="Y649" s="134"/>
      <c r="Z649" s="134"/>
    </row>
    <row r="650" spans="1:26" ht="15.75" customHeight="1">
      <c r="A650" s="13" t="s">
        <v>6394</v>
      </c>
      <c r="B650" s="13" t="s">
        <v>6395</v>
      </c>
      <c r="C650" s="13" t="s">
        <v>6396</v>
      </c>
      <c r="D650" s="13" t="s">
        <v>6397</v>
      </c>
      <c r="E650" s="13" t="s">
        <v>4938</v>
      </c>
      <c r="F650" s="134" t="str">
        <f t="shared" si="0"/>
        <v/>
      </c>
      <c r="G650" s="134" t="str">
        <f t="shared" si="1"/>
        <v>VANNONI LIVING CENTER, THE</v>
      </c>
      <c r="H650" s="134"/>
      <c r="I650" s="134"/>
      <c r="J650" s="134"/>
      <c r="K650" s="134"/>
      <c r="L650" s="134"/>
      <c r="M650" s="134"/>
      <c r="N650" s="134"/>
      <c r="O650" s="134"/>
      <c r="P650" s="134"/>
      <c r="Q650" s="134"/>
      <c r="R650" s="134"/>
      <c r="S650" s="134"/>
      <c r="T650" s="134"/>
      <c r="U650" s="134"/>
      <c r="V650" s="134"/>
      <c r="W650" s="134"/>
      <c r="X650" s="134"/>
      <c r="Y650" s="134"/>
      <c r="Z650" s="134"/>
    </row>
    <row r="651" spans="1:26" ht="15.75" customHeight="1">
      <c r="A651" s="13" t="s">
        <v>6398</v>
      </c>
      <c r="B651" s="13" t="s">
        <v>6399</v>
      </c>
      <c r="C651" s="13" t="s">
        <v>3106</v>
      </c>
      <c r="D651" s="13" t="s">
        <v>6400</v>
      </c>
      <c r="E651" s="13" t="s">
        <v>4534</v>
      </c>
      <c r="F651" s="134" t="str">
        <f t="shared" si="0"/>
        <v/>
      </c>
      <c r="G651" s="134" t="str">
        <f t="shared" si="1"/>
        <v>VERMILLION CONVALESCENT CENTER</v>
      </c>
      <c r="H651" s="134"/>
      <c r="I651" s="134"/>
      <c r="J651" s="134"/>
      <c r="K651" s="134"/>
      <c r="L651" s="134"/>
      <c r="M651" s="134"/>
      <c r="N651" s="134"/>
      <c r="O651" s="134"/>
      <c r="P651" s="134"/>
      <c r="Q651" s="134"/>
      <c r="R651" s="134"/>
      <c r="S651" s="134"/>
      <c r="T651" s="134"/>
      <c r="U651" s="134"/>
      <c r="V651" s="134"/>
      <c r="W651" s="134"/>
      <c r="X651" s="134"/>
      <c r="Y651" s="134"/>
      <c r="Z651" s="134"/>
    </row>
    <row r="652" spans="1:26" ht="15.75" customHeight="1">
      <c r="A652" s="13" t="s">
        <v>6401</v>
      </c>
      <c r="B652" s="13" t="s">
        <v>6402</v>
      </c>
      <c r="C652" s="13" t="s">
        <v>6403</v>
      </c>
      <c r="D652" s="13" t="s">
        <v>6404</v>
      </c>
      <c r="E652" s="13" t="s">
        <v>4581</v>
      </c>
      <c r="F652" s="134" t="str">
        <f t="shared" si="0"/>
        <v/>
      </c>
      <c r="G652" s="134" t="str">
        <f t="shared" si="1"/>
        <v>VERMILLION PLACE</v>
      </c>
      <c r="H652" s="134"/>
      <c r="I652" s="134"/>
      <c r="J652" s="134"/>
      <c r="K652" s="134"/>
      <c r="L652" s="134"/>
      <c r="M652" s="134"/>
      <c r="N652" s="134"/>
      <c r="O652" s="134"/>
      <c r="P652" s="134"/>
      <c r="Q652" s="134"/>
      <c r="R652" s="134"/>
      <c r="S652" s="134"/>
      <c r="T652" s="134"/>
      <c r="U652" s="134"/>
      <c r="V652" s="134"/>
      <c r="W652" s="134"/>
      <c r="X652" s="134"/>
      <c r="Y652" s="134"/>
      <c r="Z652" s="134"/>
    </row>
    <row r="653" spans="1:26" ht="15.75" customHeight="1">
      <c r="A653" s="13" t="s">
        <v>6405</v>
      </c>
      <c r="B653" s="13" t="s">
        <v>6406</v>
      </c>
      <c r="C653" s="13" t="s">
        <v>3108</v>
      </c>
      <c r="D653" s="13" t="s">
        <v>6407</v>
      </c>
      <c r="E653" s="13" t="s">
        <v>4191</v>
      </c>
      <c r="F653" s="134" t="str">
        <f t="shared" si="0"/>
        <v/>
      </c>
      <c r="G653" s="134" t="str">
        <f t="shared" si="1"/>
        <v>VERNON HEALTH &amp; REHABILITATION</v>
      </c>
      <c r="H653" s="134"/>
      <c r="I653" s="134"/>
      <c r="J653" s="134"/>
      <c r="K653" s="134"/>
      <c r="L653" s="134"/>
      <c r="M653" s="134"/>
      <c r="N653" s="134"/>
      <c r="O653" s="134"/>
      <c r="P653" s="134"/>
      <c r="Q653" s="134"/>
      <c r="R653" s="134"/>
      <c r="S653" s="134"/>
      <c r="T653" s="134"/>
      <c r="U653" s="134"/>
      <c r="V653" s="134"/>
      <c r="W653" s="134"/>
      <c r="X653" s="134"/>
      <c r="Y653" s="134"/>
      <c r="Z653" s="134"/>
    </row>
    <row r="654" spans="1:26" ht="15.75" customHeight="1">
      <c r="A654" s="13" t="s">
        <v>6408</v>
      </c>
      <c r="B654" s="13" t="s">
        <v>6409</v>
      </c>
      <c r="C654" s="13" t="s">
        <v>6410</v>
      </c>
      <c r="D654" s="13" t="s">
        <v>6411</v>
      </c>
      <c r="E654" s="13" t="s">
        <v>4195</v>
      </c>
      <c r="F654" s="134" t="str">
        <f t="shared" si="0"/>
        <v/>
      </c>
      <c r="G654" s="134" t="str">
        <f t="shared" si="1"/>
        <v>VILLAGES AT HISTORIC SILVERCREST THE</v>
      </c>
      <c r="H654" s="134"/>
      <c r="I654" s="134"/>
      <c r="J654" s="134"/>
      <c r="K654" s="134"/>
      <c r="L654" s="134"/>
      <c r="M654" s="134"/>
      <c r="N654" s="134"/>
      <c r="O654" s="134"/>
      <c r="P654" s="134"/>
      <c r="Q654" s="134"/>
      <c r="R654" s="134"/>
      <c r="S654" s="134"/>
      <c r="T654" s="134"/>
      <c r="U654" s="134"/>
      <c r="V654" s="134"/>
      <c r="W654" s="134"/>
      <c r="X654" s="134"/>
      <c r="Y654" s="134"/>
      <c r="Z654" s="134"/>
    </row>
    <row r="655" spans="1:26" ht="15.75" customHeight="1">
      <c r="A655" s="13" t="s">
        <v>6412</v>
      </c>
      <c r="B655" s="13" t="s">
        <v>6413</v>
      </c>
      <c r="C655" s="13" t="s">
        <v>3111</v>
      </c>
      <c r="D655" s="13" t="s">
        <v>6414</v>
      </c>
      <c r="E655" s="13" t="s">
        <v>4710</v>
      </c>
      <c r="F655" s="134" t="str">
        <f t="shared" si="0"/>
        <v/>
      </c>
      <c r="G655" s="134" t="str">
        <f t="shared" si="1"/>
        <v>VILLAGES AT OAK RIDGE, THE</v>
      </c>
      <c r="H655" s="134"/>
      <c r="I655" s="134"/>
      <c r="J655" s="134"/>
      <c r="K655" s="134"/>
      <c r="L655" s="134"/>
      <c r="M655" s="134"/>
      <c r="N655" s="134"/>
      <c r="O655" s="134"/>
      <c r="P655" s="134"/>
      <c r="Q655" s="134"/>
      <c r="R655" s="134"/>
      <c r="S655" s="134"/>
      <c r="T655" s="134"/>
      <c r="U655" s="134"/>
      <c r="V655" s="134"/>
      <c r="W655" s="134"/>
      <c r="X655" s="134"/>
      <c r="Y655" s="134"/>
      <c r="Z655" s="134"/>
    </row>
    <row r="656" spans="1:26" ht="15.75" customHeight="1">
      <c r="A656" s="13" t="s">
        <v>6415</v>
      </c>
      <c r="B656" s="13" t="s">
        <v>6416</v>
      </c>
      <c r="C656" s="13" t="s">
        <v>3115</v>
      </c>
      <c r="D656" s="13" t="s">
        <v>6417</v>
      </c>
      <c r="E656" s="13" t="s">
        <v>6418</v>
      </c>
      <c r="F656" s="134" t="str">
        <f t="shared" si="0"/>
        <v/>
      </c>
      <c r="G656" s="134" t="str">
        <f t="shared" si="1"/>
        <v>VILLAS OF GUERIN WOODS</v>
      </c>
      <c r="H656" s="134"/>
      <c r="I656" s="134"/>
      <c r="J656" s="134"/>
      <c r="K656" s="134"/>
      <c r="L656" s="134"/>
      <c r="M656" s="134"/>
      <c r="N656" s="134"/>
      <c r="O656" s="134"/>
      <c r="P656" s="134"/>
      <c r="Q656" s="134"/>
      <c r="R656" s="134"/>
      <c r="S656" s="134"/>
      <c r="T656" s="134"/>
      <c r="U656" s="134"/>
      <c r="V656" s="134"/>
      <c r="W656" s="134"/>
      <c r="X656" s="134"/>
      <c r="Y656" s="134"/>
      <c r="Z656" s="134"/>
    </row>
    <row r="657" spans="1:26" ht="15.75" customHeight="1">
      <c r="A657" s="13" t="s">
        <v>6419</v>
      </c>
      <c r="B657" s="13" t="s">
        <v>6420</v>
      </c>
      <c r="C657" s="13" t="s">
        <v>6421</v>
      </c>
      <c r="D657" s="13" t="s">
        <v>6422</v>
      </c>
      <c r="E657" s="13" t="s">
        <v>4775</v>
      </c>
      <c r="F657" s="134" t="str">
        <f t="shared" si="0"/>
        <v/>
      </c>
      <c r="G657" s="134" t="str">
        <f t="shared" si="1"/>
        <v>VILLAS OF HOLLY BROOK INDIANA, LLC</v>
      </c>
      <c r="H657" s="134"/>
      <c r="I657" s="134"/>
      <c r="J657" s="134"/>
      <c r="K657" s="134"/>
      <c r="L657" s="134"/>
      <c r="M657" s="134"/>
      <c r="N657" s="134"/>
      <c r="O657" s="134"/>
      <c r="P657" s="134"/>
      <c r="Q657" s="134"/>
      <c r="R657" s="134"/>
      <c r="S657" s="134"/>
      <c r="T657" s="134"/>
      <c r="U657" s="134"/>
      <c r="V657" s="134"/>
      <c r="W657" s="134"/>
      <c r="X657" s="134"/>
      <c r="Y657" s="134"/>
      <c r="Z657" s="134"/>
    </row>
    <row r="658" spans="1:26" ht="15.75" customHeight="1">
      <c r="A658" s="13" t="s">
        <v>6423</v>
      </c>
      <c r="B658" s="13" t="s">
        <v>6424</v>
      </c>
      <c r="C658" s="13" t="s">
        <v>6425</v>
      </c>
      <c r="D658" s="13" t="s">
        <v>6426</v>
      </c>
      <c r="E658" s="13" t="s">
        <v>4239</v>
      </c>
      <c r="F658" s="134" t="str">
        <f t="shared" si="0"/>
        <v/>
      </c>
      <c r="G658" s="134" t="str">
        <f t="shared" si="1"/>
        <v>VIRGINIA PLACE</v>
      </c>
      <c r="H658" s="134"/>
      <c r="I658" s="134"/>
      <c r="J658" s="134"/>
      <c r="K658" s="134"/>
      <c r="L658" s="134"/>
      <c r="M658" s="134"/>
      <c r="N658" s="134"/>
      <c r="O658" s="134"/>
      <c r="P658" s="134"/>
      <c r="Q658" s="134"/>
      <c r="R658" s="134"/>
      <c r="S658" s="134"/>
      <c r="T658" s="134"/>
      <c r="U658" s="134"/>
      <c r="V658" s="134"/>
      <c r="W658" s="134"/>
      <c r="X658" s="134"/>
      <c r="Y658" s="134"/>
      <c r="Z658" s="134"/>
    </row>
    <row r="659" spans="1:26" ht="15.75" customHeight="1">
      <c r="A659" s="13" t="s">
        <v>6427</v>
      </c>
      <c r="B659" s="13" t="s">
        <v>6428</v>
      </c>
      <c r="C659" s="13" t="s">
        <v>6429</v>
      </c>
      <c r="D659" s="13" t="s">
        <v>6430</v>
      </c>
      <c r="E659" s="13" t="s">
        <v>4191</v>
      </c>
      <c r="F659" s="134" t="str">
        <f t="shared" si="0"/>
        <v/>
      </c>
      <c r="G659" s="134" t="str">
        <f t="shared" si="1"/>
        <v>WABASH BICKFORD COTTAGE OPCO, LLC</v>
      </c>
      <c r="H659" s="134"/>
      <c r="I659" s="134"/>
      <c r="J659" s="134"/>
      <c r="K659" s="134"/>
      <c r="L659" s="134"/>
      <c r="M659" s="134"/>
      <c r="N659" s="134"/>
      <c r="O659" s="134"/>
      <c r="P659" s="134"/>
      <c r="Q659" s="134"/>
      <c r="R659" s="134"/>
      <c r="S659" s="134"/>
      <c r="T659" s="134"/>
      <c r="U659" s="134"/>
      <c r="V659" s="134"/>
      <c r="W659" s="134"/>
      <c r="X659" s="134"/>
      <c r="Y659" s="134"/>
      <c r="Z659" s="134"/>
    </row>
    <row r="660" spans="1:26" ht="15.75" customHeight="1">
      <c r="A660" s="13" t="s">
        <v>6431</v>
      </c>
      <c r="B660" s="13" t="s">
        <v>6432</v>
      </c>
      <c r="C660" s="13" t="s">
        <v>6433</v>
      </c>
      <c r="D660" s="13" t="s">
        <v>6434</v>
      </c>
      <c r="E660" s="13" t="s">
        <v>4146</v>
      </c>
      <c r="F660" s="134" t="str">
        <f t="shared" si="0"/>
        <v/>
      </c>
      <c r="G660" s="134" t="str">
        <f t="shared" si="1"/>
        <v>WALKER PLACE</v>
      </c>
      <c r="H660" s="134"/>
      <c r="I660" s="134"/>
      <c r="J660" s="134"/>
      <c r="K660" s="134"/>
      <c r="L660" s="134"/>
      <c r="M660" s="134"/>
      <c r="N660" s="134"/>
      <c r="O660" s="134"/>
      <c r="P660" s="134"/>
      <c r="Q660" s="134"/>
      <c r="R660" s="134"/>
      <c r="S660" s="134"/>
      <c r="T660" s="134"/>
      <c r="U660" s="134"/>
      <c r="V660" s="134"/>
      <c r="W660" s="134"/>
      <c r="X660" s="134"/>
      <c r="Y660" s="134"/>
      <c r="Z660" s="134"/>
    </row>
    <row r="661" spans="1:26" ht="15.75" hidden="1" customHeight="1">
      <c r="A661" s="13" t="s">
        <v>6435</v>
      </c>
      <c r="B661" s="13" t="s">
        <v>6436</v>
      </c>
      <c r="C661" s="13" t="s">
        <v>6437</v>
      </c>
      <c r="D661" s="13" t="s">
        <v>6438</v>
      </c>
      <c r="E661" s="13" t="s">
        <v>5963</v>
      </c>
      <c r="F661" s="134" t="str">
        <f t="shared" si="0"/>
        <v/>
      </c>
      <c r="G661" s="134" t="str">
        <f t="shared" si="1"/>
        <v>WALNUT CREEK ALZHEIMER'S</v>
      </c>
      <c r="H661" s="134"/>
      <c r="I661" s="134"/>
      <c r="J661" s="134"/>
      <c r="K661" s="134"/>
      <c r="L661" s="134"/>
      <c r="M661" s="134"/>
      <c r="N661" s="134"/>
      <c r="O661" s="134"/>
      <c r="P661" s="134"/>
      <c r="Q661" s="134"/>
      <c r="R661" s="134"/>
      <c r="S661" s="134"/>
      <c r="T661" s="134"/>
      <c r="U661" s="134"/>
      <c r="V661" s="134"/>
      <c r="W661" s="134"/>
      <c r="X661" s="134"/>
      <c r="Y661" s="134"/>
      <c r="Z661" s="134"/>
    </row>
    <row r="662" spans="1:26" ht="15.75" customHeight="1">
      <c r="A662" s="13" t="s">
        <v>6439</v>
      </c>
      <c r="B662" s="13" t="s">
        <v>6440</v>
      </c>
      <c r="C662" s="13" t="s">
        <v>3118</v>
      </c>
      <c r="D662" s="13" t="s">
        <v>6441</v>
      </c>
      <c r="E662" s="13" t="s">
        <v>5366</v>
      </c>
      <c r="F662" s="134" t="str">
        <f t="shared" si="0"/>
        <v/>
      </c>
      <c r="G662" s="134" t="str">
        <f t="shared" si="1"/>
        <v>WARSAW MEADOWS</v>
      </c>
      <c r="H662" s="134"/>
      <c r="I662" s="134"/>
      <c r="J662" s="134"/>
      <c r="K662" s="134"/>
      <c r="L662" s="134"/>
      <c r="M662" s="134"/>
      <c r="N662" s="134"/>
      <c r="O662" s="134"/>
      <c r="P662" s="134"/>
      <c r="Q662" s="134"/>
      <c r="R662" s="134"/>
      <c r="S662" s="134"/>
      <c r="T662" s="134"/>
      <c r="U662" s="134"/>
      <c r="V662" s="134"/>
      <c r="W662" s="134"/>
      <c r="X662" s="134"/>
      <c r="Y662" s="134"/>
      <c r="Z662" s="134"/>
    </row>
    <row r="663" spans="1:26" ht="15.75" customHeight="1">
      <c r="A663" s="13" t="s">
        <v>6442</v>
      </c>
      <c r="B663" s="13" t="s">
        <v>6443</v>
      </c>
      <c r="C663" s="13" t="s">
        <v>3121</v>
      </c>
      <c r="D663" s="13" t="s">
        <v>6444</v>
      </c>
      <c r="E663" s="13" t="s">
        <v>6445</v>
      </c>
      <c r="F663" s="134" t="str">
        <f t="shared" si="0"/>
        <v/>
      </c>
      <c r="G663" s="134" t="str">
        <f t="shared" si="1"/>
        <v>WASHINGTON HEALTHCARE CENTER</v>
      </c>
      <c r="H663" s="134"/>
      <c r="I663" s="134"/>
      <c r="J663" s="134"/>
      <c r="K663" s="134"/>
      <c r="L663" s="134"/>
      <c r="M663" s="134"/>
      <c r="N663" s="134"/>
      <c r="O663" s="134"/>
      <c r="P663" s="134"/>
      <c r="Q663" s="134"/>
      <c r="R663" s="134"/>
      <c r="S663" s="134"/>
      <c r="T663" s="134"/>
      <c r="U663" s="134"/>
      <c r="V663" s="134"/>
      <c r="W663" s="134"/>
      <c r="X663" s="134"/>
      <c r="Y663" s="134"/>
      <c r="Z663" s="134"/>
    </row>
    <row r="664" spans="1:26" ht="15.75" customHeight="1">
      <c r="A664" s="13" t="s">
        <v>6446</v>
      </c>
      <c r="B664" s="13" t="s">
        <v>6447</v>
      </c>
      <c r="C664" s="13" t="s">
        <v>3124</v>
      </c>
      <c r="D664" s="13" t="s">
        <v>6448</v>
      </c>
      <c r="E664" s="13" t="s">
        <v>4710</v>
      </c>
      <c r="F664" s="134" t="str">
        <f t="shared" si="0"/>
        <v/>
      </c>
      <c r="G664" s="134" t="str">
        <f t="shared" si="1"/>
        <v>WASHINGTON NURSING CENTER</v>
      </c>
      <c r="H664" s="134"/>
      <c r="I664" s="134"/>
      <c r="J664" s="134"/>
      <c r="K664" s="134"/>
      <c r="L664" s="134"/>
      <c r="M664" s="134"/>
      <c r="N664" s="134"/>
      <c r="O664" s="134"/>
      <c r="P664" s="134"/>
      <c r="Q664" s="134"/>
      <c r="R664" s="134"/>
      <c r="S664" s="134"/>
      <c r="T664" s="134"/>
      <c r="U664" s="134"/>
      <c r="V664" s="134"/>
      <c r="W664" s="134"/>
      <c r="X664" s="134"/>
      <c r="Y664" s="134"/>
      <c r="Z664" s="134"/>
    </row>
    <row r="665" spans="1:26" ht="15.75" customHeight="1">
      <c r="A665" s="13" t="s">
        <v>6449</v>
      </c>
      <c r="B665" s="13" t="s">
        <v>6450</v>
      </c>
      <c r="C665" s="13" t="s">
        <v>3129</v>
      </c>
      <c r="D665" s="13" t="s">
        <v>6451</v>
      </c>
      <c r="E665" s="13" t="s">
        <v>4613</v>
      </c>
      <c r="F665" s="134" t="str">
        <f t="shared" si="0"/>
        <v/>
      </c>
      <c r="G665" s="134" t="str">
        <f t="shared" si="1"/>
        <v>WATERFORD AT EDISON LAKES, THE</v>
      </c>
      <c r="H665" s="134"/>
      <c r="I665" s="134"/>
      <c r="J665" s="134"/>
      <c r="K665" s="134"/>
      <c r="L665" s="134"/>
      <c r="M665" s="134"/>
      <c r="N665" s="134"/>
      <c r="O665" s="134"/>
      <c r="P665" s="134"/>
      <c r="Q665" s="134"/>
      <c r="R665" s="134"/>
      <c r="S665" s="134"/>
      <c r="T665" s="134"/>
      <c r="U665" s="134"/>
      <c r="V665" s="134"/>
      <c r="W665" s="134"/>
      <c r="X665" s="134"/>
      <c r="Y665" s="134"/>
      <c r="Z665" s="134"/>
    </row>
    <row r="666" spans="1:26" ht="15.75" customHeight="1">
      <c r="A666" s="13" t="s">
        <v>6452</v>
      </c>
      <c r="B666" s="13" t="s">
        <v>6453</v>
      </c>
      <c r="C666" s="13" t="s">
        <v>3132</v>
      </c>
      <c r="D666" s="13" t="s">
        <v>6454</v>
      </c>
      <c r="E666" s="13" t="s">
        <v>4588</v>
      </c>
      <c r="F666" s="134" t="str">
        <f t="shared" si="0"/>
        <v/>
      </c>
      <c r="G666" s="134" t="str">
        <f t="shared" si="1"/>
        <v>WATERFORD CROSSING</v>
      </c>
      <c r="H666" s="134"/>
      <c r="I666" s="134"/>
      <c r="J666" s="134"/>
      <c r="K666" s="134"/>
      <c r="L666" s="134"/>
      <c r="M666" s="134"/>
      <c r="N666" s="134"/>
      <c r="O666" s="134"/>
      <c r="P666" s="134"/>
      <c r="Q666" s="134"/>
      <c r="R666" s="134"/>
      <c r="S666" s="134"/>
      <c r="T666" s="134"/>
      <c r="U666" s="134"/>
      <c r="V666" s="134"/>
      <c r="W666" s="134"/>
      <c r="X666" s="134"/>
      <c r="Y666" s="134"/>
      <c r="Z666" s="134"/>
    </row>
    <row r="667" spans="1:26" ht="15.75" customHeight="1">
      <c r="A667" s="13" t="s">
        <v>6455</v>
      </c>
      <c r="B667" s="13" t="s">
        <v>6456</v>
      </c>
      <c r="C667" s="13" t="s">
        <v>3135</v>
      </c>
      <c r="D667" s="13" t="s">
        <v>6457</v>
      </c>
      <c r="E667" s="13" t="s">
        <v>4805</v>
      </c>
      <c r="F667" s="134" t="str">
        <f t="shared" si="0"/>
        <v/>
      </c>
      <c r="G667" s="134" t="str">
        <f t="shared" si="1"/>
        <v>WATERFORD PLACE HEALTH CAMPUS</v>
      </c>
      <c r="H667" s="134"/>
      <c r="I667" s="134"/>
      <c r="J667" s="134"/>
      <c r="K667" s="134"/>
      <c r="L667" s="134"/>
      <c r="M667" s="134"/>
      <c r="N667" s="134"/>
      <c r="O667" s="134"/>
      <c r="P667" s="134"/>
      <c r="Q667" s="134"/>
      <c r="R667" s="134"/>
      <c r="S667" s="134"/>
      <c r="T667" s="134"/>
      <c r="U667" s="134"/>
      <c r="V667" s="134"/>
      <c r="W667" s="134"/>
      <c r="X667" s="134"/>
      <c r="Y667" s="134"/>
      <c r="Z667" s="134"/>
    </row>
    <row r="668" spans="1:26" ht="15.75" customHeight="1">
      <c r="A668" s="13" t="s">
        <v>6458</v>
      </c>
      <c r="B668" s="13" t="s">
        <v>6459</v>
      </c>
      <c r="C668" s="13" t="s">
        <v>3139</v>
      </c>
      <c r="D668" s="13" t="s">
        <v>6460</v>
      </c>
      <c r="E668" s="13" t="s">
        <v>4403</v>
      </c>
      <c r="F668" s="134" t="str">
        <f t="shared" si="0"/>
        <v/>
      </c>
      <c r="G668" s="134" t="str">
        <f t="shared" si="1"/>
        <v>WATERS EDGE VILLAGE</v>
      </c>
      <c r="H668" s="134"/>
      <c r="I668" s="134"/>
      <c r="J668" s="134"/>
      <c r="K668" s="134"/>
      <c r="L668" s="134"/>
      <c r="M668" s="134"/>
      <c r="N668" s="134"/>
      <c r="O668" s="134"/>
      <c r="P668" s="134"/>
      <c r="Q668" s="134"/>
      <c r="R668" s="134"/>
      <c r="S668" s="134"/>
      <c r="T668" s="134"/>
      <c r="U668" s="134"/>
      <c r="V668" s="134"/>
      <c r="W668" s="134"/>
      <c r="X668" s="134"/>
      <c r="Y668" s="134"/>
      <c r="Z668" s="134"/>
    </row>
    <row r="669" spans="1:26" ht="15.75" customHeight="1">
      <c r="A669" s="13" t="s">
        <v>6461</v>
      </c>
      <c r="B669" s="13" t="s">
        <v>6462</v>
      </c>
      <c r="C669" s="13" t="s">
        <v>6463</v>
      </c>
      <c r="D669" s="13" t="s">
        <v>6464</v>
      </c>
      <c r="E669" s="13" t="s">
        <v>4169</v>
      </c>
      <c r="F669" s="134" t="str">
        <f t="shared" si="0"/>
        <v/>
      </c>
      <c r="G669" s="134" t="str">
        <f t="shared" si="1"/>
        <v>WATERS OF BATESVILLE, THE</v>
      </c>
      <c r="H669" s="134"/>
      <c r="I669" s="134"/>
      <c r="J669" s="134"/>
      <c r="K669" s="134"/>
      <c r="L669" s="134"/>
      <c r="M669" s="134"/>
      <c r="N669" s="134"/>
      <c r="O669" s="134"/>
      <c r="P669" s="134"/>
      <c r="Q669" s="134"/>
      <c r="R669" s="134"/>
      <c r="S669" s="134"/>
      <c r="T669" s="134"/>
      <c r="U669" s="134"/>
      <c r="V669" s="134"/>
      <c r="W669" s="134"/>
      <c r="X669" s="134"/>
      <c r="Y669" s="134"/>
      <c r="Z669" s="134"/>
    </row>
    <row r="670" spans="1:26" ht="15.75" customHeight="1">
      <c r="A670" s="13" t="s">
        <v>6465</v>
      </c>
      <c r="B670" s="13" t="s">
        <v>6466</v>
      </c>
      <c r="C670" s="13" t="s">
        <v>6467</v>
      </c>
      <c r="D670" s="13" t="s">
        <v>6468</v>
      </c>
      <c r="E670" s="13" t="s">
        <v>5239</v>
      </c>
      <c r="F670" s="134" t="str">
        <f t="shared" si="0"/>
        <v/>
      </c>
      <c r="G670" s="134" t="str">
        <f t="shared" si="1"/>
        <v>WATERS OF CLIFTY FALLS, THE</v>
      </c>
      <c r="H670" s="134"/>
      <c r="I670" s="134"/>
      <c r="J670" s="134"/>
      <c r="K670" s="134"/>
      <c r="L670" s="134"/>
      <c r="M670" s="134"/>
      <c r="N670" s="134"/>
      <c r="O670" s="134"/>
      <c r="P670" s="134"/>
      <c r="Q670" s="134"/>
      <c r="R670" s="134"/>
      <c r="S670" s="134"/>
      <c r="T670" s="134"/>
      <c r="U670" s="134"/>
      <c r="V670" s="134"/>
      <c r="W670" s="134"/>
      <c r="X670" s="134"/>
      <c r="Y670" s="134"/>
      <c r="Z670" s="134"/>
    </row>
    <row r="671" spans="1:26" ht="15.75" customHeight="1">
      <c r="A671" s="13" t="s">
        <v>6469</v>
      </c>
      <c r="B671" s="13" t="s">
        <v>6470</v>
      </c>
      <c r="C671" s="13" t="s">
        <v>3146</v>
      </c>
      <c r="D671" s="13" t="s">
        <v>6471</v>
      </c>
      <c r="E671" s="13" t="s">
        <v>6472</v>
      </c>
      <c r="F671" s="134" t="str">
        <f t="shared" si="0"/>
        <v/>
      </c>
      <c r="G671" s="134" t="str">
        <f t="shared" si="1"/>
        <v>WATERS OF COVINGTON, THE</v>
      </c>
      <c r="H671" s="134"/>
      <c r="I671" s="134"/>
      <c r="J671" s="134"/>
      <c r="K671" s="134"/>
      <c r="L671" s="134"/>
      <c r="M671" s="134"/>
      <c r="N671" s="134"/>
      <c r="O671" s="134"/>
      <c r="P671" s="134"/>
      <c r="Q671" s="134"/>
      <c r="R671" s="134"/>
      <c r="S671" s="134"/>
      <c r="T671" s="134"/>
      <c r="U671" s="134"/>
      <c r="V671" s="134"/>
      <c r="W671" s="134"/>
      <c r="X671" s="134"/>
      <c r="Y671" s="134"/>
      <c r="Z671" s="134"/>
    </row>
    <row r="672" spans="1:26" ht="15.75" customHeight="1">
      <c r="A672" s="13" t="s">
        <v>6473</v>
      </c>
      <c r="B672" s="13" t="s">
        <v>6474</v>
      </c>
      <c r="C672" s="13" t="s">
        <v>6475</v>
      </c>
      <c r="D672" s="13" t="s">
        <v>6476</v>
      </c>
      <c r="E672" s="13" t="s">
        <v>6477</v>
      </c>
      <c r="F672" s="134" t="str">
        <f t="shared" si="0"/>
        <v/>
      </c>
      <c r="G672" s="134" t="str">
        <f t="shared" si="1"/>
        <v>WATERS OF DILLSBORO-ROSS MANOR, THE</v>
      </c>
      <c r="H672" s="134"/>
      <c r="I672" s="134"/>
      <c r="J672" s="134"/>
      <c r="K672" s="134"/>
      <c r="L672" s="134"/>
      <c r="M672" s="134"/>
      <c r="N672" s="134"/>
      <c r="O672" s="134"/>
      <c r="P672" s="134"/>
      <c r="Q672" s="134"/>
      <c r="R672" s="134"/>
      <c r="S672" s="134"/>
      <c r="T672" s="134"/>
      <c r="U672" s="134"/>
      <c r="V672" s="134"/>
      <c r="W672" s="134"/>
      <c r="X672" s="134"/>
      <c r="Y672" s="134"/>
      <c r="Z672" s="134"/>
    </row>
    <row r="673" spans="1:26" ht="15.75" customHeight="1">
      <c r="A673" s="13" t="s">
        <v>6478</v>
      </c>
      <c r="B673" s="13" t="s">
        <v>6479</v>
      </c>
      <c r="C673" s="13" t="s">
        <v>3152</v>
      </c>
      <c r="D673" s="13" t="s">
        <v>6480</v>
      </c>
      <c r="E673" s="13" t="s">
        <v>4142</v>
      </c>
      <c r="F673" s="134" t="str">
        <f t="shared" si="0"/>
        <v/>
      </c>
      <c r="G673" s="134" t="str">
        <f t="shared" si="1"/>
        <v>WATERS OF GREENCASTLE, THE</v>
      </c>
      <c r="H673" s="134"/>
      <c r="I673" s="134"/>
      <c r="J673" s="134"/>
      <c r="K673" s="134"/>
      <c r="L673" s="134"/>
      <c r="M673" s="134"/>
      <c r="N673" s="134"/>
      <c r="O673" s="134"/>
      <c r="P673" s="134"/>
      <c r="Q673" s="134"/>
      <c r="R673" s="134"/>
      <c r="S673" s="134"/>
      <c r="T673" s="134"/>
      <c r="U673" s="134"/>
      <c r="V673" s="134"/>
      <c r="W673" s="134"/>
      <c r="X673" s="134"/>
      <c r="Y673" s="134"/>
      <c r="Z673" s="134"/>
    </row>
    <row r="674" spans="1:26" ht="15.75" customHeight="1">
      <c r="A674" s="13" t="s">
        <v>6481</v>
      </c>
      <c r="B674" s="13" t="s">
        <v>6482</v>
      </c>
      <c r="C674" s="13" t="s">
        <v>3156</v>
      </c>
      <c r="D674" s="13" t="s">
        <v>6483</v>
      </c>
      <c r="E674" s="13" t="s">
        <v>6484</v>
      </c>
      <c r="F674" s="134" t="str">
        <f t="shared" si="0"/>
        <v/>
      </c>
      <c r="G674" s="134" t="str">
        <f t="shared" si="1"/>
        <v>WATERS OF HUNTINGBURG, THE</v>
      </c>
      <c r="H674" s="134"/>
      <c r="I674" s="134"/>
      <c r="J674" s="134"/>
      <c r="K674" s="134"/>
      <c r="L674" s="134"/>
      <c r="M674" s="134"/>
      <c r="N674" s="134"/>
      <c r="O674" s="134"/>
      <c r="P674" s="134"/>
      <c r="Q674" s="134"/>
      <c r="R674" s="134"/>
      <c r="S674" s="134"/>
      <c r="T674" s="134"/>
      <c r="U674" s="134"/>
      <c r="V674" s="134"/>
      <c r="W674" s="134"/>
      <c r="X674" s="134"/>
      <c r="Y674" s="134"/>
      <c r="Z674" s="134"/>
    </row>
    <row r="675" spans="1:26" ht="15.75" customHeight="1">
      <c r="A675" s="13" t="s">
        <v>6485</v>
      </c>
      <c r="B675" s="13" t="s">
        <v>6486</v>
      </c>
      <c r="C675" s="13" t="s">
        <v>6487</v>
      </c>
      <c r="D675" s="13" t="s">
        <v>6488</v>
      </c>
      <c r="E675" s="13" t="s">
        <v>4259</v>
      </c>
      <c r="F675" s="134" t="str">
        <f t="shared" si="0"/>
        <v/>
      </c>
      <c r="G675" s="134" t="str">
        <f t="shared" si="1"/>
        <v>WATERS OF INDIANAPOLIS, THE</v>
      </c>
      <c r="H675" s="134"/>
      <c r="I675" s="134"/>
      <c r="J675" s="134"/>
      <c r="K675" s="134"/>
      <c r="L675" s="134"/>
      <c r="M675" s="134"/>
      <c r="N675" s="134"/>
      <c r="O675" s="134"/>
      <c r="P675" s="134"/>
      <c r="Q675" s="134"/>
      <c r="R675" s="134"/>
      <c r="S675" s="134"/>
      <c r="T675" s="134"/>
      <c r="U675" s="134"/>
      <c r="V675" s="134"/>
      <c r="W675" s="134"/>
      <c r="X675" s="134"/>
      <c r="Y675" s="134"/>
      <c r="Z675" s="134"/>
    </row>
    <row r="676" spans="1:26" ht="15.75" customHeight="1">
      <c r="A676" s="13" t="s">
        <v>6489</v>
      </c>
      <c r="B676" s="13" t="s">
        <v>6490</v>
      </c>
      <c r="C676" s="13" t="s">
        <v>3163</v>
      </c>
      <c r="D676" s="13" t="s">
        <v>6491</v>
      </c>
      <c r="E676" s="13" t="s">
        <v>4655</v>
      </c>
      <c r="F676" s="134" t="str">
        <f t="shared" si="0"/>
        <v/>
      </c>
      <c r="G676" s="134" t="str">
        <f t="shared" si="1"/>
        <v>WATERS OF LEBANON, THE</v>
      </c>
      <c r="H676" s="134"/>
      <c r="I676" s="134"/>
      <c r="J676" s="134"/>
      <c r="K676" s="134"/>
      <c r="L676" s="134"/>
      <c r="M676" s="134"/>
      <c r="N676" s="134"/>
      <c r="O676" s="134"/>
      <c r="P676" s="134"/>
      <c r="Q676" s="134"/>
      <c r="R676" s="134"/>
      <c r="S676" s="134"/>
      <c r="T676" s="134"/>
      <c r="U676" s="134"/>
      <c r="V676" s="134"/>
      <c r="W676" s="134"/>
      <c r="X676" s="134"/>
      <c r="Y676" s="134"/>
      <c r="Z676" s="134"/>
    </row>
    <row r="677" spans="1:26" ht="15.75" customHeight="1">
      <c r="A677" s="13" t="s">
        <v>6492</v>
      </c>
      <c r="B677" s="13" t="s">
        <v>6493</v>
      </c>
      <c r="C677" s="13" t="s">
        <v>3165</v>
      </c>
      <c r="D677" s="13" t="s">
        <v>6494</v>
      </c>
      <c r="E677" s="13" t="s">
        <v>5004</v>
      </c>
      <c r="F677" s="134" t="str">
        <f t="shared" si="0"/>
        <v/>
      </c>
      <c r="G677" s="134" t="str">
        <f t="shared" si="1"/>
        <v>WATERS OF MARTINSVILLE, THE</v>
      </c>
      <c r="H677" s="134"/>
      <c r="I677" s="134"/>
      <c r="J677" s="134"/>
      <c r="K677" s="134"/>
      <c r="L677" s="134"/>
      <c r="M677" s="134"/>
      <c r="N677" s="134"/>
      <c r="O677" s="134"/>
      <c r="P677" s="134"/>
      <c r="Q677" s="134"/>
      <c r="R677" s="134"/>
      <c r="S677" s="134"/>
      <c r="T677" s="134"/>
      <c r="U677" s="134"/>
      <c r="V677" s="134"/>
      <c r="W677" s="134"/>
      <c r="X677" s="134"/>
      <c r="Y677" s="134"/>
      <c r="Z677" s="134"/>
    </row>
    <row r="678" spans="1:26" ht="15.75" customHeight="1">
      <c r="A678" s="13" t="s">
        <v>6495</v>
      </c>
      <c r="B678" s="13" t="s">
        <v>6496</v>
      </c>
      <c r="C678" s="13" t="s">
        <v>3168</v>
      </c>
      <c r="D678" s="13" t="s">
        <v>6497</v>
      </c>
      <c r="E678" s="13" t="s">
        <v>4403</v>
      </c>
      <c r="F678" s="134" t="str">
        <f t="shared" si="0"/>
        <v/>
      </c>
      <c r="G678" s="134" t="str">
        <f t="shared" si="1"/>
        <v>WATERS OF MUNCIE, THE</v>
      </c>
      <c r="H678" s="134"/>
      <c r="I678" s="134"/>
      <c r="J678" s="134"/>
      <c r="K678" s="134"/>
      <c r="L678" s="134"/>
      <c r="M678" s="134"/>
      <c r="N678" s="134"/>
      <c r="O678" s="134"/>
      <c r="P678" s="134"/>
      <c r="Q678" s="134"/>
      <c r="R678" s="134"/>
      <c r="S678" s="134"/>
      <c r="T678" s="134"/>
      <c r="U678" s="134"/>
      <c r="V678" s="134"/>
      <c r="W678" s="134"/>
      <c r="X678" s="134"/>
      <c r="Y678" s="134"/>
      <c r="Z678" s="134"/>
    </row>
    <row r="679" spans="1:26" ht="15.75" customHeight="1">
      <c r="A679" s="13" t="s">
        <v>6498</v>
      </c>
      <c r="B679" s="13" t="s">
        <v>6499</v>
      </c>
      <c r="C679" s="13" t="s">
        <v>3171</v>
      </c>
      <c r="D679" s="13" t="s">
        <v>6500</v>
      </c>
      <c r="E679" s="13" t="s">
        <v>4011</v>
      </c>
      <c r="F679" s="134" t="str">
        <f t="shared" si="0"/>
        <v/>
      </c>
      <c r="G679" s="134" t="str">
        <f t="shared" si="1"/>
        <v>WATERS OF NEW CASTLE, THE</v>
      </c>
      <c r="H679" s="134"/>
      <c r="I679" s="134"/>
      <c r="J679" s="134"/>
      <c r="K679" s="134"/>
      <c r="L679" s="134"/>
      <c r="M679" s="134"/>
      <c r="N679" s="134"/>
      <c r="O679" s="134"/>
      <c r="P679" s="134"/>
      <c r="Q679" s="134"/>
      <c r="R679" s="134"/>
      <c r="S679" s="134"/>
      <c r="T679" s="134"/>
      <c r="U679" s="134"/>
      <c r="V679" s="134"/>
      <c r="W679" s="134"/>
      <c r="X679" s="134"/>
      <c r="Y679" s="134"/>
      <c r="Z679" s="134"/>
    </row>
    <row r="680" spans="1:26" ht="15.75" customHeight="1">
      <c r="A680" s="13" t="s">
        <v>6501</v>
      </c>
      <c r="B680" s="13" t="s">
        <v>6502</v>
      </c>
      <c r="C680" s="13" t="s">
        <v>3174</v>
      </c>
      <c r="D680" s="13" t="s">
        <v>6503</v>
      </c>
      <c r="E680" s="13" t="s">
        <v>5977</v>
      </c>
      <c r="F680" s="134" t="str">
        <f t="shared" si="0"/>
        <v/>
      </c>
      <c r="G680" s="134" t="str">
        <f t="shared" si="1"/>
        <v>WATERS OF PRINCETON, THE</v>
      </c>
      <c r="H680" s="134"/>
      <c r="I680" s="134"/>
      <c r="J680" s="134"/>
      <c r="K680" s="134"/>
      <c r="L680" s="134"/>
      <c r="M680" s="134"/>
      <c r="N680" s="134"/>
      <c r="O680" s="134"/>
      <c r="P680" s="134"/>
      <c r="Q680" s="134"/>
      <c r="R680" s="134"/>
      <c r="S680" s="134"/>
      <c r="T680" s="134"/>
      <c r="U680" s="134"/>
      <c r="V680" s="134"/>
      <c r="W680" s="134"/>
      <c r="X680" s="134"/>
      <c r="Y680" s="134"/>
      <c r="Z680" s="134"/>
    </row>
    <row r="681" spans="1:26" ht="15.75" customHeight="1">
      <c r="A681" s="13" t="s">
        <v>6504</v>
      </c>
      <c r="B681" s="13" t="s">
        <v>6505</v>
      </c>
      <c r="C681" s="13" t="s">
        <v>3179</v>
      </c>
      <c r="D681" s="13" t="s">
        <v>6506</v>
      </c>
      <c r="E681" s="13" t="s">
        <v>6507</v>
      </c>
      <c r="F681" s="134" t="str">
        <f t="shared" si="0"/>
        <v/>
      </c>
      <c r="G681" s="134" t="str">
        <f t="shared" si="1"/>
        <v>WATERS OF RISING SUN, THE</v>
      </c>
      <c r="H681" s="134"/>
      <c r="I681" s="134"/>
      <c r="J681" s="134"/>
      <c r="K681" s="134"/>
      <c r="L681" s="134"/>
      <c r="M681" s="134"/>
      <c r="N681" s="134"/>
      <c r="O681" s="134"/>
      <c r="P681" s="134"/>
      <c r="Q681" s="134"/>
      <c r="R681" s="134"/>
      <c r="S681" s="134"/>
      <c r="T681" s="134"/>
      <c r="U681" s="134"/>
      <c r="V681" s="134"/>
      <c r="W681" s="134"/>
      <c r="X681" s="134"/>
      <c r="Y681" s="134"/>
      <c r="Z681" s="134"/>
    </row>
    <row r="682" spans="1:26" ht="15.75" customHeight="1">
      <c r="A682" s="13" t="s">
        <v>6508</v>
      </c>
      <c r="B682" s="13" t="s">
        <v>6509</v>
      </c>
      <c r="C682" s="13" t="s">
        <v>3183</v>
      </c>
      <c r="D682" s="13" t="s">
        <v>6510</v>
      </c>
      <c r="E682" s="13" t="s">
        <v>5080</v>
      </c>
      <c r="F682" s="134" t="str">
        <f t="shared" si="0"/>
        <v/>
      </c>
      <c r="G682" s="134" t="str">
        <f t="shared" si="1"/>
        <v>WATERS OF SCOTTSBURG, THE</v>
      </c>
      <c r="H682" s="134"/>
      <c r="I682" s="134"/>
      <c r="J682" s="134"/>
      <c r="K682" s="134"/>
      <c r="L682" s="134"/>
      <c r="M682" s="134"/>
      <c r="N682" s="134"/>
      <c r="O682" s="134"/>
      <c r="P682" s="134"/>
      <c r="Q682" s="134"/>
      <c r="R682" s="134"/>
      <c r="S682" s="134"/>
      <c r="T682" s="134"/>
      <c r="U682" s="134"/>
      <c r="V682" s="134"/>
      <c r="W682" s="134"/>
      <c r="X682" s="134"/>
      <c r="Y682" s="134"/>
      <c r="Z682" s="134"/>
    </row>
    <row r="683" spans="1:26" ht="15.75" customHeight="1">
      <c r="A683" s="13" t="s">
        <v>6511</v>
      </c>
      <c r="B683" s="13" t="s">
        <v>6512</v>
      </c>
      <c r="C683" s="13" t="s">
        <v>3186</v>
      </c>
      <c r="D683" s="13" t="s">
        <v>6513</v>
      </c>
      <c r="E683" s="13" t="s">
        <v>4522</v>
      </c>
      <c r="F683" s="134" t="str">
        <f t="shared" si="0"/>
        <v/>
      </c>
      <c r="G683" s="134" t="str">
        <f t="shared" si="1"/>
        <v>WEDGEWOOD HEALTHCARE CENTER</v>
      </c>
      <c r="H683" s="134"/>
      <c r="I683" s="134"/>
      <c r="J683" s="134"/>
      <c r="K683" s="134"/>
      <c r="L683" s="134"/>
      <c r="M683" s="134"/>
      <c r="N683" s="134"/>
      <c r="O683" s="134"/>
      <c r="P683" s="134"/>
      <c r="Q683" s="134"/>
      <c r="R683" s="134"/>
      <c r="S683" s="134"/>
      <c r="T683" s="134"/>
      <c r="U683" s="134"/>
      <c r="V683" s="134"/>
      <c r="W683" s="134"/>
      <c r="X683" s="134"/>
      <c r="Y683" s="134"/>
      <c r="Z683" s="134"/>
    </row>
    <row r="684" spans="1:26" ht="15.75" customHeight="1">
      <c r="A684" s="13" t="s">
        <v>6514</v>
      </c>
      <c r="B684" s="13" t="s">
        <v>6515</v>
      </c>
      <c r="C684" s="13" t="s">
        <v>3189</v>
      </c>
      <c r="D684" s="13" t="s">
        <v>6516</v>
      </c>
      <c r="E684" s="13" t="s">
        <v>4351</v>
      </c>
      <c r="F684" s="134" t="str">
        <f t="shared" si="0"/>
        <v/>
      </c>
      <c r="G684" s="134" t="str">
        <f t="shared" si="1"/>
        <v>WELLBROOKE OF AVON</v>
      </c>
      <c r="H684" s="134"/>
      <c r="I684" s="134"/>
      <c r="J684" s="134"/>
      <c r="K684" s="134"/>
      <c r="L684" s="134"/>
      <c r="M684" s="134"/>
      <c r="N684" s="134"/>
      <c r="O684" s="134"/>
      <c r="P684" s="134"/>
      <c r="Q684" s="134"/>
      <c r="R684" s="134"/>
      <c r="S684" s="134"/>
      <c r="T684" s="134"/>
      <c r="U684" s="134"/>
      <c r="V684" s="134"/>
      <c r="W684" s="134"/>
      <c r="X684" s="134"/>
      <c r="Y684" s="134"/>
      <c r="Z684" s="134"/>
    </row>
    <row r="685" spans="1:26" ht="15.75" customHeight="1">
      <c r="A685" s="13" t="s">
        <v>6517</v>
      </c>
      <c r="B685" s="13" t="s">
        <v>6518</v>
      </c>
      <c r="C685" s="13" t="s">
        <v>3193</v>
      </c>
      <c r="D685" s="13" t="s">
        <v>6519</v>
      </c>
      <c r="E685" s="13" t="s">
        <v>4216</v>
      </c>
      <c r="F685" s="134" t="str">
        <f t="shared" si="0"/>
        <v/>
      </c>
      <c r="G685" s="134" t="str">
        <f t="shared" si="1"/>
        <v>WELLBROOKE OF CARMEL</v>
      </c>
      <c r="H685" s="134"/>
      <c r="I685" s="134"/>
      <c r="J685" s="134"/>
      <c r="K685" s="134"/>
      <c r="L685" s="134"/>
      <c r="M685" s="134"/>
      <c r="N685" s="134"/>
      <c r="O685" s="134"/>
      <c r="P685" s="134"/>
      <c r="Q685" s="134"/>
      <c r="R685" s="134"/>
      <c r="S685" s="134"/>
      <c r="T685" s="134"/>
      <c r="U685" s="134"/>
      <c r="V685" s="134"/>
      <c r="W685" s="134"/>
      <c r="X685" s="134"/>
      <c r="Y685" s="134"/>
      <c r="Z685" s="134"/>
    </row>
    <row r="686" spans="1:26" ht="15.75" customHeight="1">
      <c r="A686" s="13" t="s">
        <v>6520</v>
      </c>
      <c r="B686" s="13" t="s">
        <v>6521</v>
      </c>
      <c r="C686" s="13" t="s">
        <v>3196</v>
      </c>
      <c r="D686" s="13" t="s">
        <v>6522</v>
      </c>
      <c r="E686" s="13" t="s">
        <v>4243</v>
      </c>
      <c r="F686" s="134" t="str">
        <f t="shared" si="0"/>
        <v/>
      </c>
      <c r="G686" s="134" t="str">
        <f t="shared" si="1"/>
        <v>WELLBROOKE OF CRAWFORDSVILLE</v>
      </c>
      <c r="H686" s="134"/>
      <c r="I686" s="134"/>
      <c r="J686" s="134"/>
      <c r="K686" s="134"/>
      <c r="L686" s="134"/>
      <c r="M686" s="134"/>
      <c r="N686" s="134"/>
      <c r="O686" s="134"/>
      <c r="P686" s="134"/>
      <c r="Q686" s="134"/>
      <c r="R686" s="134"/>
      <c r="S686" s="134"/>
      <c r="T686" s="134"/>
      <c r="U686" s="134"/>
      <c r="V686" s="134"/>
      <c r="W686" s="134"/>
      <c r="X686" s="134"/>
      <c r="Y686" s="134"/>
      <c r="Z686" s="134"/>
    </row>
    <row r="687" spans="1:26" ht="15.75" customHeight="1">
      <c r="A687" s="13" t="s">
        <v>6523</v>
      </c>
      <c r="B687" s="13" t="s">
        <v>6524</v>
      </c>
      <c r="C687" s="13" t="s">
        <v>3199</v>
      </c>
      <c r="D687" s="13" t="s">
        <v>6525</v>
      </c>
      <c r="E687" s="13" t="s">
        <v>4091</v>
      </c>
      <c r="F687" s="134" t="str">
        <f t="shared" si="0"/>
        <v/>
      </c>
      <c r="G687" s="134" t="str">
        <f t="shared" si="1"/>
        <v>WELLBROOKE OF KOKOMO</v>
      </c>
      <c r="H687" s="134"/>
      <c r="I687" s="134"/>
      <c r="J687" s="134"/>
      <c r="K687" s="134"/>
      <c r="L687" s="134"/>
      <c r="M687" s="134"/>
      <c r="N687" s="134"/>
      <c r="O687" s="134"/>
      <c r="P687" s="134"/>
      <c r="Q687" s="134"/>
      <c r="R687" s="134"/>
      <c r="S687" s="134"/>
      <c r="T687" s="134"/>
      <c r="U687" s="134"/>
      <c r="V687" s="134"/>
      <c r="W687" s="134"/>
      <c r="X687" s="134"/>
      <c r="Y687" s="134"/>
      <c r="Z687" s="134"/>
    </row>
    <row r="688" spans="1:26" ht="15.75" customHeight="1">
      <c r="A688" s="13" t="s">
        <v>6526</v>
      </c>
      <c r="B688" s="13" t="s">
        <v>6527</v>
      </c>
      <c r="C688" s="13" t="s">
        <v>3202</v>
      </c>
      <c r="D688" s="13" t="s">
        <v>6528</v>
      </c>
      <c r="E688" s="13" t="s">
        <v>5123</v>
      </c>
      <c r="F688" s="134" t="str">
        <f t="shared" si="0"/>
        <v/>
      </c>
      <c r="G688" s="134" t="str">
        <f t="shared" si="1"/>
        <v>WELLBROOKE OF SOUTH BEND</v>
      </c>
      <c r="H688" s="134"/>
      <c r="I688" s="134"/>
      <c r="J688" s="134"/>
      <c r="K688" s="134"/>
      <c r="L688" s="134"/>
      <c r="M688" s="134"/>
      <c r="N688" s="134"/>
      <c r="O688" s="134"/>
      <c r="P688" s="134"/>
      <c r="Q688" s="134"/>
      <c r="R688" s="134"/>
      <c r="S688" s="134"/>
      <c r="T688" s="134"/>
      <c r="U688" s="134"/>
      <c r="V688" s="134"/>
      <c r="W688" s="134"/>
      <c r="X688" s="134"/>
      <c r="Y688" s="134"/>
      <c r="Z688" s="134"/>
    </row>
    <row r="689" spans="1:26" ht="15.75" customHeight="1">
      <c r="A689" s="13" t="s">
        <v>6529</v>
      </c>
      <c r="B689" s="13" t="s">
        <v>6530</v>
      </c>
      <c r="C689" s="13" t="s">
        <v>3205</v>
      </c>
      <c r="D689" s="13" t="s">
        <v>6531</v>
      </c>
      <c r="E689" s="13" t="s">
        <v>4191</v>
      </c>
      <c r="F689" s="134" t="str">
        <f t="shared" si="0"/>
        <v/>
      </c>
      <c r="G689" s="134" t="str">
        <f t="shared" si="1"/>
        <v>WELLBROOKE OF WABASH</v>
      </c>
      <c r="H689" s="134"/>
      <c r="I689" s="134"/>
      <c r="J689" s="134"/>
      <c r="K689" s="134"/>
      <c r="L689" s="134"/>
      <c r="M689" s="134"/>
      <c r="N689" s="134"/>
      <c r="O689" s="134"/>
      <c r="P689" s="134"/>
      <c r="Q689" s="134"/>
      <c r="R689" s="134"/>
      <c r="S689" s="134"/>
      <c r="T689" s="134"/>
      <c r="U689" s="134"/>
      <c r="V689" s="134"/>
      <c r="W689" s="134"/>
      <c r="X689" s="134"/>
      <c r="Y689" s="134"/>
      <c r="Z689" s="134"/>
    </row>
    <row r="690" spans="1:26" ht="15.75" customHeight="1">
      <c r="A690" s="13" t="s">
        <v>6532</v>
      </c>
      <c r="B690" s="13" t="s">
        <v>6533</v>
      </c>
      <c r="C690" s="13" t="s">
        <v>3208</v>
      </c>
      <c r="D690" s="13" t="s">
        <v>6534</v>
      </c>
      <c r="E690" s="13" t="s">
        <v>4563</v>
      </c>
      <c r="F690" s="134" t="str">
        <f t="shared" si="0"/>
        <v/>
      </c>
      <c r="G690" s="134" t="str">
        <f t="shared" si="1"/>
        <v>WELLBROOKE OF WESTFIELD</v>
      </c>
      <c r="H690" s="134"/>
      <c r="I690" s="134"/>
      <c r="J690" s="134"/>
      <c r="K690" s="134"/>
      <c r="L690" s="134"/>
      <c r="M690" s="134"/>
      <c r="N690" s="134"/>
      <c r="O690" s="134"/>
      <c r="P690" s="134"/>
      <c r="Q690" s="134"/>
      <c r="R690" s="134"/>
      <c r="S690" s="134"/>
      <c r="T690" s="134"/>
      <c r="U690" s="134"/>
      <c r="V690" s="134"/>
      <c r="W690" s="134"/>
      <c r="X690" s="134"/>
      <c r="Y690" s="134"/>
      <c r="Z690" s="134"/>
    </row>
    <row r="691" spans="1:26" ht="15.75" customHeight="1">
      <c r="A691" s="13" t="s">
        <v>6535</v>
      </c>
      <c r="B691" s="13" t="s">
        <v>6536</v>
      </c>
      <c r="C691" s="13" t="s">
        <v>6537</v>
      </c>
      <c r="D691" s="13" t="s">
        <v>6538</v>
      </c>
      <c r="E691" s="13" t="s">
        <v>4259</v>
      </c>
      <c r="F691" s="134" t="str">
        <f t="shared" si="0"/>
        <v/>
      </c>
      <c r="G691" s="134" t="str">
        <f t="shared" si="1"/>
        <v>WELLINGTON AT SOUTHPORT THE</v>
      </c>
      <c r="H691" s="134"/>
      <c r="I691" s="134"/>
      <c r="J691" s="134"/>
      <c r="K691" s="134"/>
      <c r="L691" s="134"/>
      <c r="M691" s="134"/>
      <c r="N691" s="134"/>
      <c r="O691" s="134"/>
      <c r="P691" s="134"/>
      <c r="Q691" s="134"/>
      <c r="R691" s="134"/>
      <c r="S691" s="134"/>
      <c r="T691" s="134"/>
      <c r="U691" s="134"/>
      <c r="V691" s="134"/>
      <c r="W691" s="134"/>
      <c r="X691" s="134"/>
      <c r="Y691" s="134"/>
      <c r="Z691" s="134"/>
    </row>
    <row r="692" spans="1:26" ht="15.75" customHeight="1">
      <c r="A692" s="13" t="s">
        <v>6539</v>
      </c>
      <c r="B692" s="13" t="s">
        <v>6540</v>
      </c>
      <c r="C692" s="13" t="s">
        <v>3211</v>
      </c>
      <c r="D692" s="13" t="s">
        <v>6541</v>
      </c>
      <c r="E692" s="13" t="s">
        <v>4087</v>
      </c>
      <c r="F692" s="134" t="str">
        <f t="shared" si="0"/>
        <v/>
      </c>
      <c r="G692" s="134" t="str">
        <f t="shared" si="1"/>
        <v>WESLEY MANOR HEALTH CENTER</v>
      </c>
      <c r="H692" s="134"/>
      <c r="I692" s="134"/>
      <c r="J692" s="134"/>
      <c r="K692" s="134"/>
      <c r="L692" s="134"/>
      <c r="M692" s="134"/>
      <c r="N692" s="134"/>
      <c r="O692" s="134"/>
      <c r="P692" s="134"/>
      <c r="Q692" s="134"/>
      <c r="R692" s="134"/>
      <c r="S692" s="134"/>
      <c r="T692" s="134"/>
      <c r="U692" s="134"/>
      <c r="V692" s="134"/>
      <c r="W692" s="134"/>
      <c r="X692" s="134"/>
      <c r="Y692" s="134"/>
      <c r="Z692" s="134"/>
    </row>
    <row r="693" spans="1:26" ht="15.75" customHeight="1">
      <c r="A693" s="13" t="s">
        <v>6542</v>
      </c>
      <c r="B693" s="13" t="s">
        <v>6543</v>
      </c>
      <c r="C693" s="13" t="s">
        <v>3213</v>
      </c>
      <c r="D693" s="13" t="s">
        <v>6544</v>
      </c>
      <c r="E693" s="13" t="s">
        <v>4095</v>
      </c>
      <c r="F693" s="134" t="str">
        <f t="shared" si="0"/>
        <v/>
      </c>
      <c r="G693" s="134" t="str">
        <f t="shared" si="1"/>
        <v>WESLEYAN HEALTH CARE CENTER</v>
      </c>
      <c r="H693" s="134"/>
      <c r="I693" s="134"/>
      <c r="J693" s="134"/>
      <c r="K693" s="134"/>
      <c r="L693" s="134"/>
      <c r="M693" s="134"/>
      <c r="N693" s="134"/>
      <c r="O693" s="134"/>
      <c r="P693" s="134"/>
      <c r="Q693" s="134"/>
      <c r="R693" s="134"/>
      <c r="S693" s="134"/>
      <c r="T693" s="134"/>
      <c r="U693" s="134"/>
      <c r="V693" s="134"/>
      <c r="W693" s="134"/>
      <c r="X693" s="134"/>
      <c r="Y693" s="134"/>
      <c r="Z693" s="134"/>
    </row>
    <row r="694" spans="1:26" ht="15.75" customHeight="1">
      <c r="A694" s="13" t="s">
        <v>6545</v>
      </c>
      <c r="B694" s="13" t="s">
        <v>6546</v>
      </c>
      <c r="C694" s="13" t="s">
        <v>3216</v>
      </c>
      <c r="D694" s="13" t="s">
        <v>6547</v>
      </c>
      <c r="E694" s="13" t="s">
        <v>4346</v>
      </c>
      <c r="F694" s="134" t="str">
        <f t="shared" si="0"/>
        <v/>
      </c>
      <c r="G694" s="134" t="str">
        <f t="shared" si="1"/>
        <v>WEST BEND NURSING AND REHABILITATION</v>
      </c>
      <c r="H694" s="134"/>
      <c r="I694" s="134"/>
      <c r="J694" s="134"/>
      <c r="K694" s="134"/>
      <c r="L694" s="134"/>
      <c r="M694" s="134"/>
      <c r="N694" s="134"/>
      <c r="O694" s="134"/>
      <c r="P694" s="134"/>
      <c r="Q694" s="134"/>
      <c r="R694" s="134"/>
      <c r="S694" s="134"/>
      <c r="T694" s="134"/>
      <c r="U694" s="134"/>
      <c r="V694" s="134"/>
      <c r="W694" s="134"/>
      <c r="X694" s="134"/>
      <c r="Y694" s="134"/>
      <c r="Z694" s="134"/>
    </row>
    <row r="695" spans="1:26" ht="15.75" customHeight="1">
      <c r="A695" s="13" t="s">
        <v>6548</v>
      </c>
      <c r="B695" s="13" t="s">
        <v>6549</v>
      </c>
      <c r="C695" s="13" t="s">
        <v>3219</v>
      </c>
      <c r="D695" s="13" t="s">
        <v>6550</v>
      </c>
      <c r="E695" s="13" t="s">
        <v>5811</v>
      </c>
      <c r="F695" s="134" t="str">
        <f t="shared" si="0"/>
        <v/>
      </c>
      <c r="G695" s="134" t="str">
        <f t="shared" si="1"/>
        <v>WEST RIVER HEALTH CAMPUS</v>
      </c>
      <c r="H695" s="134"/>
      <c r="I695" s="134"/>
      <c r="J695" s="134"/>
      <c r="K695" s="134"/>
      <c r="L695" s="134"/>
      <c r="M695" s="134"/>
      <c r="N695" s="134"/>
      <c r="O695" s="134"/>
      <c r="P695" s="134"/>
      <c r="Q695" s="134"/>
      <c r="R695" s="134"/>
      <c r="S695" s="134"/>
      <c r="T695" s="134"/>
      <c r="U695" s="134"/>
      <c r="V695" s="134"/>
      <c r="W695" s="134"/>
      <c r="X695" s="134"/>
      <c r="Y695" s="134"/>
      <c r="Z695" s="134"/>
    </row>
    <row r="696" spans="1:26" ht="15.75" customHeight="1">
      <c r="A696" s="13" t="s">
        <v>6551</v>
      </c>
      <c r="B696" s="13" t="s">
        <v>6552</v>
      </c>
      <c r="C696" s="13" t="s">
        <v>3230</v>
      </c>
      <c r="D696" s="13" t="s">
        <v>6553</v>
      </c>
      <c r="E696" s="13" t="s">
        <v>4522</v>
      </c>
      <c r="F696" s="134" t="str">
        <f t="shared" si="0"/>
        <v/>
      </c>
      <c r="G696" s="134" t="str">
        <f t="shared" si="1"/>
        <v>WESTMINSTER HEALTH CARE CENTER</v>
      </c>
      <c r="H696" s="134"/>
      <c r="I696" s="134"/>
      <c r="J696" s="134"/>
      <c r="K696" s="134"/>
      <c r="L696" s="134"/>
      <c r="M696" s="134"/>
      <c r="N696" s="134"/>
      <c r="O696" s="134"/>
      <c r="P696" s="134"/>
      <c r="Q696" s="134"/>
      <c r="R696" s="134"/>
      <c r="S696" s="134"/>
      <c r="T696" s="134"/>
      <c r="U696" s="134"/>
      <c r="V696" s="134"/>
      <c r="W696" s="134"/>
      <c r="X696" s="134"/>
      <c r="Y696" s="134"/>
      <c r="Z696" s="134"/>
    </row>
    <row r="697" spans="1:26" ht="15.75" customHeight="1">
      <c r="A697" s="13" t="s">
        <v>6554</v>
      </c>
      <c r="B697" s="13" t="s">
        <v>6555</v>
      </c>
      <c r="C697" s="13" t="s">
        <v>3223</v>
      </c>
      <c r="D697" s="13" t="s">
        <v>6556</v>
      </c>
      <c r="E697" s="13" t="s">
        <v>4664</v>
      </c>
      <c r="F697" s="134" t="str">
        <f t="shared" si="0"/>
        <v/>
      </c>
      <c r="G697" s="134" t="str">
        <f t="shared" si="1"/>
        <v>WESTMINSTER VILLAGE - WEST LAFAYETTE</v>
      </c>
      <c r="H697" s="134"/>
      <c r="I697" s="134"/>
      <c r="J697" s="134"/>
      <c r="K697" s="134"/>
      <c r="L697" s="134"/>
      <c r="M697" s="134"/>
      <c r="N697" s="134"/>
      <c r="O697" s="134"/>
      <c r="P697" s="134"/>
      <c r="Q697" s="134"/>
      <c r="R697" s="134"/>
      <c r="S697" s="134"/>
      <c r="T697" s="134"/>
      <c r="U697" s="134"/>
      <c r="V697" s="134"/>
      <c r="W697" s="134"/>
      <c r="X697" s="134"/>
      <c r="Y697" s="134"/>
      <c r="Z697" s="134"/>
    </row>
    <row r="698" spans="1:26" ht="15.75" customHeight="1">
      <c r="A698" s="13" t="s">
        <v>6557</v>
      </c>
      <c r="B698" s="13" t="s">
        <v>6558</v>
      </c>
      <c r="C698" s="13" t="s">
        <v>3227</v>
      </c>
      <c r="D698" s="13" t="s">
        <v>6559</v>
      </c>
      <c r="E698" s="13" t="s">
        <v>4542</v>
      </c>
      <c r="F698" s="134" t="str">
        <f t="shared" si="0"/>
        <v/>
      </c>
      <c r="G698" s="134" t="str">
        <f t="shared" si="1"/>
        <v>WESTMINSTER VILLAGE HEALTH &amp; REHAB</v>
      </c>
      <c r="H698" s="134"/>
      <c r="I698" s="134"/>
      <c r="J698" s="134"/>
      <c r="K698" s="134"/>
      <c r="L698" s="134"/>
      <c r="M698" s="134"/>
      <c r="N698" s="134"/>
      <c r="O698" s="134"/>
      <c r="P698" s="134"/>
      <c r="Q698" s="134"/>
      <c r="R698" s="134"/>
      <c r="S698" s="134"/>
      <c r="T698" s="134"/>
      <c r="U698" s="134"/>
      <c r="V698" s="134"/>
      <c r="W698" s="134"/>
      <c r="X698" s="134"/>
      <c r="Y698" s="134"/>
      <c r="Z698" s="134"/>
    </row>
    <row r="699" spans="1:26" ht="15.75" customHeight="1">
      <c r="A699" s="13" t="s">
        <v>6560</v>
      </c>
      <c r="B699" s="13" t="s">
        <v>6561</v>
      </c>
      <c r="C699" s="13" t="s">
        <v>3233</v>
      </c>
      <c r="D699" s="13" t="s">
        <v>6562</v>
      </c>
      <c r="E699" s="13" t="s">
        <v>4271</v>
      </c>
      <c r="F699" s="134" t="str">
        <f t="shared" si="0"/>
        <v/>
      </c>
      <c r="G699" s="134" t="str">
        <f t="shared" si="1"/>
        <v>WESTMINSTER VILLAGE MUNCIE INC</v>
      </c>
      <c r="H699" s="134"/>
      <c r="I699" s="134"/>
      <c r="J699" s="134"/>
      <c r="K699" s="134"/>
      <c r="L699" s="134"/>
      <c r="M699" s="134"/>
      <c r="N699" s="134"/>
      <c r="O699" s="134"/>
      <c r="P699" s="134"/>
      <c r="Q699" s="134"/>
      <c r="R699" s="134"/>
      <c r="S699" s="134"/>
      <c r="T699" s="134"/>
      <c r="U699" s="134"/>
      <c r="V699" s="134"/>
      <c r="W699" s="134"/>
      <c r="X699" s="134"/>
      <c r="Y699" s="134"/>
      <c r="Z699" s="134"/>
    </row>
    <row r="700" spans="1:26" ht="15.75" customHeight="1">
      <c r="A700" s="13" t="s">
        <v>6563</v>
      </c>
      <c r="B700" s="13" t="s">
        <v>6564</v>
      </c>
      <c r="C700" s="13" t="s">
        <v>3236</v>
      </c>
      <c r="D700" s="13" t="s">
        <v>6565</v>
      </c>
      <c r="E700" s="13" t="s">
        <v>6566</v>
      </c>
      <c r="F700" s="134" t="str">
        <f t="shared" si="0"/>
        <v/>
      </c>
      <c r="G700" s="134" t="str">
        <f t="shared" si="1"/>
        <v>WESTMINSTER VILLAGE NORTH</v>
      </c>
      <c r="H700" s="134"/>
      <c r="I700" s="134"/>
      <c r="J700" s="134"/>
      <c r="K700" s="134"/>
      <c r="L700" s="134"/>
      <c r="M700" s="134"/>
      <c r="N700" s="134"/>
      <c r="O700" s="134"/>
      <c r="P700" s="134"/>
      <c r="Q700" s="134"/>
      <c r="R700" s="134"/>
      <c r="S700" s="134"/>
      <c r="T700" s="134"/>
      <c r="U700" s="134"/>
      <c r="V700" s="134"/>
      <c r="W700" s="134"/>
      <c r="X700" s="134"/>
      <c r="Y700" s="134"/>
      <c r="Z700" s="134"/>
    </row>
    <row r="701" spans="1:26" ht="15.75" customHeight="1">
      <c r="A701" s="13" t="s">
        <v>6567</v>
      </c>
      <c r="B701" s="13" t="s">
        <v>6568</v>
      </c>
      <c r="C701" s="13" t="s">
        <v>6569</v>
      </c>
      <c r="D701" s="13" t="s">
        <v>6570</v>
      </c>
      <c r="E701" s="13" t="s">
        <v>4041</v>
      </c>
      <c r="F701" s="134" t="str">
        <f t="shared" si="0"/>
        <v/>
      </c>
      <c r="G701" s="134" t="str">
        <f t="shared" si="1"/>
        <v>WESTPARK A WATERS COMMUNITY</v>
      </c>
      <c r="H701" s="134"/>
      <c r="I701" s="134"/>
      <c r="J701" s="134"/>
      <c r="K701" s="134"/>
      <c r="L701" s="134"/>
      <c r="M701" s="134"/>
      <c r="N701" s="134"/>
      <c r="O701" s="134"/>
      <c r="P701" s="134"/>
      <c r="Q701" s="134"/>
      <c r="R701" s="134"/>
      <c r="S701" s="134"/>
      <c r="T701" s="134"/>
      <c r="U701" s="134"/>
      <c r="V701" s="134"/>
      <c r="W701" s="134"/>
      <c r="X701" s="134"/>
      <c r="Y701" s="134"/>
      <c r="Z701" s="134"/>
    </row>
    <row r="702" spans="1:26" ht="15.75" customHeight="1">
      <c r="A702" s="13" t="s">
        <v>6571</v>
      </c>
      <c r="B702" s="13" t="s">
        <v>6572</v>
      </c>
      <c r="C702" s="13" t="s">
        <v>3241</v>
      </c>
      <c r="D702" s="13" t="s">
        <v>6573</v>
      </c>
      <c r="E702" s="13" t="s">
        <v>4542</v>
      </c>
      <c r="F702" s="134" t="str">
        <f t="shared" si="0"/>
        <v/>
      </c>
      <c r="G702" s="134" t="str">
        <f t="shared" si="1"/>
        <v>WESTRIDGE HEALTH CARE CENTER</v>
      </c>
      <c r="H702" s="134"/>
      <c r="I702" s="134"/>
      <c r="J702" s="134"/>
      <c r="K702" s="134"/>
      <c r="L702" s="134"/>
      <c r="M702" s="134"/>
      <c r="N702" s="134"/>
      <c r="O702" s="134"/>
      <c r="P702" s="134"/>
      <c r="Q702" s="134"/>
      <c r="R702" s="134"/>
      <c r="S702" s="134"/>
      <c r="T702" s="134"/>
      <c r="U702" s="134"/>
      <c r="V702" s="134"/>
      <c r="W702" s="134"/>
      <c r="X702" s="134"/>
      <c r="Y702" s="134"/>
      <c r="Z702" s="134"/>
    </row>
    <row r="703" spans="1:26" ht="15.75" customHeight="1">
      <c r="A703" s="13" t="s">
        <v>6574</v>
      </c>
      <c r="B703" s="13" t="s">
        <v>6575</v>
      </c>
      <c r="C703" s="13" t="s">
        <v>3244</v>
      </c>
      <c r="D703" s="13" t="s">
        <v>6576</v>
      </c>
      <c r="E703" s="13" t="s">
        <v>4351</v>
      </c>
      <c r="F703" s="134" t="str">
        <f t="shared" si="0"/>
        <v/>
      </c>
      <c r="G703" s="134" t="str">
        <f t="shared" si="1"/>
        <v>WESTSIDE RETIREMENT VILLAGE</v>
      </c>
      <c r="H703" s="134"/>
      <c r="I703" s="134"/>
      <c r="J703" s="134"/>
      <c r="K703" s="134"/>
      <c r="L703" s="134"/>
      <c r="M703" s="134"/>
      <c r="N703" s="134"/>
      <c r="O703" s="134"/>
      <c r="P703" s="134"/>
      <c r="Q703" s="134"/>
      <c r="R703" s="134"/>
      <c r="S703" s="134"/>
      <c r="T703" s="134"/>
      <c r="U703" s="134"/>
      <c r="V703" s="134"/>
      <c r="W703" s="134"/>
      <c r="X703" s="134"/>
      <c r="Y703" s="134"/>
      <c r="Z703" s="134"/>
    </row>
    <row r="704" spans="1:26" ht="15.75" customHeight="1">
      <c r="A704" s="13" t="s">
        <v>6577</v>
      </c>
      <c r="B704" s="13" t="s">
        <v>6578</v>
      </c>
      <c r="C704" s="13" t="s">
        <v>3247</v>
      </c>
      <c r="D704" s="13" t="s">
        <v>6579</v>
      </c>
      <c r="E704" s="13" t="s">
        <v>4300</v>
      </c>
      <c r="F704" s="134" t="str">
        <f t="shared" si="0"/>
        <v/>
      </c>
      <c r="G704" s="134" t="str">
        <f t="shared" si="1"/>
        <v>WESTVIEW NURSING AND REHABILITATION CENTER</v>
      </c>
      <c r="H704" s="134"/>
      <c r="I704" s="134"/>
      <c r="J704" s="134"/>
      <c r="K704" s="134"/>
      <c r="L704" s="134"/>
      <c r="M704" s="134"/>
      <c r="N704" s="134"/>
      <c r="O704" s="134"/>
      <c r="P704" s="134"/>
      <c r="Q704" s="134"/>
      <c r="R704" s="134"/>
      <c r="S704" s="134"/>
      <c r="T704" s="134"/>
      <c r="U704" s="134"/>
      <c r="V704" s="134"/>
      <c r="W704" s="134"/>
      <c r="X704" s="134"/>
      <c r="Y704" s="134"/>
      <c r="Z704" s="134"/>
    </row>
    <row r="705" spans="1:26" ht="15.75" customHeight="1">
      <c r="A705" s="13" t="s">
        <v>6580</v>
      </c>
      <c r="B705" s="13" t="s">
        <v>6581</v>
      </c>
      <c r="C705" s="13" t="s">
        <v>3250</v>
      </c>
      <c r="D705" s="13" t="s">
        <v>6582</v>
      </c>
      <c r="E705" s="13" t="s">
        <v>5677</v>
      </c>
      <c r="F705" s="134" t="str">
        <f t="shared" si="0"/>
        <v/>
      </c>
      <c r="G705" s="134" t="str">
        <f t="shared" si="1"/>
        <v>WHITE OAK HEALTH CAMPUS</v>
      </c>
      <c r="H705" s="134"/>
      <c r="I705" s="134"/>
      <c r="J705" s="134"/>
      <c r="K705" s="134"/>
      <c r="L705" s="134"/>
      <c r="M705" s="134"/>
      <c r="N705" s="134"/>
      <c r="O705" s="134"/>
      <c r="P705" s="134"/>
      <c r="Q705" s="134"/>
      <c r="R705" s="134"/>
      <c r="S705" s="134"/>
      <c r="T705" s="134"/>
      <c r="U705" s="134"/>
      <c r="V705" s="134"/>
      <c r="W705" s="134"/>
      <c r="X705" s="134"/>
      <c r="Y705" s="134"/>
      <c r="Z705" s="134"/>
    </row>
    <row r="706" spans="1:26" ht="15.75" customHeight="1">
      <c r="A706" s="13" t="s">
        <v>6583</v>
      </c>
      <c r="B706" s="13" t="s">
        <v>6584</v>
      </c>
      <c r="C706" s="13" t="s">
        <v>3252</v>
      </c>
      <c r="D706" s="13" t="s">
        <v>6585</v>
      </c>
      <c r="E706" s="13" t="s">
        <v>4300</v>
      </c>
      <c r="F706" s="134" t="str">
        <f t="shared" si="0"/>
        <v/>
      </c>
      <c r="G706" s="134" t="str">
        <f t="shared" si="1"/>
        <v>WHITE RIVER LODGE</v>
      </c>
      <c r="H706" s="134"/>
      <c r="I706" s="134"/>
      <c r="J706" s="134"/>
      <c r="K706" s="134"/>
      <c r="L706" s="134"/>
      <c r="M706" s="134"/>
      <c r="N706" s="134"/>
      <c r="O706" s="134"/>
      <c r="P706" s="134"/>
      <c r="Q706" s="134"/>
      <c r="R706" s="134"/>
      <c r="S706" s="134"/>
      <c r="T706" s="134"/>
      <c r="U706" s="134"/>
      <c r="V706" s="134"/>
      <c r="W706" s="134"/>
      <c r="X706" s="134"/>
      <c r="Y706" s="134"/>
      <c r="Z706" s="134"/>
    </row>
    <row r="707" spans="1:26" ht="15.75" customHeight="1">
      <c r="A707" s="13" t="s">
        <v>6586</v>
      </c>
      <c r="B707" s="13" t="s">
        <v>6587</v>
      </c>
      <c r="C707" s="13" t="s">
        <v>3256</v>
      </c>
      <c r="D707" s="13" t="s">
        <v>6588</v>
      </c>
      <c r="E707" s="13" t="s">
        <v>6589</v>
      </c>
      <c r="F707" s="134" t="str">
        <f t="shared" si="0"/>
        <v/>
      </c>
      <c r="G707" s="134" t="str">
        <f t="shared" si="1"/>
        <v>WHITEWATER COMMONS SENIOR LIVING</v>
      </c>
      <c r="H707" s="134"/>
      <c r="I707" s="134"/>
      <c r="J707" s="134"/>
      <c r="K707" s="134"/>
      <c r="L707" s="134"/>
      <c r="M707" s="134"/>
      <c r="N707" s="134"/>
      <c r="O707" s="134"/>
      <c r="P707" s="134"/>
      <c r="Q707" s="134"/>
      <c r="R707" s="134"/>
      <c r="S707" s="134"/>
      <c r="T707" s="134"/>
      <c r="U707" s="134"/>
      <c r="V707" s="134"/>
      <c r="W707" s="134"/>
      <c r="X707" s="134"/>
      <c r="Y707" s="134"/>
      <c r="Z707" s="134"/>
    </row>
    <row r="708" spans="1:26" ht="15.75" customHeight="1">
      <c r="A708" s="13" t="s">
        <v>6590</v>
      </c>
      <c r="B708" s="13" t="s">
        <v>6591</v>
      </c>
      <c r="C708" s="13" t="s">
        <v>6592</v>
      </c>
      <c r="D708" s="13" t="s">
        <v>6593</v>
      </c>
      <c r="E708" s="13" t="s">
        <v>4243</v>
      </c>
      <c r="F708" s="134" t="str">
        <f t="shared" si="0"/>
        <v/>
      </c>
      <c r="G708" s="134" t="str">
        <f t="shared" si="1"/>
        <v>WHITLOCK PLACE</v>
      </c>
      <c r="H708" s="134"/>
      <c r="I708" s="134"/>
      <c r="J708" s="134"/>
      <c r="K708" s="134"/>
      <c r="L708" s="134"/>
      <c r="M708" s="134"/>
      <c r="N708" s="134"/>
      <c r="O708" s="134"/>
      <c r="P708" s="134"/>
      <c r="Q708" s="134"/>
      <c r="R708" s="134"/>
      <c r="S708" s="134"/>
      <c r="T708" s="134"/>
      <c r="U708" s="134"/>
      <c r="V708" s="134"/>
      <c r="W708" s="134"/>
      <c r="X708" s="134"/>
      <c r="Y708" s="134"/>
      <c r="Z708" s="134"/>
    </row>
    <row r="709" spans="1:26" ht="15.75" customHeight="1">
      <c r="A709" s="13" t="s">
        <v>6594</v>
      </c>
      <c r="B709" s="13" t="s">
        <v>6595</v>
      </c>
      <c r="C709" s="13" t="s">
        <v>6596</v>
      </c>
      <c r="D709" s="13" t="s">
        <v>6597</v>
      </c>
      <c r="E709" s="13" t="s">
        <v>6598</v>
      </c>
      <c r="F709" s="134" t="str">
        <f t="shared" si="0"/>
        <v/>
      </c>
      <c r="G709" s="134" t="str">
        <f t="shared" si="1"/>
        <v>WICKSHIRE FORT HARRISON</v>
      </c>
      <c r="H709" s="134"/>
      <c r="I709" s="134"/>
      <c r="J709" s="134"/>
      <c r="K709" s="134"/>
      <c r="L709" s="134"/>
      <c r="M709" s="134"/>
      <c r="N709" s="134"/>
      <c r="O709" s="134"/>
      <c r="P709" s="134"/>
      <c r="Q709" s="134"/>
      <c r="R709" s="134"/>
      <c r="S709" s="134"/>
      <c r="T709" s="134"/>
      <c r="U709" s="134"/>
      <c r="V709" s="134"/>
      <c r="W709" s="134"/>
      <c r="X709" s="134"/>
      <c r="Y709" s="134"/>
      <c r="Z709" s="134"/>
    </row>
    <row r="710" spans="1:26" ht="15.75" customHeight="1">
      <c r="A710" s="13" t="s">
        <v>6599</v>
      </c>
      <c r="B710" s="13" t="s">
        <v>6600</v>
      </c>
      <c r="C710" s="13" t="s">
        <v>6601</v>
      </c>
      <c r="D710" s="13" t="s">
        <v>6602</v>
      </c>
      <c r="E710" s="13" t="s">
        <v>4664</v>
      </c>
      <c r="F710" s="134" t="str">
        <f t="shared" si="0"/>
        <v/>
      </c>
      <c r="G710" s="134" t="str">
        <f t="shared" si="1"/>
        <v>WICKSHIRE WEST LAFAYETTE</v>
      </c>
      <c r="H710" s="134"/>
      <c r="I710" s="134"/>
      <c r="J710" s="134"/>
      <c r="K710" s="134"/>
      <c r="L710" s="134"/>
      <c r="M710" s="134"/>
      <c r="N710" s="134"/>
      <c r="O710" s="134"/>
      <c r="P710" s="134"/>
      <c r="Q710" s="134"/>
      <c r="R710" s="134"/>
      <c r="S710" s="134"/>
      <c r="T710" s="134"/>
      <c r="U710" s="134"/>
      <c r="V710" s="134"/>
      <c r="W710" s="134"/>
      <c r="X710" s="134"/>
      <c r="Y710" s="134"/>
      <c r="Z710" s="134"/>
    </row>
    <row r="711" spans="1:26" ht="15.75" customHeight="1">
      <c r="A711" s="13" t="s">
        <v>6603</v>
      </c>
      <c r="B711" s="13" t="s">
        <v>6604</v>
      </c>
      <c r="C711" s="13" t="s">
        <v>3260</v>
      </c>
      <c r="D711" s="13" t="s">
        <v>6605</v>
      </c>
      <c r="E711" s="13" t="s">
        <v>4650</v>
      </c>
      <c r="F711" s="134" t="str">
        <f t="shared" si="0"/>
        <v/>
      </c>
      <c r="G711" s="134" t="str">
        <f t="shared" si="1"/>
        <v>WILDWOOD HEALTHCARE CENTER</v>
      </c>
      <c r="H711" s="134"/>
      <c r="I711" s="134"/>
      <c r="J711" s="134"/>
      <c r="K711" s="134"/>
      <c r="L711" s="134"/>
      <c r="M711" s="134"/>
      <c r="N711" s="134"/>
      <c r="O711" s="134"/>
      <c r="P711" s="134"/>
      <c r="Q711" s="134"/>
      <c r="R711" s="134"/>
      <c r="S711" s="134"/>
      <c r="T711" s="134"/>
      <c r="U711" s="134"/>
      <c r="V711" s="134"/>
      <c r="W711" s="134"/>
      <c r="X711" s="134"/>
      <c r="Y711" s="134"/>
      <c r="Z711" s="134"/>
    </row>
    <row r="712" spans="1:26" ht="15.75" customHeight="1">
      <c r="A712" s="13" t="s">
        <v>6606</v>
      </c>
      <c r="B712" s="13" t="s">
        <v>6607</v>
      </c>
      <c r="C712" s="13" t="s">
        <v>3264</v>
      </c>
      <c r="D712" s="13" t="s">
        <v>6608</v>
      </c>
      <c r="E712" s="13" t="s">
        <v>6609</v>
      </c>
      <c r="F712" s="134" t="str">
        <f t="shared" si="0"/>
        <v/>
      </c>
      <c r="G712" s="134" t="str">
        <f t="shared" si="1"/>
        <v>WILLIAMSPORT NURSING AND REHABILITATION</v>
      </c>
      <c r="H712" s="134"/>
      <c r="I712" s="134"/>
      <c r="J712" s="134"/>
      <c r="K712" s="134"/>
      <c r="L712" s="134"/>
      <c r="M712" s="134"/>
      <c r="N712" s="134"/>
      <c r="O712" s="134"/>
      <c r="P712" s="134"/>
      <c r="Q712" s="134"/>
      <c r="R712" s="134"/>
      <c r="S712" s="134"/>
      <c r="T712" s="134"/>
      <c r="U712" s="134"/>
      <c r="V712" s="134"/>
      <c r="W712" s="134"/>
      <c r="X712" s="134"/>
      <c r="Y712" s="134"/>
      <c r="Z712" s="134"/>
    </row>
    <row r="713" spans="1:26" ht="15.75" customHeight="1">
      <c r="A713" s="13" t="s">
        <v>6610</v>
      </c>
      <c r="B713" s="13" t="s">
        <v>6611</v>
      </c>
      <c r="C713" s="13" t="s">
        <v>3268</v>
      </c>
      <c r="D713" s="13" t="s">
        <v>6612</v>
      </c>
      <c r="E713" s="13" t="s">
        <v>4824</v>
      </c>
      <c r="F713" s="134" t="str">
        <f t="shared" si="0"/>
        <v/>
      </c>
      <c r="G713" s="134" t="str">
        <f t="shared" si="1"/>
        <v>WILLOW CROSSING HEALTH &amp; REHABILITATION CENTER</v>
      </c>
      <c r="H713" s="134"/>
      <c r="I713" s="134"/>
      <c r="J713" s="134"/>
      <c r="K713" s="134"/>
      <c r="L713" s="134"/>
      <c r="M713" s="134"/>
      <c r="N713" s="134"/>
      <c r="O713" s="134"/>
      <c r="P713" s="134"/>
      <c r="Q713" s="134"/>
      <c r="R713" s="134"/>
      <c r="S713" s="134"/>
      <c r="T713" s="134"/>
      <c r="U713" s="134"/>
      <c r="V713" s="134"/>
      <c r="W713" s="134"/>
      <c r="X713" s="134"/>
      <c r="Y713" s="134"/>
      <c r="Z713" s="134"/>
    </row>
    <row r="714" spans="1:26" ht="15.75" hidden="1" customHeight="1">
      <c r="A714" s="13" t="s">
        <v>6613</v>
      </c>
      <c r="B714" s="13" t="s">
        <v>6614</v>
      </c>
      <c r="C714" s="13" t="s">
        <v>6615</v>
      </c>
      <c r="D714" s="13" t="s">
        <v>6616</v>
      </c>
      <c r="E714" s="13" t="s">
        <v>5292</v>
      </c>
      <c r="F714" s="134" t="str">
        <f t="shared" si="0"/>
        <v/>
      </c>
      <c r="G714" s="134" t="str">
        <f t="shared" si="1"/>
        <v>WILLOW LAKE PLACE</v>
      </c>
      <c r="H714" s="134"/>
      <c r="I714" s="134"/>
      <c r="J714" s="134"/>
      <c r="K714" s="134"/>
      <c r="L714" s="134"/>
      <c r="M714" s="134"/>
      <c r="N714" s="134"/>
      <c r="O714" s="134"/>
      <c r="P714" s="134"/>
      <c r="Q714" s="134"/>
      <c r="R714" s="134"/>
      <c r="S714" s="134"/>
      <c r="T714" s="134"/>
      <c r="U714" s="134"/>
      <c r="V714" s="134"/>
      <c r="W714" s="134"/>
      <c r="X714" s="134"/>
      <c r="Y714" s="134"/>
      <c r="Z714" s="134"/>
    </row>
    <row r="715" spans="1:26" ht="15.75" customHeight="1">
      <c r="A715" s="13" t="s">
        <v>6617</v>
      </c>
      <c r="B715" s="13" t="s">
        <v>6618</v>
      </c>
      <c r="C715" s="13" t="s">
        <v>3270</v>
      </c>
      <c r="D715" s="13" t="s">
        <v>6619</v>
      </c>
      <c r="E715" s="13" t="s">
        <v>4355</v>
      </c>
      <c r="F715" s="134" t="str">
        <f t="shared" si="0"/>
        <v/>
      </c>
      <c r="G715" s="134" t="str">
        <f t="shared" si="1"/>
        <v>WILLOW MANOR</v>
      </c>
      <c r="H715" s="134"/>
      <c r="I715" s="134"/>
      <c r="J715" s="134"/>
      <c r="K715" s="134"/>
      <c r="L715" s="134"/>
      <c r="M715" s="134"/>
      <c r="N715" s="134"/>
      <c r="O715" s="134"/>
      <c r="P715" s="134"/>
      <c r="Q715" s="134"/>
      <c r="R715" s="134"/>
      <c r="S715" s="134"/>
      <c r="T715" s="134"/>
      <c r="U715" s="134"/>
      <c r="V715" s="134"/>
      <c r="W715" s="134"/>
      <c r="X715" s="134"/>
      <c r="Y715" s="134"/>
      <c r="Z715" s="134"/>
    </row>
    <row r="716" spans="1:26" ht="15.75" customHeight="1">
      <c r="A716" s="13" t="s">
        <v>6620</v>
      </c>
      <c r="B716" s="13" t="s">
        <v>6621</v>
      </c>
      <c r="C716" s="13" t="s">
        <v>3273</v>
      </c>
      <c r="D716" s="13" t="s">
        <v>6622</v>
      </c>
      <c r="E716" s="13" t="s">
        <v>6037</v>
      </c>
      <c r="F716" s="134" t="str">
        <f t="shared" si="0"/>
        <v/>
      </c>
      <c r="G716" s="134" t="str">
        <f t="shared" si="1"/>
        <v>WILLOWBEND LIVING CENTER</v>
      </c>
      <c r="H716" s="134"/>
      <c r="I716" s="134"/>
      <c r="J716" s="134"/>
      <c r="K716" s="134"/>
      <c r="L716" s="134"/>
      <c r="M716" s="134"/>
      <c r="N716" s="134"/>
      <c r="O716" s="134"/>
      <c r="P716" s="134"/>
      <c r="Q716" s="134"/>
      <c r="R716" s="134"/>
      <c r="S716" s="134"/>
      <c r="T716" s="134"/>
      <c r="U716" s="134"/>
      <c r="V716" s="134"/>
      <c r="W716" s="134"/>
      <c r="X716" s="134"/>
      <c r="Y716" s="134"/>
      <c r="Z716" s="134"/>
    </row>
    <row r="717" spans="1:26" ht="15.75" customHeight="1">
      <c r="A717" s="13" t="s">
        <v>6623</v>
      </c>
      <c r="B717" s="13" t="s">
        <v>6624</v>
      </c>
      <c r="C717" s="13" t="s">
        <v>3277</v>
      </c>
      <c r="D717" s="13" t="s">
        <v>6625</v>
      </c>
      <c r="E717" s="13" t="s">
        <v>4571</v>
      </c>
      <c r="F717" s="134" t="str">
        <f t="shared" si="0"/>
        <v/>
      </c>
      <c r="G717" s="134" t="str">
        <f t="shared" si="1"/>
        <v>WILLOWDALE VILLAGE</v>
      </c>
      <c r="H717" s="134"/>
      <c r="I717" s="134"/>
      <c r="J717" s="134"/>
      <c r="K717" s="134"/>
      <c r="L717" s="134"/>
      <c r="M717" s="134"/>
      <c r="N717" s="134"/>
      <c r="O717" s="134"/>
      <c r="P717" s="134"/>
      <c r="Q717" s="134"/>
      <c r="R717" s="134"/>
      <c r="S717" s="134"/>
      <c r="T717" s="134"/>
      <c r="U717" s="134"/>
      <c r="V717" s="134"/>
      <c r="W717" s="134"/>
      <c r="X717" s="134"/>
      <c r="Y717" s="134"/>
      <c r="Z717" s="134"/>
    </row>
    <row r="718" spans="1:26" ht="15.75" customHeight="1">
      <c r="A718" s="13" t="s">
        <v>6626</v>
      </c>
      <c r="B718" s="13" t="s">
        <v>6627</v>
      </c>
      <c r="C718" s="13" t="s">
        <v>6628</v>
      </c>
      <c r="D718" s="13" t="s">
        <v>6629</v>
      </c>
      <c r="E718" s="13" t="s">
        <v>5267</v>
      </c>
      <c r="F718" s="134" t="str">
        <f t="shared" si="0"/>
        <v/>
      </c>
      <c r="G718" s="134" t="str">
        <f t="shared" si="1"/>
        <v>WINDSOR RIDGE</v>
      </c>
      <c r="H718" s="134"/>
      <c r="I718" s="134"/>
      <c r="J718" s="134"/>
      <c r="K718" s="134"/>
      <c r="L718" s="134"/>
      <c r="M718" s="134"/>
      <c r="N718" s="134"/>
      <c r="O718" s="134"/>
      <c r="P718" s="134"/>
      <c r="Q718" s="134"/>
      <c r="R718" s="134"/>
      <c r="S718" s="134"/>
      <c r="T718" s="134"/>
      <c r="U718" s="134"/>
      <c r="V718" s="134"/>
      <c r="W718" s="134"/>
      <c r="X718" s="134"/>
      <c r="Y718" s="134"/>
      <c r="Z718" s="134"/>
    </row>
    <row r="719" spans="1:26" ht="15.75" customHeight="1">
      <c r="A719" s="13" t="s">
        <v>6630</v>
      </c>
      <c r="B719" s="13" t="s">
        <v>6631</v>
      </c>
      <c r="C719" s="13" t="s">
        <v>3279</v>
      </c>
      <c r="D719" s="13" t="s">
        <v>6632</v>
      </c>
      <c r="E719" s="13" t="s">
        <v>4923</v>
      </c>
      <c r="F719" s="134" t="str">
        <f t="shared" si="0"/>
        <v/>
      </c>
      <c r="G719" s="134" t="str">
        <f t="shared" si="1"/>
        <v>WINTERSONG VILLAGE</v>
      </c>
      <c r="H719" s="134"/>
      <c r="I719" s="134"/>
      <c r="J719" s="134"/>
      <c r="K719" s="134"/>
      <c r="L719" s="134"/>
      <c r="M719" s="134"/>
      <c r="N719" s="134"/>
      <c r="O719" s="134"/>
      <c r="P719" s="134"/>
      <c r="Q719" s="134"/>
      <c r="R719" s="134"/>
      <c r="S719" s="134"/>
      <c r="T719" s="134"/>
      <c r="U719" s="134"/>
      <c r="V719" s="134"/>
      <c r="W719" s="134"/>
      <c r="X719" s="134"/>
      <c r="Y719" s="134"/>
      <c r="Z719" s="134"/>
    </row>
    <row r="720" spans="1:26" ht="15.75" customHeight="1">
      <c r="A720" s="13" t="s">
        <v>6633</v>
      </c>
      <c r="B720" s="13" t="s">
        <v>6634</v>
      </c>
      <c r="C720" s="13" t="s">
        <v>3281</v>
      </c>
      <c r="D720" s="13" t="s">
        <v>6635</v>
      </c>
      <c r="E720" s="13" t="s">
        <v>4655</v>
      </c>
      <c r="F720" s="134" t="str">
        <f t="shared" si="0"/>
        <v/>
      </c>
      <c r="G720" s="134" t="str">
        <f t="shared" si="1"/>
        <v>WITHAM EXTENDED CARE</v>
      </c>
      <c r="H720" s="134"/>
      <c r="I720" s="134"/>
      <c r="J720" s="134"/>
      <c r="K720" s="134"/>
      <c r="L720" s="134"/>
      <c r="M720" s="134"/>
      <c r="N720" s="134"/>
      <c r="O720" s="134"/>
      <c r="P720" s="134"/>
      <c r="Q720" s="134"/>
      <c r="R720" s="134"/>
      <c r="S720" s="134"/>
      <c r="T720" s="134"/>
      <c r="U720" s="134"/>
      <c r="V720" s="134"/>
      <c r="W720" s="134"/>
      <c r="X720" s="134"/>
      <c r="Y720" s="134"/>
      <c r="Z720" s="134"/>
    </row>
    <row r="721" spans="1:26" ht="15.75" customHeight="1">
      <c r="A721" s="13" t="s">
        <v>6636</v>
      </c>
      <c r="B721" s="13" t="s">
        <v>6637</v>
      </c>
      <c r="C721" s="13" t="s">
        <v>6638</v>
      </c>
      <c r="D721" s="13" t="s">
        <v>6639</v>
      </c>
      <c r="E721" s="13" t="s">
        <v>4392</v>
      </c>
      <c r="F721" s="134" t="str">
        <f t="shared" si="0"/>
        <v/>
      </c>
      <c r="G721" s="134" t="str">
        <f t="shared" si="1"/>
        <v>WOOD RIDGE ASSISTED LIVING</v>
      </c>
      <c r="H721" s="134"/>
      <c r="I721" s="134"/>
      <c r="J721" s="134"/>
      <c r="K721" s="134"/>
      <c r="L721" s="134"/>
      <c r="M721" s="134"/>
      <c r="N721" s="134"/>
      <c r="O721" s="134"/>
      <c r="P721" s="134"/>
      <c r="Q721" s="134"/>
      <c r="R721" s="134"/>
      <c r="S721" s="134"/>
      <c r="T721" s="134"/>
      <c r="U721" s="134"/>
      <c r="V721" s="134"/>
      <c r="W721" s="134"/>
      <c r="X721" s="134"/>
      <c r="Y721" s="134"/>
      <c r="Z721" s="134"/>
    </row>
    <row r="722" spans="1:26" ht="15.75" customHeight="1">
      <c r="A722" s="13" t="s">
        <v>6640</v>
      </c>
      <c r="B722" s="13" t="s">
        <v>6641</v>
      </c>
      <c r="C722" s="13" t="s">
        <v>3284</v>
      </c>
      <c r="D722" s="13" t="s">
        <v>6642</v>
      </c>
      <c r="E722" s="13" t="s">
        <v>4435</v>
      </c>
      <c r="F722" s="134" t="str">
        <f t="shared" si="0"/>
        <v/>
      </c>
      <c r="G722" s="134" t="str">
        <f t="shared" si="1"/>
        <v>WOODBRIDGE HEALTH CAMPUS</v>
      </c>
      <c r="H722" s="134"/>
      <c r="I722" s="134"/>
      <c r="J722" s="134"/>
      <c r="K722" s="134"/>
      <c r="L722" s="134"/>
      <c r="M722" s="134"/>
      <c r="N722" s="134"/>
      <c r="O722" s="134"/>
      <c r="P722" s="134"/>
      <c r="Q722" s="134"/>
      <c r="R722" s="134"/>
      <c r="S722" s="134"/>
      <c r="T722" s="134"/>
      <c r="U722" s="134"/>
      <c r="V722" s="134"/>
      <c r="W722" s="134"/>
      <c r="X722" s="134"/>
      <c r="Y722" s="134"/>
      <c r="Z722" s="134"/>
    </row>
    <row r="723" spans="1:26" ht="15.75" customHeight="1">
      <c r="A723" s="13" t="s">
        <v>6643</v>
      </c>
      <c r="B723" s="13" t="s">
        <v>6644</v>
      </c>
      <c r="C723" s="13" t="s">
        <v>3287</v>
      </c>
      <c r="D723" s="13" t="s">
        <v>6645</v>
      </c>
      <c r="E723" s="13" t="s">
        <v>5844</v>
      </c>
      <c r="F723" s="134" t="str">
        <f t="shared" si="0"/>
        <v/>
      </c>
      <c r="G723" s="134" t="str">
        <f t="shared" si="1"/>
        <v>WOODLAND HILLS CARE CENTER</v>
      </c>
      <c r="H723" s="134"/>
      <c r="I723" s="134"/>
      <c r="J723" s="134"/>
      <c r="K723" s="134"/>
      <c r="L723" s="134"/>
      <c r="M723" s="134"/>
      <c r="N723" s="134"/>
      <c r="O723" s="134"/>
      <c r="P723" s="134"/>
      <c r="Q723" s="134"/>
      <c r="R723" s="134"/>
      <c r="S723" s="134"/>
      <c r="T723" s="134"/>
      <c r="U723" s="134"/>
      <c r="V723" s="134"/>
      <c r="W723" s="134"/>
      <c r="X723" s="134"/>
      <c r="Y723" s="134"/>
      <c r="Z723" s="134"/>
    </row>
    <row r="724" spans="1:26" ht="15.75" customHeight="1">
      <c r="A724" s="13" t="s">
        <v>6646</v>
      </c>
      <c r="B724" s="13" t="s">
        <v>6647</v>
      </c>
      <c r="C724" s="13" t="s">
        <v>3289</v>
      </c>
      <c r="D724" s="13" t="s">
        <v>6648</v>
      </c>
      <c r="E724" s="13" t="s">
        <v>4706</v>
      </c>
      <c r="F724" s="134" t="str">
        <f t="shared" si="0"/>
        <v/>
      </c>
      <c r="G724" s="134" t="str">
        <f t="shared" si="1"/>
        <v>WOODLAND MANOR</v>
      </c>
      <c r="H724" s="134"/>
      <c r="I724" s="134"/>
      <c r="J724" s="134"/>
      <c r="K724" s="134"/>
      <c r="L724" s="134"/>
      <c r="M724" s="134"/>
      <c r="N724" s="134"/>
      <c r="O724" s="134"/>
      <c r="P724" s="134"/>
      <c r="Q724" s="134"/>
      <c r="R724" s="134"/>
      <c r="S724" s="134"/>
      <c r="T724" s="134"/>
      <c r="U724" s="134"/>
      <c r="V724" s="134"/>
      <c r="W724" s="134"/>
      <c r="X724" s="134"/>
      <c r="Y724" s="134"/>
      <c r="Z724" s="134"/>
    </row>
    <row r="725" spans="1:26" ht="15.75" customHeight="1">
      <c r="A725" s="13" t="s">
        <v>6649</v>
      </c>
      <c r="B725" s="13" t="s">
        <v>6650</v>
      </c>
      <c r="C725" s="13" t="s">
        <v>6651</v>
      </c>
      <c r="D725" s="13" t="s">
        <v>6652</v>
      </c>
      <c r="E725" s="13" t="s">
        <v>4216</v>
      </c>
      <c r="F725" s="134" t="str">
        <f t="shared" si="0"/>
        <v/>
      </c>
      <c r="G725" s="134" t="str">
        <f t="shared" si="1"/>
        <v>WOODLAND TERRACE OF CARMEL</v>
      </c>
      <c r="H725" s="134"/>
      <c r="I725" s="134"/>
      <c r="J725" s="134"/>
      <c r="K725" s="134"/>
      <c r="L725" s="134"/>
      <c r="M725" s="134"/>
      <c r="N725" s="134"/>
      <c r="O725" s="134"/>
      <c r="P725" s="134"/>
      <c r="Q725" s="134"/>
      <c r="R725" s="134"/>
      <c r="S725" s="134"/>
      <c r="T725" s="134"/>
      <c r="U725" s="134"/>
      <c r="V725" s="134"/>
      <c r="W725" s="134"/>
      <c r="X725" s="134"/>
      <c r="Y725" s="134"/>
      <c r="Z725" s="134"/>
    </row>
    <row r="726" spans="1:26" ht="15.75" customHeight="1">
      <c r="A726" s="13" t="s">
        <v>6653</v>
      </c>
      <c r="B726" s="13" t="s">
        <v>6654</v>
      </c>
      <c r="C726" s="13" t="s">
        <v>6655</v>
      </c>
      <c r="D726" s="13" t="s">
        <v>6656</v>
      </c>
      <c r="E726" s="13" t="s">
        <v>6657</v>
      </c>
      <c r="F726" s="134" t="str">
        <f t="shared" si="0"/>
        <v/>
      </c>
      <c r="G726" s="134" t="str">
        <f t="shared" si="1"/>
        <v>WOODLAND TERRACE OF NEW PALESTINE LLC</v>
      </c>
      <c r="H726" s="134"/>
      <c r="I726" s="134"/>
      <c r="J726" s="134"/>
      <c r="K726" s="134"/>
      <c r="L726" s="134"/>
      <c r="M726" s="134"/>
      <c r="N726" s="134"/>
      <c r="O726" s="134"/>
      <c r="P726" s="134"/>
      <c r="Q726" s="134"/>
      <c r="R726" s="134"/>
      <c r="S726" s="134"/>
      <c r="T726" s="134"/>
      <c r="U726" s="134"/>
      <c r="V726" s="134"/>
      <c r="W726" s="134"/>
      <c r="X726" s="134"/>
      <c r="Y726" s="134"/>
      <c r="Z726" s="134"/>
    </row>
    <row r="727" spans="1:26" ht="15.75" customHeight="1">
      <c r="A727" s="13" t="s">
        <v>6658</v>
      </c>
      <c r="B727" s="13" t="s">
        <v>6659</v>
      </c>
      <c r="C727" s="13" t="s">
        <v>3292</v>
      </c>
      <c r="D727" s="13" t="s">
        <v>6660</v>
      </c>
      <c r="E727" s="13" t="s">
        <v>4271</v>
      </c>
      <c r="F727" s="134" t="str">
        <f t="shared" si="0"/>
        <v/>
      </c>
      <c r="G727" s="134" t="str">
        <f t="shared" si="1"/>
        <v>WOODLANDS THE</v>
      </c>
      <c r="H727" s="134"/>
      <c r="I727" s="134"/>
      <c r="J727" s="134"/>
      <c r="K727" s="134"/>
      <c r="L727" s="134"/>
      <c r="M727" s="134"/>
      <c r="N727" s="134"/>
      <c r="O727" s="134"/>
      <c r="P727" s="134"/>
      <c r="Q727" s="134"/>
      <c r="R727" s="134"/>
      <c r="S727" s="134"/>
      <c r="T727" s="134"/>
      <c r="U727" s="134"/>
      <c r="V727" s="134"/>
      <c r="W727" s="134"/>
      <c r="X727" s="134"/>
      <c r="Y727" s="134"/>
      <c r="Z727" s="134"/>
    </row>
    <row r="728" spans="1:26" ht="15.75" customHeight="1">
      <c r="A728" s="13" t="s">
        <v>6661</v>
      </c>
      <c r="B728" s="13" t="s">
        <v>6662</v>
      </c>
      <c r="C728" s="13" t="s">
        <v>3295</v>
      </c>
      <c r="D728" s="13" t="s">
        <v>6663</v>
      </c>
      <c r="E728" s="13" t="s">
        <v>6359</v>
      </c>
      <c r="F728" s="134" t="str">
        <f t="shared" si="0"/>
        <v/>
      </c>
      <c r="G728" s="134" t="str">
        <f t="shared" si="1"/>
        <v>WOODMONT HEALTH CAMPUS</v>
      </c>
      <c r="H728" s="134"/>
      <c r="I728" s="134"/>
      <c r="J728" s="134"/>
      <c r="K728" s="134"/>
      <c r="L728" s="134"/>
      <c r="M728" s="134"/>
      <c r="N728" s="134"/>
      <c r="O728" s="134"/>
      <c r="P728" s="134"/>
      <c r="Q728" s="134"/>
      <c r="R728" s="134"/>
      <c r="S728" s="134"/>
      <c r="T728" s="134"/>
      <c r="U728" s="134"/>
      <c r="V728" s="134"/>
      <c r="W728" s="134"/>
      <c r="X728" s="134"/>
      <c r="Y728" s="134"/>
      <c r="Z728" s="134"/>
    </row>
    <row r="729" spans="1:26" ht="15.75" customHeight="1">
      <c r="A729" s="13" t="s">
        <v>6664</v>
      </c>
      <c r="B729" s="13" t="s">
        <v>6665</v>
      </c>
      <c r="C729" s="13" t="s">
        <v>3300</v>
      </c>
      <c r="D729" s="13" t="s">
        <v>6666</v>
      </c>
      <c r="E729" s="13" t="s">
        <v>4126</v>
      </c>
      <c r="F729" s="134" t="str">
        <f t="shared" si="0"/>
        <v/>
      </c>
      <c r="G729" s="134" t="str">
        <f t="shared" si="1"/>
        <v>WOODVIEW A WATERS COMMUNITY</v>
      </c>
      <c r="H729" s="134"/>
      <c r="I729" s="134"/>
      <c r="J729" s="134"/>
      <c r="K729" s="134"/>
      <c r="L729" s="134"/>
      <c r="M729" s="134"/>
      <c r="N729" s="134"/>
      <c r="O729" s="134"/>
      <c r="P729" s="134"/>
      <c r="Q729" s="134"/>
      <c r="R729" s="134"/>
      <c r="S729" s="134"/>
      <c r="T729" s="134"/>
      <c r="U729" s="134"/>
      <c r="V729" s="134"/>
      <c r="W729" s="134"/>
      <c r="X729" s="134"/>
      <c r="Y729" s="134"/>
      <c r="Z729" s="134"/>
    </row>
    <row r="730" spans="1:26" ht="15.75" customHeight="1">
      <c r="A730" s="13" t="s">
        <v>6667</v>
      </c>
      <c r="B730" s="13" t="s">
        <v>6668</v>
      </c>
      <c r="C730" s="13" t="s">
        <v>6669</v>
      </c>
      <c r="D730" s="13" t="s">
        <v>6670</v>
      </c>
      <c r="E730" s="13" t="s">
        <v>6671</v>
      </c>
      <c r="F730" s="134" t="str">
        <f t="shared" si="0"/>
        <v/>
      </c>
      <c r="G730" s="134" t="str">
        <f t="shared" si="1"/>
        <v>WORTHINGTON PLACE</v>
      </c>
      <c r="H730" s="134"/>
      <c r="I730" s="134"/>
      <c r="J730" s="134"/>
      <c r="K730" s="134"/>
      <c r="L730" s="134"/>
      <c r="M730" s="134"/>
      <c r="N730" s="134"/>
      <c r="O730" s="134"/>
      <c r="P730" s="134"/>
      <c r="Q730" s="134"/>
      <c r="R730" s="134"/>
      <c r="S730" s="134"/>
      <c r="T730" s="134"/>
      <c r="U730" s="134"/>
      <c r="V730" s="134"/>
      <c r="W730" s="134"/>
      <c r="X730" s="134"/>
      <c r="Y730" s="134"/>
      <c r="Z730" s="134"/>
    </row>
    <row r="731" spans="1:26" ht="15.75" customHeight="1">
      <c r="A731" s="13" t="s">
        <v>6672</v>
      </c>
      <c r="B731" s="13" t="s">
        <v>6673</v>
      </c>
      <c r="C731" s="13" t="s">
        <v>6674</v>
      </c>
      <c r="D731" s="13" t="s">
        <v>6675</v>
      </c>
      <c r="E731" s="13" t="s">
        <v>4542</v>
      </c>
      <c r="F731" s="134" t="str">
        <f t="shared" si="0"/>
        <v/>
      </c>
      <c r="G731" s="134" t="str">
        <f t="shared" si="1"/>
        <v>WYNDMOOR ASSISTED LIVING LLC</v>
      </c>
      <c r="H731" s="134"/>
      <c r="I731" s="134"/>
      <c r="J731" s="134"/>
      <c r="K731" s="134"/>
      <c r="L731" s="134"/>
      <c r="M731" s="134"/>
      <c r="N731" s="134"/>
      <c r="O731" s="134"/>
      <c r="P731" s="134"/>
      <c r="Q731" s="134"/>
      <c r="R731" s="134"/>
      <c r="S731" s="134"/>
      <c r="T731" s="134"/>
      <c r="U731" s="134"/>
      <c r="V731" s="134"/>
      <c r="W731" s="134"/>
      <c r="X731" s="134"/>
      <c r="Y731" s="134"/>
      <c r="Z731" s="134"/>
    </row>
    <row r="732" spans="1:26" ht="15.75" customHeight="1">
      <c r="A732" s="13" t="s">
        <v>6676</v>
      </c>
      <c r="B732" s="13" t="s">
        <v>6677</v>
      </c>
      <c r="C732" s="13" t="s">
        <v>6678</v>
      </c>
      <c r="D732" s="13" t="s">
        <v>6679</v>
      </c>
      <c r="E732" s="13" t="s">
        <v>4028</v>
      </c>
      <c r="F732" s="134" t="str">
        <f t="shared" si="0"/>
        <v/>
      </c>
      <c r="G732" s="134" t="str">
        <f t="shared" si="1"/>
        <v>WYNDMOOR OF CASTLETON, LLC</v>
      </c>
      <c r="H732" s="134"/>
      <c r="I732" s="134"/>
      <c r="J732" s="134"/>
      <c r="K732" s="134"/>
      <c r="L732" s="134"/>
      <c r="M732" s="134"/>
      <c r="N732" s="134"/>
      <c r="O732" s="134"/>
      <c r="P732" s="134"/>
      <c r="Q732" s="134"/>
      <c r="R732" s="134"/>
      <c r="S732" s="134"/>
      <c r="T732" s="134"/>
      <c r="U732" s="134"/>
      <c r="V732" s="134"/>
      <c r="W732" s="134"/>
      <c r="X732" s="134"/>
      <c r="Y732" s="134"/>
      <c r="Z732" s="134"/>
    </row>
    <row r="733" spans="1:26" ht="15.75" customHeight="1">
      <c r="A733" s="13" t="s">
        <v>6680</v>
      </c>
      <c r="B733" s="13" t="s">
        <v>6681</v>
      </c>
      <c r="C733" s="13" t="s">
        <v>6682</v>
      </c>
      <c r="D733" s="13" t="s">
        <v>6683</v>
      </c>
      <c r="E733" s="13" t="s">
        <v>4970</v>
      </c>
      <c r="F733" s="134" t="str">
        <f t="shared" si="0"/>
        <v/>
      </c>
      <c r="G733" s="134" t="str">
        <f t="shared" si="1"/>
        <v>WYNDMOOR OF EVANSVILLE LLC</v>
      </c>
      <c r="H733" s="134"/>
      <c r="I733" s="134"/>
      <c r="J733" s="134"/>
      <c r="K733" s="134"/>
      <c r="L733" s="134"/>
      <c r="M733" s="134"/>
      <c r="N733" s="134"/>
      <c r="O733" s="134"/>
      <c r="P733" s="134"/>
      <c r="Q733" s="134"/>
      <c r="R733" s="134"/>
      <c r="S733" s="134"/>
      <c r="T733" s="134"/>
      <c r="U733" s="134"/>
      <c r="V733" s="134"/>
      <c r="W733" s="134"/>
      <c r="X733" s="134"/>
      <c r="Y733" s="134"/>
      <c r="Z733" s="134"/>
    </row>
    <row r="734" spans="1:26" ht="15.75" customHeight="1">
      <c r="A734" s="13" t="s">
        <v>6684</v>
      </c>
      <c r="B734" s="13" t="s">
        <v>6685</v>
      </c>
      <c r="C734" s="13" t="s">
        <v>6686</v>
      </c>
      <c r="D734" s="13" t="s">
        <v>6687</v>
      </c>
      <c r="E734" s="13" t="s">
        <v>5616</v>
      </c>
      <c r="F734" s="134" t="str">
        <f t="shared" si="0"/>
        <v/>
      </c>
      <c r="G734" s="134" t="str">
        <f t="shared" si="1"/>
        <v>WYNDMOOR OF MARION, LLC</v>
      </c>
      <c r="H734" s="134"/>
      <c r="I734" s="134"/>
      <c r="J734" s="134"/>
      <c r="K734" s="134"/>
      <c r="L734" s="134"/>
      <c r="M734" s="134"/>
      <c r="N734" s="134"/>
      <c r="O734" s="134"/>
      <c r="P734" s="134"/>
      <c r="Q734" s="134"/>
      <c r="R734" s="134"/>
      <c r="S734" s="134"/>
      <c r="T734" s="134"/>
      <c r="U734" s="134"/>
      <c r="V734" s="134"/>
      <c r="W734" s="134"/>
      <c r="X734" s="134"/>
      <c r="Y734" s="134"/>
      <c r="Z734" s="134"/>
    </row>
    <row r="735" spans="1:26" ht="15.75" customHeight="1">
      <c r="A735" s="13" t="s">
        <v>6688</v>
      </c>
      <c r="B735" s="13" t="s">
        <v>6689</v>
      </c>
      <c r="C735" s="13" t="s">
        <v>6690</v>
      </c>
      <c r="D735" s="13" t="s">
        <v>6691</v>
      </c>
      <c r="E735" s="13" t="s">
        <v>4908</v>
      </c>
      <c r="F735" s="134" t="str">
        <f t="shared" si="0"/>
        <v/>
      </c>
      <c r="G735" s="134" t="str">
        <f t="shared" si="1"/>
        <v>WYNDMOOR OF PORTAGE, LLC</v>
      </c>
      <c r="H735" s="134"/>
      <c r="I735" s="134"/>
      <c r="J735" s="134"/>
      <c r="K735" s="134"/>
      <c r="L735" s="134"/>
      <c r="M735" s="134"/>
      <c r="N735" s="134"/>
      <c r="O735" s="134"/>
      <c r="P735" s="134"/>
      <c r="Q735" s="134"/>
      <c r="R735" s="134"/>
      <c r="S735" s="134"/>
      <c r="T735" s="134"/>
      <c r="U735" s="134"/>
      <c r="V735" s="134"/>
      <c r="W735" s="134"/>
      <c r="X735" s="134"/>
      <c r="Y735" s="134"/>
      <c r="Z735" s="134"/>
    </row>
    <row r="736" spans="1:26" ht="15.75" customHeight="1">
      <c r="A736" s="13" t="s">
        <v>6692</v>
      </c>
      <c r="B736" s="13" t="s">
        <v>6693</v>
      </c>
      <c r="C736" s="13" t="s">
        <v>6694</v>
      </c>
      <c r="D736" s="13" t="s">
        <v>6695</v>
      </c>
      <c r="E736" s="13" t="s">
        <v>4095</v>
      </c>
      <c r="F736" s="134" t="str">
        <f t="shared" si="0"/>
        <v/>
      </c>
      <c r="G736" s="134" t="str">
        <f t="shared" si="1"/>
        <v>YORK PLACE</v>
      </c>
      <c r="H736" s="134"/>
      <c r="I736" s="134"/>
      <c r="J736" s="134"/>
      <c r="K736" s="134"/>
      <c r="L736" s="134"/>
      <c r="M736" s="134"/>
      <c r="N736" s="134"/>
      <c r="O736" s="134"/>
      <c r="P736" s="134"/>
      <c r="Q736" s="134"/>
      <c r="R736" s="134"/>
      <c r="S736" s="134"/>
      <c r="T736" s="134"/>
      <c r="U736" s="134"/>
      <c r="V736" s="134"/>
      <c r="W736" s="134"/>
      <c r="X736" s="134"/>
      <c r="Y736" s="134"/>
      <c r="Z736" s="134"/>
    </row>
    <row r="737" spans="1:26" ht="15.75" customHeight="1">
      <c r="A737" s="13" t="s">
        <v>6696</v>
      </c>
      <c r="B737" s="13" t="s">
        <v>6697</v>
      </c>
      <c r="C737" s="13" t="s">
        <v>3304</v>
      </c>
      <c r="D737" s="13" t="s">
        <v>6698</v>
      </c>
      <c r="E737" s="13" t="s">
        <v>6699</v>
      </c>
      <c r="F737" s="134" t="str">
        <f t="shared" si="0"/>
        <v/>
      </c>
      <c r="G737" s="134" t="str">
        <f t="shared" si="1"/>
        <v>YORKTOWN MANOR</v>
      </c>
      <c r="H737" s="134"/>
      <c r="I737" s="134"/>
      <c r="J737" s="134"/>
      <c r="K737" s="134"/>
      <c r="L737" s="134"/>
      <c r="M737" s="134"/>
      <c r="N737" s="134"/>
      <c r="O737" s="134"/>
      <c r="P737" s="134"/>
      <c r="Q737" s="134"/>
      <c r="R737" s="134"/>
      <c r="S737" s="134"/>
      <c r="T737" s="134"/>
      <c r="U737" s="134"/>
      <c r="V737" s="134"/>
      <c r="W737" s="134"/>
      <c r="X737" s="134"/>
      <c r="Y737" s="134"/>
      <c r="Z737" s="134"/>
    </row>
    <row r="738" spans="1:26" ht="15.75" customHeight="1">
      <c r="A738" s="13" t="s">
        <v>6700</v>
      </c>
      <c r="B738" s="13" t="s">
        <v>6701</v>
      </c>
      <c r="C738" s="13" t="s">
        <v>3309</v>
      </c>
      <c r="D738" s="13" t="s">
        <v>6702</v>
      </c>
      <c r="E738" s="13" t="s">
        <v>4063</v>
      </c>
      <c r="F738" s="134" t="str">
        <f t="shared" si="0"/>
        <v/>
      </c>
      <c r="G738" s="134" t="str">
        <f t="shared" si="1"/>
        <v>ZIONSVILLE MEADOWS</v>
      </c>
      <c r="H738" s="134"/>
      <c r="I738" s="134"/>
      <c r="J738" s="134"/>
      <c r="K738" s="134"/>
      <c r="L738" s="134"/>
      <c r="M738" s="134"/>
      <c r="N738" s="134"/>
      <c r="O738" s="134"/>
      <c r="P738" s="134"/>
      <c r="Q738" s="134"/>
      <c r="R738" s="134"/>
      <c r="S738" s="134"/>
      <c r="T738" s="134"/>
      <c r="U738" s="134"/>
      <c r="V738" s="134"/>
      <c r="W738" s="134"/>
      <c r="X738" s="134"/>
      <c r="Y738" s="134"/>
      <c r="Z738" s="134"/>
    </row>
    <row r="739" spans="1:26" ht="15.75" hidden="1" customHeight="1">
      <c r="A739" s="13"/>
      <c r="B739" s="13"/>
      <c r="C739" s="13"/>
      <c r="D739" s="13"/>
      <c r="E739" s="13"/>
      <c r="F739" s="134"/>
      <c r="G739" s="134"/>
      <c r="H739" s="134"/>
      <c r="I739" s="134"/>
      <c r="J739" s="134"/>
      <c r="K739" s="134"/>
      <c r="L739" s="134"/>
      <c r="M739" s="134"/>
      <c r="N739" s="134"/>
      <c r="O739" s="134"/>
      <c r="P739" s="134"/>
      <c r="Q739" s="134"/>
      <c r="R739" s="134"/>
      <c r="S739" s="134"/>
      <c r="T739" s="134"/>
      <c r="U739" s="134"/>
      <c r="V739" s="134"/>
      <c r="W739" s="134"/>
      <c r="X739" s="134"/>
      <c r="Y739" s="134"/>
      <c r="Z739" s="134"/>
    </row>
    <row r="740" spans="1:26" ht="15.75" hidden="1" customHeight="1">
      <c r="A740" s="13"/>
      <c r="B740" s="13"/>
      <c r="C740" s="13"/>
      <c r="D740" s="13"/>
      <c r="E740" s="13"/>
      <c r="F740" s="134"/>
      <c r="G740" s="134"/>
      <c r="H740" s="134"/>
      <c r="I740" s="134"/>
      <c r="J740" s="134"/>
      <c r="K740" s="134"/>
      <c r="L740" s="134"/>
      <c r="M740" s="134"/>
      <c r="N740" s="134"/>
      <c r="O740" s="134"/>
      <c r="P740" s="134"/>
      <c r="Q740" s="134"/>
      <c r="R740" s="134"/>
      <c r="S740" s="134"/>
      <c r="T740" s="134"/>
      <c r="U740" s="134"/>
      <c r="V740" s="134"/>
      <c r="W740" s="134"/>
      <c r="X740" s="134"/>
      <c r="Y740" s="134"/>
      <c r="Z740" s="134"/>
    </row>
    <row r="741" spans="1:26" ht="15.75" hidden="1" customHeight="1">
      <c r="A741" s="13"/>
      <c r="B741" s="13"/>
      <c r="C741" s="13"/>
      <c r="D741" s="13"/>
      <c r="E741" s="13"/>
      <c r="F741" s="134"/>
      <c r="G741" s="134"/>
      <c r="H741" s="134"/>
      <c r="I741" s="134"/>
      <c r="J741" s="134"/>
      <c r="K741" s="134"/>
      <c r="L741" s="134"/>
      <c r="M741" s="134"/>
      <c r="N741" s="134"/>
      <c r="O741" s="134"/>
      <c r="P741" s="134"/>
      <c r="Q741" s="134"/>
      <c r="R741" s="134"/>
      <c r="S741" s="134"/>
      <c r="T741" s="134"/>
      <c r="U741" s="134"/>
      <c r="V741" s="134"/>
      <c r="W741" s="134"/>
      <c r="X741" s="134"/>
      <c r="Y741" s="134"/>
      <c r="Z741" s="134"/>
    </row>
    <row r="742" spans="1:26" ht="15.75" hidden="1" customHeight="1">
      <c r="A742" s="13"/>
      <c r="B742" s="13"/>
      <c r="C742" s="13"/>
      <c r="D742" s="13"/>
      <c r="E742" s="13"/>
      <c r="F742" s="134"/>
      <c r="G742" s="134"/>
      <c r="H742" s="134"/>
      <c r="I742" s="134"/>
      <c r="J742" s="134"/>
      <c r="K742" s="134"/>
      <c r="L742" s="134"/>
      <c r="M742" s="134"/>
      <c r="N742" s="134"/>
      <c r="O742" s="134"/>
      <c r="P742" s="134"/>
      <c r="Q742" s="134"/>
      <c r="R742" s="134"/>
      <c r="S742" s="134"/>
      <c r="T742" s="134"/>
      <c r="U742" s="134"/>
      <c r="V742" s="134"/>
      <c r="W742" s="134"/>
      <c r="X742" s="134"/>
      <c r="Y742" s="134"/>
      <c r="Z742" s="134"/>
    </row>
    <row r="743" spans="1:26" ht="15.75" hidden="1" customHeight="1">
      <c r="A743" s="13"/>
      <c r="B743" s="13"/>
      <c r="C743" s="13"/>
      <c r="D743" s="13"/>
      <c r="E743" s="13"/>
      <c r="F743" s="134"/>
      <c r="G743" s="134"/>
      <c r="H743" s="134"/>
      <c r="I743" s="134"/>
      <c r="J743" s="134"/>
      <c r="K743" s="134"/>
      <c r="L743" s="134"/>
      <c r="M743" s="134"/>
      <c r="N743" s="134"/>
      <c r="O743" s="134"/>
      <c r="P743" s="134"/>
      <c r="Q743" s="134"/>
      <c r="R743" s="134"/>
      <c r="S743" s="134"/>
      <c r="T743" s="134"/>
      <c r="U743" s="134"/>
      <c r="V743" s="134"/>
      <c r="W743" s="134"/>
      <c r="X743" s="134"/>
      <c r="Y743" s="134"/>
      <c r="Z743" s="134"/>
    </row>
    <row r="744" spans="1:26" ht="15.75" hidden="1" customHeight="1">
      <c r="A744" s="13"/>
      <c r="B744" s="13"/>
      <c r="C744" s="13"/>
      <c r="D744" s="13"/>
      <c r="E744" s="13"/>
      <c r="F744" s="134"/>
      <c r="G744" s="134"/>
      <c r="H744" s="134"/>
      <c r="I744" s="134"/>
      <c r="J744" s="134"/>
      <c r="K744" s="134"/>
      <c r="L744" s="134"/>
      <c r="M744" s="134"/>
      <c r="N744" s="134"/>
      <c r="O744" s="134"/>
      <c r="P744" s="134"/>
      <c r="Q744" s="134"/>
      <c r="R744" s="134"/>
      <c r="S744" s="134"/>
      <c r="T744" s="134"/>
      <c r="U744" s="134"/>
      <c r="V744" s="134"/>
      <c r="W744" s="134"/>
      <c r="X744" s="134"/>
      <c r="Y744" s="134"/>
      <c r="Z744" s="134"/>
    </row>
    <row r="745" spans="1:26" ht="15.75" hidden="1" customHeight="1">
      <c r="A745" s="13"/>
      <c r="B745" s="13"/>
      <c r="C745" s="13"/>
      <c r="D745" s="13"/>
      <c r="E745" s="13"/>
      <c r="F745" s="134"/>
      <c r="G745" s="134"/>
      <c r="H745" s="134"/>
      <c r="I745" s="134"/>
      <c r="J745" s="134"/>
      <c r="K745" s="134"/>
      <c r="L745" s="134"/>
      <c r="M745" s="134"/>
      <c r="N745" s="134"/>
      <c r="O745" s="134"/>
      <c r="P745" s="134"/>
      <c r="Q745" s="134"/>
      <c r="R745" s="134"/>
      <c r="S745" s="134"/>
      <c r="T745" s="134"/>
      <c r="U745" s="134"/>
      <c r="V745" s="134"/>
      <c r="W745" s="134"/>
      <c r="X745" s="134"/>
      <c r="Y745" s="134"/>
      <c r="Z745" s="134"/>
    </row>
    <row r="746" spans="1:26" ht="15.75" hidden="1" customHeight="1">
      <c r="A746" s="13"/>
      <c r="B746" s="13"/>
      <c r="C746" s="13"/>
      <c r="D746" s="13"/>
      <c r="E746" s="13"/>
      <c r="F746" s="134"/>
      <c r="G746" s="134"/>
      <c r="H746" s="134"/>
      <c r="I746" s="134"/>
      <c r="J746" s="134"/>
      <c r="K746" s="134"/>
      <c r="L746" s="134"/>
      <c r="M746" s="134"/>
      <c r="N746" s="134"/>
      <c r="O746" s="134"/>
      <c r="P746" s="134"/>
      <c r="Q746" s="134"/>
      <c r="R746" s="134"/>
      <c r="S746" s="134"/>
      <c r="T746" s="134"/>
      <c r="U746" s="134"/>
      <c r="V746" s="134"/>
      <c r="W746" s="134"/>
      <c r="X746" s="134"/>
      <c r="Y746" s="134"/>
      <c r="Z746" s="134"/>
    </row>
    <row r="747" spans="1:26" ht="15.75" hidden="1" customHeight="1">
      <c r="A747" s="13"/>
      <c r="B747" s="13"/>
      <c r="C747" s="13"/>
      <c r="D747" s="13"/>
      <c r="E747" s="13"/>
      <c r="F747" s="134"/>
      <c r="G747" s="134"/>
      <c r="H747" s="134"/>
      <c r="I747" s="134"/>
      <c r="J747" s="134"/>
      <c r="K747" s="134"/>
      <c r="L747" s="134"/>
      <c r="M747" s="134"/>
      <c r="N747" s="134"/>
      <c r="O747" s="134"/>
      <c r="P747" s="134"/>
      <c r="Q747" s="134"/>
      <c r="R747" s="134"/>
      <c r="S747" s="134"/>
      <c r="T747" s="134"/>
      <c r="U747" s="134"/>
      <c r="V747" s="134"/>
      <c r="W747" s="134"/>
      <c r="X747" s="134"/>
      <c r="Y747" s="134"/>
      <c r="Z747" s="134"/>
    </row>
    <row r="748" spans="1:26" ht="15.75" hidden="1" customHeight="1">
      <c r="A748" s="13"/>
      <c r="B748" s="13"/>
      <c r="C748" s="13"/>
      <c r="D748" s="13"/>
      <c r="E748" s="13"/>
      <c r="F748" s="134"/>
      <c r="G748" s="134"/>
      <c r="H748" s="134"/>
      <c r="I748" s="134"/>
      <c r="J748" s="134"/>
      <c r="K748" s="134"/>
      <c r="L748" s="134"/>
      <c r="M748" s="134"/>
      <c r="N748" s="134"/>
      <c r="O748" s="134"/>
      <c r="P748" s="134"/>
      <c r="Q748" s="134"/>
      <c r="R748" s="134"/>
      <c r="S748" s="134"/>
      <c r="T748" s="134"/>
      <c r="U748" s="134"/>
      <c r="V748" s="134"/>
      <c r="W748" s="134"/>
      <c r="X748" s="134"/>
      <c r="Y748" s="134"/>
      <c r="Z748" s="134"/>
    </row>
    <row r="749" spans="1:26" ht="15.75" hidden="1" customHeight="1">
      <c r="A749" s="13"/>
      <c r="B749" s="13"/>
      <c r="C749" s="13"/>
      <c r="D749" s="13"/>
      <c r="E749" s="13"/>
      <c r="F749" s="134"/>
      <c r="G749" s="134"/>
      <c r="H749" s="134"/>
      <c r="I749" s="134"/>
      <c r="J749" s="134"/>
      <c r="K749" s="134"/>
      <c r="L749" s="134"/>
      <c r="M749" s="134"/>
      <c r="N749" s="134"/>
      <c r="O749" s="134"/>
      <c r="P749" s="134"/>
      <c r="Q749" s="134"/>
      <c r="R749" s="134"/>
      <c r="S749" s="134"/>
      <c r="T749" s="134"/>
      <c r="U749" s="134"/>
      <c r="V749" s="134"/>
      <c r="W749" s="134"/>
      <c r="X749" s="134"/>
      <c r="Y749" s="134"/>
      <c r="Z749" s="134"/>
    </row>
    <row r="750" spans="1:26" ht="15.75" hidden="1" customHeight="1">
      <c r="A750" s="13"/>
      <c r="B750" s="13"/>
      <c r="C750" s="13"/>
      <c r="D750" s="13"/>
      <c r="E750" s="13"/>
      <c r="F750" s="134"/>
      <c r="G750" s="134"/>
      <c r="H750" s="134"/>
      <c r="I750" s="134"/>
      <c r="J750" s="134"/>
      <c r="K750" s="134"/>
      <c r="L750" s="134"/>
      <c r="M750" s="134"/>
      <c r="N750" s="134"/>
      <c r="O750" s="134"/>
      <c r="P750" s="134"/>
      <c r="Q750" s="134"/>
      <c r="R750" s="134"/>
      <c r="S750" s="134"/>
      <c r="T750" s="134"/>
      <c r="U750" s="134"/>
      <c r="V750" s="134"/>
      <c r="W750" s="134"/>
      <c r="X750" s="134"/>
      <c r="Y750" s="134"/>
      <c r="Z750" s="134"/>
    </row>
    <row r="751" spans="1:26" ht="15.75" hidden="1" customHeight="1">
      <c r="A751" s="13"/>
      <c r="B751" s="13"/>
      <c r="C751" s="13"/>
      <c r="D751" s="13"/>
      <c r="E751" s="13"/>
      <c r="F751" s="134"/>
      <c r="G751" s="134"/>
      <c r="H751" s="134"/>
      <c r="I751" s="134"/>
      <c r="J751" s="134"/>
      <c r="K751" s="134"/>
      <c r="L751" s="134"/>
      <c r="M751" s="134"/>
      <c r="N751" s="134"/>
      <c r="O751" s="134"/>
      <c r="P751" s="134"/>
      <c r="Q751" s="134"/>
      <c r="R751" s="134"/>
      <c r="S751" s="134"/>
      <c r="T751" s="134"/>
      <c r="U751" s="134"/>
      <c r="V751" s="134"/>
      <c r="W751" s="134"/>
      <c r="X751" s="134"/>
      <c r="Y751" s="134"/>
      <c r="Z751" s="134"/>
    </row>
    <row r="752" spans="1:26" ht="15.75" hidden="1" customHeight="1">
      <c r="A752" s="13"/>
      <c r="B752" s="13"/>
      <c r="C752" s="13"/>
      <c r="D752" s="13"/>
      <c r="E752" s="13"/>
      <c r="F752" s="134"/>
      <c r="G752" s="134"/>
      <c r="H752" s="134"/>
      <c r="I752" s="134"/>
      <c r="J752" s="134"/>
      <c r="K752" s="134"/>
      <c r="L752" s="134"/>
      <c r="M752" s="134"/>
      <c r="N752" s="134"/>
      <c r="O752" s="134"/>
      <c r="P752" s="134"/>
      <c r="Q752" s="134"/>
      <c r="R752" s="134"/>
      <c r="S752" s="134"/>
      <c r="T752" s="134"/>
      <c r="U752" s="134"/>
      <c r="V752" s="134"/>
      <c r="W752" s="134"/>
      <c r="X752" s="134"/>
      <c r="Y752" s="134"/>
      <c r="Z752" s="134"/>
    </row>
    <row r="753" spans="1:26" ht="15.75" hidden="1" customHeight="1">
      <c r="A753" s="13"/>
      <c r="B753" s="13"/>
      <c r="C753" s="13"/>
      <c r="D753" s="13"/>
      <c r="E753" s="13"/>
      <c r="F753" s="134"/>
      <c r="G753" s="134"/>
      <c r="H753" s="134"/>
      <c r="I753" s="134"/>
      <c r="J753" s="134"/>
      <c r="K753" s="134"/>
      <c r="L753" s="134"/>
      <c r="M753" s="134"/>
      <c r="N753" s="134"/>
      <c r="O753" s="134"/>
      <c r="P753" s="134"/>
      <c r="Q753" s="134"/>
      <c r="R753" s="134"/>
      <c r="S753" s="134"/>
      <c r="T753" s="134"/>
      <c r="U753" s="134"/>
      <c r="V753" s="134"/>
      <c r="W753" s="134"/>
      <c r="X753" s="134"/>
      <c r="Y753" s="134"/>
      <c r="Z753" s="134"/>
    </row>
    <row r="754" spans="1:26" ht="15.75" hidden="1" customHeight="1">
      <c r="A754" s="13"/>
      <c r="B754" s="13"/>
      <c r="C754" s="13"/>
      <c r="D754" s="13"/>
      <c r="E754" s="13"/>
      <c r="F754" s="134"/>
      <c r="G754" s="134"/>
      <c r="H754" s="134"/>
      <c r="I754" s="134"/>
      <c r="J754" s="134"/>
      <c r="K754" s="134"/>
      <c r="L754" s="134"/>
      <c r="M754" s="134"/>
      <c r="N754" s="134"/>
      <c r="O754" s="134"/>
      <c r="P754" s="134"/>
      <c r="Q754" s="134"/>
      <c r="R754" s="134"/>
      <c r="S754" s="134"/>
      <c r="T754" s="134"/>
      <c r="U754" s="134"/>
      <c r="V754" s="134"/>
      <c r="W754" s="134"/>
      <c r="X754" s="134"/>
      <c r="Y754" s="134"/>
      <c r="Z754" s="134"/>
    </row>
    <row r="755" spans="1:26" ht="15.75" hidden="1" customHeight="1">
      <c r="A755" s="13"/>
      <c r="B755" s="13"/>
      <c r="C755" s="13"/>
      <c r="D755" s="13"/>
      <c r="E755" s="13"/>
      <c r="F755" s="134"/>
      <c r="G755" s="134"/>
      <c r="H755" s="134"/>
      <c r="I755" s="134"/>
      <c r="J755" s="134"/>
      <c r="K755" s="134"/>
      <c r="L755" s="134"/>
      <c r="M755" s="134"/>
      <c r="N755" s="134"/>
      <c r="O755" s="134"/>
      <c r="P755" s="134"/>
      <c r="Q755" s="134"/>
      <c r="R755" s="134"/>
      <c r="S755" s="134"/>
      <c r="T755" s="134"/>
      <c r="U755" s="134"/>
      <c r="V755" s="134"/>
      <c r="W755" s="134"/>
      <c r="X755" s="134"/>
      <c r="Y755" s="134"/>
      <c r="Z755" s="134"/>
    </row>
    <row r="756" spans="1:26" ht="15.75" hidden="1" customHeight="1">
      <c r="A756" s="13"/>
      <c r="B756" s="13"/>
      <c r="C756" s="13"/>
      <c r="D756" s="13"/>
      <c r="E756" s="13"/>
      <c r="F756" s="134"/>
      <c r="G756" s="134"/>
      <c r="H756" s="134"/>
      <c r="I756" s="134"/>
      <c r="J756" s="134"/>
      <c r="K756" s="134"/>
      <c r="L756" s="134"/>
      <c r="M756" s="134"/>
      <c r="N756" s="134"/>
      <c r="O756" s="134"/>
      <c r="P756" s="134"/>
      <c r="Q756" s="134"/>
      <c r="R756" s="134"/>
      <c r="S756" s="134"/>
      <c r="T756" s="134"/>
      <c r="U756" s="134"/>
      <c r="V756" s="134"/>
      <c r="W756" s="134"/>
      <c r="X756" s="134"/>
      <c r="Y756" s="134"/>
      <c r="Z756" s="134"/>
    </row>
    <row r="757" spans="1:26" ht="15.75" hidden="1" customHeight="1">
      <c r="A757" s="13"/>
      <c r="B757" s="13"/>
      <c r="C757" s="13"/>
      <c r="D757" s="13"/>
      <c r="E757" s="13"/>
      <c r="F757" s="134"/>
      <c r="G757" s="134"/>
      <c r="H757" s="134"/>
      <c r="I757" s="134"/>
      <c r="J757" s="134"/>
      <c r="K757" s="134"/>
      <c r="L757" s="134"/>
      <c r="M757" s="134"/>
      <c r="N757" s="134"/>
      <c r="O757" s="134"/>
      <c r="P757" s="134"/>
      <c r="Q757" s="134"/>
      <c r="R757" s="134"/>
      <c r="S757" s="134"/>
      <c r="T757" s="134"/>
      <c r="U757" s="134"/>
      <c r="V757" s="134"/>
      <c r="W757" s="134"/>
      <c r="X757" s="134"/>
      <c r="Y757" s="134"/>
      <c r="Z757" s="134"/>
    </row>
    <row r="758" spans="1:26" ht="15.75" hidden="1" customHeight="1">
      <c r="A758" s="13"/>
      <c r="B758" s="13"/>
      <c r="C758" s="13"/>
      <c r="D758" s="13"/>
      <c r="E758" s="13"/>
      <c r="F758" s="134"/>
      <c r="G758" s="134"/>
      <c r="H758" s="134"/>
      <c r="I758" s="134"/>
      <c r="J758" s="134"/>
      <c r="K758" s="134"/>
      <c r="L758" s="134"/>
      <c r="M758" s="134"/>
      <c r="N758" s="134"/>
      <c r="O758" s="134"/>
      <c r="P758" s="134"/>
      <c r="Q758" s="134"/>
      <c r="R758" s="134"/>
      <c r="S758" s="134"/>
      <c r="T758" s="134"/>
      <c r="U758" s="134"/>
      <c r="V758" s="134"/>
      <c r="W758" s="134"/>
      <c r="X758" s="134"/>
      <c r="Y758" s="134"/>
      <c r="Z758" s="134"/>
    </row>
    <row r="759" spans="1:26" ht="15.75" hidden="1" customHeight="1">
      <c r="A759" s="13"/>
      <c r="B759" s="13"/>
      <c r="C759" s="13"/>
      <c r="D759" s="13"/>
      <c r="E759" s="13"/>
      <c r="F759" s="134"/>
      <c r="G759" s="134"/>
      <c r="H759" s="134"/>
      <c r="I759" s="134"/>
      <c r="J759" s="134"/>
      <c r="K759" s="134"/>
      <c r="L759" s="134"/>
      <c r="M759" s="134"/>
      <c r="N759" s="134"/>
      <c r="O759" s="134"/>
      <c r="P759" s="134"/>
      <c r="Q759" s="134"/>
      <c r="R759" s="134"/>
      <c r="S759" s="134"/>
      <c r="T759" s="134"/>
      <c r="U759" s="134"/>
      <c r="V759" s="134"/>
      <c r="W759" s="134"/>
      <c r="X759" s="134"/>
      <c r="Y759" s="134"/>
      <c r="Z759" s="134"/>
    </row>
    <row r="760" spans="1:26" ht="15.75" hidden="1" customHeight="1">
      <c r="A760" s="13"/>
      <c r="B760" s="13"/>
      <c r="C760" s="13"/>
      <c r="D760" s="13"/>
      <c r="E760" s="13"/>
      <c r="F760" s="134"/>
      <c r="G760" s="134"/>
      <c r="H760" s="134"/>
      <c r="I760" s="134"/>
      <c r="J760" s="134"/>
      <c r="K760" s="134"/>
      <c r="L760" s="134"/>
      <c r="M760" s="134"/>
      <c r="N760" s="134"/>
      <c r="O760" s="134"/>
      <c r="P760" s="134"/>
      <c r="Q760" s="134"/>
      <c r="R760" s="134"/>
      <c r="S760" s="134"/>
      <c r="T760" s="134"/>
      <c r="U760" s="134"/>
      <c r="V760" s="134"/>
      <c r="W760" s="134"/>
      <c r="X760" s="134"/>
      <c r="Y760" s="134"/>
      <c r="Z760" s="134"/>
    </row>
    <row r="761" spans="1:26" ht="15.75" hidden="1" customHeight="1">
      <c r="A761" s="13"/>
      <c r="B761" s="13"/>
      <c r="C761" s="13"/>
      <c r="D761" s="13"/>
      <c r="E761" s="13"/>
      <c r="F761" s="134"/>
      <c r="G761" s="134"/>
      <c r="H761" s="134"/>
      <c r="I761" s="134"/>
      <c r="J761" s="134"/>
      <c r="K761" s="134"/>
      <c r="L761" s="134"/>
      <c r="M761" s="134"/>
      <c r="N761" s="134"/>
      <c r="O761" s="134"/>
      <c r="P761" s="134"/>
      <c r="Q761" s="134"/>
      <c r="R761" s="134"/>
      <c r="S761" s="134"/>
      <c r="T761" s="134"/>
      <c r="U761" s="134"/>
      <c r="V761" s="134"/>
      <c r="W761" s="134"/>
      <c r="X761" s="134"/>
      <c r="Y761" s="134"/>
      <c r="Z761" s="134"/>
    </row>
    <row r="762" spans="1:26" ht="15.75" hidden="1" customHeight="1">
      <c r="A762" s="13"/>
      <c r="B762" s="13"/>
      <c r="C762" s="13"/>
      <c r="D762" s="13"/>
      <c r="E762" s="13"/>
      <c r="F762" s="134"/>
      <c r="G762" s="134"/>
      <c r="H762" s="134"/>
      <c r="I762" s="134"/>
      <c r="J762" s="134"/>
      <c r="K762" s="134"/>
      <c r="L762" s="134"/>
      <c r="M762" s="134"/>
      <c r="N762" s="134"/>
      <c r="O762" s="134"/>
      <c r="P762" s="134"/>
      <c r="Q762" s="134"/>
      <c r="R762" s="134"/>
      <c r="S762" s="134"/>
      <c r="T762" s="134"/>
      <c r="U762" s="134"/>
      <c r="V762" s="134"/>
      <c r="W762" s="134"/>
      <c r="X762" s="134"/>
      <c r="Y762" s="134"/>
      <c r="Z762" s="134"/>
    </row>
    <row r="763" spans="1:26" ht="15.75" hidden="1" customHeight="1">
      <c r="A763" s="13"/>
      <c r="B763" s="13"/>
      <c r="C763" s="13"/>
      <c r="D763" s="13"/>
      <c r="E763" s="13"/>
      <c r="F763" s="134"/>
      <c r="G763" s="134"/>
      <c r="H763" s="134"/>
      <c r="I763" s="134"/>
      <c r="J763" s="134"/>
      <c r="K763" s="134"/>
      <c r="L763" s="134"/>
      <c r="M763" s="134"/>
      <c r="N763" s="134"/>
      <c r="O763" s="134"/>
      <c r="P763" s="134"/>
      <c r="Q763" s="134"/>
      <c r="R763" s="134"/>
      <c r="S763" s="134"/>
      <c r="T763" s="134"/>
      <c r="U763" s="134"/>
      <c r="V763" s="134"/>
      <c r="W763" s="134"/>
      <c r="X763" s="134"/>
      <c r="Y763" s="134"/>
      <c r="Z763" s="134"/>
    </row>
    <row r="764" spans="1:26" ht="15.75" hidden="1" customHeight="1">
      <c r="A764" s="13"/>
      <c r="B764" s="13"/>
      <c r="C764" s="13"/>
      <c r="D764" s="13"/>
      <c r="E764" s="13"/>
      <c r="F764" s="134"/>
      <c r="G764" s="134"/>
      <c r="H764" s="134"/>
      <c r="I764" s="134"/>
      <c r="J764" s="134"/>
      <c r="K764" s="134"/>
      <c r="L764" s="134"/>
      <c r="M764" s="134"/>
      <c r="N764" s="134"/>
      <c r="O764" s="134"/>
      <c r="P764" s="134"/>
      <c r="Q764" s="134"/>
      <c r="R764" s="134"/>
      <c r="S764" s="134"/>
      <c r="T764" s="134"/>
      <c r="U764" s="134"/>
      <c r="V764" s="134"/>
      <c r="W764" s="134"/>
      <c r="X764" s="134"/>
      <c r="Y764" s="134"/>
      <c r="Z764" s="134"/>
    </row>
    <row r="765" spans="1:26" ht="15.75" hidden="1" customHeight="1">
      <c r="A765" s="13"/>
      <c r="B765" s="13"/>
      <c r="C765" s="13"/>
      <c r="D765" s="13"/>
      <c r="E765" s="13"/>
      <c r="F765" s="134"/>
      <c r="G765" s="134"/>
      <c r="H765" s="134"/>
      <c r="I765" s="134"/>
      <c r="J765" s="134"/>
      <c r="K765" s="134"/>
      <c r="L765" s="134"/>
      <c r="M765" s="134"/>
      <c r="N765" s="134"/>
      <c r="O765" s="134"/>
      <c r="P765" s="134"/>
      <c r="Q765" s="134"/>
      <c r="R765" s="134"/>
      <c r="S765" s="134"/>
      <c r="T765" s="134"/>
      <c r="U765" s="134"/>
      <c r="V765" s="134"/>
      <c r="W765" s="134"/>
      <c r="X765" s="134"/>
      <c r="Y765" s="134"/>
      <c r="Z765" s="134"/>
    </row>
    <row r="766" spans="1:26" ht="15.75" hidden="1" customHeight="1">
      <c r="A766" s="13"/>
      <c r="B766" s="13"/>
      <c r="C766" s="13"/>
      <c r="D766" s="13"/>
      <c r="E766" s="13"/>
      <c r="F766" s="134"/>
      <c r="G766" s="134"/>
      <c r="H766" s="134"/>
      <c r="I766" s="134"/>
      <c r="J766" s="134"/>
      <c r="K766" s="134"/>
      <c r="L766" s="134"/>
      <c r="M766" s="134"/>
      <c r="N766" s="134"/>
      <c r="O766" s="134"/>
      <c r="P766" s="134"/>
      <c r="Q766" s="134"/>
      <c r="R766" s="134"/>
      <c r="S766" s="134"/>
      <c r="T766" s="134"/>
      <c r="U766" s="134"/>
      <c r="V766" s="134"/>
      <c r="W766" s="134"/>
      <c r="X766" s="134"/>
      <c r="Y766" s="134"/>
      <c r="Z766" s="134"/>
    </row>
    <row r="767" spans="1:26" ht="15.75" hidden="1" customHeight="1">
      <c r="A767" s="13"/>
      <c r="B767" s="13"/>
      <c r="C767" s="13"/>
      <c r="D767" s="13"/>
      <c r="E767" s="13"/>
      <c r="F767" s="134"/>
      <c r="G767" s="134"/>
      <c r="H767" s="134"/>
      <c r="I767" s="134"/>
      <c r="J767" s="134"/>
      <c r="K767" s="134"/>
      <c r="L767" s="134"/>
      <c r="M767" s="134"/>
      <c r="N767" s="134"/>
      <c r="O767" s="134"/>
      <c r="P767" s="134"/>
      <c r="Q767" s="134"/>
      <c r="R767" s="134"/>
      <c r="S767" s="134"/>
      <c r="T767" s="134"/>
      <c r="U767" s="134"/>
      <c r="V767" s="134"/>
      <c r="W767" s="134"/>
      <c r="X767" s="134"/>
      <c r="Y767" s="134"/>
      <c r="Z767" s="134"/>
    </row>
    <row r="768" spans="1:26" ht="15.75" hidden="1" customHeight="1">
      <c r="A768" s="13"/>
      <c r="B768" s="13"/>
      <c r="C768" s="13"/>
      <c r="D768" s="13"/>
      <c r="E768" s="13"/>
      <c r="F768" s="134"/>
      <c r="G768" s="134"/>
      <c r="H768" s="134"/>
      <c r="I768" s="134"/>
      <c r="J768" s="134"/>
      <c r="K768" s="134"/>
      <c r="L768" s="134"/>
      <c r="M768" s="134"/>
      <c r="N768" s="134"/>
      <c r="O768" s="134"/>
      <c r="P768" s="134"/>
      <c r="Q768" s="134"/>
      <c r="R768" s="134"/>
      <c r="S768" s="134"/>
      <c r="T768" s="134"/>
      <c r="U768" s="134"/>
      <c r="V768" s="134"/>
      <c r="W768" s="134"/>
      <c r="X768" s="134"/>
      <c r="Y768" s="134"/>
      <c r="Z768" s="134"/>
    </row>
    <row r="769" spans="1:26" ht="15.75" hidden="1" customHeight="1">
      <c r="A769" s="13"/>
      <c r="B769" s="13"/>
      <c r="C769" s="13"/>
      <c r="D769" s="13"/>
      <c r="E769" s="13"/>
      <c r="F769" s="134"/>
      <c r="G769" s="134"/>
      <c r="H769" s="134"/>
      <c r="I769" s="134"/>
      <c r="J769" s="134"/>
      <c r="K769" s="134"/>
      <c r="L769" s="134"/>
      <c r="M769" s="134"/>
      <c r="N769" s="134"/>
      <c r="O769" s="134"/>
      <c r="P769" s="134"/>
      <c r="Q769" s="134"/>
      <c r="R769" s="134"/>
      <c r="S769" s="134"/>
      <c r="T769" s="134"/>
      <c r="U769" s="134"/>
      <c r="V769" s="134"/>
      <c r="W769" s="134"/>
      <c r="X769" s="134"/>
      <c r="Y769" s="134"/>
      <c r="Z769" s="134"/>
    </row>
    <row r="770" spans="1:26" ht="15.75" hidden="1" customHeight="1">
      <c r="A770" s="13"/>
      <c r="B770" s="13"/>
      <c r="C770" s="13"/>
      <c r="D770" s="13"/>
      <c r="E770" s="13"/>
      <c r="F770" s="134"/>
      <c r="G770" s="134"/>
      <c r="H770" s="134"/>
      <c r="I770" s="134"/>
      <c r="J770" s="134"/>
      <c r="K770" s="134"/>
      <c r="L770" s="134"/>
      <c r="M770" s="134"/>
      <c r="N770" s="134"/>
      <c r="O770" s="134"/>
      <c r="P770" s="134"/>
      <c r="Q770" s="134"/>
      <c r="R770" s="134"/>
      <c r="S770" s="134"/>
      <c r="T770" s="134"/>
      <c r="U770" s="134"/>
      <c r="V770" s="134"/>
      <c r="W770" s="134"/>
      <c r="X770" s="134"/>
      <c r="Y770" s="134"/>
      <c r="Z770" s="134"/>
    </row>
    <row r="771" spans="1:26" ht="15.75" hidden="1" customHeight="1">
      <c r="A771" s="13"/>
      <c r="B771" s="13"/>
      <c r="C771" s="13"/>
      <c r="D771" s="13"/>
      <c r="E771" s="13"/>
      <c r="F771" s="134"/>
      <c r="G771" s="134"/>
      <c r="H771" s="134"/>
      <c r="I771" s="134"/>
      <c r="J771" s="134"/>
      <c r="K771" s="134"/>
      <c r="L771" s="134"/>
      <c r="M771" s="134"/>
      <c r="N771" s="134"/>
      <c r="O771" s="134"/>
      <c r="P771" s="134"/>
      <c r="Q771" s="134"/>
      <c r="R771" s="134"/>
      <c r="S771" s="134"/>
      <c r="T771" s="134"/>
      <c r="U771" s="134"/>
      <c r="V771" s="134"/>
      <c r="W771" s="134"/>
      <c r="X771" s="134"/>
      <c r="Y771" s="134"/>
      <c r="Z771" s="134"/>
    </row>
    <row r="772" spans="1:26" ht="15.75" hidden="1" customHeight="1">
      <c r="A772" s="13"/>
      <c r="B772" s="13"/>
      <c r="C772" s="13"/>
      <c r="D772" s="13"/>
      <c r="E772" s="13"/>
      <c r="F772" s="134"/>
      <c r="G772" s="134"/>
      <c r="H772" s="134"/>
      <c r="I772" s="134"/>
      <c r="J772" s="134"/>
      <c r="K772" s="134"/>
      <c r="L772" s="134"/>
      <c r="M772" s="134"/>
      <c r="N772" s="134"/>
      <c r="O772" s="134"/>
      <c r="P772" s="134"/>
      <c r="Q772" s="134"/>
      <c r="R772" s="134"/>
      <c r="S772" s="134"/>
      <c r="T772" s="134"/>
      <c r="U772" s="134"/>
      <c r="V772" s="134"/>
      <c r="W772" s="134"/>
      <c r="X772" s="134"/>
      <c r="Y772" s="134"/>
      <c r="Z772" s="134"/>
    </row>
    <row r="773" spans="1:26" ht="15.75" hidden="1" customHeight="1">
      <c r="A773" s="13"/>
      <c r="B773" s="13"/>
      <c r="C773" s="13"/>
      <c r="D773" s="13"/>
      <c r="E773" s="13"/>
      <c r="F773" s="134"/>
      <c r="G773" s="134"/>
      <c r="H773" s="134"/>
      <c r="I773" s="134"/>
      <c r="J773" s="134"/>
      <c r="K773" s="134"/>
      <c r="L773" s="134"/>
      <c r="M773" s="134"/>
      <c r="N773" s="134"/>
      <c r="O773" s="134"/>
      <c r="P773" s="134"/>
      <c r="Q773" s="134"/>
      <c r="R773" s="134"/>
      <c r="S773" s="134"/>
      <c r="T773" s="134"/>
      <c r="U773" s="134"/>
      <c r="V773" s="134"/>
      <c r="W773" s="134"/>
      <c r="X773" s="134"/>
      <c r="Y773" s="134"/>
      <c r="Z773" s="134"/>
    </row>
    <row r="774" spans="1:26" ht="15.75" hidden="1" customHeight="1">
      <c r="A774" s="13"/>
      <c r="B774" s="13"/>
      <c r="C774" s="13"/>
      <c r="D774" s="13"/>
      <c r="E774" s="13"/>
      <c r="F774" s="134"/>
      <c r="G774" s="134"/>
      <c r="H774" s="134"/>
      <c r="I774" s="134"/>
      <c r="J774" s="134"/>
      <c r="K774" s="134"/>
      <c r="L774" s="134"/>
      <c r="M774" s="134"/>
      <c r="N774" s="134"/>
      <c r="O774" s="134"/>
      <c r="P774" s="134"/>
      <c r="Q774" s="134"/>
      <c r="R774" s="134"/>
      <c r="S774" s="134"/>
      <c r="T774" s="134"/>
      <c r="U774" s="134"/>
      <c r="V774" s="134"/>
      <c r="W774" s="134"/>
      <c r="X774" s="134"/>
      <c r="Y774" s="134"/>
      <c r="Z774" s="134"/>
    </row>
    <row r="775" spans="1:26" ht="15.75" hidden="1" customHeight="1">
      <c r="A775" s="13"/>
      <c r="B775" s="13"/>
      <c r="C775" s="13"/>
      <c r="D775" s="13"/>
      <c r="E775" s="13"/>
      <c r="F775" s="134"/>
      <c r="G775" s="134"/>
      <c r="H775" s="134"/>
      <c r="I775" s="134"/>
      <c r="J775" s="134"/>
      <c r="K775" s="134"/>
      <c r="L775" s="134"/>
      <c r="M775" s="134"/>
      <c r="N775" s="134"/>
      <c r="O775" s="134"/>
      <c r="P775" s="134"/>
      <c r="Q775" s="134"/>
      <c r="R775" s="134"/>
      <c r="S775" s="134"/>
      <c r="T775" s="134"/>
      <c r="U775" s="134"/>
      <c r="V775" s="134"/>
      <c r="W775" s="134"/>
      <c r="X775" s="134"/>
      <c r="Y775" s="134"/>
      <c r="Z775" s="134"/>
    </row>
    <row r="776" spans="1:26" ht="15.75" hidden="1" customHeight="1">
      <c r="A776" s="13"/>
      <c r="B776" s="13"/>
      <c r="C776" s="13"/>
      <c r="D776" s="13"/>
      <c r="E776" s="13"/>
      <c r="F776" s="134"/>
      <c r="G776" s="134"/>
      <c r="H776" s="134"/>
      <c r="I776" s="134"/>
      <c r="J776" s="134"/>
      <c r="K776" s="134"/>
      <c r="L776" s="134"/>
      <c r="M776" s="134"/>
      <c r="N776" s="134"/>
      <c r="O776" s="134"/>
      <c r="P776" s="134"/>
      <c r="Q776" s="134"/>
      <c r="R776" s="134"/>
      <c r="S776" s="134"/>
      <c r="T776" s="134"/>
      <c r="U776" s="134"/>
      <c r="V776" s="134"/>
      <c r="W776" s="134"/>
      <c r="X776" s="134"/>
      <c r="Y776" s="134"/>
      <c r="Z776" s="134"/>
    </row>
    <row r="777" spans="1:26" ht="15.75" hidden="1" customHeight="1">
      <c r="A777" s="13"/>
      <c r="B777" s="13"/>
      <c r="C777" s="13"/>
      <c r="D777" s="13"/>
      <c r="E777" s="13"/>
      <c r="F777" s="134"/>
      <c r="G777" s="134"/>
      <c r="H777" s="134"/>
      <c r="I777" s="134"/>
      <c r="J777" s="134"/>
      <c r="K777" s="134"/>
      <c r="L777" s="134"/>
      <c r="M777" s="134"/>
      <c r="N777" s="134"/>
      <c r="O777" s="134"/>
      <c r="P777" s="134"/>
      <c r="Q777" s="134"/>
      <c r="R777" s="134"/>
      <c r="S777" s="134"/>
      <c r="T777" s="134"/>
      <c r="U777" s="134"/>
      <c r="V777" s="134"/>
      <c r="W777" s="134"/>
      <c r="X777" s="134"/>
      <c r="Y777" s="134"/>
      <c r="Z777" s="134"/>
    </row>
    <row r="778" spans="1:26" ht="15.75" hidden="1" customHeight="1">
      <c r="A778" s="13"/>
      <c r="B778" s="13"/>
      <c r="C778" s="13"/>
      <c r="D778" s="13"/>
      <c r="E778" s="13"/>
      <c r="F778" s="134"/>
      <c r="G778" s="134"/>
      <c r="H778" s="134"/>
      <c r="I778" s="134"/>
      <c r="J778" s="134"/>
      <c r="K778" s="134"/>
      <c r="L778" s="134"/>
      <c r="M778" s="134"/>
      <c r="N778" s="134"/>
      <c r="O778" s="134"/>
      <c r="P778" s="134"/>
      <c r="Q778" s="134"/>
      <c r="R778" s="134"/>
      <c r="S778" s="134"/>
      <c r="T778" s="134"/>
      <c r="U778" s="134"/>
      <c r="V778" s="134"/>
      <c r="W778" s="134"/>
      <c r="X778" s="134"/>
      <c r="Y778" s="134"/>
      <c r="Z778" s="134"/>
    </row>
    <row r="779" spans="1:26" ht="15.75" hidden="1" customHeight="1">
      <c r="A779" s="13"/>
      <c r="B779" s="13"/>
      <c r="C779" s="13"/>
      <c r="D779" s="13"/>
      <c r="E779" s="13"/>
      <c r="F779" s="134"/>
      <c r="G779" s="134"/>
      <c r="H779" s="134"/>
      <c r="I779" s="134"/>
      <c r="J779" s="134"/>
      <c r="K779" s="134"/>
      <c r="L779" s="134"/>
      <c r="M779" s="134"/>
      <c r="N779" s="134"/>
      <c r="O779" s="134"/>
      <c r="P779" s="134"/>
      <c r="Q779" s="134"/>
      <c r="R779" s="134"/>
      <c r="S779" s="134"/>
      <c r="T779" s="134"/>
      <c r="U779" s="134"/>
      <c r="V779" s="134"/>
      <c r="W779" s="134"/>
      <c r="X779" s="134"/>
      <c r="Y779" s="134"/>
      <c r="Z779" s="134"/>
    </row>
    <row r="780" spans="1:26" ht="15.75" hidden="1" customHeight="1">
      <c r="A780" s="13"/>
      <c r="B780" s="13"/>
      <c r="C780" s="13"/>
      <c r="D780" s="13"/>
      <c r="E780" s="13"/>
      <c r="F780" s="134"/>
      <c r="G780" s="134"/>
      <c r="H780" s="134"/>
      <c r="I780" s="134"/>
      <c r="J780" s="134"/>
      <c r="K780" s="134"/>
      <c r="L780" s="134"/>
      <c r="M780" s="134"/>
      <c r="N780" s="134"/>
      <c r="O780" s="134"/>
      <c r="P780" s="134"/>
      <c r="Q780" s="134"/>
      <c r="R780" s="134"/>
      <c r="S780" s="134"/>
      <c r="T780" s="134"/>
      <c r="U780" s="134"/>
      <c r="V780" s="134"/>
      <c r="W780" s="134"/>
      <c r="X780" s="134"/>
      <c r="Y780" s="134"/>
      <c r="Z780" s="134"/>
    </row>
    <row r="781" spans="1:26" ht="15.75" hidden="1" customHeight="1">
      <c r="A781" s="13"/>
      <c r="B781" s="13"/>
      <c r="C781" s="13"/>
      <c r="D781" s="13"/>
      <c r="E781" s="13"/>
      <c r="F781" s="134"/>
      <c r="G781" s="134"/>
      <c r="H781" s="134"/>
      <c r="I781" s="134"/>
      <c r="J781" s="134"/>
      <c r="K781" s="134"/>
      <c r="L781" s="134"/>
      <c r="M781" s="134"/>
      <c r="N781" s="134"/>
      <c r="O781" s="134"/>
      <c r="P781" s="134"/>
      <c r="Q781" s="134"/>
      <c r="R781" s="134"/>
      <c r="S781" s="134"/>
      <c r="T781" s="134"/>
      <c r="U781" s="134"/>
      <c r="V781" s="134"/>
      <c r="W781" s="134"/>
      <c r="X781" s="134"/>
      <c r="Y781" s="134"/>
      <c r="Z781" s="134"/>
    </row>
    <row r="782" spans="1:26" ht="15.75" hidden="1" customHeight="1">
      <c r="A782" s="13"/>
      <c r="B782" s="13"/>
      <c r="C782" s="13"/>
      <c r="D782" s="13"/>
      <c r="E782" s="13"/>
      <c r="F782" s="134"/>
      <c r="G782" s="134"/>
      <c r="H782" s="134"/>
      <c r="I782" s="134"/>
      <c r="J782" s="134"/>
      <c r="K782" s="134"/>
      <c r="L782" s="134"/>
      <c r="M782" s="134"/>
      <c r="N782" s="134"/>
      <c r="O782" s="134"/>
      <c r="P782" s="134"/>
      <c r="Q782" s="134"/>
      <c r="R782" s="134"/>
      <c r="S782" s="134"/>
      <c r="T782" s="134"/>
      <c r="U782" s="134"/>
      <c r="V782" s="134"/>
      <c r="W782" s="134"/>
      <c r="X782" s="134"/>
      <c r="Y782" s="134"/>
      <c r="Z782" s="134"/>
    </row>
    <row r="783" spans="1:26" ht="15.75" hidden="1" customHeight="1">
      <c r="A783" s="13"/>
      <c r="B783" s="13"/>
      <c r="C783" s="13"/>
      <c r="D783" s="13"/>
      <c r="E783" s="13"/>
      <c r="F783" s="134"/>
      <c r="G783" s="134"/>
      <c r="H783" s="134"/>
      <c r="I783" s="134"/>
      <c r="J783" s="134"/>
      <c r="K783" s="134"/>
      <c r="L783" s="134"/>
      <c r="M783" s="134"/>
      <c r="N783" s="134"/>
      <c r="O783" s="134"/>
      <c r="P783" s="134"/>
      <c r="Q783" s="134"/>
      <c r="R783" s="134"/>
      <c r="S783" s="134"/>
      <c r="T783" s="134"/>
      <c r="U783" s="134"/>
      <c r="V783" s="134"/>
      <c r="W783" s="134"/>
      <c r="X783" s="134"/>
      <c r="Y783" s="134"/>
      <c r="Z783" s="134"/>
    </row>
    <row r="784" spans="1:26" ht="15.75" hidden="1" customHeight="1">
      <c r="A784" s="13"/>
      <c r="B784" s="13"/>
      <c r="C784" s="13"/>
      <c r="D784" s="13"/>
      <c r="E784" s="13"/>
      <c r="F784" s="134"/>
      <c r="G784" s="134"/>
      <c r="H784" s="134"/>
      <c r="I784" s="134"/>
      <c r="J784" s="134"/>
      <c r="K784" s="134"/>
      <c r="L784" s="134"/>
      <c r="M784" s="134"/>
      <c r="N784" s="134"/>
      <c r="O784" s="134"/>
      <c r="P784" s="134"/>
      <c r="Q784" s="134"/>
      <c r="R784" s="134"/>
      <c r="S784" s="134"/>
      <c r="T784" s="134"/>
      <c r="U784" s="134"/>
      <c r="V784" s="134"/>
      <c r="W784" s="134"/>
      <c r="X784" s="134"/>
      <c r="Y784" s="134"/>
      <c r="Z784" s="134"/>
    </row>
    <row r="785" spans="1:26" ht="15.75" hidden="1" customHeight="1">
      <c r="A785" s="13"/>
      <c r="B785" s="13"/>
      <c r="C785" s="13"/>
      <c r="D785" s="13"/>
      <c r="E785" s="13"/>
      <c r="F785" s="134"/>
      <c r="G785" s="134"/>
      <c r="H785" s="134"/>
      <c r="I785" s="134"/>
      <c r="J785" s="134"/>
      <c r="K785" s="134"/>
      <c r="L785" s="134"/>
      <c r="M785" s="134"/>
      <c r="N785" s="134"/>
      <c r="O785" s="134"/>
      <c r="P785" s="134"/>
      <c r="Q785" s="134"/>
      <c r="R785" s="134"/>
      <c r="S785" s="134"/>
      <c r="T785" s="134"/>
      <c r="U785" s="134"/>
      <c r="V785" s="134"/>
      <c r="W785" s="134"/>
      <c r="X785" s="134"/>
      <c r="Y785" s="134"/>
      <c r="Z785" s="134"/>
    </row>
    <row r="786" spans="1:26" ht="15.75" hidden="1" customHeight="1">
      <c r="A786" s="13"/>
      <c r="B786" s="13"/>
      <c r="C786" s="13"/>
      <c r="D786" s="13"/>
      <c r="E786" s="13"/>
      <c r="F786" s="134"/>
      <c r="G786" s="134"/>
      <c r="H786" s="134"/>
      <c r="I786" s="134"/>
      <c r="J786" s="134"/>
      <c r="K786" s="134"/>
      <c r="L786" s="134"/>
      <c r="M786" s="134"/>
      <c r="N786" s="134"/>
      <c r="O786" s="134"/>
      <c r="P786" s="134"/>
      <c r="Q786" s="134"/>
      <c r="R786" s="134"/>
      <c r="S786" s="134"/>
      <c r="T786" s="134"/>
      <c r="U786" s="134"/>
      <c r="V786" s="134"/>
      <c r="W786" s="134"/>
      <c r="X786" s="134"/>
      <c r="Y786" s="134"/>
      <c r="Z786" s="134"/>
    </row>
    <row r="787" spans="1:26" ht="15.75" hidden="1" customHeight="1">
      <c r="A787" s="13"/>
      <c r="B787" s="13"/>
      <c r="C787" s="13"/>
      <c r="D787" s="13"/>
      <c r="E787" s="13"/>
      <c r="F787" s="134"/>
      <c r="G787" s="134"/>
      <c r="H787" s="134"/>
      <c r="I787" s="134"/>
      <c r="J787" s="134"/>
      <c r="K787" s="134"/>
      <c r="L787" s="134"/>
      <c r="M787" s="134"/>
      <c r="N787" s="134"/>
      <c r="O787" s="134"/>
      <c r="P787" s="134"/>
      <c r="Q787" s="134"/>
      <c r="R787" s="134"/>
      <c r="S787" s="134"/>
      <c r="T787" s="134"/>
      <c r="U787" s="134"/>
      <c r="V787" s="134"/>
      <c r="W787" s="134"/>
      <c r="X787" s="134"/>
      <c r="Y787" s="134"/>
      <c r="Z787" s="134"/>
    </row>
    <row r="788" spans="1:26" ht="15.75" hidden="1" customHeight="1">
      <c r="A788" s="13"/>
      <c r="B788" s="13"/>
      <c r="C788" s="13"/>
      <c r="D788" s="13"/>
      <c r="E788" s="13"/>
      <c r="F788" s="134"/>
      <c r="G788" s="134"/>
      <c r="H788" s="134"/>
      <c r="I788" s="134"/>
      <c r="J788" s="134"/>
      <c r="K788" s="134"/>
      <c r="L788" s="134"/>
      <c r="M788" s="134"/>
      <c r="N788" s="134"/>
      <c r="O788" s="134"/>
      <c r="P788" s="134"/>
      <c r="Q788" s="134"/>
      <c r="R788" s="134"/>
      <c r="S788" s="134"/>
      <c r="T788" s="134"/>
      <c r="U788" s="134"/>
      <c r="V788" s="134"/>
      <c r="W788" s="134"/>
      <c r="X788" s="134"/>
      <c r="Y788" s="134"/>
      <c r="Z788" s="134"/>
    </row>
    <row r="789" spans="1:26" ht="15.75" hidden="1" customHeight="1">
      <c r="A789" s="13"/>
      <c r="B789" s="13"/>
      <c r="C789" s="13"/>
      <c r="D789" s="13"/>
      <c r="E789" s="13"/>
      <c r="F789" s="134"/>
      <c r="G789" s="134"/>
      <c r="H789" s="134"/>
      <c r="I789" s="134"/>
      <c r="J789" s="134"/>
      <c r="K789" s="134"/>
      <c r="L789" s="134"/>
      <c r="M789" s="134"/>
      <c r="N789" s="134"/>
      <c r="O789" s="134"/>
      <c r="P789" s="134"/>
      <c r="Q789" s="134"/>
      <c r="R789" s="134"/>
      <c r="S789" s="134"/>
      <c r="T789" s="134"/>
      <c r="U789" s="134"/>
      <c r="V789" s="134"/>
      <c r="W789" s="134"/>
      <c r="X789" s="134"/>
      <c r="Y789" s="134"/>
      <c r="Z789" s="134"/>
    </row>
    <row r="790" spans="1:26" ht="15.75" hidden="1" customHeight="1">
      <c r="A790" s="13"/>
      <c r="B790" s="13"/>
      <c r="C790" s="13"/>
      <c r="D790" s="13"/>
      <c r="E790" s="13"/>
      <c r="F790" s="134"/>
      <c r="G790" s="134"/>
      <c r="H790" s="134"/>
      <c r="I790" s="134"/>
      <c r="J790" s="134"/>
      <c r="K790" s="134"/>
      <c r="L790" s="134"/>
      <c r="M790" s="134"/>
      <c r="N790" s="134"/>
      <c r="O790" s="134"/>
      <c r="P790" s="134"/>
      <c r="Q790" s="134"/>
      <c r="R790" s="134"/>
      <c r="S790" s="134"/>
      <c r="T790" s="134"/>
      <c r="U790" s="134"/>
      <c r="V790" s="134"/>
      <c r="W790" s="134"/>
      <c r="X790" s="134"/>
      <c r="Y790" s="134"/>
      <c r="Z790" s="134"/>
    </row>
    <row r="791" spans="1:26" ht="15.75" hidden="1" customHeight="1">
      <c r="A791" s="13"/>
      <c r="B791" s="13"/>
      <c r="C791" s="13"/>
      <c r="D791" s="13"/>
      <c r="E791" s="13"/>
      <c r="F791" s="134"/>
      <c r="G791" s="134"/>
      <c r="H791" s="134"/>
      <c r="I791" s="134"/>
      <c r="J791" s="134"/>
      <c r="K791" s="134"/>
      <c r="L791" s="134"/>
      <c r="M791" s="134"/>
      <c r="N791" s="134"/>
      <c r="O791" s="134"/>
      <c r="P791" s="134"/>
      <c r="Q791" s="134"/>
      <c r="R791" s="134"/>
      <c r="S791" s="134"/>
      <c r="T791" s="134"/>
      <c r="U791" s="134"/>
      <c r="V791" s="134"/>
      <c r="W791" s="134"/>
      <c r="X791" s="134"/>
      <c r="Y791" s="134"/>
      <c r="Z791" s="134"/>
    </row>
    <row r="792" spans="1:26" ht="15.75" hidden="1" customHeight="1">
      <c r="A792" s="13"/>
      <c r="B792" s="13"/>
      <c r="C792" s="13"/>
      <c r="D792" s="13"/>
      <c r="E792" s="13"/>
      <c r="F792" s="134"/>
      <c r="G792" s="134"/>
      <c r="H792" s="134"/>
      <c r="I792" s="134"/>
      <c r="J792" s="134"/>
      <c r="K792" s="134"/>
      <c r="L792" s="134"/>
      <c r="M792" s="134"/>
      <c r="N792" s="134"/>
      <c r="O792" s="134"/>
      <c r="P792" s="134"/>
      <c r="Q792" s="134"/>
      <c r="R792" s="134"/>
      <c r="S792" s="134"/>
      <c r="T792" s="134"/>
      <c r="U792" s="134"/>
      <c r="V792" s="134"/>
      <c r="W792" s="134"/>
      <c r="X792" s="134"/>
      <c r="Y792" s="134"/>
      <c r="Z792" s="134"/>
    </row>
    <row r="793" spans="1:26" ht="15.75" hidden="1" customHeight="1">
      <c r="A793" s="13"/>
      <c r="B793" s="13"/>
      <c r="C793" s="13"/>
      <c r="D793" s="13"/>
      <c r="E793" s="13"/>
      <c r="F793" s="134"/>
      <c r="G793" s="134"/>
      <c r="H793" s="134"/>
      <c r="I793" s="134"/>
      <c r="J793" s="134"/>
      <c r="K793" s="134"/>
      <c r="L793" s="134"/>
      <c r="M793" s="134"/>
      <c r="N793" s="134"/>
      <c r="O793" s="134"/>
      <c r="P793" s="134"/>
      <c r="Q793" s="134"/>
      <c r="R793" s="134"/>
      <c r="S793" s="134"/>
      <c r="T793" s="134"/>
      <c r="U793" s="134"/>
      <c r="V793" s="134"/>
      <c r="W793" s="134"/>
      <c r="X793" s="134"/>
      <c r="Y793" s="134"/>
      <c r="Z793" s="134"/>
    </row>
    <row r="794" spans="1:26" ht="15.75" hidden="1" customHeight="1">
      <c r="A794" s="13"/>
      <c r="B794" s="13"/>
      <c r="C794" s="13"/>
      <c r="D794" s="13"/>
      <c r="E794" s="13"/>
      <c r="F794" s="134"/>
      <c r="G794" s="134"/>
      <c r="H794" s="134"/>
      <c r="I794" s="134"/>
      <c r="J794" s="134"/>
      <c r="K794" s="134"/>
      <c r="L794" s="134"/>
      <c r="M794" s="134"/>
      <c r="N794" s="134"/>
      <c r="O794" s="134"/>
      <c r="P794" s="134"/>
      <c r="Q794" s="134"/>
      <c r="R794" s="134"/>
      <c r="S794" s="134"/>
      <c r="T794" s="134"/>
      <c r="U794" s="134"/>
      <c r="V794" s="134"/>
      <c r="W794" s="134"/>
      <c r="X794" s="134"/>
      <c r="Y794" s="134"/>
      <c r="Z794" s="134"/>
    </row>
    <row r="795" spans="1:26" ht="15.75" hidden="1" customHeight="1">
      <c r="A795" s="13"/>
      <c r="B795" s="13"/>
      <c r="C795" s="13"/>
      <c r="D795" s="13"/>
      <c r="E795" s="13"/>
      <c r="F795" s="134"/>
      <c r="G795" s="134"/>
      <c r="H795" s="134"/>
      <c r="I795" s="134"/>
      <c r="J795" s="134"/>
      <c r="K795" s="134"/>
      <c r="L795" s="134"/>
      <c r="M795" s="134"/>
      <c r="N795" s="134"/>
      <c r="O795" s="134"/>
      <c r="P795" s="134"/>
      <c r="Q795" s="134"/>
      <c r="R795" s="134"/>
      <c r="S795" s="134"/>
      <c r="T795" s="134"/>
      <c r="U795" s="134"/>
      <c r="V795" s="134"/>
      <c r="W795" s="134"/>
      <c r="X795" s="134"/>
      <c r="Y795" s="134"/>
      <c r="Z795" s="134"/>
    </row>
    <row r="796" spans="1:26" ht="15.75" hidden="1" customHeight="1">
      <c r="A796" s="13"/>
      <c r="B796" s="13"/>
      <c r="C796" s="13"/>
      <c r="D796" s="13"/>
      <c r="E796" s="13"/>
      <c r="F796" s="134"/>
      <c r="G796" s="134"/>
      <c r="H796" s="134"/>
      <c r="I796" s="134"/>
      <c r="J796" s="134"/>
      <c r="K796" s="134"/>
      <c r="L796" s="134"/>
      <c r="M796" s="134"/>
      <c r="N796" s="134"/>
      <c r="O796" s="134"/>
      <c r="P796" s="134"/>
      <c r="Q796" s="134"/>
      <c r="R796" s="134"/>
      <c r="S796" s="134"/>
      <c r="T796" s="134"/>
      <c r="U796" s="134"/>
      <c r="V796" s="134"/>
      <c r="W796" s="134"/>
      <c r="X796" s="134"/>
      <c r="Y796" s="134"/>
      <c r="Z796" s="134"/>
    </row>
    <row r="797" spans="1:26" ht="15.75" hidden="1" customHeight="1">
      <c r="A797" s="13"/>
      <c r="B797" s="13"/>
      <c r="C797" s="13"/>
      <c r="D797" s="13"/>
      <c r="E797" s="13"/>
      <c r="F797" s="134"/>
      <c r="G797" s="134"/>
      <c r="H797" s="134"/>
      <c r="I797" s="134"/>
      <c r="J797" s="134"/>
      <c r="K797" s="134"/>
      <c r="L797" s="134"/>
      <c r="M797" s="134"/>
      <c r="N797" s="134"/>
      <c r="O797" s="134"/>
      <c r="P797" s="134"/>
      <c r="Q797" s="134"/>
      <c r="R797" s="134"/>
      <c r="S797" s="134"/>
      <c r="T797" s="134"/>
      <c r="U797" s="134"/>
      <c r="V797" s="134"/>
      <c r="W797" s="134"/>
      <c r="X797" s="134"/>
      <c r="Y797" s="134"/>
      <c r="Z797" s="134"/>
    </row>
    <row r="798" spans="1:26" ht="15.75" hidden="1" customHeight="1">
      <c r="A798" s="13"/>
      <c r="B798" s="13"/>
      <c r="C798" s="13"/>
      <c r="D798" s="13"/>
      <c r="E798" s="13"/>
      <c r="F798" s="134"/>
      <c r="G798" s="134"/>
      <c r="H798" s="134"/>
      <c r="I798" s="134"/>
      <c r="J798" s="134"/>
      <c r="K798" s="134"/>
      <c r="L798" s="134"/>
      <c r="M798" s="134"/>
      <c r="N798" s="134"/>
      <c r="O798" s="134"/>
      <c r="P798" s="134"/>
      <c r="Q798" s="134"/>
      <c r="R798" s="134"/>
      <c r="S798" s="134"/>
      <c r="T798" s="134"/>
      <c r="U798" s="134"/>
      <c r="V798" s="134"/>
      <c r="W798" s="134"/>
      <c r="X798" s="134"/>
      <c r="Y798" s="134"/>
      <c r="Z798" s="134"/>
    </row>
    <row r="799" spans="1:26" ht="15.75" hidden="1" customHeight="1">
      <c r="A799" s="13"/>
      <c r="B799" s="13"/>
      <c r="C799" s="13"/>
      <c r="D799" s="13"/>
      <c r="E799" s="13"/>
      <c r="F799" s="134"/>
      <c r="G799" s="134"/>
      <c r="H799" s="134"/>
      <c r="I799" s="134"/>
      <c r="J799" s="134"/>
      <c r="K799" s="134"/>
      <c r="L799" s="134"/>
      <c r="M799" s="134"/>
      <c r="N799" s="134"/>
      <c r="O799" s="134"/>
      <c r="P799" s="134"/>
      <c r="Q799" s="134"/>
      <c r="R799" s="134"/>
      <c r="S799" s="134"/>
      <c r="T799" s="134"/>
      <c r="U799" s="134"/>
      <c r="V799" s="134"/>
      <c r="W799" s="134"/>
      <c r="X799" s="134"/>
      <c r="Y799" s="134"/>
      <c r="Z799" s="134"/>
    </row>
    <row r="800" spans="1:26" ht="15.75" hidden="1" customHeight="1">
      <c r="A800" s="13"/>
      <c r="B800" s="13"/>
      <c r="C800" s="13"/>
      <c r="D800" s="13"/>
      <c r="E800" s="13"/>
      <c r="F800" s="134"/>
      <c r="G800" s="134"/>
      <c r="H800" s="134"/>
      <c r="I800" s="134"/>
      <c r="J800" s="134"/>
      <c r="K800" s="134"/>
      <c r="L800" s="134"/>
      <c r="M800" s="134"/>
      <c r="N800" s="134"/>
      <c r="O800" s="134"/>
      <c r="P800" s="134"/>
      <c r="Q800" s="134"/>
      <c r="R800" s="134"/>
      <c r="S800" s="134"/>
      <c r="T800" s="134"/>
      <c r="U800" s="134"/>
      <c r="V800" s="134"/>
      <c r="W800" s="134"/>
      <c r="X800" s="134"/>
      <c r="Y800" s="134"/>
      <c r="Z800" s="134"/>
    </row>
    <row r="801" spans="1:26" ht="15.75" hidden="1" customHeight="1">
      <c r="A801" s="13"/>
      <c r="B801" s="13"/>
      <c r="C801" s="13"/>
      <c r="D801" s="13"/>
      <c r="E801" s="13"/>
      <c r="F801" s="134"/>
      <c r="G801" s="134"/>
      <c r="H801" s="134"/>
      <c r="I801" s="134"/>
      <c r="J801" s="134"/>
      <c r="K801" s="134"/>
      <c r="L801" s="134"/>
      <c r="M801" s="134"/>
      <c r="N801" s="134"/>
      <c r="O801" s="134"/>
      <c r="P801" s="134"/>
      <c r="Q801" s="134"/>
      <c r="R801" s="134"/>
      <c r="S801" s="134"/>
      <c r="T801" s="134"/>
      <c r="U801" s="134"/>
      <c r="V801" s="134"/>
      <c r="W801" s="134"/>
      <c r="X801" s="134"/>
      <c r="Y801" s="134"/>
      <c r="Z801" s="134"/>
    </row>
    <row r="802" spans="1:26" ht="15.75" hidden="1" customHeight="1">
      <c r="A802" s="13"/>
      <c r="B802" s="13"/>
      <c r="C802" s="13"/>
      <c r="D802" s="13"/>
      <c r="E802" s="13"/>
      <c r="F802" s="134"/>
      <c r="G802" s="134"/>
      <c r="H802" s="134"/>
      <c r="I802" s="134"/>
      <c r="J802" s="134"/>
      <c r="K802" s="134"/>
      <c r="L802" s="134"/>
      <c r="M802" s="134"/>
      <c r="N802" s="134"/>
      <c r="O802" s="134"/>
      <c r="P802" s="134"/>
      <c r="Q802" s="134"/>
      <c r="R802" s="134"/>
      <c r="S802" s="134"/>
      <c r="T802" s="134"/>
      <c r="U802" s="134"/>
      <c r="V802" s="134"/>
      <c r="W802" s="134"/>
      <c r="X802" s="134"/>
      <c r="Y802" s="134"/>
      <c r="Z802" s="134"/>
    </row>
    <row r="803" spans="1:26" ht="15.75" hidden="1" customHeight="1">
      <c r="A803" s="13"/>
      <c r="B803" s="13"/>
      <c r="C803" s="13"/>
      <c r="D803" s="13"/>
      <c r="E803" s="13"/>
      <c r="F803" s="134"/>
      <c r="G803" s="134"/>
      <c r="H803" s="134"/>
      <c r="I803" s="134"/>
      <c r="J803" s="134"/>
      <c r="K803" s="134"/>
      <c r="L803" s="134"/>
      <c r="M803" s="134"/>
      <c r="N803" s="134"/>
      <c r="O803" s="134"/>
      <c r="P803" s="134"/>
      <c r="Q803" s="134"/>
      <c r="R803" s="134"/>
      <c r="S803" s="134"/>
      <c r="T803" s="134"/>
      <c r="U803" s="134"/>
      <c r="V803" s="134"/>
      <c r="W803" s="134"/>
      <c r="X803" s="134"/>
      <c r="Y803" s="134"/>
      <c r="Z803" s="134"/>
    </row>
    <row r="804" spans="1:26" ht="15.75" hidden="1" customHeight="1">
      <c r="A804" s="13"/>
      <c r="B804" s="13"/>
      <c r="C804" s="13"/>
      <c r="D804" s="13"/>
      <c r="E804" s="13"/>
      <c r="F804" s="134"/>
      <c r="G804" s="134"/>
      <c r="H804" s="134"/>
      <c r="I804" s="134"/>
      <c r="J804" s="134"/>
      <c r="K804" s="134"/>
      <c r="L804" s="134"/>
      <c r="M804" s="134"/>
      <c r="N804" s="134"/>
      <c r="O804" s="134"/>
      <c r="P804" s="134"/>
      <c r="Q804" s="134"/>
      <c r="R804" s="134"/>
      <c r="S804" s="134"/>
      <c r="T804" s="134"/>
      <c r="U804" s="134"/>
      <c r="V804" s="134"/>
      <c r="W804" s="134"/>
      <c r="X804" s="134"/>
      <c r="Y804" s="134"/>
      <c r="Z804" s="134"/>
    </row>
    <row r="805" spans="1:26" ht="15.75" hidden="1" customHeight="1">
      <c r="A805" s="13"/>
      <c r="B805" s="13"/>
      <c r="C805" s="13"/>
      <c r="D805" s="13"/>
      <c r="E805" s="13"/>
      <c r="F805" s="134"/>
      <c r="G805" s="134"/>
      <c r="H805" s="134"/>
      <c r="I805" s="134"/>
      <c r="J805" s="134"/>
      <c r="K805" s="134"/>
      <c r="L805" s="134"/>
      <c r="M805" s="134"/>
      <c r="N805" s="134"/>
      <c r="O805" s="134"/>
      <c r="P805" s="134"/>
      <c r="Q805" s="134"/>
      <c r="R805" s="134"/>
      <c r="S805" s="134"/>
      <c r="T805" s="134"/>
      <c r="U805" s="134"/>
      <c r="V805" s="134"/>
      <c r="W805" s="134"/>
      <c r="X805" s="134"/>
      <c r="Y805" s="134"/>
      <c r="Z805" s="134"/>
    </row>
    <row r="806" spans="1:26" ht="15.75" hidden="1" customHeight="1">
      <c r="A806" s="13"/>
      <c r="B806" s="13"/>
      <c r="C806" s="13"/>
      <c r="D806" s="13"/>
      <c r="E806" s="13"/>
      <c r="F806" s="134"/>
      <c r="G806" s="134"/>
      <c r="H806" s="134"/>
      <c r="I806" s="134"/>
      <c r="J806" s="134"/>
      <c r="K806" s="134"/>
      <c r="L806" s="134"/>
      <c r="M806" s="134"/>
      <c r="N806" s="134"/>
      <c r="O806" s="134"/>
      <c r="P806" s="134"/>
      <c r="Q806" s="134"/>
      <c r="R806" s="134"/>
      <c r="S806" s="134"/>
      <c r="T806" s="134"/>
      <c r="U806" s="134"/>
      <c r="V806" s="134"/>
      <c r="W806" s="134"/>
      <c r="X806" s="134"/>
      <c r="Y806" s="134"/>
      <c r="Z806" s="134"/>
    </row>
    <row r="807" spans="1:26" ht="15.75" hidden="1" customHeight="1">
      <c r="A807" s="13"/>
      <c r="B807" s="13"/>
      <c r="C807" s="13"/>
      <c r="D807" s="13"/>
      <c r="E807" s="13"/>
      <c r="F807" s="134"/>
      <c r="G807" s="134"/>
      <c r="H807" s="134"/>
      <c r="I807" s="134"/>
      <c r="J807" s="134"/>
      <c r="K807" s="134"/>
      <c r="L807" s="134"/>
      <c r="M807" s="134"/>
      <c r="N807" s="134"/>
      <c r="O807" s="134"/>
      <c r="P807" s="134"/>
      <c r="Q807" s="134"/>
      <c r="R807" s="134"/>
      <c r="S807" s="134"/>
      <c r="T807" s="134"/>
      <c r="U807" s="134"/>
      <c r="V807" s="134"/>
      <c r="W807" s="134"/>
      <c r="X807" s="134"/>
      <c r="Y807" s="134"/>
      <c r="Z807" s="134"/>
    </row>
    <row r="808" spans="1:26" ht="15.75" hidden="1" customHeight="1">
      <c r="A808" s="13"/>
      <c r="B808" s="13"/>
      <c r="C808" s="13"/>
      <c r="D808" s="13"/>
      <c r="E808" s="13"/>
      <c r="F808" s="134"/>
      <c r="G808" s="134"/>
      <c r="H808" s="134"/>
      <c r="I808" s="134"/>
      <c r="J808" s="134"/>
      <c r="K808" s="134"/>
      <c r="L808" s="134"/>
      <c r="M808" s="134"/>
      <c r="N808" s="134"/>
      <c r="O808" s="134"/>
      <c r="P808" s="134"/>
      <c r="Q808" s="134"/>
      <c r="R808" s="134"/>
      <c r="S808" s="134"/>
      <c r="T808" s="134"/>
      <c r="U808" s="134"/>
      <c r="V808" s="134"/>
      <c r="W808" s="134"/>
      <c r="X808" s="134"/>
      <c r="Y808" s="134"/>
      <c r="Z808" s="134"/>
    </row>
    <row r="809" spans="1:26" ht="15.75" hidden="1" customHeight="1">
      <c r="A809" s="13"/>
      <c r="B809" s="13"/>
      <c r="C809" s="13"/>
      <c r="D809" s="13"/>
      <c r="E809" s="13"/>
      <c r="F809" s="134"/>
      <c r="G809" s="134"/>
      <c r="H809" s="134"/>
      <c r="I809" s="134"/>
      <c r="J809" s="134"/>
      <c r="K809" s="134"/>
      <c r="L809" s="134"/>
      <c r="M809" s="134"/>
      <c r="N809" s="134"/>
      <c r="O809" s="134"/>
      <c r="P809" s="134"/>
      <c r="Q809" s="134"/>
      <c r="R809" s="134"/>
      <c r="S809" s="134"/>
      <c r="T809" s="134"/>
      <c r="U809" s="134"/>
      <c r="V809" s="134"/>
      <c r="W809" s="134"/>
      <c r="X809" s="134"/>
      <c r="Y809" s="134"/>
      <c r="Z809" s="134"/>
    </row>
    <row r="810" spans="1:26" ht="15.75" hidden="1" customHeight="1">
      <c r="A810" s="13"/>
      <c r="B810" s="13"/>
      <c r="C810" s="13"/>
      <c r="D810" s="13"/>
      <c r="E810" s="13"/>
      <c r="F810" s="134"/>
      <c r="G810" s="134"/>
      <c r="H810" s="134"/>
      <c r="I810" s="134"/>
      <c r="J810" s="134"/>
      <c r="K810" s="134"/>
      <c r="L810" s="134"/>
      <c r="M810" s="134"/>
      <c r="N810" s="134"/>
      <c r="O810" s="134"/>
      <c r="P810" s="134"/>
      <c r="Q810" s="134"/>
      <c r="R810" s="134"/>
      <c r="S810" s="134"/>
      <c r="T810" s="134"/>
      <c r="U810" s="134"/>
      <c r="V810" s="134"/>
      <c r="W810" s="134"/>
      <c r="X810" s="134"/>
      <c r="Y810" s="134"/>
      <c r="Z810" s="134"/>
    </row>
    <row r="811" spans="1:26" ht="15.75" hidden="1" customHeight="1">
      <c r="A811" s="13"/>
      <c r="B811" s="13"/>
      <c r="C811" s="13"/>
      <c r="D811" s="13"/>
      <c r="E811" s="13"/>
      <c r="F811" s="134"/>
      <c r="G811" s="134"/>
      <c r="H811" s="134"/>
      <c r="I811" s="134"/>
      <c r="J811" s="134"/>
      <c r="K811" s="134"/>
      <c r="L811" s="134"/>
      <c r="M811" s="134"/>
      <c r="N811" s="134"/>
      <c r="O811" s="134"/>
      <c r="P811" s="134"/>
      <c r="Q811" s="134"/>
      <c r="R811" s="134"/>
      <c r="S811" s="134"/>
      <c r="T811" s="134"/>
      <c r="U811" s="134"/>
      <c r="V811" s="134"/>
      <c r="W811" s="134"/>
      <c r="X811" s="134"/>
      <c r="Y811" s="134"/>
      <c r="Z811" s="134"/>
    </row>
    <row r="812" spans="1:26" ht="15.75" hidden="1" customHeight="1">
      <c r="A812" s="13"/>
      <c r="B812" s="13"/>
      <c r="C812" s="13"/>
      <c r="D812" s="13"/>
      <c r="E812" s="13"/>
      <c r="F812" s="134"/>
      <c r="G812" s="134"/>
      <c r="H812" s="134"/>
      <c r="I812" s="134"/>
      <c r="J812" s="134"/>
      <c r="K812" s="134"/>
      <c r="L812" s="134"/>
      <c r="M812" s="134"/>
      <c r="N812" s="134"/>
      <c r="O812" s="134"/>
      <c r="P812" s="134"/>
      <c r="Q812" s="134"/>
      <c r="R812" s="134"/>
      <c r="S812" s="134"/>
      <c r="T812" s="134"/>
      <c r="U812" s="134"/>
      <c r="V812" s="134"/>
      <c r="W812" s="134"/>
      <c r="X812" s="134"/>
      <c r="Y812" s="134"/>
      <c r="Z812" s="134"/>
    </row>
    <row r="813" spans="1:26" ht="15.75" hidden="1" customHeight="1">
      <c r="A813" s="13"/>
      <c r="B813" s="13"/>
      <c r="C813" s="13"/>
      <c r="D813" s="13"/>
      <c r="E813" s="13"/>
      <c r="F813" s="134"/>
      <c r="G813" s="134"/>
      <c r="H813" s="134"/>
      <c r="I813" s="134"/>
      <c r="J813" s="134"/>
      <c r="K813" s="134"/>
      <c r="L813" s="134"/>
      <c r="M813" s="134"/>
      <c r="N813" s="134"/>
      <c r="O813" s="134"/>
      <c r="P813" s="134"/>
      <c r="Q813" s="134"/>
      <c r="R813" s="134"/>
      <c r="S813" s="134"/>
      <c r="T813" s="134"/>
      <c r="U813" s="134"/>
      <c r="V813" s="134"/>
      <c r="W813" s="134"/>
      <c r="X813" s="134"/>
      <c r="Y813" s="134"/>
      <c r="Z813" s="134"/>
    </row>
    <row r="814" spans="1:26" ht="15.75" hidden="1" customHeight="1">
      <c r="A814" s="13"/>
      <c r="B814" s="13"/>
      <c r="C814" s="13"/>
      <c r="D814" s="13"/>
      <c r="E814" s="13"/>
      <c r="F814" s="134"/>
      <c r="G814" s="134"/>
      <c r="H814" s="134"/>
      <c r="I814" s="134"/>
      <c r="J814" s="134"/>
      <c r="K814" s="134"/>
      <c r="L814" s="134"/>
      <c r="M814" s="134"/>
      <c r="N814" s="134"/>
      <c r="O814" s="134"/>
      <c r="P814" s="134"/>
      <c r="Q814" s="134"/>
      <c r="R814" s="134"/>
      <c r="S814" s="134"/>
      <c r="T814" s="134"/>
      <c r="U814" s="134"/>
      <c r="V814" s="134"/>
      <c r="W814" s="134"/>
      <c r="X814" s="134"/>
      <c r="Y814" s="134"/>
      <c r="Z814" s="134"/>
    </row>
    <row r="815" spans="1:26" ht="15.75" hidden="1" customHeight="1">
      <c r="A815" s="13"/>
      <c r="B815" s="13"/>
      <c r="C815" s="13"/>
      <c r="D815" s="13"/>
      <c r="E815" s="13"/>
      <c r="F815" s="134"/>
      <c r="G815" s="134"/>
      <c r="H815" s="134"/>
      <c r="I815" s="134"/>
      <c r="J815" s="134"/>
      <c r="K815" s="134"/>
      <c r="L815" s="134"/>
      <c r="M815" s="134"/>
      <c r="N815" s="134"/>
      <c r="O815" s="134"/>
      <c r="P815" s="134"/>
      <c r="Q815" s="134"/>
      <c r="R815" s="134"/>
      <c r="S815" s="134"/>
      <c r="T815" s="134"/>
      <c r="U815" s="134"/>
      <c r="V815" s="134"/>
      <c r="W815" s="134"/>
      <c r="X815" s="134"/>
      <c r="Y815" s="134"/>
      <c r="Z815" s="134"/>
    </row>
    <row r="816" spans="1:26" ht="15.75" hidden="1" customHeight="1">
      <c r="A816" s="13"/>
      <c r="B816" s="13"/>
      <c r="C816" s="13"/>
      <c r="D816" s="13"/>
      <c r="E816" s="13"/>
      <c r="F816" s="134"/>
      <c r="G816" s="134"/>
      <c r="H816" s="134"/>
      <c r="I816" s="134"/>
      <c r="J816" s="134"/>
      <c r="K816" s="134"/>
      <c r="L816" s="134"/>
      <c r="M816" s="134"/>
      <c r="N816" s="134"/>
      <c r="O816" s="134"/>
      <c r="P816" s="134"/>
      <c r="Q816" s="134"/>
      <c r="R816" s="134"/>
      <c r="S816" s="134"/>
      <c r="T816" s="134"/>
      <c r="U816" s="134"/>
      <c r="V816" s="134"/>
      <c r="W816" s="134"/>
      <c r="X816" s="134"/>
      <c r="Y816" s="134"/>
      <c r="Z816" s="134"/>
    </row>
    <row r="817" spans="1:26" ht="15.75" hidden="1" customHeight="1">
      <c r="A817" s="13"/>
      <c r="B817" s="13"/>
      <c r="C817" s="13"/>
      <c r="D817" s="13"/>
      <c r="E817" s="13"/>
      <c r="F817" s="134"/>
      <c r="G817" s="134"/>
      <c r="H817" s="134"/>
      <c r="I817" s="134"/>
      <c r="J817" s="134"/>
      <c r="K817" s="134"/>
      <c r="L817" s="134"/>
      <c r="M817" s="134"/>
      <c r="N817" s="134"/>
      <c r="O817" s="134"/>
      <c r="P817" s="134"/>
      <c r="Q817" s="134"/>
      <c r="R817" s="134"/>
      <c r="S817" s="134"/>
      <c r="T817" s="134"/>
      <c r="U817" s="134"/>
      <c r="V817" s="134"/>
      <c r="W817" s="134"/>
      <c r="X817" s="134"/>
      <c r="Y817" s="134"/>
      <c r="Z817" s="134"/>
    </row>
    <row r="818" spans="1:26" ht="15.75" hidden="1" customHeight="1">
      <c r="A818" s="13"/>
      <c r="B818" s="13"/>
      <c r="C818" s="13"/>
      <c r="D818" s="13"/>
      <c r="E818" s="13"/>
      <c r="F818" s="134"/>
      <c r="G818" s="134"/>
      <c r="H818" s="134"/>
      <c r="I818" s="134"/>
      <c r="J818" s="134"/>
      <c r="K818" s="134"/>
      <c r="L818" s="134"/>
      <c r="M818" s="134"/>
      <c r="N818" s="134"/>
      <c r="O818" s="134"/>
      <c r="P818" s="134"/>
      <c r="Q818" s="134"/>
      <c r="R818" s="134"/>
      <c r="S818" s="134"/>
      <c r="T818" s="134"/>
      <c r="U818" s="134"/>
      <c r="V818" s="134"/>
      <c r="W818" s="134"/>
      <c r="X818" s="134"/>
      <c r="Y818" s="134"/>
      <c r="Z818" s="134"/>
    </row>
    <row r="819" spans="1:26" ht="15.75" hidden="1" customHeight="1">
      <c r="A819" s="13"/>
      <c r="B819" s="13"/>
      <c r="C819" s="13"/>
      <c r="D819" s="13"/>
      <c r="E819" s="13"/>
      <c r="F819" s="134"/>
      <c r="G819" s="134"/>
      <c r="H819" s="134"/>
      <c r="I819" s="134"/>
      <c r="J819" s="134"/>
      <c r="K819" s="134"/>
      <c r="L819" s="134"/>
      <c r="M819" s="134"/>
      <c r="N819" s="134"/>
      <c r="O819" s="134"/>
      <c r="P819" s="134"/>
      <c r="Q819" s="134"/>
      <c r="R819" s="134"/>
      <c r="S819" s="134"/>
      <c r="T819" s="134"/>
      <c r="U819" s="134"/>
      <c r="V819" s="134"/>
      <c r="W819" s="134"/>
      <c r="X819" s="134"/>
      <c r="Y819" s="134"/>
      <c r="Z819" s="134"/>
    </row>
    <row r="820" spans="1:26" ht="15.75" hidden="1" customHeight="1">
      <c r="A820" s="13"/>
      <c r="B820" s="13"/>
      <c r="C820" s="13"/>
      <c r="D820" s="13"/>
      <c r="E820" s="13"/>
      <c r="F820" s="134"/>
      <c r="G820" s="134"/>
      <c r="H820" s="134"/>
      <c r="I820" s="134"/>
      <c r="J820" s="134"/>
      <c r="K820" s="134"/>
      <c r="L820" s="134"/>
      <c r="M820" s="134"/>
      <c r="N820" s="134"/>
      <c r="O820" s="134"/>
      <c r="P820" s="134"/>
      <c r="Q820" s="134"/>
      <c r="R820" s="134"/>
      <c r="S820" s="134"/>
      <c r="T820" s="134"/>
      <c r="U820" s="134"/>
      <c r="V820" s="134"/>
      <c r="W820" s="134"/>
      <c r="X820" s="134"/>
      <c r="Y820" s="134"/>
      <c r="Z820" s="134"/>
    </row>
    <row r="821" spans="1:26" ht="15.75" hidden="1" customHeight="1">
      <c r="A821" s="13"/>
      <c r="B821" s="13"/>
      <c r="C821" s="13"/>
      <c r="D821" s="13"/>
      <c r="E821" s="13"/>
      <c r="F821" s="134"/>
      <c r="G821" s="134"/>
      <c r="H821" s="134"/>
      <c r="I821" s="134"/>
      <c r="J821" s="134"/>
      <c r="K821" s="134"/>
      <c r="L821" s="134"/>
      <c r="M821" s="134"/>
      <c r="N821" s="134"/>
      <c r="O821" s="134"/>
      <c r="P821" s="134"/>
      <c r="Q821" s="134"/>
      <c r="R821" s="134"/>
      <c r="S821" s="134"/>
      <c r="T821" s="134"/>
      <c r="U821" s="134"/>
      <c r="V821" s="134"/>
      <c r="W821" s="134"/>
      <c r="X821" s="134"/>
      <c r="Y821" s="134"/>
      <c r="Z821" s="134"/>
    </row>
    <row r="822" spans="1:26" ht="15.75" hidden="1" customHeight="1">
      <c r="A822" s="13"/>
      <c r="B822" s="13"/>
      <c r="C822" s="13"/>
      <c r="D822" s="13"/>
      <c r="E822" s="13"/>
      <c r="F822" s="134"/>
      <c r="G822" s="134"/>
      <c r="H822" s="134"/>
      <c r="I822" s="134"/>
      <c r="J822" s="134"/>
      <c r="K822" s="134"/>
      <c r="L822" s="134"/>
      <c r="M822" s="134"/>
      <c r="N822" s="134"/>
      <c r="O822" s="134"/>
      <c r="P822" s="134"/>
      <c r="Q822" s="134"/>
      <c r="R822" s="134"/>
      <c r="S822" s="134"/>
      <c r="T822" s="134"/>
      <c r="U822" s="134"/>
      <c r="V822" s="134"/>
      <c r="W822" s="134"/>
      <c r="X822" s="134"/>
      <c r="Y822" s="134"/>
      <c r="Z822" s="134"/>
    </row>
    <row r="823" spans="1:26" ht="15.75" hidden="1" customHeight="1">
      <c r="A823" s="13"/>
      <c r="B823" s="13"/>
      <c r="C823" s="13"/>
      <c r="D823" s="13"/>
      <c r="E823" s="13"/>
      <c r="F823" s="134"/>
      <c r="G823" s="134"/>
      <c r="H823" s="134"/>
      <c r="I823" s="134"/>
      <c r="J823" s="134"/>
      <c r="K823" s="134"/>
      <c r="L823" s="134"/>
      <c r="M823" s="134"/>
      <c r="N823" s="134"/>
      <c r="O823" s="134"/>
      <c r="P823" s="134"/>
      <c r="Q823" s="134"/>
      <c r="R823" s="134"/>
      <c r="S823" s="134"/>
      <c r="T823" s="134"/>
      <c r="U823" s="134"/>
      <c r="V823" s="134"/>
      <c r="W823" s="134"/>
      <c r="X823" s="134"/>
      <c r="Y823" s="134"/>
      <c r="Z823" s="134"/>
    </row>
    <row r="824" spans="1:26" ht="15.75" hidden="1" customHeight="1">
      <c r="A824" s="13"/>
      <c r="B824" s="13"/>
      <c r="C824" s="13"/>
      <c r="D824" s="13"/>
      <c r="E824" s="13"/>
      <c r="F824" s="134"/>
      <c r="G824" s="134"/>
      <c r="H824" s="134"/>
      <c r="I824" s="134"/>
      <c r="J824" s="134"/>
      <c r="K824" s="134"/>
      <c r="L824" s="134"/>
      <c r="M824" s="134"/>
      <c r="N824" s="134"/>
      <c r="O824" s="134"/>
      <c r="P824" s="134"/>
      <c r="Q824" s="134"/>
      <c r="R824" s="134"/>
      <c r="S824" s="134"/>
      <c r="T824" s="134"/>
      <c r="U824" s="134"/>
      <c r="V824" s="134"/>
      <c r="W824" s="134"/>
      <c r="X824" s="134"/>
      <c r="Y824" s="134"/>
      <c r="Z824" s="134"/>
    </row>
    <row r="825" spans="1:26" ht="15.75" hidden="1" customHeight="1">
      <c r="A825" s="13"/>
      <c r="B825" s="13"/>
      <c r="C825" s="13"/>
      <c r="D825" s="13"/>
      <c r="E825" s="13"/>
      <c r="F825" s="134"/>
      <c r="G825" s="134"/>
      <c r="H825" s="134"/>
      <c r="I825" s="134"/>
      <c r="J825" s="134"/>
      <c r="K825" s="134"/>
      <c r="L825" s="134"/>
      <c r="M825" s="134"/>
      <c r="N825" s="134"/>
      <c r="O825" s="134"/>
      <c r="P825" s="134"/>
      <c r="Q825" s="134"/>
      <c r="R825" s="134"/>
      <c r="S825" s="134"/>
      <c r="T825" s="134"/>
      <c r="U825" s="134"/>
      <c r="V825" s="134"/>
      <c r="W825" s="134"/>
      <c r="X825" s="134"/>
      <c r="Y825" s="134"/>
      <c r="Z825" s="134"/>
    </row>
    <row r="826" spans="1:26" ht="15.75" hidden="1" customHeight="1">
      <c r="A826" s="13"/>
      <c r="B826" s="13"/>
      <c r="C826" s="13"/>
      <c r="D826" s="13"/>
      <c r="E826" s="13"/>
      <c r="F826" s="134"/>
      <c r="G826" s="134"/>
      <c r="H826" s="134"/>
      <c r="I826" s="134"/>
      <c r="J826" s="134"/>
      <c r="K826" s="134"/>
      <c r="L826" s="134"/>
      <c r="M826" s="134"/>
      <c r="N826" s="134"/>
      <c r="O826" s="134"/>
      <c r="P826" s="134"/>
      <c r="Q826" s="134"/>
      <c r="R826" s="134"/>
      <c r="S826" s="134"/>
      <c r="T826" s="134"/>
      <c r="U826" s="134"/>
      <c r="V826" s="134"/>
      <c r="W826" s="134"/>
      <c r="X826" s="134"/>
      <c r="Y826" s="134"/>
      <c r="Z826" s="134"/>
    </row>
    <row r="827" spans="1:26" ht="15.75" hidden="1" customHeight="1">
      <c r="A827" s="13"/>
      <c r="B827" s="13"/>
      <c r="C827" s="13"/>
      <c r="D827" s="13"/>
      <c r="E827" s="13"/>
      <c r="F827" s="134"/>
      <c r="G827" s="134"/>
      <c r="H827" s="134"/>
      <c r="I827" s="134"/>
      <c r="J827" s="134"/>
      <c r="K827" s="134"/>
      <c r="L827" s="134"/>
      <c r="M827" s="134"/>
      <c r="N827" s="134"/>
      <c r="O827" s="134"/>
      <c r="P827" s="134"/>
      <c r="Q827" s="134"/>
      <c r="R827" s="134"/>
      <c r="S827" s="134"/>
      <c r="T827" s="134"/>
      <c r="U827" s="134"/>
      <c r="V827" s="134"/>
      <c r="W827" s="134"/>
      <c r="X827" s="134"/>
      <c r="Y827" s="134"/>
      <c r="Z827" s="134"/>
    </row>
    <row r="828" spans="1:26" ht="15.75" hidden="1" customHeight="1">
      <c r="A828" s="13"/>
      <c r="B828" s="13"/>
      <c r="C828" s="13"/>
      <c r="D828" s="13"/>
      <c r="E828" s="13"/>
      <c r="F828" s="134"/>
      <c r="G828" s="134"/>
      <c r="H828" s="134"/>
      <c r="I828" s="134"/>
      <c r="J828" s="134"/>
      <c r="K828" s="134"/>
      <c r="L828" s="134"/>
      <c r="M828" s="134"/>
      <c r="N828" s="134"/>
      <c r="O828" s="134"/>
      <c r="P828" s="134"/>
      <c r="Q828" s="134"/>
      <c r="R828" s="134"/>
      <c r="S828" s="134"/>
      <c r="T828" s="134"/>
      <c r="U828" s="134"/>
      <c r="V828" s="134"/>
      <c r="W828" s="134"/>
      <c r="X828" s="134"/>
      <c r="Y828" s="134"/>
      <c r="Z828" s="134"/>
    </row>
    <row r="829" spans="1:26" ht="15.75" hidden="1" customHeight="1">
      <c r="A829" s="13"/>
      <c r="B829" s="13"/>
      <c r="C829" s="13"/>
      <c r="D829" s="13"/>
      <c r="E829" s="13"/>
      <c r="F829" s="134"/>
      <c r="G829" s="134"/>
      <c r="H829" s="134"/>
      <c r="I829" s="134"/>
      <c r="J829" s="134"/>
      <c r="K829" s="134"/>
      <c r="L829" s="134"/>
      <c r="M829" s="134"/>
      <c r="N829" s="134"/>
      <c r="O829" s="134"/>
      <c r="P829" s="134"/>
      <c r="Q829" s="134"/>
      <c r="R829" s="134"/>
      <c r="S829" s="134"/>
      <c r="T829" s="134"/>
      <c r="U829" s="134"/>
      <c r="V829" s="134"/>
      <c r="W829" s="134"/>
      <c r="X829" s="134"/>
      <c r="Y829" s="134"/>
      <c r="Z829" s="134"/>
    </row>
    <row r="830" spans="1:26" ht="15.75" hidden="1" customHeight="1">
      <c r="A830" s="13"/>
      <c r="B830" s="13"/>
      <c r="C830" s="13"/>
      <c r="D830" s="13"/>
      <c r="E830" s="13"/>
      <c r="F830" s="134"/>
      <c r="G830" s="134"/>
      <c r="H830" s="134"/>
      <c r="I830" s="134"/>
      <c r="J830" s="134"/>
      <c r="K830" s="134"/>
      <c r="L830" s="134"/>
      <c r="M830" s="134"/>
      <c r="N830" s="134"/>
      <c r="O830" s="134"/>
      <c r="P830" s="134"/>
      <c r="Q830" s="134"/>
      <c r="R830" s="134"/>
      <c r="S830" s="134"/>
      <c r="T830" s="134"/>
      <c r="U830" s="134"/>
      <c r="V830" s="134"/>
      <c r="W830" s="134"/>
      <c r="X830" s="134"/>
      <c r="Y830" s="134"/>
      <c r="Z830" s="134"/>
    </row>
    <row r="831" spans="1:26" ht="15.75" hidden="1" customHeight="1">
      <c r="A831" s="13"/>
      <c r="B831" s="13"/>
      <c r="C831" s="13"/>
      <c r="D831" s="13"/>
      <c r="E831" s="13"/>
      <c r="F831" s="134"/>
      <c r="G831" s="134"/>
      <c r="H831" s="134"/>
      <c r="I831" s="134"/>
      <c r="J831" s="134"/>
      <c r="K831" s="134"/>
      <c r="L831" s="134"/>
      <c r="M831" s="134"/>
      <c r="N831" s="134"/>
      <c r="O831" s="134"/>
      <c r="P831" s="134"/>
      <c r="Q831" s="134"/>
      <c r="R831" s="134"/>
      <c r="S831" s="134"/>
      <c r="T831" s="134"/>
      <c r="U831" s="134"/>
      <c r="V831" s="134"/>
      <c r="W831" s="134"/>
      <c r="X831" s="134"/>
      <c r="Y831" s="134"/>
      <c r="Z831" s="134"/>
    </row>
    <row r="832" spans="1:26" ht="15.75" hidden="1" customHeight="1">
      <c r="A832" s="13"/>
      <c r="B832" s="13"/>
      <c r="C832" s="13"/>
      <c r="D832" s="13"/>
      <c r="E832" s="13"/>
      <c r="F832" s="134"/>
      <c r="G832" s="134"/>
      <c r="H832" s="134"/>
      <c r="I832" s="134"/>
      <c r="J832" s="134"/>
      <c r="K832" s="134"/>
      <c r="L832" s="134"/>
      <c r="M832" s="134"/>
      <c r="N832" s="134"/>
      <c r="O832" s="134"/>
      <c r="P832" s="134"/>
      <c r="Q832" s="134"/>
      <c r="R832" s="134"/>
      <c r="S832" s="134"/>
      <c r="T832" s="134"/>
      <c r="U832" s="134"/>
      <c r="V832" s="134"/>
      <c r="W832" s="134"/>
      <c r="X832" s="134"/>
      <c r="Y832" s="134"/>
      <c r="Z832" s="134"/>
    </row>
    <row r="833" spans="1:26" ht="15.75" hidden="1" customHeight="1">
      <c r="A833" s="13"/>
      <c r="B833" s="13"/>
      <c r="C833" s="13"/>
      <c r="D833" s="13"/>
      <c r="E833" s="13"/>
      <c r="F833" s="134"/>
      <c r="G833" s="134"/>
      <c r="H833" s="134"/>
      <c r="I833" s="134"/>
      <c r="J833" s="134"/>
      <c r="K833" s="134"/>
      <c r="L833" s="134"/>
      <c r="M833" s="134"/>
      <c r="N833" s="134"/>
      <c r="O833" s="134"/>
      <c r="P833" s="134"/>
      <c r="Q833" s="134"/>
      <c r="R833" s="134"/>
      <c r="S833" s="134"/>
      <c r="T833" s="134"/>
      <c r="U833" s="134"/>
      <c r="V833" s="134"/>
      <c r="W833" s="134"/>
      <c r="X833" s="134"/>
      <c r="Y833" s="134"/>
      <c r="Z833" s="134"/>
    </row>
    <row r="834" spans="1:26" ht="15.75" hidden="1" customHeight="1">
      <c r="A834" s="13"/>
      <c r="B834" s="13"/>
      <c r="C834" s="13"/>
      <c r="D834" s="13"/>
      <c r="E834" s="13"/>
      <c r="F834" s="134"/>
      <c r="G834" s="134"/>
      <c r="H834" s="134"/>
      <c r="I834" s="134"/>
      <c r="J834" s="134"/>
      <c r="K834" s="134"/>
      <c r="L834" s="134"/>
      <c r="M834" s="134"/>
      <c r="N834" s="134"/>
      <c r="O834" s="134"/>
      <c r="P834" s="134"/>
      <c r="Q834" s="134"/>
      <c r="R834" s="134"/>
      <c r="S834" s="134"/>
      <c r="T834" s="134"/>
      <c r="U834" s="134"/>
      <c r="V834" s="134"/>
      <c r="W834" s="134"/>
      <c r="X834" s="134"/>
      <c r="Y834" s="134"/>
      <c r="Z834" s="134"/>
    </row>
    <row r="835" spans="1:26" ht="15.75" hidden="1" customHeight="1">
      <c r="A835" s="13"/>
      <c r="B835" s="13"/>
      <c r="C835" s="13"/>
      <c r="D835" s="13"/>
      <c r="E835" s="13"/>
      <c r="F835" s="134"/>
      <c r="G835" s="134"/>
      <c r="H835" s="134"/>
      <c r="I835" s="134"/>
      <c r="J835" s="134"/>
      <c r="K835" s="134"/>
      <c r="L835" s="134"/>
      <c r="M835" s="134"/>
      <c r="N835" s="134"/>
      <c r="O835" s="134"/>
      <c r="P835" s="134"/>
      <c r="Q835" s="134"/>
      <c r="R835" s="134"/>
      <c r="S835" s="134"/>
      <c r="T835" s="134"/>
      <c r="U835" s="134"/>
      <c r="V835" s="134"/>
      <c r="W835" s="134"/>
      <c r="X835" s="134"/>
      <c r="Y835" s="134"/>
      <c r="Z835" s="134"/>
    </row>
    <row r="836" spans="1:26" ht="15.75" hidden="1" customHeight="1">
      <c r="A836" s="13"/>
      <c r="B836" s="13"/>
      <c r="C836" s="13"/>
      <c r="D836" s="13"/>
      <c r="E836" s="13"/>
      <c r="F836" s="134"/>
      <c r="G836" s="134"/>
      <c r="H836" s="134"/>
      <c r="I836" s="134"/>
      <c r="J836" s="134"/>
      <c r="K836" s="134"/>
      <c r="L836" s="134"/>
      <c r="M836" s="134"/>
      <c r="N836" s="134"/>
      <c r="O836" s="134"/>
      <c r="P836" s="134"/>
      <c r="Q836" s="134"/>
      <c r="R836" s="134"/>
      <c r="S836" s="134"/>
      <c r="T836" s="134"/>
      <c r="U836" s="134"/>
      <c r="V836" s="134"/>
      <c r="W836" s="134"/>
      <c r="X836" s="134"/>
      <c r="Y836" s="134"/>
      <c r="Z836" s="134"/>
    </row>
    <row r="837" spans="1:26" ht="15.75" hidden="1" customHeight="1">
      <c r="A837" s="13"/>
      <c r="B837" s="13"/>
      <c r="C837" s="13"/>
      <c r="D837" s="13"/>
      <c r="E837" s="13"/>
      <c r="F837" s="134"/>
      <c r="G837" s="134"/>
      <c r="H837" s="134"/>
      <c r="I837" s="134"/>
      <c r="J837" s="134"/>
      <c r="K837" s="134"/>
      <c r="L837" s="134"/>
      <c r="M837" s="134"/>
      <c r="N837" s="134"/>
      <c r="O837" s="134"/>
      <c r="P837" s="134"/>
      <c r="Q837" s="134"/>
      <c r="R837" s="134"/>
      <c r="S837" s="134"/>
      <c r="T837" s="134"/>
      <c r="U837" s="134"/>
      <c r="V837" s="134"/>
      <c r="W837" s="134"/>
      <c r="X837" s="134"/>
      <c r="Y837" s="134"/>
      <c r="Z837" s="134"/>
    </row>
    <row r="838" spans="1:26" ht="15.75" hidden="1" customHeight="1">
      <c r="A838" s="13"/>
      <c r="B838" s="13"/>
      <c r="C838" s="13"/>
      <c r="D838" s="13"/>
      <c r="E838" s="13"/>
      <c r="F838" s="134"/>
      <c r="G838" s="134"/>
      <c r="H838" s="134"/>
      <c r="I838" s="134"/>
      <c r="J838" s="134"/>
      <c r="K838" s="134"/>
      <c r="L838" s="134"/>
      <c r="M838" s="134"/>
      <c r="N838" s="134"/>
      <c r="O838" s="134"/>
      <c r="P838" s="134"/>
      <c r="Q838" s="134"/>
      <c r="R838" s="134"/>
      <c r="S838" s="134"/>
      <c r="T838" s="134"/>
      <c r="U838" s="134"/>
      <c r="V838" s="134"/>
      <c r="W838" s="134"/>
      <c r="X838" s="134"/>
      <c r="Y838" s="134"/>
      <c r="Z838" s="134"/>
    </row>
    <row r="839" spans="1:26" ht="15.75" hidden="1" customHeight="1">
      <c r="A839" s="13"/>
      <c r="B839" s="13"/>
      <c r="C839" s="13"/>
      <c r="D839" s="13"/>
      <c r="E839" s="13"/>
      <c r="F839" s="134"/>
      <c r="G839" s="134"/>
      <c r="H839" s="134"/>
      <c r="I839" s="134"/>
      <c r="J839" s="134"/>
      <c r="K839" s="134"/>
      <c r="L839" s="134"/>
      <c r="M839" s="134"/>
      <c r="N839" s="134"/>
      <c r="O839" s="134"/>
      <c r="P839" s="134"/>
      <c r="Q839" s="134"/>
      <c r="R839" s="134"/>
      <c r="S839" s="134"/>
      <c r="T839" s="134"/>
      <c r="U839" s="134"/>
      <c r="V839" s="134"/>
      <c r="W839" s="134"/>
      <c r="X839" s="134"/>
      <c r="Y839" s="134"/>
      <c r="Z839" s="134"/>
    </row>
    <row r="840" spans="1:26" ht="15.75" hidden="1" customHeight="1">
      <c r="A840" s="13"/>
      <c r="B840" s="13"/>
      <c r="C840" s="13"/>
      <c r="D840" s="13"/>
      <c r="E840" s="13"/>
      <c r="F840" s="134"/>
      <c r="G840" s="134"/>
      <c r="H840" s="134"/>
      <c r="I840" s="134"/>
      <c r="J840" s="134"/>
      <c r="K840" s="134"/>
      <c r="L840" s="134"/>
      <c r="M840" s="134"/>
      <c r="N840" s="134"/>
      <c r="O840" s="134"/>
      <c r="P840" s="134"/>
      <c r="Q840" s="134"/>
      <c r="R840" s="134"/>
      <c r="S840" s="134"/>
      <c r="T840" s="134"/>
      <c r="U840" s="134"/>
      <c r="V840" s="134"/>
      <c r="W840" s="134"/>
      <c r="X840" s="134"/>
      <c r="Y840" s="134"/>
      <c r="Z840" s="134"/>
    </row>
    <row r="841" spans="1:26" ht="15.75" hidden="1" customHeight="1">
      <c r="A841" s="13"/>
      <c r="B841" s="13"/>
      <c r="C841" s="13"/>
      <c r="D841" s="13"/>
      <c r="E841" s="13"/>
      <c r="F841" s="134"/>
      <c r="G841" s="134"/>
      <c r="H841" s="134"/>
      <c r="I841" s="134"/>
      <c r="J841" s="134"/>
      <c r="K841" s="134"/>
      <c r="L841" s="134"/>
      <c r="M841" s="134"/>
      <c r="N841" s="134"/>
      <c r="O841" s="134"/>
      <c r="P841" s="134"/>
      <c r="Q841" s="134"/>
      <c r="R841" s="134"/>
      <c r="S841" s="134"/>
      <c r="T841" s="134"/>
      <c r="U841" s="134"/>
      <c r="V841" s="134"/>
      <c r="W841" s="134"/>
      <c r="X841" s="134"/>
      <c r="Y841" s="134"/>
      <c r="Z841" s="134"/>
    </row>
    <row r="842" spans="1:26" ht="15.75" hidden="1" customHeight="1">
      <c r="A842" s="13"/>
      <c r="B842" s="13"/>
      <c r="C842" s="13"/>
      <c r="D842" s="13"/>
      <c r="E842" s="13"/>
      <c r="F842" s="134"/>
      <c r="G842" s="134"/>
      <c r="H842" s="134"/>
      <c r="I842" s="134"/>
      <c r="J842" s="134"/>
      <c r="K842" s="134"/>
      <c r="L842" s="134"/>
      <c r="M842" s="134"/>
      <c r="N842" s="134"/>
      <c r="O842" s="134"/>
      <c r="P842" s="134"/>
      <c r="Q842" s="134"/>
      <c r="R842" s="134"/>
      <c r="S842" s="134"/>
      <c r="T842" s="134"/>
      <c r="U842" s="134"/>
      <c r="V842" s="134"/>
      <c r="W842" s="134"/>
      <c r="X842" s="134"/>
      <c r="Y842" s="134"/>
      <c r="Z842" s="134"/>
    </row>
    <row r="843" spans="1:26" ht="15.75" hidden="1" customHeight="1">
      <c r="A843" s="13"/>
      <c r="B843" s="13"/>
      <c r="C843" s="13"/>
      <c r="D843" s="13"/>
      <c r="E843" s="13"/>
      <c r="F843" s="134"/>
      <c r="G843" s="134"/>
      <c r="H843" s="134"/>
      <c r="I843" s="134"/>
      <c r="J843" s="134"/>
      <c r="K843" s="134"/>
      <c r="L843" s="134"/>
      <c r="M843" s="134"/>
      <c r="N843" s="134"/>
      <c r="O843" s="134"/>
      <c r="P843" s="134"/>
      <c r="Q843" s="134"/>
      <c r="R843" s="134"/>
      <c r="S843" s="134"/>
      <c r="T843" s="134"/>
      <c r="U843" s="134"/>
      <c r="V843" s="134"/>
      <c r="W843" s="134"/>
      <c r="X843" s="134"/>
      <c r="Y843" s="134"/>
      <c r="Z843" s="134"/>
    </row>
    <row r="844" spans="1:26" ht="15.75" hidden="1" customHeight="1">
      <c r="A844" s="13"/>
      <c r="B844" s="13"/>
      <c r="C844" s="13"/>
      <c r="D844" s="13"/>
      <c r="E844" s="13"/>
      <c r="F844" s="134"/>
      <c r="G844" s="134"/>
      <c r="H844" s="134"/>
      <c r="I844" s="134"/>
      <c r="J844" s="134"/>
      <c r="K844" s="134"/>
      <c r="L844" s="134"/>
      <c r="M844" s="134"/>
      <c r="N844" s="134"/>
      <c r="O844" s="134"/>
      <c r="P844" s="134"/>
      <c r="Q844" s="134"/>
      <c r="R844" s="134"/>
      <c r="S844" s="134"/>
      <c r="T844" s="134"/>
      <c r="U844" s="134"/>
      <c r="V844" s="134"/>
      <c r="W844" s="134"/>
      <c r="X844" s="134"/>
      <c r="Y844" s="134"/>
      <c r="Z844" s="134"/>
    </row>
    <row r="845" spans="1:26" ht="15.75" hidden="1" customHeight="1">
      <c r="A845" s="13"/>
      <c r="B845" s="13"/>
      <c r="C845" s="13"/>
      <c r="D845" s="13"/>
      <c r="E845" s="13"/>
      <c r="F845" s="134"/>
      <c r="G845" s="134"/>
      <c r="H845" s="134"/>
      <c r="I845" s="134"/>
      <c r="J845" s="134"/>
      <c r="K845" s="134"/>
      <c r="L845" s="134"/>
      <c r="M845" s="134"/>
      <c r="N845" s="134"/>
      <c r="O845" s="134"/>
      <c r="P845" s="134"/>
      <c r="Q845" s="134"/>
      <c r="R845" s="134"/>
      <c r="S845" s="134"/>
      <c r="T845" s="134"/>
      <c r="U845" s="134"/>
      <c r="V845" s="134"/>
      <c r="W845" s="134"/>
      <c r="X845" s="134"/>
      <c r="Y845" s="134"/>
      <c r="Z845" s="134"/>
    </row>
    <row r="846" spans="1:26" ht="15.75" hidden="1" customHeight="1">
      <c r="A846" s="13"/>
      <c r="B846" s="13"/>
      <c r="C846" s="13"/>
      <c r="D846" s="13"/>
      <c r="E846" s="13"/>
      <c r="F846" s="134"/>
      <c r="G846" s="134"/>
      <c r="H846" s="134"/>
      <c r="I846" s="134"/>
      <c r="J846" s="134"/>
      <c r="K846" s="134"/>
      <c r="L846" s="134"/>
      <c r="M846" s="134"/>
      <c r="N846" s="134"/>
      <c r="O846" s="134"/>
      <c r="P846" s="134"/>
      <c r="Q846" s="134"/>
      <c r="R846" s="134"/>
      <c r="S846" s="134"/>
      <c r="T846" s="134"/>
      <c r="U846" s="134"/>
      <c r="V846" s="134"/>
      <c r="W846" s="134"/>
      <c r="X846" s="134"/>
      <c r="Y846" s="134"/>
      <c r="Z846" s="134"/>
    </row>
    <row r="847" spans="1:26" ht="15.75" hidden="1" customHeight="1">
      <c r="A847" s="13"/>
      <c r="B847" s="13"/>
      <c r="C847" s="13"/>
      <c r="D847" s="13"/>
      <c r="E847" s="13"/>
      <c r="F847" s="134"/>
      <c r="G847" s="134"/>
      <c r="H847" s="134"/>
      <c r="I847" s="134"/>
      <c r="J847" s="134"/>
      <c r="K847" s="134"/>
      <c r="L847" s="134"/>
      <c r="M847" s="134"/>
      <c r="N847" s="134"/>
      <c r="O847" s="134"/>
      <c r="P847" s="134"/>
      <c r="Q847" s="134"/>
      <c r="R847" s="134"/>
      <c r="S847" s="134"/>
      <c r="T847" s="134"/>
      <c r="U847" s="134"/>
      <c r="V847" s="134"/>
      <c r="W847" s="134"/>
      <c r="X847" s="134"/>
      <c r="Y847" s="134"/>
      <c r="Z847" s="134"/>
    </row>
    <row r="848" spans="1:26" ht="15.75" hidden="1" customHeight="1">
      <c r="A848" s="13"/>
      <c r="B848" s="13"/>
      <c r="C848" s="13"/>
      <c r="D848" s="13"/>
      <c r="E848" s="13"/>
      <c r="F848" s="134"/>
      <c r="G848" s="134"/>
      <c r="H848" s="134"/>
      <c r="I848" s="134"/>
      <c r="J848" s="134"/>
      <c r="K848" s="134"/>
      <c r="L848" s="134"/>
      <c r="M848" s="134"/>
      <c r="N848" s="134"/>
      <c r="O848" s="134"/>
      <c r="P848" s="134"/>
      <c r="Q848" s="134"/>
      <c r="R848" s="134"/>
      <c r="S848" s="134"/>
      <c r="T848" s="134"/>
      <c r="U848" s="134"/>
      <c r="V848" s="134"/>
      <c r="W848" s="134"/>
      <c r="X848" s="134"/>
      <c r="Y848" s="134"/>
      <c r="Z848" s="134"/>
    </row>
    <row r="849" spans="1:26" ht="15.75" hidden="1" customHeight="1">
      <c r="A849" s="13"/>
      <c r="B849" s="13"/>
      <c r="C849" s="13"/>
      <c r="D849" s="13"/>
      <c r="E849" s="13"/>
      <c r="F849" s="134"/>
      <c r="G849" s="134"/>
      <c r="H849" s="134"/>
      <c r="I849" s="134"/>
      <c r="J849" s="134"/>
      <c r="K849" s="134"/>
      <c r="L849" s="134"/>
      <c r="M849" s="134"/>
      <c r="N849" s="134"/>
      <c r="O849" s="134"/>
      <c r="P849" s="134"/>
      <c r="Q849" s="134"/>
      <c r="R849" s="134"/>
      <c r="S849" s="134"/>
      <c r="T849" s="134"/>
      <c r="U849" s="134"/>
      <c r="V849" s="134"/>
      <c r="W849" s="134"/>
      <c r="X849" s="134"/>
      <c r="Y849" s="134"/>
      <c r="Z849" s="134"/>
    </row>
    <row r="850" spans="1:26" ht="15.75" hidden="1" customHeight="1">
      <c r="A850" s="13"/>
      <c r="B850" s="13"/>
      <c r="C850" s="13"/>
      <c r="D850" s="13"/>
      <c r="E850" s="13"/>
      <c r="F850" s="134"/>
      <c r="G850" s="134"/>
      <c r="H850" s="134"/>
      <c r="I850" s="134"/>
      <c r="J850" s="134"/>
      <c r="K850" s="134"/>
      <c r="L850" s="134"/>
      <c r="M850" s="134"/>
      <c r="N850" s="134"/>
      <c r="O850" s="134"/>
      <c r="P850" s="134"/>
      <c r="Q850" s="134"/>
      <c r="R850" s="134"/>
      <c r="S850" s="134"/>
      <c r="T850" s="134"/>
      <c r="U850" s="134"/>
      <c r="V850" s="134"/>
      <c r="W850" s="134"/>
      <c r="X850" s="134"/>
      <c r="Y850" s="134"/>
      <c r="Z850" s="134"/>
    </row>
    <row r="851" spans="1:26" ht="15.75" hidden="1" customHeight="1">
      <c r="A851" s="13"/>
      <c r="B851" s="13"/>
      <c r="C851" s="13"/>
      <c r="D851" s="13"/>
      <c r="E851" s="13"/>
      <c r="F851" s="134"/>
      <c r="G851" s="134"/>
      <c r="H851" s="134"/>
      <c r="I851" s="134"/>
      <c r="J851" s="134"/>
      <c r="K851" s="134"/>
      <c r="L851" s="134"/>
      <c r="M851" s="134"/>
      <c r="N851" s="134"/>
      <c r="O851" s="134"/>
      <c r="P851" s="134"/>
      <c r="Q851" s="134"/>
      <c r="R851" s="134"/>
      <c r="S851" s="134"/>
      <c r="T851" s="134"/>
      <c r="U851" s="134"/>
      <c r="V851" s="134"/>
      <c r="W851" s="134"/>
      <c r="X851" s="134"/>
      <c r="Y851" s="134"/>
      <c r="Z851" s="134"/>
    </row>
    <row r="852" spans="1:26" ht="15.75" hidden="1" customHeight="1">
      <c r="A852" s="13"/>
      <c r="B852" s="13"/>
      <c r="C852" s="13"/>
      <c r="D852" s="13"/>
      <c r="E852" s="13"/>
      <c r="F852" s="134"/>
      <c r="G852" s="134"/>
      <c r="H852" s="134"/>
      <c r="I852" s="134"/>
      <c r="J852" s="134"/>
      <c r="K852" s="134"/>
      <c r="L852" s="134"/>
      <c r="M852" s="134"/>
      <c r="N852" s="134"/>
      <c r="O852" s="134"/>
      <c r="P852" s="134"/>
      <c r="Q852" s="134"/>
      <c r="R852" s="134"/>
      <c r="S852" s="134"/>
      <c r="T852" s="134"/>
      <c r="U852" s="134"/>
      <c r="V852" s="134"/>
      <c r="W852" s="134"/>
      <c r="X852" s="134"/>
      <c r="Y852" s="134"/>
      <c r="Z852" s="134"/>
    </row>
    <row r="853" spans="1:26" ht="15.75" hidden="1" customHeight="1">
      <c r="A853" s="13"/>
      <c r="B853" s="13"/>
      <c r="C853" s="13"/>
      <c r="D853" s="13"/>
      <c r="E853" s="13"/>
      <c r="F853" s="134"/>
      <c r="G853" s="134"/>
      <c r="H853" s="134"/>
      <c r="I853" s="134"/>
      <c r="J853" s="134"/>
      <c r="K853" s="134"/>
      <c r="L853" s="134"/>
      <c r="M853" s="134"/>
      <c r="N853" s="134"/>
      <c r="O853" s="134"/>
      <c r="P853" s="134"/>
      <c r="Q853" s="134"/>
      <c r="R853" s="134"/>
      <c r="S853" s="134"/>
      <c r="T853" s="134"/>
      <c r="U853" s="134"/>
      <c r="V853" s="134"/>
      <c r="W853" s="134"/>
      <c r="X853" s="134"/>
      <c r="Y853" s="134"/>
      <c r="Z853" s="134"/>
    </row>
    <row r="854" spans="1:26" ht="15.75" hidden="1" customHeight="1">
      <c r="A854" s="13"/>
      <c r="B854" s="13"/>
      <c r="C854" s="13"/>
      <c r="D854" s="13"/>
      <c r="E854" s="13"/>
      <c r="F854" s="134"/>
      <c r="G854" s="134"/>
      <c r="H854" s="134"/>
      <c r="I854" s="134"/>
      <c r="J854" s="134"/>
      <c r="K854" s="134"/>
      <c r="L854" s="134"/>
      <c r="M854" s="134"/>
      <c r="N854" s="134"/>
      <c r="O854" s="134"/>
      <c r="P854" s="134"/>
      <c r="Q854" s="134"/>
      <c r="R854" s="134"/>
      <c r="S854" s="134"/>
      <c r="T854" s="134"/>
      <c r="U854" s="134"/>
      <c r="V854" s="134"/>
      <c r="W854" s="134"/>
      <c r="X854" s="134"/>
      <c r="Y854" s="134"/>
      <c r="Z854" s="134"/>
    </row>
    <row r="855" spans="1:26" ht="15.75" hidden="1" customHeight="1">
      <c r="A855" s="13"/>
      <c r="B855" s="13"/>
      <c r="C855" s="13"/>
      <c r="D855" s="13"/>
      <c r="E855" s="13"/>
      <c r="F855" s="134"/>
      <c r="G855" s="134"/>
      <c r="H855" s="134"/>
      <c r="I855" s="134"/>
      <c r="J855" s="134"/>
      <c r="K855" s="134"/>
      <c r="L855" s="134"/>
      <c r="M855" s="134"/>
      <c r="N855" s="134"/>
      <c r="O855" s="134"/>
      <c r="P855" s="134"/>
      <c r="Q855" s="134"/>
      <c r="R855" s="134"/>
      <c r="S855" s="134"/>
      <c r="T855" s="134"/>
      <c r="U855" s="134"/>
      <c r="V855" s="134"/>
      <c r="W855" s="134"/>
      <c r="X855" s="134"/>
      <c r="Y855" s="134"/>
      <c r="Z855" s="134"/>
    </row>
    <row r="856" spans="1:26" ht="15.75" hidden="1" customHeight="1">
      <c r="A856" s="13"/>
      <c r="B856" s="13"/>
      <c r="C856" s="13"/>
      <c r="D856" s="13"/>
      <c r="E856" s="13"/>
      <c r="F856" s="134"/>
      <c r="G856" s="134"/>
      <c r="H856" s="134"/>
      <c r="I856" s="134"/>
      <c r="J856" s="134"/>
      <c r="K856" s="134"/>
      <c r="L856" s="134"/>
      <c r="M856" s="134"/>
      <c r="N856" s="134"/>
      <c r="O856" s="134"/>
      <c r="P856" s="134"/>
      <c r="Q856" s="134"/>
      <c r="R856" s="134"/>
      <c r="S856" s="134"/>
      <c r="T856" s="134"/>
      <c r="U856" s="134"/>
      <c r="V856" s="134"/>
      <c r="W856" s="134"/>
      <c r="X856" s="134"/>
      <c r="Y856" s="134"/>
      <c r="Z856" s="134"/>
    </row>
    <row r="857" spans="1:26" ht="15.75" hidden="1" customHeight="1">
      <c r="A857" s="13"/>
      <c r="B857" s="13"/>
      <c r="C857" s="13"/>
      <c r="D857" s="13"/>
      <c r="E857" s="13"/>
      <c r="F857" s="134"/>
      <c r="G857" s="134"/>
      <c r="H857" s="134"/>
      <c r="I857" s="134"/>
      <c r="J857" s="134"/>
      <c r="K857" s="134"/>
      <c r="L857" s="134"/>
      <c r="M857" s="134"/>
      <c r="N857" s="134"/>
      <c r="O857" s="134"/>
      <c r="P857" s="134"/>
      <c r="Q857" s="134"/>
      <c r="R857" s="134"/>
      <c r="S857" s="134"/>
      <c r="T857" s="134"/>
      <c r="U857" s="134"/>
      <c r="V857" s="134"/>
      <c r="W857" s="134"/>
      <c r="X857" s="134"/>
      <c r="Y857" s="134"/>
      <c r="Z857" s="134"/>
    </row>
    <row r="858" spans="1:26" ht="15.75" hidden="1" customHeight="1">
      <c r="A858" s="13"/>
      <c r="B858" s="13"/>
      <c r="C858" s="13"/>
      <c r="D858" s="13"/>
      <c r="E858" s="13"/>
      <c r="F858" s="134"/>
      <c r="G858" s="134"/>
      <c r="H858" s="134"/>
      <c r="I858" s="134"/>
      <c r="J858" s="134"/>
      <c r="K858" s="134"/>
      <c r="L858" s="134"/>
      <c r="M858" s="134"/>
      <c r="N858" s="134"/>
      <c r="O858" s="134"/>
      <c r="P858" s="134"/>
      <c r="Q858" s="134"/>
      <c r="R858" s="134"/>
      <c r="S858" s="134"/>
      <c r="T858" s="134"/>
      <c r="U858" s="134"/>
      <c r="V858" s="134"/>
      <c r="W858" s="134"/>
      <c r="X858" s="134"/>
      <c r="Y858" s="134"/>
      <c r="Z858" s="134"/>
    </row>
    <row r="859" spans="1:26" ht="15.75" hidden="1" customHeight="1">
      <c r="A859" s="13"/>
      <c r="B859" s="13"/>
      <c r="C859" s="13"/>
      <c r="D859" s="13"/>
      <c r="E859" s="13"/>
      <c r="F859" s="134"/>
      <c r="G859" s="134"/>
      <c r="H859" s="134"/>
      <c r="I859" s="134"/>
      <c r="J859" s="134"/>
      <c r="K859" s="134"/>
      <c r="L859" s="134"/>
      <c r="M859" s="134"/>
      <c r="N859" s="134"/>
      <c r="O859" s="134"/>
      <c r="P859" s="134"/>
      <c r="Q859" s="134"/>
      <c r="R859" s="134"/>
      <c r="S859" s="134"/>
      <c r="T859" s="134"/>
      <c r="U859" s="134"/>
      <c r="V859" s="134"/>
      <c r="W859" s="134"/>
      <c r="X859" s="134"/>
      <c r="Y859" s="134"/>
      <c r="Z859" s="134"/>
    </row>
    <row r="860" spans="1:26" ht="15.75" hidden="1" customHeight="1">
      <c r="A860" s="13"/>
      <c r="B860" s="13"/>
      <c r="C860" s="13"/>
      <c r="D860" s="13"/>
      <c r="E860" s="13"/>
      <c r="F860" s="134"/>
      <c r="G860" s="134"/>
      <c r="H860" s="134"/>
      <c r="I860" s="134"/>
      <c r="J860" s="134"/>
      <c r="K860" s="134"/>
      <c r="L860" s="134"/>
      <c r="M860" s="134"/>
      <c r="N860" s="134"/>
      <c r="O860" s="134"/>
      <c r="P860" s="134"/>
      <c r="Q860" s="134"/>
      <c r="R860" s="134"/>
      <c r="S860" s="134"/>
      <c r="T860" s="134"/>
      <c r="U860" s="134"/>
      <c r="V860" s="134"/>
      <c r="W860" s="134"/>
      <c r="X860" s="134"/>
      <c r="Y860" s="134"/>
      <c r="Z860" s="134"/>
    </row>
    <row r="861" spans="1:26" ht="15.75" hidden="1" customHeight="1">
      <c r="A861" s="13"/>
      <c r="B861" s="13"/>
      <c r="C861" s="13"/>
      <c r="D861" s="13"/>
      <c r="E861" s="13"/>
      <c r="F861" s="134"/>
      <c r="G861" s="134"/>
      <c r="H861" s="134"/>
      <c r="I861" s="134"/>
      <c r="J861" s="134"/>
      <c r="K861" s="134"/>
      <c r="L861" s="134"/>
      <c r="M861" s="134"/>
      <c r="N861" s="134"/>
      <c r="O861" s="134"/>
      <c r="P861" s="134"/>
      <c r="Q861" s="134"/>
      <c r="R861" s="134"/>
      <c r="S861" s="134"/>
      <c r="T861" s="134"/>
      <c r="U861" s="134"/>
      <c r="V861" s="134"/>
      <c r="W861" s="134"/>
      <c r="X861" s="134"/>
      <c r="Y861" s="134"/>
      <c r="Z861" s="134"/>
    </row>
    <row r="862" spans="1:26" ht="15.75" hidden="1" customHeight="1">
      <c r="A862" s="13"/>
      <c r="B862" s="13"/>
      <c r="C862" s="13"/>
      <c r="D862" s="13"/>
      <c r="E862" s="13"/>
      <c r="F862" s="134"/>
      <c r="G862" s="134"/>
      <c r="H862" s="134"/>
      <c r="I862" s="134"/>
      <c r="J862" s="134"/>
      <c r="K862" s="134"/>
      <c r="L862" s="134"/>
      <c r="M862" s="134"/>
      <c r="N862" s="134"/>
      <c r="O862" s="134"/>
      <c r="P862" s="134"/>
      <c r="Q862" s="134"/>
      <c r="R862" s="134"/>
      <c r="S862" s="134"/>
      <c r="T862" s="134"/>
      <c r="U862" s="134"/>
      <c r="V862" s="134"/>
      <c r="W862" s="134"/>
      <c r="X862" s="134"/>
      <c r="Y862" s="134"/>
      <c r="Z862" s="134"/>
    </row>
    <row r="863" spans="1:26" ht="15.75" hidden="1" customHeight="1">
      <c r="A863" s="13"/>
      <c r="B863" s="13"/>
      <c r="C863" s="13"/>
      <c r="D863" s="13"/>
      <c r="E863" s="13"/>
      <c r="F863" s="134"/>
      <c r="G863" s="134"/>
      <c r="H863" s="134"/>
      <c r="I863" s="134"/>
      <c r="J863" s="134"/>
      <c r="K863" s="134"/>
      <c r="L863" s="134"/>
      <c r="M863" s="134"/>
      <c r="N863" s="134"/>
      <c r="O863" s="134"/>
      <c r="P863" s="134"/>
      <c r="Q863" s="134"/>
      <c r="R863" s="134"/>
      <c r="S863" s="134"/>
      <c r="T863" s="134"/>
      <c r="U863" s="134"/>
      <c r="V863" s="134"/>
      <c r="W863" s="134"/>
      <c r="X863" s="134"/>
      <c r="Y863" s="134"/>
      <c r="Z863" s="134"/>
    </row>
    <row r="864" spans="1:26" ht="15.75" hidden="1" customHeight="1">
      <c r="A864" s="13"/>
      <c r="B864" s="13"/>
      <c r="C864" s="13"/>
      <c r="D864" s="13"/>
      <c r="E864" s="13"/>
      <c r="F864" s="134"/>
      <c r="G864" s="134"/>
      <c r="H864" s="134"/>
      <c r="I864" s="134"/>
      <c r="J864" s="134"/>
      <c r="K864" s="134"/>
      <c r="L864" s="134"/>
      <c r="M864" s="134"/>
      <c r="N864" s="134"/>
      <c r="O864" s="134"/>
      <c r="P864" s="134"/>
      <c r="Q864" s="134"/>
      <c r="R864" s="134"/>
      <c r="S864" s="134"/>
      <c r="T864" s="134"/>
      <c r="U864" s="134"/>
      <c r="V864" s="134"/>
      <c r="W864" s="134"/>
      <c r="X864" s="134"/>
      <c r="Y864" s="134"/>
      <c r="Z864" s="134"/>
    </row>
    <row r="865" spans="1:26" ht="15.75" hidden="1" customHeight="1">
      <c r="A865" s="13"/>
      <c r="B865" s="13"/>
      <c r="C865" s="13"/>
      <c r="D865" s="13"/>
      <c r="E865" s="13"/>
      <c r="F865" s="134"/>
      <c r="G865" s="134"/>
      <c r="H865" s="134"/>
      <c r="I865" s="134"/>
      <c r="J865" s="134"/>
      <c r="K865" s="134"/>
      <c r="L865" s="134"/>
      <c r="M865" s="134"/>
      <c r="N865" s="134"/>
      <c r="O865" s="134"/>
      <c r="P865" s="134"/>
      <c r="Q865" s="134"/>
      <c r="R865" s="134"/>
      <c r="S865" s="134"/>
      <c r="T865" s="134"/>
      <c r="U865" s="134"/>
      <c r="V865" s="134"/>
      <c r="W865" s="134"/>
      <c r="X865" s="134"/>
      <c r="Y865" s="134"/>
      <c r="Z865" s="134"/>
    </row>
    <row r="866" spans="1:26" ht="15.75" hidden="1" customHeight="1">
      <c r="A866" s="13"/>
      <c r="B866" s="13"/>
      <c r="C866" s="13"/>
      <c r="D866" s="13"/>
      <c r="E866" s="13"/>
      <c r="F866" s="134"/>
      <c r="G866" s="134"/>
      <c r="H866" s="134"/>
      <c r="I866" s="134"/>
      <c r="J866" s="134"/>
      <c r="K866" s="134"/>
      <c r="L866" s="134"/>
      <c r="M866" s="134"/>
      <c r="N866" s="134"/>
      <c r="O866" s="134"/>
      <c r="P866" s="134"/>
      <c r="Q866" s="134"/>
      <c r="R866" s="134"/>
      <c r="S866" s="134"/>
      <c r="T866" s="134"/>
      <c r="U866" s="134"/>
      <c r="V866" s="134"/>
      <c r="W866" s="134"/>
      <c r="X866" s="134"/>
      <c r="Y866" s="134"/>
      <c r="Z866" s="134"/>
    </row>
    <row r="867" spans="1:26" ht="15.75" hidden="1" customHeight="1">
      <c r="A867" s="13"/>
      <c r="B867" s="13"/>
      <c r="C867" s="13"/>
      <c r="D867" s="13"/>
      <c r="E867" s="13"/>
      <c r="F867" s="134"/>
      <c r="G867" s="134"/>
      <c r="H867" s="134"/>
      <c r="I867" s="134"/>
      <c r="J867" s="134"/>
      <c r="K867" s="134"/>
      <c r="L867" s="134"/>
      <c r="M867" s="134"/>
      <c r="N867" s="134"/>
      <c r="O867" s="134"/>
      <c r="P867" s="134"/>
      <c r="Q867" s="134"/>
      <c r="R867" s="134"/>
      <c r="S867" s="134"/>
      <c r="T867" s="134"/>
      <c r="U867" s="134"/>
      <c r="V867" s="134"/>
      <c r="W867" s="134"/>
      <c r="X867" s="134"/>
      <c r="Y867" s="134"/>
      <c r="Z867" s="134"/>
    </row>
    <row r="868" spans="1:26" ht="15.75" hidden="1" customHeight="1">
      <c r="A868" s="13"/>
      <c r="B868" s="13"/>
      <c r="C868" s="13"/>
      <c r="D868" s="13"/>
      <c r="E868" s="13"/>
      <c r="F868" s="134"/>
      <c r="G868" s="134"/>
      <c r="H868" s="134"/>
      <c r="I868" s="134"/>
      <c r="J868" s="134"/>
      <c r="K868" s="134"/>
      <c r="L868" s="134"/>
      <c r="M868" s="134"/>
      <c r="N868" s="134"/>
      <c r="O868" s="134"/>
      <c r="P868" s="134"/>
      <c r="Q868" s="134"/>
      <c r="R868" s="134"/>
      <c r="S868" s="134"/>
      <c r="T868" s="134"/>
      <c r="U868" s="134"/>
      <c r="V868" s="134"/>
      <c r="W868" s="134"/>
      <c r="X868" s="134"/>
      <c r="Y868" s="134"/>
      <c r="Z868" s="134"/>
    </row>
    <row r="869" spans="1:26" ht="15.75" hidden="1" customHeight="1">
      <c r="A869" s="13"/>
      <c r="B869" s="13"/>
      <c r="C869" s="13"/>
      <c r="D869" s="13"/>
      <c r="E869" s="13"/>
      <c r="F869" s="134"/>
      <c r="G869" s="134"/>
      <c r="H869" s="134"/>
      <c r="I869" s="134"/>
      <c r="J869" s="134"/>
      <c r="K869" s="134"/>
      <c r="L869" s="134"/>
      <c r="M869" s="134"/>
      <c r="N869" s="134"/>
      <c r="O869" s="134"/>
      <c r="P869" s="134"/>
      <c r="Q869" s="134"/>
      <c r="R869" s="134"/>
      <c r="S869" s="134"/>
      <c r="T869" s="134"/>
      <c r="U869" s="134"/>
      <c r="V869" s="134"/>
      <c r="W869" s="134"/>
      <c r="X869" s="134"/>
      <c r="Y869" s="134"/>
      <c r="Z869" s="134"/>
    </row>
    <row r="870" spans="1:26" ht="15.75" hidden="1" customHeight="1">
      <c r="A870" s="13"/>
      <c r="B870" s="13"/>
      <c r="C870" s="13"/>
      <c r="D870" s="13"/>
      <c r="E870" s="13"/>
      <c r="F870" s="134"/>
      <c r="G870" s="134"/>
      <c r="H870" s="134"/>
      <c r="I870" s="134"/>
      <c r="J870" s="134"/>
      <c r="K870" s="134"/>
      <c r="L870" s="134"/>
      <c r="M870" s="134"/>
      <c r="N870" s="134"/>
      <c r="O870" s="134"/>
      <c r="P870" s="134"/>
      <c r="Q870" s="134"/>
      <c r="R870" s="134"/>
      <c r="S870" s="134"/>
      <c r="T870" s="134"/>
      <c r="U870" s="134"/>
      <c r="V870" s="134"/>
      <c r="W870" s="134"/>
      <c r="X870" s="134"/>
      <c r="Y870" s="134"/>
      <c r="Z870" s="134"/>
    </row>
    <row r="871" spans="1:26" ht="15.75" hidden="1" customHeight="1">
      <c r="A871" s="13"/>
      <c r="B871" s="13"/>
      <c r="C871" s="13"/>
      <c r="D871" s="13"/>
      <c r="E871" s="13"/>
      <c r="F871" s="134"/>
      <c r="G871" s="134"/>
      <c r="H871" s="134"/>
      <c r="I871" s="134"/>
      <c r="J871" s="134"/>
      <c r="K871" s="134"/>
      <c r="L871" s="134"/>
      <c r="M871" s="134"/>
      <c r="N871" s="134"/>
      <c r="O871" s="134"/>
      <c r="P871" s="134"/>
      <c r="Q871" s="134"/>
      <c r="R871" s="134"/>
      <c r="S871" s="134"/>
      <c r="T871" s="134"/>
      <c r="U871" s="134"/>
      <c r="V871" s="134"/>
      <c r="W871" s="134"/>
      <c r="X871" s="134"/>
      <c r="Y871" s="134"/>
      <c r="Z871" s="134"/>
    </row>
    <row r="872" spans="1:26" ht="15.75" hidden="1" customHeight="1">
      <c r="A872" s="13"/>
      <c r="B872" s="13"/>
      <c r="C872" s="13"/>
      <c r="D872" s="13"/>
      <c r="E872" s="13"/>
      <c r="F872" s="134"/>
      <c r="G872" s="134"/>
      <c r="H872" s="134"/>
      <c r="I872" s="134"/>
      <c r="J872" s="134"/>
      <c r="K872" s="134"/>
      <c r="L872" s="134"/>
      <c r="M872" s="134"/>
      <c r="N872" s="134"/>
      <c r="O872" s="134"/>
      <c r="P872" s="134"/>
      <c r="Q872" s="134"/>
      <c r="R872" s="134"/>
      <c r="S872" s="134"/>
      <c r="T872" s="134"/>
      <c r="U872" s="134"/>
      <c r="V872" s="134"/>
      <c r="W872" s="134"/>
      <c r="X872" s="134"/>
      <c r="Y872" s="134"/>
      <c r="Z872" s="134"/>
    </row>
    <row r="873" spans="1:26" ht="15.75" hidden="1" customHeight="1">
      <c r="A873" s="13"/>
      <c r="B873" s="13"/>
      <c r="C873" s="13"/>
      <c r="D873" s="13"/>
      <c r="E873" s="13"/>
      <c r="F873" s="134"/>
      <c r="G873" s="134"/>
      <c r="H873" s="134"/>
      <c r="I873" s="134"/>
      <c r="J873" s="134"/>
      <c r="K873" s="134"/>
      <c r="L873" s="134"/>
      <c r="M873" s="134"/>
      <c r="N873" s="134"/>
      <c r="O873" s="134"/>
      <c r="P873" s="134"/>
      <c r="Q873" s="134"/>
      <c r="R873" s="134"/>
      <c r="S873" s="134"/>
      <c r="T873" s="134"/>
      <c r="U873" s="134"/>
      <c r="V873" s="134"/>
      <c r="W873" s="134"/>
      <c r="X873" s="134"/>
      <c r="Y873" s="134"/>
      <c r="Z873" s="134"/>
    </row>
    <row r="874" spans="1:26" ht="15.75" hidden="1" customHeight="1">
      <c r="A874" s="13"/>
      <c r="B874" s="13"/>
      <c r="C874" s="13"/>
      <c r="D874" s="13"/>
      <c r="E874" s="13"/>
      <c r="F874" s="134"/>
      <c r="G874" s="134"/>
      <c r="H874" s="134"/>
      <c r="I874" s="134"/>
      <c r="J874" s="134"/>
      <c r="K874" s="134"/>
      <c r="L874" s="134"/>
      <c r="M874" s="134"/>
      <c r="N874" s="134"/>
      <c r="O874" s="134"/>
      <c r="P874" s="134"/>
      <c r="Q874" s="134"/>
      <c r="R874" s="134"/>
      <c r="S874" s="134"/>
      <c r="T874" s="134"/>
      <c r="U874" s="134"/>
      <c r="V874" s="134"/>
      <c r="W874" s="134"/>
      <c r="X874" s="134"/>
      <c r="Y874" s="134"/>
      <c r="Z874" s="134"/>
    </row>
    <row r="875" spans="1:26" ht="15.75" hidden="1" customHeight="1">
      <c r="A875" s="13"/>
      <c r="B875" s="13"/>
      <c r="C875" s="13"/>
      <c r="D875" s="13"/>
      <c r="E875" s="13"/>
      <c r="F875" s="134"/>
      <c r="G875" s="134"/>
      <c r="H875" s="134"/>
      <c r="I875" s="134"/>
      <c r="J875" s="134"/>
      <c r="K875" s="134"/>
      <c r="L875" s="134"/>
      <c r="M875" s="134"/>
      <c r="N875" s="134"/>
      <c r="O875" s="134"/>
      <c r="P875" s="134"/>
      <c r="Q875" s="134"/>
      <c r="R875" s="134"/>
      <c r="S875" s="134"/>
      <c r="T875" s="134"/>
      <c r="U875" s="134"/>
      <c r="V875" s="134"/>
      <c r="W875" s="134"/>
      <c r="X875" s="134"/>
      <c r="Y875" s="134"/>
      <c r="Z875" s="134"/>
    </row>
    <row r="876" spans="1:26" ht="15.75" hidden="1" customHeight="1">
      <c r="A876" s="13"/>
      <c r="B876" s="13"/>
      <c r="C876" s="13"/>
      <c r="D876" s="13"/>
      <c r="E876" s="13"/>
      <c r="F876" s="134"/>
      <c r="G876" s="134"/>
      <c r="H876" s="134"/>
      <c r="I876" s="134"/>
      <c r="J876" s="134"/>
      <c r="K876" s="134"/>
      <c r="L876" s="134"/>
      <c r="M876" s="134"/>
      <c r="N876" s="134"/>
      <c r="O876" s="134"/>
      <c r="P876" s="134"/>
      <c r="Q876" s="134"/>
      <c r="R876" s="134"/>
      <c r="S876" s="134"/>
      <c r="T876" s="134"/>
      <c r="U876" s="134"/>
      <c r="V876" s="134"/>
      <c r="W876" s="134"/>
      <c r="X876" s="134"/>
      <c r="Y876" s="134"/>
      <c r="Z876" s="134"/>
    </row>
    <row r="877" spans="1:26" ht="15.75" hidden="1" customHeight="1">
      <c r="A877" s="13"/>
      <c r="B877" s="13"/>
      <c r="C877" s="13"/>
      <c r="D877" s="13"/>
      <c r="E877" s="13"/>
      <c r="F877" s="134"/>
      <c r="G877" s="134"/>
      <c r="H877" s="134"/>
      <c r="I877" s="134"/>
      <c r="J877" s="134"/>
      <c r="K877" s="134"/>
      <c r="L877" s="134"/>
      <c r="M877" s="134"/>
      <c r="N877" s="134"/>
      <c r="O877" s="134"/>
      <c r="P877" s="134"/>
      <c r="Q877" s="134"/>
      <c r="R877" s="134"/>
      <c r="S877" s="134"/>
      <c r="T877" s="134"/>
      <c r="U877" s="134"/>
      <c r="V877" s="134"/>
      <c r="W877" s="134"/>
      <c r="X877" s="134"/>
      <c r="Y877" s="134"/>
      <c r="Z877" s="134"/>
    </row>
    <row r="878" spans="1:26" ht="15.75" hidden="1" customHeight="1">
      <c r="A878" s="13"/>
      <c r="B878" s="13"/>
      <c r="C878" s="13"/>
      <c r="D878" s="13"/>
      <c r="E878" s="13"/>
      <c r="F878" s="134"/>
      <c r="G878" s="134"/>
      <c r="H878" s="134"/>
      <c r="I878" s="134"/>
      <c r="J878" s="134"/>
      <c r="K878" s="134"/>
      <c r="L878" s="134"/>
      <c r="M878" s="134"/>
      <c r="N878" s="134"/>
      <c r="O878" s="134"/>
      <c r="P878" s="134"/>
      <c r="Q878" s="134"/>
      <c r="R878" s="134"/>
      <c r="S878" s="134"/>
      <c r="T878" s="134"/>
      <c r="U878" s="134"/>
      <c r="V878" s="134"/>
      <c r="W878" s="134"/>
      <c r="X878" s="134"/>
      <c r="Y878" s="134"/>
      <c r="Z878" s="134"/>
    </row>
    <row r="879" spans="1:26" ht="15.75" hidden="1" customHeight="1">
      <c r="A879" s="13"/>
      <c r="B879" s="13"/>
      <c r="C879" s="13"/>
      <c r="D879" s="13"/>
      <c r="E879" s="13"/>
      <c r="F879" s="134"/>
      <c r="G879" s="134"/>
      <c r="H879" s="134"/>
      <c r="I879" s="134"/>
      <c r="J879" s="134"/>
      <c r="K879" s="134"/>
      <c r="L879" s="134"/>
      <c r="M879" s="134"/>
      <c r="N879" s="134"/>
      <c r="O879" s="134"/>
      <c r="P879" s="134"/>
      <c r="Q879" s="134"/>
      <c r="R879" s="134"/>
      <c r="S879" s="134"/>
      <c r="T879" s="134"/>
      <c r="U879" s="134"/>
      <c r="V879" s="134"/>
      <c r="W879" s="134"/>
      <c r="X879" s="134"/>
      <c r="Y879" s="134"/>
      <c r="Z879" s="134"/>
    </row>
    <row r="880" spans="1:26" ht="15.75" hidden="1" customHeight="1">
      <c r="A880" s="13"/>
      <c r="B880" s="13"/>
      <c r="C880" s="13"/>
      <c r="D880" s="13"/>
      <c r="E880" s="13"/>
      <c r="F880" s="134"/>
      <c r="G880" s="134"/>
      <c r="H880" s="134"/>
      <c r="I880" s="134"/>
      <c r="J880" s="134"/>
      <c r="K880" s="134"/>
      <c r="L880" s="134"/>
      <c r="M880" s="134"/>
      <c r="N880" s="134"/>
      <c r="O880" s="134"/>
      <c r="P880" s="134"/>
      <c r="Q880" s="134"/>
      <c r="R880" s="134"/>
      <c r="S880" s="134"/>
      <c r="T880" s="134"/>
      <c r="U880" s="134"/>
      <c r="V880" s="134"/>
      <c r="W880" s="134"/>
      <c r="X880" s="134"/>
      <c r="Y880" s="134"/>
      <c r="Z880" s="134"/>
    </row>
    <row r="881" spans="1:26" ht="15.75" hidden="1" customHeight="1">
      <c r="A881" s="13"/>
      <c r="B881" s="13"/>
      <c r="C881" s="13"/>
      <c r="D881" s="13"/>
      <c r="E881" s="13"/>
      <c r="F881" s="134"/>
      <c r="G881" s="134"/>
      <c r="H881" s="134"/>
      <c r="I881" s="134"/>
      <c r="J881" s="134"/>
      <c r="K881" s="134"/>
      <c r="L881" s="134"/>
      <c r="M881" s="134"/>
      <c r="N881" s="134"/>
      <c r="O881" s="134"/>
      <c r="P881" s="134"/>
      <c r="Q881" s="134"/>
      <c r="R881" s="134"/>
      <c r="S881" s="134"/>
      <c r="T881" s="134"/>
      <c r="U881" s="134"/>
      <c r="V881" s="134"/>
      <c r="W881" s="134"/>
      <c r="X881" s="134"/>
      <c r="Y881" s="134"/>
      <c r="Z881" s="134"/>
    </row>
    <row r="882" spans="1:26" ht="15.75" hidden="1" customHeight="1">
      <c r="A882" s="13"/>
      <c r="B882" s="13"/>
      <c r="C882" s="13"/>
      <c r="D882" s="13"/>
      <c r="E882" s="13"/>
      <c r="F882" s="134"/>
      <c r="G882" s="134"/>
      <c r="H882" s="134"/>
      <c r="I882" s="134"/>
      <c r="J882" s="134"/>
      <c r="K882" s="134"/>
      <c r="L882" s="134"/>
      <c r="M882" s="134"/>
      <c r="N882" s="134"/>
      <c r="O882" s="134"/>
      <c r="P882" s="134"/>
      <c r="Q882" s="134"/>
      <c r="R882" s="134"/>
      <c r="S882" s="134"/>
      <c r="T882" s="134"/>
      <c r="U882" s="134"/>
      <c r="V882" s="134"/>
      <c r="W882" s="134"/>
      <c r="X882" s="134"/>
      <c r="Y882" s="134"/>
      <c r="Z882" s="134"/>
    </row>
    <row r="883" spans="1:26" ht="15.75" hidden="1" customHeight="1">
      <c r="A883" s="13"/>
      <c r="B883" s="13"/>
      <c r="C883" s="13"/>
      <c r="D883" s="13"/>
      <c r="E883" s="13"/>
      <c r="F883" s="134"/>
      <c r="G883" s="134"/>
      <c r="H883" s="134"/>
      <c r="I883" s="134"/>
      <c r="J883" s="134"/>
      <c r="K883" s="134"/>
      <c r="L883" s="134"/>
      <c r="M883" s="134"/>
      <c r="N883" s="134"/>
      <c r="O883" s="134"/>
      <c r="P883" s="134"/>
      <c r="Q883" s="134"/>
      <c r="R883" s="134"/>
      <c r="S883" s="134"/>
      <c r="T883" s="134"/>
      <c r="U883" s="134"/>
      <c r="V883" s="134"/>
      <c r="W883" s="134"/>
      <c r="X883" s="134"/>
      <c r="Y883" s="134"/>
      <c r="Z883" s="134"/>
    </row>
    <row r="884" spans="1:26" ht="15.75" hidden="1" customHeight="1">
      <c r="A884" s="13"/>
      <c r="B884" s="13"/>
      <c r="C884" s="13"/>
      <c r="D884" s="13"/>
      <c r="E884" s="13"/>
      <c r="F884" s="134"/>
      <c r="G884" s="134"/>
      <c r="H884" s="134"/>
      <c r="I884" s="134"/>
      <c r="J884" s="134"/>
      <c r="K884" s="134"/>
      <c r="L884" s="134"/>
      <c r="M884" s="134"/>
      <c r="N884" s="134"/>
      <c r="O884" s="134"/>
      <c r="P884" s="134"/>
      <c r="Q884" s="134"/>
      <c r="R884" s="134"/>
      <c r="S884" s="134"/>
      <c r="T884" s="134"/>
      <c r="U884" s="134"/>
      <c r="V884" s="134"/>
      <c r="W884" s="134"/>
      <c r="X884" s="134"/>
      <c r="Y884" s="134"/>
      <c r="Z884" s="134"/>
    </row>
    <row r="885" spans="1:26" ht="15.75" hidden="1" customHeight="1">
      <c r="A885" s="13"/>
      <c r="B885" s="13"/>
      <c r="C885" s="13"/>
      <c r="D885" s="13"/>
      <c r="E885" s="13"/>
      <c r="F885" s="134"/>
      <c r="G885" s="134"/>
      <c r="H885" s="134"/>
      <c r="I885" s="134"/>
      <c r="J885" s="134"/>
      <c r="K885" s="134"/>
      <c r="L885" s="134"/>
      <c r="M885" s="134"/>
      <c r="N885" s="134"/>
      <c r="O885" s="134"/>
      <c r="P885" s="134"/>
      <c r="Q885" s="134"/>
      <c r="R885" s="134"/>
      <c r="S885" s="134"/>
      <c r="T885" s="134"/>
      <c r="U885" s="134"/>
      <c r="V885" s="134"/>
      <c r="W885" s="134"/>
      <c r="X885" s="134"/>
      <c r="Y885" s="134"/>
      <c r="Z885" s="134"/>
    </row>
    <row r="886" spans="1:26" ht="15.75" hidden="1" customHeight="1">
      <c r="A886" s="13"/>
      <c r="B886" s="13"/>
      <c r="C886" s="13"/>
      <c r="D886" s="13"/>
      <c r="E886" s="13"/>
      <c r="F886" s="134"/>
      <c r="G886" s="134"/>
      <c r="H886" s="134"/>
      <c r="I886" s="134"/>
      <c r="J886" s="134"/>
      <c r="K886" s="134"/>
      <c r="L886" s="134"/>
      <c r="M886" s="134"/>
      <c r="N886" s="134"/>
      <c r="O886" s="134"/>
      <c r="P886" s="134"/>
      <c r="Q886" s="134"/>
      <c r="R886" s="134"/>
      <c r="S886" s="134"/>
      <c r="T886" s="134"/>
      <c r="U886" s="134"/>
      <c r="V886" s="134"/>
      <c r="W886" s="134"/>
      <c r="X886" s="134"/>
      <c r="Y886" s="134"/>
      <c r="Z886" s="134"/>
    </row>
    <row r="887" spans="1:26" ht="15.75" hidden="1" customHeight="1">
      <c r="A887" s="13"/>
      <c r="B887" s="13"/>
      <c r="C887" s="13"/>
      <c r="D887" s="13"/>
      <c r="E887" s="13"/>
      <c r="F887" s="134"/>
      <c r="G887" s="134"/>
      <c r="H887" s="134"/>
      <c r="I887" s="134"/>
      <c r="J887" s="134"/>
      <c r="K887" s="134"/>
      <c r="L887" s="134"/>
      <c r="M887" s="134"/>
      <c r="N887" s="134"/>
      <c r="O887" s="134"/>
      <c r="P887" s="134"/>
      <c r="Q887" s="134"/>
      <c r="R887" s="134"/>
      <c r="S887" s="134"/>
      <c r="T887" s="134"/>
      <c r="U887" s="134"/>
      <c r="V887" s="134"/>
      <c r="W887" s="134"/>
      <c r="X887" s="134"/>
      <c r="Y887" s="134"/>
      <c r="Z887" s="134"/>
    </row>
    <row r="888" spans="1:26" ht="15.75" hidden="1" customHeight="1">
      <c r="A888" s="13"/>
      <c r="B888" s="13"/>
      <c r="C888" s="13"/>
      <c r="D888" s="13"/>
      <c r="E888" s="13"/>
      <c r="F888" s="134"/>
      <c r="G888" s="134"/>
      <c r="H888" s="134"/>
      <c r="I888" s="134"/>
      <c r="J888" s="134"/>
      <c r="K888" s="134"/>
      <c r="L888" s="134"/>
      <c r="M888" s="134"/>
      <c r="N888" s="134"/>
      <c r="O888" s="134"/>
      <c r="P888" s="134"/>
      <c r="Q888" s="134"/>
      <c r="R888" s="134"/>
      <c r="S888" s="134"/>
      <c r="T888" s="134"/>
      <c r="U888" s="134"/>
      <c r="V888" s="134"/>
      <c r="W888" s="134"/>
      <c r="X888" s="134"/>
      <c r="Y888" s="134"/>
      <c r="Z888" s="134"/>
    </row>
    <row r="889" spans="1:26" ht="15.75" hidden="1" customHeight="1">
      <c r="A889" s="13"/>
      <c r="B889" s="13"/>
      <c r="C889" s="13"/>
      <c r="D889" s="13"/>
      <c r="E889" s="13"/>
      <c r="F889" s="134"/>
      <c r="G889" s="134"/>
      <c r="H889" s="134"/>
      <c r="I889" s="134"/>
      <c r="J889" s="134"/>
      <c r="K889" s="134"/>
      <c r="L889" s="134"/>
      <c r="M889" s="134"/>
      <c r="N889" s="134"/>
      <c r="O889" s="134"/>
      <c r="P889" s="134"/>
      <c r="Q889" s="134"/>
      <c r="R889" s="134"/>
      <c r="S889" s="134"/>
      <c r="T889" s="134"/>
      <c r="U889" s="134"/>
      <c r="V889" s="134"/>
      <c r="W889" s="134"/>
      <c r="X889" s="134"/>
      <c r="Y889" s="134"/>
      <c r="Z889" s="134"/>
    </row>
    <row r="890" spans="1:26" ht="15.75" hidden="1" customHeight="1">
      <c r="A890" s="13"/>
      <c r="B890" s="13"/>
      <c r="C890" s="13"/>
      <c r="D890" s="13"/>
      <c r="E890" s="13"/>
      <c r="F890" s="134"/>
      <c r="G890" s="134"/>
      <c r="H890" s="134"/>
      <c r="I890" s="134"/>
      <c r="J890" s="134"/>
      <c r="K890" s="134"/>
      <c r="L890" s="134"/>
      <c r="M890" s="134"/>
      <c r="N890" s="134"/>
      <c r="O890" s="134"/>
      <c r="P890" s="134"/>
      <c r="Q890" s="134"/>
      <c r="R890" s="134"/>
      <c r="S890" s="134"/>
      <c r="T890" s="134"/>
      <c r="U890" s="134"/>
      <c r="V890" s="134"/>
      <c r="W890" s="134"/>
      <c r="X890" s="134"/>
      <c r="Y890" s="134"/>
      <c r="Z890" s="134"/>
    </row>
    <row r="891" spans="1:26" ht="15.75" hidden="1" customHeight="1">
      <c r="A891" s="13"/>
      <c r="B891" s="13"/>
      <c r="C891" s="13"/>
      <c r="D891" s="13"/>
      <c r="E891" s="13"/>
      <c r="F891" s="134"/>
      <c r="G891" s="134"/>
      <c r="H891" s="134"/>
      <c r="I891" s="134"/>
      <c r="J891" s="134"/>
      <c r="K891" s="134"/>
      <c r="L891" s="134"/>
      <c r="M891" s="134"/>
      <c r="N891" s="134"/>
      <c r="O891" s="134"/>
      <c r="P891" s="134"/>
      <c r="Q891" s="134"/>
      <c r="R891" s="134"/>
      <c r="S891" s="134"/>
      <c r="T891" s="134"/>
      <c r="U891" s="134"/>
      <c r="V891" s="134"/>
      <c r="W891" s="134"/>
      <c r="X891" s="134"/>
      <c r="Y891" s="134"/>
      <c r="Z891" s="134"/>
    </row>
    <row r="892" spans="1:26" ht="15.75" hidden="1" customHeight="1">
      <c r="A892" s="13"/>
      <c r="B892" s="13"/>
      <c r="C892" s="13"/>
      <c r="D892" s="13"/>
      <c r="E892" s="13"/>
      <c r="F892" s="134"/>
      <c r="G892" s="134"/>
      <c r="H892" s="134"/>
      <c r="I892" s="134"/>
      <c r="J892" s="134"/>
      <c r="K892" s="134"/>
      <c r="L892" s="134"/>
      <c r="M892" s="134"/>
      <c r="N892" s="134"/>
      <c r="O892" s="134"/>
      <c r="P892" s="134"/>
      <c r="Q892" s="134"/>
      <c r="R892" s="134"/>
      <c r="S892" s="134"/>
      <c r="T892" s="134"/>
      <c r="U892" s="134"/>
      <c r="V892" s="134"/>
      <c r="W892" s="134"/>
      <c r="X892" s="134"/>
      <c r="Y892" s="134"/>
      <c r="Z892" s="134"/>
    </row>
    <row r="893" spans="1:26" ht="15.75" hidden="1" customHeight="1">
      <c r="A893" s="13"/>
      <c r="B893" s="13"/>
      <c r="C893" s="13"/>
      <c r="D893" s="13"/>
      <c r="E893" s="13"/>
      <c r="F893" s="134"/>
      <c r="G893" s="134"/>
      <c r="H893" s="134"/>
      <c r="I893" s="134"/>
      <c r="J893" s="134"/>
      <c r="K893" s="134"/>
      <c r="L893" s="134"/>
      <c r="M893" s="134"/>
      <c r="N893" s="134"/>
      <c r="O893" s="134"/>
      <c r="P893" s="134"/>
      <c r="Q893" s="134"/>
      <c r="R893" s="134"/>
      <c r="S893" s="134"/>
      <c r="T893" s="134"/>
      <c r="U893" s="134"/>
      <c r="V893" s="134"/>
      <c r="W893" s="134"/>
      <c r="X893" s="134"/>
      <c r="Y893" s="134"/>
      <c r="Z893" s="134"/>
    </row>
    <row r="894" spans="1:26" ht="15.75" hidden="1" customHeight="1">
      <c r="A894" s="13"/>
      <c r="B894" s="13"/>
      <c r="C894" s="13"/>
      <c r="D894" s="13"/>
      <c r="E894" s="13"/>
      <c r="F894" s="134"/>
      <c r="G894" s="134"/>
      <c r="H894" s="134"/>
      <c r="I894" s="134"/>
      <c r="J894" s="134"/>
      <c r="K894" s="134"/>
      <c r="L894" s="134"/>
      <c r="M894" s="134"/>
      <c r="N894" s="134"/>
      <c r="O894" s="134"/>
      <c r="P894" s="134"/>
      <c r="Q894" s="134"/>
      <c r="R894" s="134"/>
      <c r="S894" s="134"/>
      <c r="T894" s="134"/>
      <c r="U894" s="134"/>
      <c r="V894" s="134"/>
      <c r="W894" s="134"/>
      <c r="X894" s="134"/>
      <c r="Y894" s="134"/>
      <c r="Z894" s="134"/>
    </row>
    <row r="895" spans="1:26" ht="15.75" hidden="1" customHeight="1">
      <c r="A895" s="13"/>
      <c r="B895" s="13"/>
      <c r="C895" s="13"/>
      <c r="D895" s="13"/>
      <c r="E895" s="13"/>
      <c r="F895" s="134"/>
      <c r="G895" s="134"/>
      <c r="H895" s="134"/>
      <c r="I895" s="134"/>
      <c r="J895" s="134"/>
      <c r="K895" s="134"/>
      <c r="L895" s="134"/>
      <c r="M895" s="134"/>
      <c r="N895" s="134"/>
      <c r="O895" s="134"/>
      <c r="P895" s="134"/>
      <c r="Q895" s="134"/>
      <c r="R895" s="134"/>
      <c r="S895" s="134"/>
      <c r="T895" s="134"/>
      <c r="U895" s="134"/>
      <c r="V895" s="134"/>
      <c r="W895" s="134"/>
      <c r="X895" s="134"/>
      <c r="Y895" s="134"/>
      <c r="Z895" s="134"/>
    </row>
    <row r="896" spans="1:26" ht="15.75" hidden="1" customHeight="1">
      <c r="A896" s="13"/>
      <c r="B896" s="13"/>
      <c r="C896" s="13"/>
      <c r="D896" s="13"/>
      <c r="E896" s="13"/>
      <c r="F896" s="134"/>
      <c r="G896" s="134"/>
      <c r="H896" s="134"/>
      <c r="I896" s="134"/>
      <c r="J896" s="134"/>
      <c r="K896" s="134"/>
      <c r="L896" s="134"/>
      <c r="M896" s="134"/>
      <c r="N896" s="134"/>
      <c r="O896" s="134"/>
      <c r="P896" s="134"/>
      <c r="Q896" s="134"/>
      <c r="R896" s="134"/>
      <c r="S896" s="134"/>
      <c r="T896" s="134"/>
      <c r="U896" s="134"/>
      <c r="V896" s="134"/>
      <c r="W896" s="134"/>
      <c r="X896" s="134"/>
      <c r="Y896" s="134"/>
      <c r="Z896" s="134"/>
    </row>
    <row r="897" spans="1:26" ht="15.75" hidden="1" customHeight="1">
      <c r="A897" s="13"/>
      <c r="B897" s="13"/>
      <c r="C897" s="13"/>
      <c r="D897" s="13"/>
      <c r="E897" s="13"/>
      <c r="F897" s="134"/>
      <c r="G897" s="134"/>
      <c r="H897" s="134"/>
      <c r="I897" s="134"/>
      <c r="J897" s="134"/>
      <c r="K897" s="134"/>
      <c r="L897" s="134"/>
      <c r="M897" s="134"/>
      <c r="N897" s="134"/>
      <c r="O897" s="134"/>
      <c r="P897" s="134"/>
      <c r="Q897" s="134"/>
      <c r="R897" s="134"/>
      <c r="S897" s="134"/>
      <c r="T897" s="134"/>
      <c r="U897" s="134"/>
      <c r="V897" s="134"/>
      <c r="W897" s="134"/>
      <c r="X897" s="134"/>
      <c r="Y897" s="134"/>
      <c r="Z897" s="134"/>
    </row>
    <row r="898" spans="1:26" ht="15.75" hidden="1" customHeight="1">
      <c r="A898" s="13"/>
      <c r="B898" s="13"/>
      <c r="C898" s="13"/>
      <c r="D898" s="13"/>
      <c r="E898" s="13"/>
      <c r="F898" s="134"/>
      <c r="G898" s="134"/>
      <c r="H898" s="134"/>
      <c r="I898" s="134"/>
      <c r="J898" s="134"/>
      <c r="K898" s="134"/>
      <c r="L898" s="134"/>
      <c r="M898" s="134"/>
      <c r="N898" s="134"/>
      <c r="O898" s="134"/>
      <c r="P898" s="134"/>
      <c r="Q898" s="134"/>
      <c r="R898" s="134"/>
      <c r="S898" s="134"/>
      <c r="T898" s="134"/>
      <c r="U898" s="134"/>
      <c r="V898" s="134"/>
      <c r="W898" s="134"/>
      <c r="X898" s="134"/>
      <c r="Y898" s="134"/>
      <c r="Z898" s="134"/>
    </row>
    <row r="899" spans="1:26" ht="15.75" hidden="1" customHeight="1">
      <c r="A899" s="13"/>
      <c r="B899" s="13"/>
      <c r="C899" s="13"/>
      <c r="D899" s="13"/>
      <c r="E899" s="13"/>
      <c r="F899" s="134"/>
      <c r="G899" s="134"/>
      <c r="H899" s="134"/>
      <c r="I899" s="134"/>
      <c r="J899" s="134"/>
      <c r="K899" s="134"/>
      <c r="L899" s="134"/>
      <c r="M899" s="134"/>
      <c r="N899" s="134"/>
      <c r="O899" s="134"/>
      <c r="P899" s="134"/>
      <c r="Q899" s="134"/>
      <c r="R899" s="134"/>
      <c r="S899" s="134"/>
      <c r="T899" s="134"/>
      <c r="U899" s="134"/>
      <c r="V899" s="134"/>
      <c r="W899" s="134"/>
      <c r="X899" s="134"/>
      <c r="Y899" s="134"/>
      <c r="Z899" s="134"/>
    </row>
    <row r="900" spans="1:26" ht="15.75" hidden="1" customHeight="1">
      <c r="A900" s="13"/>
      <c r="B900" s="13"/>
      <c r="C900" s="13"/>
      <c r="D900" s="13"/>
      <c r="E900" s="13"/>
      <c r="F900" s="134"/>
      <c r="G900" s="134"/>
      <c r="H900" s="134"/>
      <c r="I900" s="134"/>
      <c r="J900" s="134"/>
      <c r="K900" s="134"/>
      <c r="L900" s="134"/>
      <c r="M900" s="134"/>
      <c r="N900" s="134"/>
      <c r="O900" s="134"/>
      <c r="P900" s="134"/>
      <c r="Q900" s="134"/>
      <c r="R900" s="134"/>
      <c r="S900" s="134"/>
      <c r="T900" s="134"/>
      <c r="U900" s="134"/>
      <c r="V900" s="134"/>
      <c r="W900" s="134"/>
      <c r="X900" s="134"/>
      <c r="Y900" s="134"/>
      <c r="Z900" s="134"/>
    </row>
    <row r="901" spans="1:26" ht="15.75" hidden="1" customHeight="1">
      <c r="A901" s="13"/>
      <c r="B901" s="13"/>
      <c r="C901" s="13"/>
      <c r="D901" s="13"/>
      <c r="E901" s="13"/>
      <c r="F901" s="134"/>
      <c r="G901" s="134"/>
      <c r="H901" s="134"/>
      <c r="I901" s="134"/>
      <c r="J901" s="134"/>
      <c r="K901" s="134"/>
      <c r="L901" s="134"/>
      <c r="M901" s="134"/>
      <c r="N901" s="134"/>
      <c r="O901" s="134"/>
      <c r="P901" s="134"/>
      <c r="Q901" s="134"/>
      <c r="R901" s="134"/>
      <c r="S901" s="134"/>
      <c r="T901" s="134"/>
      <c r="U901" s="134"/>
      <c r="V901" s="134"/>
      <c r="W901" s="134"/>
      <c r="X901" s="134"/>
      <c r="Y901" s="134"/>
      <c r="Z901" s="134"/>
    </row>
    <row r="902" spans="1:26" ht="15.75" hidden="1" customHeight="1">
      <c r="A902" s="13"/>
      <c r="B902" s="13"/>
      <c r="C902" s="13"/>
      <c r="D902" s="13"/>
      <c r="E902" s="13"/>
      <c r="F902" s="134"/>
      <c r="G902" s="134"/>
      <c r="H902" s="134"/>
      <c r="I902" s="134"/>
      <c r="J902" s="134"/>
      <c r="K902" s="134"/>
      <c r="L902" s="134"/>
      <c r="M902" s="134"/>
      <c r="N902" s="134"/>
      <c r="O902" s="134"/>
      <c r="P902" s="134"/>
      <c r="Q902" s="134"/>
      <c r="R902" s="134"/>
      <c r="S902" s="134"/>
      <c r="T902" s="134"/>
      <c r="U902" s="134"/>
      <c r="V902" s="134"/>
      <c r="W902" s="134"/>
      <c r="X902" s="134"/>
      <c r="Y902" s="134"/>
      <c r="Z902" s="134"/>
    </row>
    <row r="903" spans="1:26" ht="15.75" hidden="1" customHeight="1">
      <c r="A903" s="13"/>
      <c r="B903" s="13"/>
      <c r="C903" s="13"/>
      <c r="D903" s="13"/>
      <c r="E903" s="13"/>
      <c r="F903" s="134"/>
      <c r="G903" s="134"/>
      <c r="H903" s="134"/>
      <c r="I903" s="134"/>
      <c r="J903" s="134"/>
      <c r="K903" s="134"/>
      <c r="L903" s="134"/>
      <c r="M903" s="134"/>
      <c r="N903" s="134"/>
      <c r="O903" s="134"/>
      <c r="P903" s="134"/>
      <c r="Q903" s="134"/>
      <c r="R903" s="134"/>
      <c r="S903" s="134"/>
      <c r="T903" s="134"/>
      <c r="U903" s="134"/>
      <c r="V903" s="134"/>
      <c r="W903" s="134"/>
      <c r="X903" s="134"/>
      <c r="Y903" s="134"/>
      <c r="Z903" s="134"/>
    </row>
    <row r="904" spans="1:26" ht="15.75" hidden="1" customHeight="1">
      <c r="A904" s="13"/>
      <c r="B904" s="13"/>
      <c r="C904" s="13"/>
      <c r="D904" s="13"/>
      <c r="E904" s="13"/>
      <c r="F904" s="134"/>
      <c r="G904" s="134"/>
      <c r="H904" s="134"/>
      <c r="I904" s="134"/>
      <c r="J904" s="134"/>
      <c r="K904" s="134"/>
      <c r="L904" s="134"/>
      <c r="M904" s="134"/>
      <c r="N904" s="134"/>
      <c r="O904" s="134"/>
      <c r="P904" s="134"/>
      <c r="Q904" s="134"/>
      <c r="R904" s="134"/>
      <c r="S904" s="134"/>
      <c r="T904" s="134"/>
      <c r="U904" s="134"/>
      <c r="V904" s="134"/>
      <c r="W904" s="134"/>
      <c r="X904" s="134"/>
      <c r="Y904" s="134"/>
      <c r="Z904" s="134"/>
    </row>
    <row r="905" spans="1:26" ht="15.75" hidden="1" customHeight="1">
      <c r="A905" s="13"/>
      <c r="B905" s="13"/>
      <c r="C905" s="13"/>
      <c r="D905" s="13"/>
      <c r="E905" s="13"/>
      <c r="F905" s="134"/>
      <c r="G905" s="134"/>
      <c r="H905" s="134"/>
      <c r="I905" s="134"/>
      <c r="J905" s="134"/>
      <c r="K905" s="134"/>
      <c r="L905" s="134"/>
      <c r="M905" s="134"/>
      <c r="N905" s="134"/>
      <c r="O905" s="134"/>
      <c r="P905" s="134"/>
      <c r="Q905" s="134"/>
      <c r="R905" s="134"/>
      <c r="S905" s="134"/>
      <c r="T905" s="134"/>
      <c r="U905" s="134"/>
      <c r="V905" s="134"/>
      <c r="W905" s="134"/>
      <c r="X905" s="134"/>
      <c r="Y905" s="134"/>
      <c r="Z905" s="134"/>
    </row>
    <row r="906" spans="1:26" ht="15.75" hidden="1" customHeight="1">
      <c r="A906" s="13"/>
      <c r="B906" s="13"/>
      <c r="C906" s="13"/>
      <c r="D906" s="13"/>
      <c r="E906" s="13"/>
      <c r="F906" s="134"/>
      <c r="G906" s="134"/>
      <c r="H906" s="134"/>
      <c r="I906" s="134"/>
      <c r="J906" s="134"/>
      <c r="K906" s="134"/>
      <c r="L906" s="134"/>
      <c r="M906" s="134"/>
      <c r="N906" s="134"/>
      <c r="O906" s="134"/>
      <c r="P906" s="134"/>
      <c r="Q906" s="134"/>
      <c r="R906" s="134"/>
      <c r="S906" s="134"/>
      <c r="T906" s="134"/>
      <c r="U906" s="134"/>
      <c r="V906" s="134"/>
      <c r="W906" s="134"/>
      <c r="X906" s="134"/>
      <c r="Y906" s="134"/>
      <c r="Z906" s="134"/>
    </row>
    <row r="907" spans="1:26" ht="15.75" hidden="1" customHeight="1">
      <c r="A907" s="13"/>
      <c r="B907" s="13"/>
      <c r="C907" s="13"/>
      <c r="D907" s="13"/>
      <c r="E907" s="13"/>
      <c r="F907" s="134"/>
      <c r="G907" s="134"/>
      <c r="H907" s="134"/>
      <c r="I907" s="134"/>
      <c r="J907" s="134"/>
      <c r="K907" s="134"/>
      <c r="L907" s="134"/>
      <c r="M907" s="134"/>
      <c r="N907" s="134"/>
      <c r="O907" s="134"/>
      <c r="P907" s="134"/>
      <c r="Q907" s="134"/>
      <c r="R907" s="134"/>
      <c r="S907" s="134"/>
      <c r="T907" s="134"/>
      <c r="U907" s="134"/>
      <c r="V907" s="134"/>
      <c r="W907" s="134"/>
      <c r="X907" s="134"/>
      <c r="Y907" s="134"/>
      <c r="Z907" s="134"/>
    </row>
    <row r="908" spans="1:26" ht="15.75" hidden="1" customHeight="1">
      <c r="A908" s="13"/>
      <c r="B908" s="13"/>
      <c r="C908" s="13"/>
      <c r="D908" s="13"/>
      <c r="E908" s="13"/>
      <c r="F908" s="134"/>
      <c r="G908" s="134"/>
      <c r="H908" s="134"/>
      <c r="I908" s="134"/>
      <c r="J908" s="134"/>
      <c r="K908" s="134"/>
      <c r="L908" s="134"/>
      <c r="M908" s="134"/>
      <c r="N908" s="134"/>
      <c r="O908" s="134"/>
      <c r="P908" s="134"/>
      <c r="Q908" s="134"/>
      <c r="R908" s="134"/>
      <c r="S908" s="134"/>
      <c r="T908" s="134"/>
      <c r="U908" s="134"/>
      <c r="V908" s="134"/>
      <c r="W908" s="134"/>
      <c r="X908" s="134"/>
      <c r="Y908" s="134"/>
      <c r="Z908" s="134"/>
    </row>
    <row r="909" spans="1:26" ht="15.75" hidden="1" customHeight="1">
      <c r="A909" s="13"/>
      <c r="B909" s="13"/>
      <c r="C909" s="13"/>
      <c r="D909" s="13"/>
      <c r="E909" s="13"/>
      <c r="F909" s="134"/>
      <c r="G909" s="134"/>
      <c r="H909" s="134"/>
      <c r="I909" s="134"/>
      <c r="J909" s="134"/>
      <c r="K909" s="134"/>
      <c r="L909" s="134"/>
      <c r="M909" s="134"/>
      <c r="N909" s="134"/>
      <c r="O909" s="134"/>
      <c r="P909" s="134"/>
      <c r="Q909" s="134"/>
      <c r="R909" s="134"/>
      <c r="S909" s="134"/>
      <c r="T909" s="134"/>
      <c r="U909" s="134"/>
      <c r="V909" s="134"/>
      <c r="W909" s="134"/>
      <c r="X909" s="134"/>
      <c r="Y909" s="134"/>
      <c r="Z909" s="134"/>
    </row>
    <row r="910" spans="1:26" ht="15.75" hidden="1" customHeight="1">
      <c r="A910" s="13"/>
      <c r="B910" s="13"/>
      <c r="C910" s="13"/>
      <c r="D910" s="13"/>
      <c r="E910" s="13"/>
      <c r="F910" s="134"/>
      <c r="G910" s="134"/>
      <c r="H910" s="134"/>
      <c r="I910" s="134"/>
      <c r="J910" s="134"/>
      <c r="K910" s="134"/>
      <c r="L910" s="134"/>
      <c r="M910" s="134"/>
      <c r="N910" s="134"/>
      <c r="O910" s="134"/>
      <c r="P910" s="134"/>
      <c r="Q910" s="134"/>
      <c r="R910" s="134"/>
      <c r="S910" s="134"/>
      <c r="T910" s="134"/>
      <c r="U910" s="134"/>
      <c r="V910" s="134"/>
      <c r="W910" s="134"/>
      <c r="X910" s="134"/>
      <c r="Y910" s="134"/>
      <c r="Z910" s="134"/>
    </row>
    <row r="911" spans="1:26" ht="15.75" hidden="1" customHeight="1">
      <c r="A911" s="13"/>
      <c r="B911" s="13"/>
      <c r="C911" s="13"/>
      <c r="D911" s="13"/>
      <c r="E911" s="13"/>
      <c r="F911" s="134"/>
      <c r="G911" s="134"/>
      <c r="H911" s="134"/>
      <c r="I911" s="134"/>
      <c r="J911" s="134"/>
      <c r="K911" s="134"/>
      <c r="L911" s="134"/>
      <c r="M911" s="134"/>
      <c r="N911" s="134"/>
      <c r="O911" s="134"/>
      <c r="P911" s="134"/>
      <c r="Q911" s="134"/>
      <c r="R911" s="134"/>
      <c r="S911" s="134"/>
      <c r="T911" s="134"/>
      <c r="U911" s="134"/>
      <c r="V911" s="134"/>
      <c r="W911" s="134"/>
      <c r="X911" s="134"/>
      <c r="Y911" s="134"/>
      <c r="Z911" s="134"/>
    </row>
    <row r="912" spans="1:26" ht="15.75" hidden="1" customHeight="1">
      <c r="A912" s="13"/>
      <c r="B912" s="13"/>
      <c r="C912" s="13"/>
      <c r="D912" s="13"/>
      <c r="E912" s="13"/>
      <c r="F912" s="134"/>
      <c r="G912" s="134"/>
      <c r="H912" s="134"/>
      <c r="I912" s="134"/>
      <c r="J912" s="134"/>
      <c r="K912" s="134"/>
      <c r="L912" s="134"/>
      <c r="M912" s="134"/>
      <c r="N912" s="134"/>
      <c r="O912" s="134"/>
      <c r="P912" s="134"/>
      <c r="Q912" s="134"/>
      <c r="R912" s="134"/>
      <c r="S912" s="134"/>
      <c r="T912" s="134"/>
      <c r="U912" s="134"/>
      <c r="V912" s="134"/>
      <c r="W912" s="134"/>
      <c r="X912" s="134"/>
      <c r="Y912" s="134"/>
      <c r="Z912" s="134"/>
    </row>
    <row r="913" spans="1:26" ht="15.75" hidden="1" customHeight="1">
      <c r="A913" s="13"/>
      <c r="B913" s="13"/>
      <c r="C913" s="13"/>
      <c r="D913" s="13"/>
      <c r="E913" s="13"/>
      <c r="F913" s="134"/>
      <c r="G913" s="134"/>
      <c r="H913" s="134"/>
      <c r="I913" s="134"/>
      <c r="J913" s="134"/>
      <c r="K913" s="134"/>
      <c r="L913" s="134"/>
      <c r="M913" s="134"/>
      <c r="N913" s="134"/>
      <c r="O913" s="134"/>
      <c r="P913" s="134"/>
      <c r="Q913" s="134"/>
      <c r="R913" s="134"/>
      <c r="S913" s="134"/>
      <c r="T913" s="134"/>
      <c r="U913" s="134"/>
      <c r="V913" s="134"/>
      <c r="W913" s="134"/>
      <c r="X913" s="134"/>
      <c r="Y913" s="134"/>
      <c r="Z913" s="134"/>
    </row>
    <row r="914" spans="1:26" ht="15.75" hidden="1" customHeight="1">
      <c r="A914" s="13"/>
      <c r="B914" s="13"/>
      <c r="C914" s="13"/>
      <c r="D914" s="13"/>
      <c r="E914" s="13"/>
      <c r="F914" s="134"/>
      <c r="G914" s="134"/>
      <c r="H914" s="134"/>
      <c r="I914" s="134"/>
      <c r="J914" s="134"/>
      <c r="K914" s="134"/>
      <c r="L914" s="134"/>
      <c r="M914" s="134"/>
      <c r="N914" s="134"/>
      <c r="O914" s="134"/>
      <c r="P914" s="134"/>
      <c r="Q914" s="134"/>
      <c r="R914" s="134"/>
      <c r="S914" s="134"/>
      <c r="T914" s="134"/>
      <c r="U914" s="134"/>
      <c r="V914" s="134"/>
      <c r="W914" s="134"/>
      <c r="X914" s="134"/>
      <c r="Y914" s="134"/>
      <c r="Z914" s="134"/>
    </row>
    <row r="915" spans="1:26" ht="15.75" hidden="1" customHeight="1">
      <c r="A915" s="13"/>
      <c r="B915" s="13"/>
      <c r="C915" s="13"/>
      <c r="D915" s="13"/>
      <c r="E915" s="13"/>
      <c r="F915" s="134"/>
      <c r="G915" s="134"/>
      <c r="H915" s="134"/>
      <c r="I915" s="134"/>
      <c r="J915" s="134"/>
      <c r="K915" s="134"/>
      <c r="L915" s="134"/>
      <c r="M915" s="134"/>
      <c r="N915" s="134"/>
      <c r="O915" s="134"/>
      <c r="P915" s="134"/>
      <c r="Q915" s="134"/>
      <c r="R915" s="134"/>
      <c r="S915" s="134"/>
      <c r="T915" s="134"/>
      <c r="U915" s="134"/>
      <c r="V915" s="134"/>
      <c r="W915" s="134"/>
      <c r="X915" s="134"/>
      <c r="Y915" s="134"/>
      <c r="Z915" s="134"/>
    </row>
    <row r="916" spans="1:26" ht="15.75" hidden="1" customHeight="1">
      <c r="A916" s="13"/>
      <c r="B916" s="13"/>
      <c r="C916" s="13"/>
      <c r="D916" s="13"/>
      <c r="E916" s="13"/>
      <c r="F916" s="134"/>
      <c r="G916" s="134"/>
      <c r="H916" s="134"/>
      <c r="I916" s="134"/>
      <c r="J916" s="134"/>
      <c r="K916" s="134"/>
      <c r="L916" s="134"/>
      <c r="M916" s="134"/>
      <c r="N916" s="134"/>
      <c r="O916" s="134"/>
      <c r="P916" s="134"/>
      <c r="Q916" s="134"/>
      <c r="R916" s="134"/>
      <c r="S916" s="134"/>
      <c r="T916" s="134"/>
      <c r="U916" s="134"/>
      <c r="V916" s="134"/>
      <c r="W916" s="134"/>
      <c r="X916" s="134"/>
      <c r="Y916" s="134"/>
      <c r="Z916" s="134"/>
    </row>
    <row r="917" spans="1:26" ht="15.75" hidden="1" customHeight="1">
      <c r="A917" s="13"/>
      <c r="B917" s="13"/>
      <c r="C917" s="13"/>
      <c r="D917" s="13"/>
      <c r="E917" s="13"/>
      <c r="F917" s="134"/>
      <c r="G917" s="134"/>
      <c r="H917" s="134"/>
      <c r="I917" s="134"/>
      <c r="J917" s="134"/>
      <c r="K917" s="134"/>
      <c r="L917" s="134"/>
      <c r="M917" s="134"/>
      <c r="N917" s="134"/>
      <c r="O917" s="134"/>
      <c r="P917" s="134"/>
      <c r="Q917" s="134"/>
      <c r="R917" s="134"/>
      <c r="S917" s="134"/>
      <c r="T917" s="134"/>
      <c r="U917" s="134"/>
      <c r="V917" s="134"/>
      <c r="W917" s="134"/>
      <c r="X917" s="134"/>
      <c r="Y917" s="134"/>
      <c r="Z917" s="134"/>
    </row>
    <row r="918" spans="1:26" ht="15.75" hidden="1" customHeight="1">
      <c r="A918" s="13"/>
      <c r="B918" s="13"/>
      <c r="C918" s="13"/>
      <c r="D918" s="13"/>
      <c r="E918" s="13"/>
      <c r="F918" s="134"/>
      <c r="G918" s="134"/>
      <c r="H918" s="134"/>
      <c r="I918" s="134"/>
      <c r="J918" s="134"/>
      <c r="K918" s="134"/>
      <c r="L918" s="134"/>
      <c r="M918" s="134"/>
      <c r="N918" s="134"/>
      <c r="O918" s="134"/>
      <c r="P918" s="134"/>
      <c r="Q918" s="134"/>
      <c r="R918" s="134"/>
      <c r="S918" s="134"/>
      <c r="T918" s="134"/>
      <c r="U918" s="134"/>
      <c r="V918" s="134"/>
      <c r="W918" s="134"/>
      <c r="X918" s="134"/>
      <c r="Y918" s="134"/>
      <c r="Z918" s="134"/>
    </row>
    <row r="919" spans="1:26" ht="15.75" hidden="1" customHeight="1">
      <c r="A919" s="13"/>
      <c r="B919" s="13"/>
      <c r="C919" s="13"/>
      <c r="D919" s="13"/>
      <c r="E919" s="13"/>
      <c r="F919" s="134"/>
      <c r="G919" s="134"/>
      <c r="H919" s="134"/>
      <c r="I919" s="134"/>
      <c r="J919" s="134"/>
      <c r="K919" s="134"/>
      <c r="L919" s="134"/>
      <c r="M919" s="134"/>
      <c r="N919" s="134"/>
      <c r="O919" s="134"/>
      <c r="P919" s="134"/>
      <c r="Q919" s="134"/>
      <c r="R919" s="134"/>
      <c r="S919" s="134"/>
      <c r="T919" s="134"/>
      <c r="U919" s="134"/>
      <c r="V919" s="134"/>
      <c r="W919" s="134"/>
      <c r="X919" s="134"/>
      <c r="Y919" s="134"/>
      <c r="Z919" s="134"/>
    </row>
    <row r="920" spans="1:26" ht="15.75" hidden="1" customHeight="1">
      <c r="A920" s="13"/>
      <c r="B920" s="13"/>
      <c r="C920" s="13"/>
      <c r="D920" s="13"/>
      <c r="E920" s="13"/>
      <c r="F920" s="134"/>
      <c r="G920" s="134"/>
      <c r="H920" s="134"/>
      <c r="I920" s="134"/>
      <c r="J920" s="134"/>
      <c r="K920" s="134"/>
      <c r="L920" s="134"/>
      <c r="M920" s="134"/>
      <c r="N920" s="134"/>
      <c r="O920" s="134"/>
      <c r="P920" s="134"/>
      <c r="Q920" s="134"/>
      <c r="R920" s="134"/>
      <c r="S920" s="134"/>
      <c r="T920" s="134"/>
      <c r="U920" s="134"/>
      <c r="V920" s="134"/>
      <c r="W920" s="134"/>
      <c r="X920" s="134"/>
      <c r="Y920" s="134"/>
      <c r="Z920" s="134"/>
    </row>
    <row r="921" spans="1:26" ht="15.75" hidden="1" customHeight="1">
      <c r="A921" s="13"/>
      <c r="B921" s="13"/>
      <c r="C921" s="13"/>
      <c r="D921" s="13"/>
      <c r="E921" s="13"/>
      <c r="F921" s="134"/>
      <c r="G921" s="134"/>
      <c r="H921" s="134"/>
      <c r="I921" s="134"/>
      <c r="J921" s="134"/>
      <c r="K921" s="134"/>
      <c r="L921" s="134"/>
      <c r="M921" s="134"/>
      <c r="N921" s="134"/>
      <c r="O921" s="134"/>
      <c r="P921" s="134"/>
      <c r="Q921" s="134"/>
      <c r="R921" s="134"/>
      <c r="S921" s="134"/>
      <c r="T921" s="134"/>
      <c r="U921" s="134"/>
      <c r="V921" s="134"/>
      <c r="W921" s="134"/>
      <c r="X921" s="134"/>
      <c r="Y921" s="134"/>
      <c r="Z921" s="134"/>
    </row>
    <row r="922" spans="1:26" ht="15.75" hidden="1" customHeight="1">
      <c r="A922" s="13"/>
      <c r="B922" s="13"/>
      <c r="C922" s="13"/>
      <c r="D922" s="13"/>
      <c r="E922" s="13"/>
      <c r="F922" s="134"/>
      <c r="G922" s="134"/>
      <c r="H922" s="134"/>
      <c r="I922" s="134"/>
      <c r="J922" s="134"/>
      <c r="K922" s="134"/>
      <c r="L922" s="134"/>
      <c r="M922" s="134"/>
      <c r="N922" s="134"/>
      <c r="O922" s="134"/>
      <c r="P922" s="134"/>
      <c r="Q922" s="134"/>
      <c r="R922" s="134"/>
      <c r="S922" s="134"/>
      <c r="T922" s="134"/>
      <c r="U922" s="134"/>
      <c r="V922" s="134"/>
      <c r="W922" s="134"/>
      <c r="X922" s="134"/>
      <c r="Y922" s="134"/>
      <c r="Z922" s="134"/>
    </row>
    <row r="923" spans="1:26" ht="15.75" hidden="1" customHeight="1">
      <c r="A923" s="13"/>
      <c r="B923" s="13"/>
      <c r="C923" s="13"/>
      <c r="D923" s="13"/>
      <c r="E923" s="13"/>
      <c r="F923" s="134"/>
      <c r="G923" s="134"/>
      <c r="H923" s="134"/>
      <c r="I923" s="134"/>
      <c r="J923" s="134"/>
      <c r="K923" s="134"/>
      <c r="L923" s="134"/>
      <c r="M923" s="134"/>
      <c r="N923" s="134"/>
      <c r="O923" s="134"/>
      <c r="P923" s="134"/>
      <c r="Q923" s="134"/>
      <c r="R923" s="134"/>
      <c r="S923" s="134"/>
      <c r="T923" s="134"/>
      <c r="U923" s="134"/>
      <c r="V923" s="134"/>
      <c r="W923" s="134"/>
      <c r="X923" s="134"/>
      <c r="Y923" s="134"/>
      <c r="Z923" s="134"/>
    </row>
    <row r="924" spans="1:26" ht="15.75" hidden="1" customHeight="1">
      <c r="A924" s="13"/>
      <c r="B924" s="13"/>
      <c r="C924" s="13"/>
      <c r="D924" s="13"/>
      <c r="E924" s="13"/>
      <c r="F924" s="134"/>
      <c r="G924" s="134"/>
      <c r="H924" s="134"/>
      <c r="I924" s="134"/>
      <c r="J924" s="134"/>
      <c r="K924" s="134"/>
      <c r="L924" s="134"/>
      <c r="M924" s="134"/>
      <c r="N924" s="134"/>
      <c r="O924" s="134"/>
      <c r="P924" s="134"/>
      <c r="Q924" s="134"/>
      <c r="R924" s="134"/>
      <c r="S924" s="134"/>
      <c r="T924" s="134"/>
      <c r="U924" s="134"/>
      <c r="V924" s="134"/>
      <c r="W924" s="134"/>
      <c r="X924" s="134"/>
      <c r="Y924" s="134"/>
      <c r="Z924" s="134"/>
    </row>
    <row r="925" spans="1:26" ht="15.75" hidden="1" customHeight="1">
      <c r="A925" s="13"/>
      <c r="B925" s="13"/>
      <c r="C925" s="13"/>
      <c r="D925" s="13"/>
      <c r="E925" s="13"/>
      <c r="F925" s="134"/>
      <c r="G925" s="134"/>
      <c r="H925" s="134"/>
      <c r="I925" s="134"/>
      <c r="J925" s="134"/>
      <c r="K925" s="134"/>
      <c r="L925" s="134"/>
      <c r="M925" s="134"/>
      <c r="N925" s="134"/>
      <c r="O925" s="134"/>
      <c r="P925" s="134"/>
      <c r="Q925" s="134"/>
      <c r="R925" s="134"/>
      <c r="S925" s="134"/>
      <c r="T925" s="134"/>
      <c r="U925" s="134"/>
      <c r="V925" s="134"/>
      <c r="W925" s="134"/>
      <c r="X925" s="134"/>
      <c r="Y925" s="134"/>
      <c r="Z925" s="134"/>
    </row>
    <row r="926" spans="1:26" ht="15.75" hidden="1" customHeight="1">
      <c r="A926" s="13"/>
      <c r="B926" s="13"/>
      <c r="C926" s="13"/>
      <c r="D926" s="13"/>
      <c r="E926" s="13"/>
      <c r="F926" s="134"/>
      <c r="G926" s="134"/>
      <c r="H926" s="134"/>
      <c r="I926" s="134"/>
      <c r="J926" s="134"/>
      <c r="K926" s="134"/>
      <c r="L926" s="134"/>
      <c r="M926" s="134"/>
      <c r="N926" s="134"/>
      <c r="O926" s="134"/>
      <c r="P926" s="134"/>
      <c r="Q926" s="134"/>
      <c r="R926" s="134"/>
      <c r="S926" s="134"/>
      <c r="T926" s="134"/>
      <c r="U926" s="134"/>
      <c r="V926" s="134"/>
      <c r="W926" s="134"/>
      <c r="X926" s="134"/>
      <c r="Y926" s="134"/>
      <c r="Z926" s="134"/>
    </row>
    <row r="927" spans="1:26" ht="15.75" hidden="1" customHeight="1">
      <c r="A927" s="13"/>
      <c r="B927" s="13"/>
      <c r="C927" s="13"/>
      <c r="D927" s="13"/>
      <c r="E927" s="13"/>
      <c r="F927" s="134"/>
      <c r="G927" s="134"/>
      <c r="H927" s="134"/>
      <c r="I927" s="134"/>
      <c r="J927" s="134"/>
      <c r="K927" s="134"/>
      <c r="L927" s="134"/>
      <c r="M927" s="134"/>
      <c r="N927" s="134"/>
      <c r="O927" s="134"/>
      <c r="P927" s="134"/>
      <c r="Q927" s="134"/>
      <c r="R927" s="134"/>
      <c r="S927" s="134"/>
      <c r="T927" s="134"/>
      <c r="U927" s="134"/>
      <c r="V927" s="134"/>
      <c r="W927" s="134"/>
      <c r="X927" s="134"/>
      <c r="Y927" s="134"/>
      <c r="Z927" s="134"/>
    </row>
    <row r="928" spans="1:26" ht="15.75" hidden="1" customHeight="1">
      <c r="A928" s="13"/>
      <c r="B928" s="13"/>
      <c r="C928" s="13"/>
      <c r="D928" s="13"/>
      <c r="E928" s="13"/>
      <c r="F928" s="134"/>
      <c r="G928" s="134"/>
      <c r="H928" s="134"/>
      <c r="I928" s="134"/>
      <c r="J928" s="134"/>
      <c r="K928" s="134"/>
      <c r="L928" s="134"/>
      <c r="M928" s="134"/>
      <c r="N928" s="134"/>
      <c r="O928" s="134"/>
      <c r="P928" s="134"/>
      <c r="Q928" s="134"/>
      <c r="R928" s="134"/>
      <c r="S928" s="134"/>
      <c r="T928" s="134"/>
      <c r="U928" s="134"/>
      <c r="V928" s="134"/>
      <c r="W928" s="134"/>
      <c r="X928" s="134"/>
      <c r="Y928" s="134"/>
      <c r="Z928" s="134"/>
    </row>
    <row r="929" spans="1:26" ht="15.75" hidden="1" customHeight="1">
      <c r="A929" s="13"/>
      <c r="B929" s="13"/>
      <c r="C929" s="13"/>
      <c r="D929" s="13"/>
      <c r="E929" s="13"/>
      <c r="F929" s="134"/>
      <c r="G929" s="134"/>
      <c r="H929" s="134"/>
      <c r="I929" s="134"/>
      <c r="J929" s="134"/>
      <c r="K929" s="134"/>
      <c r="L929" s="134"/>
      <c r="M929" s="134"/>
      <c r="N929" s="134"/>
      <c r="O929" s="134"/>
      <c r="P929" s="134"/>
      <c r="Q929" s="134"/>
      <c r="R929" s="134"/>
      <c r="S929" s="134"/>
      <c r="T929" s="134"/>
      <c r="U929" s="134"/>
      <c r="V929" s="134"/>
      <c r="W929" s="134"/>
      <c r="X929" s="134"/>
      <c r="Y929" s="134"/>
      <c r="Z929" s="134"/>
    </row>
    <row r="930" spans="1:26" ht="15.75" hidden="1" customHeight="1">
      <c r="A930" s="13"/>
      <c r="B930" s="13"/>
      <c r="C930" s="13"/>
      <c r="D930" s="13"/>
      <c r="E930" s="13"/>
      <c r="F930" s="134"/>
      <c r="G930" s="134"/>
      <c r="H930" s="134"/>
      <c r="I930" s="134"/>
      <c r="J930" s="134"/>
      <c r="K930" s="134"/>
      <c r="L930" s="134"/>
      <c r="M930" s="134"/>
      <c r="N930" s="134"/>
      <c r="O930" s="134"/>
      <c r="P930" s="134"/>
      <c r="Q930" s="134"/>
      <c r="R930" s="134"/>
      <c r="S930" s="134"/>
      <c r="T930" s="134"/>
      <c r="U930" s="134"/>
      <c r="V930" s="134"/>
      <c r="W930" s="134"/>
      <c r="X930" s="134"/>
      <c r="Y930" s="134"/>
      <c r="Z930" s="134"/>
    </row>
    <row r="931" spans="1:26" ht="15.75" hidden="1" customHeight="1">
      <c r="A931" s="13"/>
      <c r="B931" s="13"/>
      <c r="C931" s="13"/>
      <c r="D931" s="13"/>
      <c r="E931" s="13"/>
      <c r="F931" s="134"/>
      <c r="G931" s="134"/>
      <c r="H931" s="134"/>
      <c r="I931" s="134"/>
      <c r="J931" s="134"/>
      <c r="K931" s="134"/>
      <c r="L931" s="134"/>
      <c r="M931" s="134"/>
      <c r="N931" s="134"/>
      <c r="O931" s="134"/>
      <c r="P931" s="134"/>
      <c r="Q931" s="134"/>
      <c r="R931" s="134"/>
      <c r="S931" s="134"/>
      <c r="T931" s="134"/>
      <c r="U931" s="134"/>
      <c r="V931" s="134"/>
      <c r="W931" s="134"/>
      <c r="X931" s="134"/>
      <c r="Y931" s="134"/>
      <c r="Z931" s="134"/>
    </row>
    <row r="932" spans="1:26" ht="15.75" hidden="1" customHeight="1">
      <c r="A932" s="13"/>
      <c r="B932" s="13"/>
      <c r="C932" s="13"/>
      <c r="D932" s="13"/>
      <c r="E932" s="13"/>
      <c r="F932" s="134"/>
      <c r="G932" s="134"/>
      <c r="H932" s="134"/>
      <c r="I932" s="134"/>
      <c r="J932" s="134"/>
      <c r="K932" s="134"/>
      <c r="L932" s="134"/>
      <c r="M932" s="134"/>
      <c r="N932" s="134"/>
      <c r="O932" s="134"/>
      <c r="P932" s="134"/>
      <c r="Q932" s="134"/>
      <c r="R932" s="134"/>
      <c r="S932" s="134"/>
      <c r="T932" s="134"/>
      <c r="U932" s="134"/>
      <c r="V932" s="134"/>
      <c r="W932" s="134"/>
      <c r="X932" s="134"/>
      <c r="Y932" s="134"/>
      <c r="Z932" s="134"/>
    </row>
    <row r="933" spans="1:26" ht="15.75" hidden="1" customHeight="1">
      <c r="A933" s="13"/>
      <c r="B933" s="13"/>
      <c r="C933" s="13"/>
      <c r="D933" s="13"/>
      <c r="E933" s="13"/>
      <c r="F933" s="134"/>
      <c r="G933" s="134"/>
      <c r="H933" s="134"/>
      <c r="I933" s="134"/>
      <c r="J933" s="134"/>
      <c r="K933" s="134"/>
      <c r="L933" s="134"/>
      <c r="M933" s="134"/>
      <c r="N933" s="134"/>
      <c r="O933" s="134"/>
      <c r="P933" s="134"/>
      <c r="Q933" s="134"/>
      <c r="R933" s="134"/>
      <c r="S933" s="134"/>
      <c r="T933" s="134"/>
      <c r="U933" s="134"/>
      <c r="V933" s="134"/>
      <c r="W933" s="134"/>
      <c r="X933" s="134"/>
      <c r="Y933" s="134"/>
      <c r="Z933" s="134"/>
    </row>
    <row r="934" spans="1:26" ht="15.75" hidden="1" customHeight="1">
      <c r="A934" s="13"/>
      <c r="B934" s="13"/>
      <c r="C934" s="13"/>
      <c r="D934" s="13"/>
      <c r="E934" s="13"/>
      <c r="F934" s="134"/>
      <c r="G934" s="134"/>
      <c r="H934" s="134"/>
      <c r="I934" s="134"/>
      <c r="J934" s="134"/>
      <c r="K934" s="134"/>
      <c r="L934" s="134"/>
      <c r="M934" s="134"/>
      <c r="N934" s="134"/>
      <c r="O934" s="134"/>
      <c r="P934" s="134"/>
      <c r="Q934" s="134"/>
      <c r="R934" s="134"/>
      <c r="S934" s="134"/>
      <c r="T934" s="134"/>
      <c r="U934" s="134"/>
      <c r="V934" s="134"/>
      <c r="W934" s="134"/>
      <c r="X934" s="134"/>
      <c r="Y934" s="134"/>
      <c r="Z934" s="134"/>
    </row>
    <row r="935" spans="1:26" ht="15.75" hidden="1" customHeight="1">
      <c r="A935" s="13"/>
      <c r="B935" s="13"/>
      <c r="C935" s="13"/>
      <c r="D935" s="13"/>
      <c r="E935" s="13"/>
      <c r="F935" s="134"/>
      <c r="G935" s="134"/>
      <c r="H935" s="134"/>
      <c r="I935" s="134"/>
      <c r="J935" s="134"/>
      <c r="K935" s="134"/>
      <c r="L935" s="134"/>
      <c r="M935" s="134"/>
      <c r="N935" s="134"/>
      <c r="O935" s="134"/>
      <c r="P935" s="134"/>
      <c r="Q935" s="134"/>
      <c r="R935" s="134"/>
      <c r="S935" s="134"/>
      <c r="T935" s="134"/>
      <c r="U935" s="134"/>
      <c r="V935" s="134"/>
      <c r="W935" s="134"/>
      <c r="X935" s="134"/>
      <c r="Y935" s="134"/>
      <c r="Z935" s="134"/>
    </row>
    <row r="936" spans="1:26" ht="15.75" hidden="1" customHeight="1">
      <c r="A936" s="13"/>
      <c r="B936" s="13"/>
      <c r="C936" s="13"/>
      <c r="D936" s="13"/>
      <c r="E936" s="13"/>
      <c r="F936" s="134"/>
      <c r="G936" s="134"/>
      <c r="H936" s="134"/>
      <c r="I936" s="134"/>
      <c r="J936" s="134"/>
      <c r="K936" s="134"/>
      <c r="L936" s="134"/>
      <c r="M936" s="134"/>
      <c r="N936" s="134"/>
      <c r="O936" s="134"/>
      <c r="P936" s="134"/>
      <c r="Q936" s="134"/>
      <c r="R936" s="134"/>
      <c r="S936" s="134"/>
      <c r="T936" s="134"/>
      <c r="U936" s="134"/>
      <c r="V936" s="134"/>
      <c r="W936" s="134"/>
      <c r="X936" s="134"/>
      <c r="Y936" s="134"/>
      <c r="Z936" s="134"/>
    </row>
    <row r="937" spans="1:26" ht="15.75" hidden="1" customHeight="1">
      <c r="A937" s="13"/>
      <c r="B937" s="13"/>
      <c r="C937" s="13"/>
      <c r="D937" s="13"/>
      <c r="E937" s="13"/>
      <c r="F937" s="134"/>
      <c r="G937" s="134"/>
      <c r="H937" s="134"/>
      <c r="I937" s="134"/>
      <c r="J937" s="134"/>
      <c r="K937" s="134"/>
      <c r="L937" s="134"/>
      <c r="M937" s="134"/>
      <c r="N937" s="134"/>
      <c r="O937" s="134"/>
      <c r="P937" s="134"/>
      <c r="Q937" s="134"/>
      <c r="R937" s="134"/>
      <c r="S937" s="134"/>
      <c r="T937" s="134"/>
      <c r="U937" s="134"/>
      <c r="V937" s="134"/>
      <c r="W937" s="134"/>
      <c r="X937" s="134"/>
      <c r="Y937" s="134"/>
      <c r="Z937" s="134"/>
    </row>
    <row r="938" spans="1:26" ht="15.75" hidden="1" customHeight="1">
      <c r="A938" s="13"/>
      <c r="B938" s="13"/>
      <c r="C938" s="13"/>
      <c r="D938" s="13"/>
      <c r="E938" s="13"/>
      <c r="F938" s="134"/>
      <c r="G938" s="134"/>
      <c r="H938" s="134"/>
      <c r="I938" s="134"/>
      <c r="J938" s="134"/>
      <c r="K938" s="134"/>
      <c r="L938" s="134"/>
      <c r="M938" s="134"/>
      <c r="N938" s="134"/>
      <c r="O938" s="134"/>
      <c r="P938" s="134"/>
      <c r="Q938" s="134"/>
      <c r="R938" s="134"/>
      <c r="S938" s="134"/>
      <c r="T938" s="134"/>
      <c r="U938" s="134"/>
      <c r="V938" s="134"/>
      <c r="W938" s="134"/>
      <c r="X938" s="134"/>
      <c r="Y938" s="134"/>
      <c r="Z938" s="134"/>
    </row>
    <row r="939" spans="1:26" ht="15.75" customHeight="1">
      <c r="A939" s="134"/>
      <c r="B939" s="134"/>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row>
    <row r="940" spans="1:26" ht="15.75" customHeight="1">
      <c r="A940" s="134"/>
      <c r="B940" s="134"/>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row>
    <row r="941" spans="1:26" ht="15.75" customHeight="1">
      <c r="A941" s="134"/>
      <c r="B941" s="134"/>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row>
    <row r="942" spans="1:26" ht="15.75" customHeight="1">
      <c r="A942" s="134"/>
      <c r="B942" s="134"/>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row>
    <row r="943" spans="1:26" ht="15.75" customHeight="1">
      <c r="A943" s="134"/>
      <c r="B943" s="134"/>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row>
    <row r="944" spans="1:26" ht="15.75" customHeight="1">
      <c r="A944" s="134"/>
      <c r="B944" s="134"/>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row>
    <row r="945" spans="1:26" ht="15.75" customHeight="1">
      <c r="A945" s="134"/>
      <c r="B945" s="134"/>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row>
    <row r="946" spans="1:26" ht="15.75" customHeight="1">
      <c r="A946" s="134"/>
      <c r="B946" s="134"/>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row>
    <row r="947" spans="1:26" ht="15.75" customHeight="1">
      <c r="A947" s="134"/>
      <c r="B947" s="134"/>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row>
    <row r="948" spans="1:26" ht="15.75" customHeight="1">
      <c r="A948" s="134"/>
      <c r="B948" s="134"/>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row>
    <row r="949" spans="1:26" ht="15.75" customHeight="1">
      <c r="A949" s="134"/>
      <c r="B949" s="134"/>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row>
    <row r="950" spans="1:26" ht="15.75" customHeight="1">
      <c r="A950" s="134"/>
      <c r="B950" s="13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row>
    <row r="951" spans="1:26" ht="15.75" customHeight="1">
      <c r="A951" s="134"/>
      <c r="B951" s="134"/>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row>
    <row r="952" spans="1:26" ht="15.75" customHeight="1">
      <c r="A952" s="134"/>
      <c r="B952" s="134"/>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row>
    <row r="953" spans="1:26" ht="15.75" customHeight="1">
      <c r="A953" s="134"/>
      <c r="B953" s="134"/>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row>
    <row r="954" spans="1:26" ht="15.75" customHeight="1">
      <c r="A954" s="134"/>
      <c r="B954" s="134"/>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row>
    <row r="955" spans="1:26" ht="15.75" customHeight="1">
      <c r="A955" s="134"/>
      <c r="B955" s="134"/>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row>
    <row r="956" spans="1:26" ht="15.75" customHeight="1">
      <c r="A956" s="134"/>
      <c r="B956" s="134"/>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row>
    <row r="957" spans="1:26" ht="15.75" customHeight="1">
      <c r="A957" s="134"/>
      <c r="B957" s="134"/>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row>
    <row r="958" spans="1:26" ht="15.75" customHeight="1">
      <c r="A958" s="134"/>
      <c r="B958" s="134"/>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row>
    <row r="959" spans="1:26" ht="15.75" customHeight="1">
      <c r="A959" s="134"/>
      <c r="B959" s="134"/>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row>
    <row r="960" spans="1:26" ht="15.75" customHeight="1">
      <c r="A960" s="134"/>
      <c r="B960" s="134"/>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row>
    <row r="961" spans="1:26" ht="15.75" customHeight="1">
      <c r="A961" s="134"/>
      <c r="B961" s="134"/>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row>
    <row r="962" spans="1:26" ht="15.75" customHeight="1">
      <c r="A962" s="134"/>
      <c r="B962" s="134"/>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row>
    <row r="963" spans="1:26" ht="15.75" customHeight="1">
      <c r="A963" s="134"/>
      <c r="B963" s="134"/>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row>
    <row r="964" spans="1:26" ht="15.75" customHeight="1">
      <c r="A964" s="134"/>
      <c r="B964" s="134"/>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row>
    <row r="965" spans="1:26" ht="15.75" customHeight="1">
      <c r="A965" s="134"/>
      <c r="B965" s="134"/>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row>
    <row r="966" spans="1:26" ht="15.75" customHeight="1">
      <c r="A966" s="134"/>
      <c r="B966" s="134"/>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row>
    <row r="967" spans="1:26" ht="15.75" customHeight="1">
      <c r="A967" s="134"/>
      <c r="B967" s="134"/>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row>
    <row r="968" spans="1:26" ht="15.75" customHeight="1">
      <c r="A968" s="134"/>
      <c r="B968" s="134"/>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row>
    <row r="969" spans="1:26" ht="15.75" customHeight="1">
      <c r="A969" s="134"/>
      <c r="B969" s="134"/>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row>
    <row r="970" spans="1:26" ht="15.75" customHeight="1">
      <c r="A970" s="134"/>
      <c r="B970" s="134"/>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row>
    <row r="971" spans="1:26" ht="15.75" customHeight="1">
      <c r="A971" s="134"/>
      <c r="B971" s="134"/>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row>
    <row r="972" spans="1:26" ht="15.75" customHeight="1">
      <c r="A972" s="134"/>
      <c r="B972" s="134"/>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row>
    <row r="973" spans="1:26" ht="15.75" customHeight="1">
      <c r="A973" s="134"/>
      <c r="B973" s="134"/>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row>
    <row r="974" spans="1:26" ht="15.75" customHeight="1">
      <c r="A974" s="134"/>
      <c r="B974" s="134"/>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row>
    <row r="975" spans="1:26" ht="15.75" customHeight="1">
      <c r="A975" s="134"/>
      <c r="B975" s="134"/>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row>
    <row r="976" spans="1:26" ht="15.75" customHeight="1">
      <c r="A976" s="134"/>
      <c r="B976" s="134"/>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row>
    <row r="977" spans="1:26" ht="15.75" customHeight="1">
      <c r="A977" s="134"/>
      <c r="B977" s="134"/>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row>
    <row r="978" spans="1:26" ht="15.75" customHeight="1">
      <c r="A978" s="134"/>
      <c r="B978" s="134"/>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row>
    <row r="979" spans="1:26" ht="15.75" customHeight="1">
      <c r="A979" s="134"/>
      <c r="B979" s="134"/>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row>
    <row r="980" spans="1:26" ht="15.75" customHeight="1">
      <c r="A980" s="134"/>
      <c r="B980" s="134"/>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row>
    <row r="981" spans="1:26" ht="15.75" customHeight="1">
      <c r="A981" s="134"/>
      <c r="B981" s="134"/>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row>
    <row r="982" spans="1:26" ht="15.75" customHeight="1">
      <c r="A982" s="134"/>
      <c r="B982" s="134"/>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row>
    <row r="983" spans="1:26" ht="15.75" customHeight="1">
      <c r="A983" s="134"/>
      <c r="B983" s="134"/>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row>
    <row r="984" spans="1:26" ht="15.75" customHeight="1">
      <c r="A984" s="134"/>
      <c r="B984" s="134"/>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row>
    <row r="985" spans="1:26" ht="15.75" customHeight="1">
      <c r="A985" s="134"/>
      <c r="B985" s="134"/>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row>
    <row r="986" spans="1:26" ht="15.75" customHeight="1">
      <c r="A986" s="134"/>
      <c r="B986" s="134"/>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row>
    <row r="987" spans="1:26" ht="15.75" customHeight="1">
      <c r="A987" s="134"/>
      <c r="B987" s="134"/>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row>
    <row r="988" spans="1:26" ht="15.75" customHeight="1">
      <c r="A988" s="134"/>
      <c r="B988" s="134"/>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row>
    <row r="989" spans="1:26" ht="15.75" customHeight="1">
      <c r="A989" s="134"/>
      <c r="B989" s="134"/>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row>
    <row r="990" spans="1:26" ht="15.75" customHeight="1">
      <c r="A990" s="134"/>
      <c r="B990" s="134"/>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row>
    <row r="991" spans="1:26" ht="15.75" customHeight="1">
      <c r="A991" s="134"/>
      <c r="B991" s="134"/>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row>
    <row r="992" spans="1:26" ht="15.75" customHeight="1">
      <c r="A992" s="134"/>
      <c r="B992" s="134"/>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row>
    <row r="993" spans="1:26" ht="15.75" customHeight="1">
      <c r="A993" s="134"/>
      <c r="B993" s="134"/>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row>
    <row r="994" spans="1:26" ht="15.75" customHeight="1">
      <c r="A994" s="134"/>
      <c r="B994" s="134"/>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row>
    <row r="995" spans="1:26" ht="15.75" customHeight="1">
      <c r="A995" s="134"/>
      <c r="B995" s="134"/>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row>
    <row r="996" spans="1:26" ht="15.75" customHeight="1">
      <c r="A996" s="134"/>
      <c r="B996" s="134"/>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row>
    <row r="997" spans="1:26" ht="15.75" customHeight="1">
      <c r="A997" s="134"/>
      <c r="B997" s="134"/>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row>
    <row r="998" spans="1:26" ht="15.75" customHeight="1">
      <c r="A998" s="134"/>
      <c r="B998" s="134"/>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row>
    <row r="999" spans="1:26" ht="15.75" customHeight="1">
      <c r="A999" s="134"/>
      <c r="B999" s="134"/>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row>
    <row r="1000" spans="1:26" ht="15.75" customHeight="1">
      <c r="A1000" s="134"/>
      <c r="B1000" s="134"/>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row>
  </sheetData>
  <autoFilter ref="A1:G738" xr:uid="{00000000-0009-0000-0000-00001A000000}">
    <filterColumn colId="5">
      <filters blank="1"/>
    </filterColumn>
  </autoFilter>
  <pageMargins left="0.7" right="0.7" top="0.75" bottom="0.75"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4C8A2-5DF8-4381-A2D5-0EB16CC6E34F}">
  <dimension ref="A1:J15"/>
  <sheetViews>
    <sheetView workbookViewId="0">
      <selection activeCell="B2" sqref="B2"/>
    </sheetView>
  </sheetViews>
  <sheetFormatPr defaultColWidth="9" defaultRowHeight="14.25"/>
  <cols>
    <col min="1" max="1" width="19.875" style="137" bestFit="1" customWidth="1"/>
    <col min="2" max="2" width="13.375" style="137" customWidth="1"/>
    <col min="3" max="3" width="19.25" style="137" bestFit="1" customWidth="1"/>
    <col min="4" max="4" width="9.375" style="131" bestFit="1" customWidth="1"/>
    <col min="5" max="5" width="20.875" style="137" bestFit="1" customWidth="1"/>
    <col min="6" max="6" width="14.875" style="137" bestFit="1" customWidth="1"/>
    <col min="7" max="7" width="12.75" style="137" bestFit="1" customWidth="1"/>
    <col min="8" max="8" width="29.125" style="137" bestFit="1" customWidth="1"/>
    <col min="9" max="9" width="44.125" style="137" bestFit="1" customWidth="1"/>
    <col min="10" max="16384" width="9" style="137"/>
  </cols>
  <sheetData>
    <row r="1" spans="1:10" ht="45">
      <c r="A1" s="271" t="s">
        <v>6703</v>
      </c>
      <c r="B1" s="272" t="s">
        <v>6704</v>
      </c>
      <c r="C1" s="273" t="s">
        <v>1224</v>
      </c>
      <c r="D1" s="274" t="s">
        <v>6705</v>
      </c>
      <c r="E1" s="275" t="s">
        <v>6706</v>
      </c>
      <c r="F1" s="275" t="s">
        <v>1246</v>
      </c>
      <c r="G1" s="274" t="s">
        <v>6707</v>
      </c>
      <c r="H1" s="275" t="s">
        <v>3401</v>
      </c>
      <c r="I1" s="276" t="s">
        <v>6708</v>
      </c>
      <c r="J1" s="277" t="s">
        <v>6709</v>
      </c>
    </row>
    <row r="2" spans="1:10" ht="15">
      <c r="A2" s="51" t="s">
        <v>6710</v>
      </c>
      <c r="B2" s="278" t="s">
        <v>6711</v>
      </c>
      <c r="C2" s="279" t="s">
        <v>6712</v>
      </c>
      <c r="D2" s="280">
        <v>1</v>
      </c>
      <c r="E2" s="281" t="s">
        <v>6713</v>
      </c>
      <c r="F2" s="282" t="s">
        <v>6714</v>
      </c>
      <c r="G2" s="283"/>
      <c r="H2" s="284" t="s">
        <v>6715</v>
      </c>
      <c r="I2" s="285" t="s">
        <v>6716</v>
      </c>
    </row>
    <row r="3" spans="1:10" ht="15">
      <c r="A3" s="51" t="s">
        <v>6717</v>
      </c>
      <c r="B3" s="278" t="s">
        <v>6718</v>
      </c>
      <c r="C3" s="286" t="s">
        <v>6719</v>
      </c>
      <c r="D3" s="287">
        <v>2</v>
      </c>
      <c r="E3" s="288" t="s">
        <v>6720</v>
      </c>
      <c r="F3" s="289" t="s">
        <v>6721</v>
      </c>
      <c r="G3" s="290" t="s">
        <v>6722</v>
      </c>
      <c r="H3" s="291" t="s">
        <v>6723</v>
      </c>
      <c r="I3" s="292" t="s">
        <v>6724</v>
      </c>
    </row>
    <row r="4" spans="1:10" ht="15">
      <c r="A4" s="51" t="s">
        <v>6725</v>
      </c>
      <c r="B4" s="278" t="s">
        <v>6726</v>
      </c>
      <c r="C4" s="279" t="s">
        <v>6727</v>
      </c>
      <c r="D4" s="280">
        <v>3</v>
      </c>
      <c r="E4" s="281" t="s">
        <v>6728</v>
      </c>
      <c r="F4" s="282">
        <v>2606156865</v>
      </c>
      <c r="G4" s="293" t="s">
        <v>6729</v>
      </c>
      <c r="H4" s="294" t="s">
        <v>6730</v>
      </c>
      <c r="I4" s="285" t="s">
        <v>6731</v>
      </c>
    </row>
    <row r="5" spans="1:10" ht="15">
      <c r="A5" s="51" t="s">
        <v>6732</v>
      </c>
      <c r="B5" s="278" t="s">
        <v>6733</v>
      </c>
      <c r="C5" s="286" t="s">
        <v>6734</v>
      </c>
      <c r="D5" s="287">
        <v>4</v>
      </c>
      <c r="E5" s="295" t="s">
        <v>6735</v>
      </c>
      <c r="F5" s="137" t="s">
        <v>6736</v>
      </c>
      <c r="G5" s="290" t="s">
        <v>6737</v>
      </c>
      <c r="H5" s="296" t="s">
        <v>6738</v>
      </c>
      <c r="I5" s="292" t="s">
        <v>6739</v>
      </c>
    </row>
    <row r="6" spans="1:10" ht="15">
      <c r="A6" s="51" t="s">
        <v>6740</v>
      </c>
      <c r="B6" s="278" t="s">
        <v>6741</v>
      </c>
      <c r="C6" s="279" t="s">
        <v>6742</v>
      </c>
      <c r="D6" s="280">
        <v>5</v>
      </c>
      <c r="E6" s="281" t="s">
        <v>6743</v>
      </c>
      <c r="F6" s="282">
        <v>3174717896</v>
      </c>
      <c r="G6" s="283" t="s">
        <v>6744</v>
      </c>
      <c r="H6" s="281" t="s">
        <v>6745</v>
      </c>
      <c r="I6" s="285" t="s">
        <v>6746</v>
      </c>
    </row>
    <row r="7" spans="1:10" ht="15">
      <c r="A7" s="51" t="s">
        <v>6732</v>
      </c>
      <c r="B7" s="278" t="s">
        <v>6733</v>
      </c>
      <c r="C7" s="286" t="s">
        <v>6747</v>
      </c>
      <c r="D7" s="287">
        <v>6</v>
      </c>
      <c r="E7" s="288" t="s">
        <v>6748</v>
      </c>
      <c r="F7" s="289">
        <v>3177192563</v>
      </c>
      <c r="G7" s="290" t="s">
        <v>6749</v>
      </c>
      <c r="H7" s="297" t="s">
        <v>6750</v>
      </c>
      <c r="I7" s="292" t="s">
        <v>6751</v>
      </c>
    </row>
    <row r="8" spans="1:10" ht="15">
      <c r="A8" s="51" t="s">
        <v>6752</v>
      </c>
      <c r="B8" s="278" t="s">
        <v>6753</v>
      </c>
      <c r="C8" s="279" t="s">
        <v>6754</v>
      </c>
      <c r="D8" s="280">
        <v>7</v>
      </c>
      <c r="E8" s="281" t="s">
        <v>6755</v>
      </c>
      <c r="F8" s="282">
        <v>8128775112</v>
      </c>
      <c r="G8" s="283"/>
      <c r="H8" s="294" t="s">
        <v>6756</v>
      </c>
      <c r="I8" s="285" t="s">
        <v>6757</v>
      </c>
    </row>
    <row r="9" spans="1:10" ht="15">
      <c r="A9" s="51" t="s">
        <v>6758</v>
      </c>
      <c r="B9" s="278" t="s">
        <v>6759</v>
      </c>
      <c r="C9" s="286" t="s">
        <v>6760</v>
      </c>
      <c r="D9" s="287">
        <v>8</v>
      </c>
      <c r="E9" s="288" t="s">
        <v>6761</v>
      </c>
      <c r="F9" s="289">
        <v>8123227857</v>
      </c>
      <c r="G9" s="290"/>
      <c r="H9" s="288" t="s">
        <v>6762</v>
      </c>
      <c r="I9" s="292" t="s">
        <v>6763</v>
      </c>
    </row>
    <row r="10" spans="1:10" ht="15">
      <c r="A10" s="51" t="s">
        <v>6764</v>
      </c>
      <c r="B10" s="278" t="s">
        <v>6765</v>
      </c>
      <c r="C10" s="279" t="s">
        <v>6766</v>
      </c>
      <c r="D10" s="280">
        <v>9</v>
      </c>
      <c r="E10" s="281" t="s">
        <v>6767</v>
      </c>
      <c r="F10" s="282">
        <v>8127863019</v>
      </c>
      <c r="G10" s="283"/>
      <c r="H10" s="281" t="s">
        <v>6768</v>
      </c>
      <c r="I10" s="285" t="s">
        <v>6769</v>
      </c>
      <c r="J10" s="137" t="s">
        <v>6770</v>
      </c>
    </row>
    <row r="11" spans="1:10" ht="15">
      <c r="A11" s="51" t="s">
        <v>6771</v>
      </c>
      <c r="B11" s="278" t="s">
        <v>6772</v>
      </c>
      <c r="C11" s="298" t="s">
        <v>6773</v>
      </c>
      <c r="D11" s="299">
        <v>10</v>
      </c>
      <c r="E11" s="300" t="s">
        <v>6774</v>
      </c>
      <c r="F11" s="301">
        <v>8126328300</v>
      </c>
      <c r="G11" s="302" t="s">
        <v>6775</v>
      </c>
      <c r="H11" s="300" t="s">
        <v>6776</v>
      </c>
      <c r="I11" s="303" t="s">
        <v>6777</v>
      </c>
    </row>
    <row r="14" spans="1:10" ht="15">
      <c r="A14" s="304" t="s">
        <v>6778</v>
      </c>
    </row>
    <row r="15" spans="1:10" ht="15">
      <c r="A15" s="304" t="s">
        <v>6779</v>
      </c>
    </row>
  </sheetData>
  <hyperlinks>
    <hyperlink ref="H2" r:id="rId1" xr:uid="{FEA0473B-0398-472A-8287-BAF990FB3DBE}"/>
    <hyperlink ref="H5" r:id="rId2" display="mailto:angel.j.santiagogarcia.mil@mail.mil" xr:uid="{0A41A062-A1FD-487B-9BB3-DD5C7E91C2B4}"/>
    <hyperlink ref="H3" r:id="rId3" xr:uid="{B678EE7B-BEF2-4D63-96E7-3F39AB78C7B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1"/>
  <sheetViews>
    <sheetView workbookViewId="0">
      <selection activeCell="C50" sqref="C50"/>
    </sheetView>
  </sheetViews>
  <sheetFormatPr defaultColWidth="12.625" defaultRowHeight="15" customHeight="1"/>
  <cols>
    <col min="1" max="1" width="40.625" customWidth="1"/>
    <col min="2" max="2" width="19.375" bestFit="1" customWidth="1"/>
    <col min="3" max="3" width="17.625" bestFit="1" customWidth="1"/>
    <col min="4" max="4" width="21.625" customWidth="1"/>
    <col min="5" max="5" width="18.875" customWidth="1"/>
    <col min="6" max="6" width="14.75" bestFit="1" customWidth="1"/>
    <col min="7" max="7" width="19.625" customWidth="1"/>
    <col min="8" max="8" width="16.375" customWidth="1"/>
  </cols>
  <sheetData>
    <row r="1" spans="1:26" s="30" customFormat="1" ht="35.1" customHeight="1">
      <c r="A1" s="53"/>
      <c r="B1" s="53" t="s">
        <v>3312</v>
      </c>
      <c r="C1" s="53" t="s">
        <v>3313</v>
      </c>
      <c r="D1" s="53" t="s">
        <v>3314</v>
      </c>
      <c r="E1" s="53"/>
      <c r="F1" s="53"/>
      <c r="G1" s="53"/>
      <c r="H1" s="53"/>
      <c r="I1" s="53"/>
      <c r="J1" s="53"/>
      <c r="K1" s="53"/>
      <c r="L1" s="53"/>
      <c r="M1" s="53"/>
      <c r="N1" s="53"/>
      <c r="O1" s="53"/>
      <c r="P1" s="53"/>
      <c r="Q1" s="53"/>
      <c r="R1" s="53"/>
      <c r="S1" s="53"/>
      <c r="T1" s="53"/>
      <c r="U1" s="53"/>
      <c r="V1" s="53"/>
      <c r="W1" s="53"/>
      <c r="X1" s="53"/>
    </row>
    <row r="2" spans="1:26">
      <c r="A2" s="2" t="s">
        <v>18</v>
      </c>
      <c r="B2" s="135">
        <f>COUNTA('District 1'!G2:G37,'District 2'!G2:G43,'District 3'!G2:G57,'District 4'!G2:G27,'District 5'!G3:G94,'District 6'!G2:G59,'District 7'!G2:G25,'District 8'!G2:G25,'District 9'!G3:G37,'District 10'!G2:G53)</f>
        <v>444</v>
      </c>
      <c r="C2" s="135">
        <f>SUM('District 1'!I2:I37,'District 2'!I2:I43,'District 3'!I2:I57,'District 4'!I2:I27,'District 5'!I3:I94,'District 6'!I2:I59,'District 7'!I2:I25,'District 8'!I2:I25,'District 9'!I3:I37,'District 10'!I2:I53)</f>
        <v>49814</v>
      </c>
      <c r="D2" s="136">
        <f>C2/B2</f>
        <v>112.19369369369369</v>
      </c>
      <c r="E2" s="135"/>
      <c r="F2" s="135"/>
      <c r="G2" s="135"/>
      <c r="H2" s="135"/>
      <c r="I2" s="135"/>
      <c r="J2" s="135"/>
      <c r="K2" s="135"/>
      <c r="L2" s="135"/>
      <c r="M2" s="135"/>
      <c r="N2" s="135"/>
      <c r="O2" s="135"/>
      <c r="P2" s="135"/>
      <c r="Q2" s="135"/>
      <c r="R2" s="135"/>
      <c r="S2" s="135"/>
      <c r="T2" s="135"/>
      <c r="U2" s="135"/>
      <c r="V2" s="135"/>
      <c r="W2" s="135"/>
      <c r="X2" s="135"/>
    </row>
    <row r="3" spans="1:26">
      <c r="A3" s="2" t="s">
        <v>91</v>
      </c>
      <c r="B3" s="135">
        <f>COUNTA('District 1'!G39:G42,'District 2'!G44:G51,'District 3'!G59:G68,'District 4'!G29:G30,'District 5'!G95:G108,'District 6'!G61:G66,'District 7'!G22:G24,'District 9'!G39:G46,'District 10'!G54:G58)</f>
        <v>60</v>
      </c>
      <c r="C3" s="135">
        <f>SUM('District 1'!I39:I42,'District 2'!I44:I51,'District 3'!I59:I68,'District 4'!I29:I30,'District 5'!I95:I108,'District 6'!I61:I66,'District 7'!I22:I24,'District 9'!I39:I46,'District 10'!I54:I58)</f>
        <v>6819</v>
      </c>
      <c r="D3" s="136">
        <f>C3/B3</f>
        <v>113.65</v>
      </c>
      <c r="E3" s="135"/>
      <c r="F3" s="135"/>
      <c r="G3" s="135"/>
      <c r="H3" s="135"/>
      <c r="I3" s="135"/>
      <c r="J3" s="135"/>
      <c r="K3" s="135"/>
      <c r="L3" s="135"/>
      <c r="M3" s="135"/>
      <c r="N3" s="135"/>
      <c r="O3" s="135"/>
      <c r="P3" s="135"/>
      <c r="Q3" s="135"/>
      <c r="R3" s="135"/>
      <c r="S3" s="135"/>
      <c r="T3" s="135"/>
      <c r="U3" s="135"/>
      <c r="V3" s="135"/>
      <c r="W3" s="135"/>
      <c r="X3" s="135"/>
    </row>
    <row r="4" spans="1:26">
      <c r="A4" s="2" t="s">
        <v>54</v>
      </c>
      <c r="B4" s="135">
        <f>COUNTA('District 1'!G43,'District 2'!G52,'District 3'!G69:G72,'District 4'!G28,'District 5'!G110:G111,'District 6'!G68,'District 8'!G26:G28,'District 10'!G29:G60)</f>
        <v>44</v>
      </c>
      <c r="C4" s="135">
        <f>SUM('District 1'!I43,'District 2'!I52,'District 3'!I69:I72,'District 4'!I28,'District 5'!I110:I111,'District 6'!I68,'District 8'!I26:I28,'District 10'!I29:I60)</f>
        <v>4388</v>
      </c>
      <c r="D4" s="136">
        <f>C4/B4</f>
        <v>99.727272727272734</v>
      </c>
      <c r="E4" s="135"/>
      <c r="F4" s="135"/>
      <c r="G4" s="135"/>
      <c r="H4" s="135"/>
      <c r="I4" s="135"/>
      <c r="J4" s="135"/>
      <c r="K4" s="135"/>
      <c r="L4" s="135"/>
      <c r="M4" s="135"/>
      <c r="N4" s="135"/>
      <c r="O4" s="135"/>
      <c r="P4" s="135"/>
      <c r="Q4" s="135"/>
      <c r="R4" s="135"/>
      <c r="S4" s="135"/>
      <c r="T4" s="135"/>
      <c r="U4" s="135"/>
      <c r="V4" s="135"/>
      <c r="W4" s="135"/>
      <c r="X4" s="135"/>
    </row>
    <row r="5" spans="1:26">
      <c r="A5" s="2" t="s">
        <v>3315</v>
      </c>
      <c r="B5" s="2">
        <f>SUM(B2:B4)</f>
        <v>548</v>
      </c>
      <c r="C5" s="2">
        <f>SUM(C2:C4)</f>
        <v>61021</v>
      </c>
      <c r="D5" s="135"/>
      <c r="E5" s="135"/>
      <c r="F5" s="135"/>
      <c r="G5" s="135"/>
      <c r="H5" s="135"/>
      <c r="I5" s="135"/>
      <c r="J5" s="135"/>
      <c r="K5" s="135"/>
      <c r="L5" s="135"/>
      <c r="M5" s="135"/>
      <c r="N5" s="135"/>
      <c r="O5" s="135"/>
      <c r="P5" s="135"/>
      <c r="Q5" s="135"/>
      <c r="R5" s="135"/>
      <c r="S5" s="135"/>
      <c r="T5" s="135"/>
      <c r="U5" s="135"/>
      <c r="V5" s="135"/>
      <c r="W5" s="135"/>
      <c r="X5" s="135"/>
    </row>
    <row r="6" spans="1:26">
      <c r="A6" s="2"/>
      <c r="B6" s="135"/>
      <c r="C6" s="135"/>
      <c r="D6" s="135"/>
      <c r="E6" s="135"/>
      <c r="F6" s="135"/>
      <c r="G6" s="135"/>
      <c r="H6" s="135"/>
      <c r="I6" s="135"/>
      <c r="J6" s="135"/>
      <c r="K6" s="135"/>
      <c r="L6" s="135"/>
      <c r="M6" s="135"/>
      <c r="N6" s="135"/>
      <c r="O6" s="135"/>
      <c r="P6" s="135"/>
      <c r="Q6" s="135"/>
      <c r="R6" s="135"/>
      <c r="S6" s="135"/>
      <c r="T6" s="135"/>
      <c r="U6" s="135"/>
      <c r="V6" s="135"/>
      <c r="W6" s="135"/>
      <c r="X6" s="135"/>
      <c r="Y6" s="135"/>
      <c r="Z6" s="135"/>
    </row>
    <row r="7" spans="1:26">
      <c r="A7" s="2" t="s">
        <v>1225</v>
      </c>
      <c r="B7" s="2" t="s">
        <v>3316</v>
      </c>
      <c r="C7" s="2" t="s">
        <v>3317</v>
      </c>
      <c r="D7" s="2" t="s">
        <v>3318</v>
      </c>
      <c r="E7" s="2" t="s">
        <v>3319</v>
      </c>
      <c r="F7" s="2" t="s">
        <v>1246</v>
      </c>
      <c r="G7" s="2" t="s">
        <v>3320</v>
      </c>
      <c r="H7" s="2"/>
      <c r="I7" s="2"/>
      <c r="J7" s="2"/>
      <c r="K7" s="2"/>
      <c r="L7" s="2"/>
      <c r="M7" s="2"/>
      <c r="N7" s="2"/>
      <c r="O7" s="2"/>
      <c r="P7" s="2"/>
      <c r="Q7" s="2"/>
      <c r="R7" s="2"/>
      <c r="S7" s="2"/>
      <c r="T7" s="2"/>
      <c r="U7" s="2"/>
      <c r="V7" s="2"/>
      <c r="W7" s="2"/>
      <c r="X7" s="2"/>
      <c r="Y7" s="2"/>
      <c r="Z7" s="2"/>
    </row>
    <row r="8" spans="1:26">
      <c r="A8" s="2" t="s">
        <v>343</v>
      </c>
      <c r="B8" s="135" t="s">
        <v>3321</v>
      </c>
      <c r="C8" s="135">
        <f>COUNTIF('Data Set'!B2:B913,"ASC")</f>
        <v>80</v>
      </c>
      <c r="D8" s="135">
        <v>9500</v>
      </c>
      <c r="E8" s="135" t="s">
        <v>3322</v>
      </c>
      <c r="F8" s="135"/>
      <c r="G8" s="180" t="s">
        <v>3323</v>
      </c>
      <c r="H8" s="135"/>
      <c r="I8" s="135"/>
      <c r="J8" s="135"/>
      <c r="K8" s="135"/>
      <c r="L8" s="135"/>
      <c r="M8" s="135"/>
      <c r="N8" s="135"/>
      <c r="O8" s="135"/>
      <c r="P8" s="135"/>
      <c r="Q8" s="135"/>
      <c r="R8" s="135"/>
      <c r="S8" s="135"/>
      <c r="T8" s="135"/>
      <c r="U8" s="135"/>
      <c r="V8" s="135"/>
      <c r="W8" s="135"/>
      <c r="X8" s="135"/>
      <c r="Y8" s="135"/>
      <c r="Z8" s="135"/>
    </row>
    <row r="9" spans="1:26">
      <c r="A9" s="2" t="s">
        <v>1312</v>
      </c>
      <c r="B9" s="135" t="s">
        <v>3321</v>
      </c>
      <c r="C9" s="135">
        <f>COUNTIF('Data Set'!B2:B913,"Trilogy")</f>
        <v>63</v>
      </c>
      <c r="D9" s="135">
        <v>6950</v>
      </c>
      <c r="E9" s="135" t="s">
        <v>3324</v>
      </c>
      <c r="F9" s="135" t="s">
        <v>3325</v>
      </c>
      <c r="G9" s="180" t="s">
        <v>3326</v>
      </c>
      <c r="H9" s="135"/>
      <c r="I9" s="135"/>
      <c r="J9" s="135"/>
      <c r="K9" s="135"/>
      <c r="L9" s="135"/>
      <c r="M9" s="135"/>
      <c r="N9" s="135"/>
      <c r="O9" s="135"/>
      <c r="P9" s="135"/>
      <c r="Q9" s="135"/>
      <c r="R9" s="135"/>
      <c r="S9" s="135"/>
      <c r="T9" s="135"/>
      <c r="U9" s="135"/>
      <c r="V9" s="135"/>
      <c r="W9" s="135"/>
      <c r="X9" s="135"/>
      <c r="Y9" s="135"/>
      <c r="Z9" s="135"/>
    </row>
    <row r="10" spans="1:26">
      <c r="A10" s="2" t="s">
        <v>2423</v>
      </c>
      <c r="B10" s="135" t="s">
        <v>3321</v>
      </c>
      <c r="C10" s="135">
        <f>COUNTIF('Data Set'!B2:B913,"Millers")</f>
        <v>33</v>
      </c>
      <c r="D10" s="135">
        <v>3000</v>
      </c>
      <c r="E10" s="135" t="s">
        <v>3327</v>
      </c>
      <c r="F10" s="135"/>
      <c r="G10" s="180" t="s">
        <v>3328</v>
      </c>
      <c r="H10" s="135"/>
      <c r="I10" s="135"/>
      <c r="J10" s="135"/>
      <c r="K10" s="135"/>
      <c r="L10" s="135"/>
      <c r="M10" s="135"/>
      <c r="N10" s="135"/>
      <c r="O10" s="135"/>
      <c r="P10" s="135"/>
      <c r="Q10" s="135"/>
      <c r="R10" s="135"/>
      <c r="S10" s="135"/>
      <c r="T10" s="135"/>
      <c r="U10" s="135"/>
      <c r="V10" s="135"/>
      <c r="W10" s="135"/>
      <c r="X10" s="135"/>
      <c r="Y10" s="135"/>
      <c r="Z10" s="135"/>
    </row>
    <row r="11" spans="1:26">
      <c r="A11" s="2" t="s">
        <v>1303</v>
      </c>
      <c r="B11" s="135" t="s">
        <v>3321</v>
      </c>
      <c r="C11" s="135">
        <f>COUNTIF('Data Set'!B2:B913,"CarDon")</f>
        <v>18</v>
      </c>
      <c r="D11" s="135">
        <v>2000</v>
      </c>
      <c r="E11" s="135" t="s">
        <v>3329</v>
      </c>
      <c r="F11" s="135" t="s">
        <v>3330</v>
      </c>
      <c r="G11" s="180"/>
      <c r="H11" s="135"/>
      <c r="I11" s="135"/>
      <c r="J11" s="135"/>
      <c r="K11" s="135"/>
      <c r="L11" s="135"/>
      <c r="M11" s="135"/>
      <c r="N11" s="135"/>
      <c r="O11" s="135"/>
      <c r="P11" s="135"/>
      <c r="Q11" s="135"/>
      <c r="R11" s="135"/>
      <c r="S11" s="135"/>
      <c r="T11" s="135"/>
      <c r="U11" s="135"/>
      <c r="V11" s="135"/>
      <c r="W11" s="135"/>
      <c r="X11" s="135"/>
      <c r="Y11" s="135"/>
      <c r="Z11" s="135"/>
    </row>
    <row r="12" spans="1:26">
      <c r="A12" s="2" t="s">
        <v>1903</v>
      </c>
      <c r="B12" s="135" t="s">
        <v>3321</v>
      </c>
      <c r="C12" s="135">
        <f>COUNTIF('Data Set'!B2:B913,"Golden Living")</f>
        <v>19</v>
      </c>
      <c r="D12" s="135">
        <v>2000</v>
      </c>
      <c r="E12" s="135" t="s">
        <v>3331</v>
      </c>
      <c r="F12" s="135"/>
      <c r="G12" s="180" t="s">
        <v>3332</v>
      </c>
      <c r="H12" s="135"/>
      <c r="I12" s="135"/>
      <c r="J12" s="135"/>
      <c r="K12" s="135"/>
      <c r="L12" s="135"/>
      <c r="M12" s="135"/>
      <c r="N12" s="135"/>
      <c r="O12" s="135"/>
      <c r="P12" s="135"/>
      <c r="Q12" s="135"/>
      <c r="R12" s="135"/>
      <c r="S12" s="135"/>
      <c r="T12" s="135"/>
      <c r="U12" s="135"/>
      <c r="V12" s="135"/>
      <c r="W12" s="135"/>
      <c r="X12" s="135"/>
      <c r="Y12" s="135"/>
      <c r="Z12" s="135"/>
    </row>
    <row r="13" spans="1:26">
      <c r="A13" s="2" t="s">
        <v>2148</v>
      </c>
      <c r="B13" s="135" t="s">
        <v>3321</v>
      </c>
      <c r="C13" s="135">
        <f>COUNTIF('Data Set'!B2:B913,"Hickory Creek")</f>
        <v>15</v>
      </c>
      <c r="D13" s="135">
        <v>570</v>
      </c>
      <c r="E13" s="135" t="s">
        <v>3333</v>
      </c>
      <c r="F13" s="135" t="s">
        <v>3334</v>
      </c>
      <c r="G13" s="180" t="s">
        <v>3335</v>
      </c>
      <c r="H13" s="135"/>
      <c r="I13" s="135"/>
      <c r="J13" s="135"/>
      <c r="K13" s="135"/>
      <c r="L13" s="135"/>
      <c r="M13" s="135"/>
      <c r="N13" s="135"/>
      <c r="O13" s="135"/>
      <c r="P13" s="135"/>
      <c r="Q13" s="135"/>
      <c r="R13" s="135"/>
      <c r="S13" s="135"/>
      <c r="T13" s="135"/>
      <c r="U13" s="135"/>
      <c r="V13" s="135"/>
      <c r="W13" s="135"/>
      <c r="X13" s="135"/>
      <c r="Y13" s="135"/>
      <c r="Z13" s="135"/>
    </row>
    <row r="14" spans="1:26">
      <c r="A14" s="2" t="s">
        <v>1288</v>
      </c>
      <c r="B14" s="135" t="s">
        <v>3336</v>
      </c>
      <c r="C14" s="135">
        <f>COUNTIF('Data Set'!B2:B913,"CommuniCare")</f>
        <v>19</v>
      </c>
      <c r="D14" s="135">
        <v>2500</v>
      </c>
      <c r="E14" s="135" t="s">
        <v>3337</v>
      </c>
      <c r="F14" s="135" t="s">
        <v>3338</v>
      </c>
      <c r="G14" s="180" t="s">
        <v>3339</v>
      </c>
      <c r="H14" s="135"/>
      <c r="I14" s="135"/>
      <c r="J14" s="135"/>
      <c r="K14" s="135"/>
      <c r="L14" s="135"/>
      <c r="M14" s="135"/>
      <c r="N14" s="135"/>
      <c r="O14" s="135"/>
      <c r="P14" s="135"/>
      <c r="Q14" s="135"/>
      <c r="R14" s="135"/>
      <c r="S14" s="135"/>
      <c r="T14" s="135"/>
      <c r="U14" s="135"/>
      <c r="V14" s="135"/>
      <c r="W14" s="135"/>
      <c r="X14" s="135"/>
      <c r="Y14" s="135"/>
      <c r="Z14" s="135"/>
    </row>
    <row r="15" spans="1:26">
      <c r="A15" s="2" t="s">
        <v>2329</v>
      </c>
      <c r="B15" s="135" t="s">
        <v>3340</v>
      </c>
      <c r="C15" s="135">
        <f>COUNTIF('Data Set'!B2:B913,"Majestic")</f>
        <v>7</v>
      </c>
      <c r="D15" s="135">
        <v>600</v>
      </c>
      <c r="E15" s="135" t="s">
        <v>3341</v>
      </c>
      <c r="F15" s="135" t="s">
        <v>3342</v>
      </c>
      <c r="G15" s="54" t="s">
        <v>3343</v>
      </c>
      <c r="H15" s="135"/>
      <c r="I15" s="135"/>
      <c r="J15" s="135"/>
      <c r="K15" s="135"/>
      <c r="L15" s="135"/>
      <c r="M15" s="135"/>
      <c r="N15" s="135"/>
      <c r="O15" s="135"/>
      <c r="P15" s="135"/>
      <c r="Q15" s="135"/>
      <c r="R15" s="135"/>
      <c r="S15" s="135"/>
      <c r="T15" s="135"/>
      <c r="U15" s="135"/>
      <c r="V15" s="135"/>
      <c r="W15" s="135"/>
      <c r="X15" s="135"/>
      <c r="Y15" s="135"/>
      <c r="Z15" s="135"/>
    </row>
    <row r="16" spans="1:26">
      <c r="A16" s="2" t="s">
        <v>1300</v>
      </c>
      <c r="B16" s="135" t="s">
        <v>3321</v>
      </c>
      <c r="C16" s="135">
        <v>17</v>
      </c>
      <c r="D16" s="135">
        <v>1300</v>
      </c>
      <c r="E16" s="135" t="s">
        <v>3344</v>
      </c>
      <c r="F16" s="135" t="s">
        <v>3345</v>
      </c>
      <c r="G16" s="54" t="s">
        <v>3346</v>
      </c>
      <c r="H16" s="135"/>
      <c r="I16" s="135"/>
      <c r="J16" s="135"/>
      <c r="K16" s="135"/>
      <c r="L16" s="135"/>
      <c r="M16" s="135"/>
      <c r="N16" s="135"/>
      <c r="O16" s="135"/>
      <c r="P16" s="135"/>
      <c r="Q16" s="135"/>
      <c r="R16" s="135"/>
      <c r="S16" s="135"/>
      <c r="T16" s="135"/>
      <c r="U16" s="135"/>
      <c r="V16" s="135"/>
      <c r="W16" s="135"/>
      <c r="X16" s="135"/>
      <c r="Y16" s="135"/>
      <c r="Z16" s="135"/>
    </row>
    <row r="17" spans="1:26">
      <c r="A17" s="2"/>
      <c r="B17" s="135"/>
      <c r="C17" s="135"/>
      <c r="D17" s="135"/>
      <c r="E17" s="135"/>
      <c r="F17" s="135"/>
      <c r="G17" s="7"/>
      <c r="H17" s="135"/>
      <c r="I17" s="135"/>
      <c r="J17" s="135"/>
      <c r="K17" s="135"/>
      <c r="L17" s="135"/>
      <c r="M17" s="135"/>
      <c r="N17" s="135"/>
      <c r="O17" s="135"/>
      <c r="P17" s="135"/>
      <c r="Q17" s="135"/>
      <c r="R17" s="135"/>
      <c r="S17" s="135"/>
      <c r="T17" s="135"/>
      <c r="U17" s="135"/>
      <c r="V17" s="135"/>
      <c r="W17" s="135"/>
      <c r="X17" s="135"/>
      <c r="Y17" s="135"/>
      <c r="Z17" s="135"/>
    </row>
    <row r="18" spans="1:26">
      <c r="A18" s="2"/>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row>
    <row r="19" spans="1:26">
      <c r="A19" s="137"/>
      <c r="B19" s="16">
        <v>1</v>
      </c>
      <c r="C19" s="16">
        <v>2</v>
      </c>
      <c r="D19" s="16">
        <v>3</v>
      </c>
      <c r="E19" s="16">
        <v>4</v>
      </c>
      <c r="F19" s="16">
        <v>5</v>
      </c>
      <c r="G19" s="16">
        <v>6</v>
      </c>
      <c r="H19" s="16">
        <v>7</v>
      </c>
      <c r="I19" s="16">
        <v>8</v>
      </c>
      <c r="J19" s="16">
        <v>9</v>
      </c>
      <c r="K19" s="16">
        <v>10</v>
      </c>
      <c r="L19" s="137"/>
      <c r="M19" s="135"/>
      <c r="N19" s="135"/>
      <c r="O19" s="135"/>
      <c r="P19" s="135"/>
      <c r="Q19" s="135"/>
      <c r="R19" s="135"/>
      <c r="S19" s="135"/>
      <c r="T19" s="135"/>
      <c r="U19" s="135"/>
      <c r="V19" s="135"/>
      <c r="W19" s="135"/>
      <c r="X19" s="135"/>
      <c r="Y19" s="135"/>
      <c r="Z19" s="135"/>
    </row>
    <row r="20" spans="1:26">
      <c r="A20" s="137"/>
      <c r="B20" s="17" t="s">
        <v>1375</v>
      </c>
      <c r="C20" s="18" t="s">
        <v>3347</v>
      </c>
      <c r="D20" s="19" t="s">
        <v>2277</v>
      </c>
      <c r="E20" s="20" t="s">
        <v>2568</v>
      </c>
      <c r="F20" s="138" t="s">
        <v>1290</v>
      </c>
      <c r="G20" s="139" t="s">
        <v>1356</v>
      </c>
      <c r="H20" s="21" t="s">
        <v>1674</v>
      </c>
      <c r="I20" s="22" t="s">
        <v>1477</v>
      </c>
      <c r="J20" s="23" t="s">
        <v>1577</v>
      </c>
      <c r="K20" s="24" t="s">
        <v>3053</v>
      </c>
      <c r="L20" s="137"/>
      <c r="M20" s="135"/>
      <c r="N20" s="135"/>
      <c r="O20" s="135"/>
      <c r="P20" s="135"/>
      <c r="Q20" s="135"/>
      <c r="R20" s="135"/>
      <c r="S20" s="135"/>
      <c r="T20" s="135"/>
      <c r="U20" s="135"/>
      <c r="V20" s="135"/>
      <c r="W20" s="135"/>
      <c r="X20" s="135"/>
      <c r="Y20" s="135"/>
      <c r="Z20" s="135"/>
    </row>
    <row r="21" spans="1:26">
      <c r="A21" s="137"/>
      <c r="B21" s="17" t="s">
        <v>1267</v>
      </c>
      <c r="C21" s="18" t="s">
        <v>1723</v>
      </c>
      <c r="D21" s="19" t="s">
        <v>3348</v>
      </c>
      <c r="E21" s="20" t="s">
        <v>1601</v>
      </c>
      <c r="F21" s="138" t="s">
        <v>1818</v>
      </c>
      <c r="G21" s="139" t="s">
        <v>1360</v>
      </c>
      <c r="H21" s="21" t="s">
        <v>3349</v>
      </c>
      <c r="I21" s="22" t="s">
        <v>3350</v>
      </c>
      <c r="J21" s="23" t="s">
        <v>1259</v>
      </c>
      <c r="K21" s="24" t="s">
        <v>3351</v>
      </c>
      <c r="L21" s="137"/>
      <c r="M21" s="135"/>
      <c r="N21" s="135"/>
      <c r="O21" s="135"/>
      <c r="P21" s="135"/>
      <c r="Q21" s="135"/>
      <c r="R21" s="135"/>
      <c r="S21" s="135"/>
      <c r="T21" s="135"/>
      <c r="U21" s="135"/>
      <c r="V21" s="135"/>
      <c r="W21" s="135"/>
      <c r="X21" s="135"/>
      <c r="Y21" s="135"/>
      <c r="Z21" s="135"/>
    </row>
    <row r="22" spans="1:26">
      <c r="A22" s="137"/>
      <c r="B22" s="17" t="s">
        <v>1333</v>
      </c>
      <c r="C22" s="18" t="s">
        <v>2011</v>
      </c>
      <c r="D22" s="19" t="s">
        <v>1453</v>
      </c>
      <c r="E22" s="20" t="s">
        <v>3352</v>
      </c>
      <c r="F22" s="138" t="s">
        <v>1294</v>
      </c>
      <c r="G22" s="139" t="s">
        <v>2526</v>
      </c>
      <c r="H22" s="21" t="s">
        <v>1404</v>
      </c>
      <c r="I22" s="22" t="s">
        <v>1699</v>
      </c>
      <c r="J22" s="23" t="s">
        <v>2342</v>
      </c>
      <c r="K22" s="24" t="s">
        <v>1371</v>
      </c>
      <c r="L22" s="137"/>
      <c r="M22" s="135"/>
      <c r="N22" s="135"/>
      <c r="O22" s="135"/>
      <c r="P22" s="135"/>
      <c r="Q22" s="135"/>
      <c r="R22" s="135"/>
      <c r="S22" s="135"/>
      <c r="T22" s="135"/>
      <c r="U22" s="135"/>
      <c r="V22" s="135"/>
      <c r="W22" s="135"/>
      <c r="X22" s="135"/>
      <c r="Y22" s="135"/>
      <c r="Z22" s="135"/>
    </row>
    <row r="23" spans="1:26">
      <c r="A23" s="137"/>
      <c r="B23" s="17" t="s">
        <v>1881</v>
      </c>
      <c r="C23" s="18" t="s">
        <v>2502</v>
      </c>
      <c r="D23" s="19" t="s">
        <v>1430</v>
      </c>
      <c r="E23" s="20" t="s">
        <v>2141</v>
      </c>
      <c r="F23" s="138" t="s">
        <v>1458</v>
      </c>
      <c r="G23" s="139" t="s">
        <v>1281</v>
      </c>
      <c r="H23" s="21" t="s">
        <v>1372</v>
      </c>
      <c r="I23" s="22" t="s">
        <v>1732</v>
      </c>
      <c r="J23" s="23" t="s">
        <v>2356</v>
      </c>
      <c r="K23" s="24" t="s">
        <v>1574</v>
      </c>
      <c r="L23" s="137"/>
      <c r="M23" s="135"/>
      <c r="N23" s="135"/>
      <c r="O23" s="135"/>
      <c r="P23" s="135"/>
      <c r="Q23" s="135"/>
      <c r="R23" s="135"/>
      <c r="S23" s="135"/>
      <c r="T23" s="135"/>
      <c r="U23" s="135"/>
      <c r="V23" s="135"/>
      <c r="W23" s="135"/>
      <c r="X23" s="135"/>
      <c r="Y23" s="135"/>
      <c r="Z23" s="135"/>
    </row>
    <row r="24" spans="1:26">
      <c r="A24" s="137"/>
      <c r="B24" s="17" t="s">
        <v>1338</v>
      </c>
      <c r="C24" s="18" t="s">
        <v>1630</v>
      </c>
      <c r="D24" s="19" t="s">
        <v>2425</v>
      </c>
      <c r="E24" s="20" t="s">
        <v>2979</v>
      </c>
      <c r="F24" s="138" t="s">
        <v>1918</v>
      </c>
      <c r="G24" s="139" t="s">
        <v>1563</v>
      </c>
      <c r="H24" s="21" t="s">
        <v>1679</v>
      </c>
      <c r="I24" s="22" t="s">
        <v>1711</v>
      </c>
      <c r="J24" s="23" t="s">
        <v>2782</v>
      </c>
      <c r="K24" s="24" t="s">
        <v>3353</v>
      </c>
      <c r="L24" s="137"/>
      <c r="M24" s="135"/>
      <c r="N24" s="135"/>
      <c r="O24" s="135"/>
      <c r="P24" s="135"/>
      <c r="Q24" s="135"/>
      <c r="R24" s="135"/>
      <c r="S24" s="135"/>
      <c r="T24" s="135"/>
      <c r="U24" s="135"/>
      <c r="V24" s="135"/>
      <c r="W24" s="135"/>
      <c r="X24" s="135"/>
      <c r="Y24" s="135"/>
      <c r="Z24" s="135"/>
    </row>
    <row r="25" spans="1:26">
      <c r="A25" s="137"/>
      <c r="B25" s="137"/>
      <c r="C25" s="18" t="s">
        <v>3354</v>
      </c>
      <c r="D25" s="19" t="s">
        <v>1252</v>
      </c>
      <c r="E25" s="20" t="s">
        <v>1424</v>
      </c>
      <c r="F25" s="138" t="s">
        <v>1381</v>
      </c>
      <c r="G25" s="139" t="s">
        <v>2711</v>
      </c>
      <c r="H25" s="21" t="s">
        <v>1685</v>
      </c>
      <c r="I25" s="22" t="s">
        <v>2678</v>
      </c>
      <c r="J25" s="23" t="s">
        <v>3177</v>
      </c>
      <c r="K25" s="24" t="s">
        <v>1492</v>
      </c>
      <c r="L25" s="137"/>
      <c r="M25" s="135"/>
      <c r="N25" s="135"/>
      <c r="O25" s="135"/>
      <c r="P25" s="135"/>
      <c r="Q25" s="135"/>
      <c r="R25" s="135"/>
      <c r="S25" s="135"/>
      <c r="T25" s="135"/>
      <c r="U25" s="135"/>
      <c r="V25" s="135"/>
      <c r="W25" s="135"/>
      <c r="X25" s="135"/>
      <c r="Y25" s="135"/>
      <c r="Z25" s="135"/>
    </row>
    <row r="26" spans="1:26">
      <c r="A26" s="137"/>
      <c r="B26" s="137"/>
      <c r="C26" s="18" t="s">
        <v>1950</v>
      </c>
      <c r="D26" s="19" t="s">
        <v>1365</v>
      </c>
      <c r="E26" s="20" t="s">
        <v>1349</v>
      </c>
      <c r="F26" s="138" t="s">
        <v>1420</v>
      </c>
      <c r="G26" s="139" t="s">
        <v>1275</v>
      </c>
      <c r="H26" s="21" t="s">
        <v>1542</v>
      </c>
      <c r="I26" s="22" t="s">
        <v>1795</v>
      </c>
      <c r="J26" s="23" t="s">
        <v>3355</v>
      </c>
      <c r="K26" s="24" t="s">
        <v>1553</v>
      </c>
      <c r="L26" s="137"/>
      <c r="M26" s="135"/>
      <c r="N26" s="135"/>
      <c r="O26" s="135"/>
      <c r="P26" s="135"/>
      <c r="Q26" s="135"/>
      <c r="R26" s="135"/>
      <c r="S26" s="135"/>
      <c r="T26" s="135"/>
      <c r="U26" s="135"/>
      <c r="V26" s="135"/>
      <c r="W26" s="135"/>
      <c r="X26" s="135"/>
      <c r="Y26" s="135"/>
      <c r="Z26" s="135"/>
    </row>
    <row r="27" spans="1:26">
      <c r="A27" s="137"/>
      <c r="B27" s="137"/>
      <c r="C27" s="137"/>
      <c r="D27" s="19" t="s">
        <v>1436</v>
      </c>
      <c r="E27" s="20" t="s">
        <v>1487</v>
      </c>
      <c r="F27" s="138" t="s">
        <v>1911</v>
      </c>
      <c r="G27" s="139" t="s">
        <v>2694</v>
      </c>
      <c r="H27" s="21" t="s">
        <v>1897</v>
      </c>
      <c r="I27" s="25"/>
      <c r="J27" s="23" t="s">
        <v>3356</v>
      </c>
      <c r="K27" s="24" t="s">
        <v>1314</v>
      </c>
      <c r="L27" s="137"/>
      <c r="M27" s="135"/>
      <c r="N27" s="135"/>
      <c r="O27" s="135"/>
      <c r="P27" s="135"/>
      <c r="Q27" s="135"/>
      <c r="R27" s="135"/>
      <c r="S27" s="135"/>
      <c r="T27" s="135"/>
      <c r="U27" s="135"/>
      <c r="V27" s="135"/>
      <c r="W27" s="135"/>
      <c r="X27" s="135"/>
      <c r="Y27" s="135"/>
      <c r="Z27" s="135"/>
    </row>
    <row r="28" spans="1:26">
      <c r="A28" s="137"/>
      <c r="B28" s="137"/>
      <c r="C28" s="137"/>
      <c r="D28" s="19" t="s">
        <v>2134</v>
      </c>
      <c r="E28" s="20" t="s">
        <v>3357</v>
      </c>
      <c r="F28" s="137"/>
      <c r="G28" s="139" t="s">
        <v>1888</v>
      </c>
      <c r="H28" s="25"/>
      <c r="I28" s="25"/>
      <c r="J28" s="23" t="s">
        <v>2074</v>
      </c>
      <c r="K28" s="24" t="s">
        <v>3358</v>
      </c>
      <c r="L28" s="137"/>
      <c r="M28" s="135"/>
      <c r="N28" s="135"/>
      <c r="O28" s="135"/>
      <c r="P28" s="135"/>
      <c r="Q28" s="135"/>
      <c r="R28" s="135"/>
      <c r="S28" s="135"/>
      <c r="T28" s="135"/>
      <c r="U28" s="135"/>
      <c r="V28" s="135"/>
      <c r="W28" s="135"/>
      <c r="X28" s="135"/>
      <c r="Y28" s="135"/>
      <c r="Z28" s="135"/>
    </row>
    <row r="29" spans="1:26">
      <c r="A29" s="137"/>
      <c r="B29" s="137"/>
      <c r="C29" s="137"/>
      <c r="D29" s="19" t="s">
        <v>3359</v>
      </c>
      <c r="E29" s="137"/>
      <c r="F29" s="137"/>
      <c r="G29" s="139" t="s">
        <v>1306</v>
      </c>
      <c r="H29" s="25"/>
      <c r="I29" s="25"/>
      <c r="J29" s="23" t="s">
        <v>3360</v>
      </c>
      <c r="K29" s="24" t="s">
        <v>3361</v>
      </c>
      <c r="L29" s="137"/>
      <c r="M29" s="135"/>
      <c r="N29" s="135"/>
      <c r="O29" s="135"/>
      <c r="P29" s="135"/>
      <c r="Q29" s="135"/>
      <c r="R29" s="135"/>
      <c r="S29" s="135"/>
      <c r="T29" s="135"/>
      <c r="U29" s="135"/>
      <c r="V29" s="135"/>
      <c r="W29" s="135"/>
      <c r="X29" s="135"/>
      <c r="Y29" s="135"/>
      <c r="Z29" s="135"/>
    </row>
    <row r="30" spans="1:26">
      <c r="A30" s="137"/>
      <c r="B30" s="137"/>
      <c r="C30" s="137"/>
      <c r="D30" s="19" t="s">
        <v>1260</v>
      </c>
      <c r="E30" s="137"/>
      <c r="F30" s="137"/>
      <c r="G30" s="139" t="s">
        <v>1839</v>
      </c>
      <c r="H30" s="25"/>
      <c r="I30" s="25"/>
      <c r="J30" s="23" t="s">
        <v>1442</v>
      </c>
      <c r="K30" s="24" t="s">
        <v>3362</v>
      </c>
      <c r="L30" s="137"/>
      <c r="M30" s="135"/>
      <c r="N30" s="135"/>
      <c r="O30" s="135"/>
      <c r="P30" s="135"/>
      <c r="Q30" s="135"/>
      <c r="R30" s="135"/>
      <c r="S30" s="135"/>
      <c r="T30" s="135"/>
      <c r="U30" s="135"/>
      <c r="V30" s="135"/>
      <c r="W30" s="135"/>
      <c r="X30" s="135"/>
      <c r="Y30" s="135"/>
      <c r="Z30" s="135"/>
    </row>
    <row r="31" spans="1:26">
      <c r="A31" s="137"/>
      <c r="B31" s="137"/>
      <c r="C31" s="137"/>
      <c r="D31" s="137"/>
      <c r="E31" s="137"/>
      <c r="F31" s="137"/>
      <c r="G31" s="139" t="s">
        <v>1617</v>
      </c>
      <c r="H31" s="25"/>
      <c r="I31" s="25"/>
      <c r="J31" s="23" t="s">
        <v>3363</v>
      </c>
      <c r="K31" s="24" t="s">
        <v>3364</v>
      </c>
      <c r="L31" s="137"/>
      <c r="M31" s="135"/>
      <c r="N31" s="135"/>
      <c r="O31" s="135"/>
      <c r="P31" s="135"/>
      <c r="Q31" s="135"/>
      <c r="R31" s="135"/>
      <c r="S31" s="135"/>
      <c r="T31" s="135"/>
      <c r="U31" s="135"/>
      <c r="V31" s="135"/>
      <c r="W31" s="135"/>
      <c r="X31" s="135"/>
      <c r="Y31" s="135"/>
      <c r="Z31" s="135"/>
    </row>
    <row r="32" spans="1:26">
      <c r="A32" s="137"/>
      <c r="B32" s="137"/>
      <c r="C32" s="137"/>
      <c r="D32" s="137"/>
      <c r="E32" s="137"/>
      <c r="F32" s="137"/>
      <c r="G32" s="139" t="s">
        <v>3255</v>
      </c>
      <c r="H32" s="137"/>
      <c r="I32" s="137"/>
      <c r="J32" s="137"/>
      <c r="K32" s="137"/>
      <c r="L32" s="137"/>
      <c r="M32" s="135"/>
      <c r="N32" s="135"/>
      <c r="O32" s="135"/>
      <c r="P32" s="135"/>
      <c r="Q32" s="135"/>
      <c r="R32" s="135"/>
      <c r="S32" s="135"/>
      <c r="T32" s="135"/>
      <c r="U32" s="135"/>
      <c r="V32" s="135"/>
      <c r="W32" s="135"/>
      <c r="X32" s="135"/>
      <c r="Y32" s="135"/>
      <c r="Z32" s="135"/>
    </row>
    <row r="33" spans="1:26">
      <c r="A33" s="137"/>
      <c r="B33" s="137"/>
      <c r="C33" s="137"/>
      <c r="D33" s="137"/>
      <c r="E33" s="137"/>
      <c r="F33" s="137"/>
      <c r="G33" s="139"/>
      <c r="H33" s="137"/>
      <c r="I33" s="137"/>
      <c r="J33" s="137"/>
      <c r="K33" s="137"/>
      <c r="L33" s="137"/>
      <c r="M33" s="135"/>
      <c r="N33" s="135"/>
      <c r="O33" s="135"/>
      <c r="P33" s="135"/>
      <c r="Q33" s="135"/>
      <c r="R33" s="135"/>
      <c r="S33" s="135"/>
      <c r="T33" s="135"/>
      <c r="U33" s="135"/>
      <c r="V33" s="135"/>
      <c r="W33" s="135"/>
      <c r="X33" s="135"/>
      <c r="Y33" s="135"/>
      <c r="Z33" s="135"/>
    </row>
    <row r="34" spans="1:26">
      <c r="A34" s="137"/>
      <c r="B34" s="137"/>
      <c r="C34" s="137"/>
      <c r="D34" s="137"/>
      <c r="E34" s="137"/>
      <c r="F34" s="137"/>
      <c r="G34" s="139"/>
      <c r="H34" s="137"/>
      <c r="I34" s="137"/>
      <c r="J34" s="137"/>
      <c r="K34" s="137"/>
      <c r="L34" s="137"/>
      <c r="M34" s="135"/>
      <c r="N34" s="135"/>
      <c r="O34" s="135"/>
      <c r="P34" s="135"/>
      <c r="Q34" s="135"/>
      <c r="R34" s="135"/>
      <c r="S34" s="135"/>
      <c r="T34" s="135"/>
      <c r="U34" s="135"/>
      <c r="V34" s="135"/>
      <c r="W34" s="135"/>
      <c r="X34" s="135"/>
      <c r="Y34" s="135"/>
      <c r="Z34" s="135"/>
    </row>
    <row r="35" spans="1:26">
      <c r="A35" s="26"/>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row>
    <row r="36" spans="1:26" ht="66" customHeight="1">
      <c r="A36" s="135"/>
      <c r="B36" s="135" t="s">
        <v>3365</v>
      </c>
      <c r="C36" s="135"/>
      <c r="D36" s="135"/>
      <c r="E36" s="135"/>
      <c r="F36" s="32" t="s">
        <v>3366</v>
      </c>
      <c r="G36" s="33" t="s">
        <v>3367</v>
      </c>
      <c r="H36" s="135"/>
      <c r="I36" s="135"/>
      <c r="J36" s="135"/>
      <c r="K36" s="135"/>
      <c r="L36" s="135"/>
      <c r="M36" s="135"/>
      <c r="N36" s="135"/>
      <c r="O36" s="135"/>
      <c r="P36" s="135"/>
      <c r="Q36" s="135"/>
      <c r="R36" s="135"/>
      <c r="S36" s="135"/>
      <c r="T36" s="135"/>
    </row>
    <row r="37" spans="1:26">
      <c r="A37" s="135" t="s">
        <v>3368</v>
      </c>
      <c r="B37" s="135">
        <v>5</v>
      </c>
      <c r="E37" s="135" t="s">
        <v>3369</v>
      </c>
      <c r="F37" s="27">
        <f>(50/$G$40)*60</f>
        <v>187.5</v>
      </c>
      <c r="G37" s="34">
        <v>15</v>
      </c>
      <c r="H37" s="33" t="s">
        <v>3370</v>
      </c>
      <c r="I37" s="135"/>
      <c r="J37" s="135"/>
      <c r="K37" s="135"/>
      <c r="L37" s="135"/>
      <c r="M37" s="135"/>
      <c r="N37" s="135"/>
      <c r="O37" s="135"/>
      <c r="P37" s="135"/>
      <c r="Q37" s="135"/>
      <c r="R37" s="135"/>
      <c r="S37" s="135"/>
      <c r="T37" s="135"/>
    </row>
    <row r="38" spans="1:26">
      <c r="A38" s="135" t="s">
        <v>3371</v>
      </c>
      <c r="B38" s="135">
        <v>3</v>
      </c>
      <c r="E38" s="135" t="s">
        <v>3372</v>
      </c>
      <c r="F38" s="27">
        <f>(100/$G$40)*60</f>
        <v>375</v>
      </c>
      <c r="G38" s="34">
        <v>5</v>
      </c>
      <c r="H38" s="33" t="s">
        <v>3373</v>
      </c>
      <c r="I38" s="135"/>
      <c r="J38" s="135"/>
      <c r="K38" s="135"/>
      <c r="L38" s="135"/>
      <c r="M38" s="135"/>
      <c r="N38" s="135"/>
      <c r="O38" s="135"/>
      <c r="P38" s="135"/>
      <c r="Q38" s="135"/>
      <c r="R38" s="135"/>
      <c r="S38" s="135"/>
      <c r="T38" s="135"/>
    </row>
    <row r="39" spans="1:26">
      <c r="A39" s="135" t="s">
        <v>3374</v>
      </c>
      <c r="B39" s="135">
        <v>15</v>
      </c>
      <c r="E39" s="135" t="s">
        <v>3375</v>
      </c>
      <c r="F39" s="27">
        <f>(150/$G$40)*60</f>
        <v>562.5</v>
      </c>
      <c r="G39" s="34">
        <v>5.5</v>
      </c>
      <c r="H39" s="33" t="s">
        <v>3376</v>
      </c>
      <c r="I39" s="135"/>
      <c r="J39" s="135"/>
      <c r="K39" s="135"/>
      <c r="L39" s="135"/>
      <c r="M39" s="135"/>
      <c r="N39" s="135"/>
      <c r="O39" s="135"/>
      <c r="P39" s="135"/>
      <c r="Q39" s="135"/>
      <c r="R39" s="135"/>
      <c r="S39" s="135"/>
      <c r="T39" s="135"/>
    </row>
    <row r="40" spans="1:26">
      <c r="A40" s="135" t="s">
        <v>3377</v>
      </c>
      <c r="B40" s="135">
        <v>30</v>
      </c>
      <c r="C40" s="135"/>
      <c r="D40" s="135"/>
      <c r="E40" s="135" t="s">
        <v>3378</v>
      </c>
      <c r="F40" s="27">
        <f>(200/$G$40)*60</f>
        <v>750</v>
      </c>
      <c r="G40" s="34">
        <f>ROUNDDOWN(G39*3,0)</f>
        <v>16</v>
      </c>
      <c r="H40" s="33" t="s">
        <v>3379</v>
      </c>
      <c r="I40" s="135"/>
      <c r="J40" s="135"/>
      <c r="K40" s="135"/>
      <c r="L40" s="135"/>
      <c r="M40" s="135"/>
      <c r="N40" s="135"/>
      <c r="O40" s="135"/>
      <c r="P40" s="135"/>
      <c r="Q40" s="135"/>
      <c r="R40" s="135"/>
      <c r="S40" s="135"/>
      <c r="T40" s="135"/>
    </row>
    <row r="41" spans="1:26">
      <c r="A41" s="135" t="s">
        <v>3380</v>
      </c>
      <c r="B41" s="135">
        <f>(60/B37)*B38</f>
        <v>36</v>
      </c>
      <c r="C41" s="135"/>
      <c r="D41" s="135"/>
      <c r="E41" s="135" t="s">
        <v>3381</v>
      </c>
      <c r="F41" s="27">
        <f>(250/$G$40)*60</f>
        <v>937.5</v>
      </c>
      <c r="G41" s="34">
        <v>45</v>
      </c>
      <c r="H41" s="33" t="s">
        <v>3382</v>
      </c>
      <c r="I41" s="135"/>
      <c r="J41" s="135"/>
      <c r="K41" s="135"/>
      <c r="L41" s="135"/>
      <c r="M41" s="135"/>
      <c r="N41" s="135"/>
      <c r="O41" s="135"/>
      <c r="P41" s="135"/>
      <c r="Q41" s="135"/>
      <c r="R41" s="135"/>
      <c r="S41" s="135"/>
      <c r="T41" s="135"/>
    </row>
    <row r="42" spans="1:26">
      <c r="A42" s="135" t="s">
        <v>3383</v>
      </c>
      <c r="B42" s="135" t="s">
        <v>3384</v>
      </c>
      <c r="C42" s="135"/>
      <c r="D42" s="135"/>
      <c r="E42" s="135" t="s">
        <v>3385</v>
      </c>
      <c r="F42" s="27">
        <f>(300/$G$40)*60</f>
        <v>1125</v>
      </c>
      <c r="G42" s="35">
        <v>60</v>
      </c>
      <c r="H42" s="180" t="s">
        <v>3386</v>
      </c>
      <c r="I42" s="135"/>
      <c r="J42" s="135"/>
      <c r="K42" s="135"/>
      <c r="L42" s="135"/>
      <c r="M42" s="135"/>
      <c r="N42" s="135"/>
      <c r="O42" s="135"/>
      <c r="P42" s="135"/>
      <c r="Q42" s="135"/>
      <c r="R42" s="135"/>
      <c r="S42" s="135"/>
      <c r="T42" s="135"/>
      <c r="U42" s="135"/>
      <c r="V42" s="135"/>
      <c r="W42" s="135"/>
      <c r="X42" s="135"/>
      <c r="Y42" s="135"/>
      <c r="Z42" s="135"/>
    </row>
    <row r="43" spans="1:26">
      <c r="C43" s="135"/>
      <c r="D43" s="135"/>
      <c r="E43" s="135" t="s">
        <v>3387</v>
      </c>
      <c r="F43" s="27">
        <f>(350/$G$40)*60</f>
        <v>1312.5</v>
      </c>
      <c r="G43" s="35">
        <v>45</v>
      </c>
      <c r="H43" s="180" t="s">
        <v>3388</v>
      </c>
      <c r="I43" s="135"/>
      <c r="J43" s="135"/>
      <c r="K43" s="135"/>
      <c r="L43" s="135"/>
      <c r="M43" s="135"/>
      <c r="N43" s="135"/>
      <c r="O43" s="135"/>
      <c r="P43" s="135"/>
      <c r="Q43" s="135"/>
      <c r="R43" s="135"/>
      <c r="S43" s="135"/>
      <c r="T43" s="135"/>
      <c r="U43" s="135"/>
      <c r="V43" s="135"/>
      <c r="W43" s="135"/>
      <c r="X43" s="135"/>
      <c r="Y43" s="135"/>
      <c r="Z43" s="135"/>
    </row>
    <row r="44" spans="1:26">
      <c r="A44" s="135" t="s">
        <v>3389</v>
      </c>
      <c r="B44" s="135" t="s">
        <v>3390</v>
      </c>
      <c r="C44" s="135" t="s">
        <v>3391</v>
      </c>
      <c r="D44" s="135"/>
      <c r="E44" s="135"/>
      <c r="F44" s="135"/>
      <c r="G44" s="33"/>
      <c r="H44" s="135"/>
      <c r="I44" s="135"/>
      <c r="J44" s="135"/>
      <c r="K44" s="135"/>
      <c r="L44" s="135"/>
      <c r="M44" s="135"/>
      <c r="N44" s="135"/>
      <c r="O44" s="135"/>
      <c r="P44" s="135"/>
      <c r="Q44" s="135"/>
      <c r="R44" s="135"/>
      <c r="S44" s="135"/>
      <c r="T44" s="135"/>
      <c r="U44" s="135"/>
      <c r="V44" s="135"/>
      <c r="W44" s="135"/>
      <c r="X44" s="135"/>
      <c r="Y44" s="135"/>
      <c r="Z44" s="135"/>
    </row>
    <row r="45" spans="1:26">
      <c r="A45" s="127">
        <v>43992</v>
      </c>
      <c r="B45" s="136">
        <f>SUM('District 1'!I53,'District 2'!L56,'District 3'!L76,'District 4'!K34,'District 5'!L115,'District 6'!L72,'District 7'!L30,'District 8'!L34,'District 9'!I54,'District 10'!L63)</f>
        <v>4693</v>
      </c>
      <c r="C45" s="136">
        <f>SUM('District 1'!J53,'District 2'!M56,'District 3'!M76,'District 4'!L34,'District 5'!M115,'District 6'!M72,'District 7'!M30,'District 8'!M34,'District 9'!J54,'District 10'!M63)</f>
        <v>105</v>
      </c>
      <c r="D45" s="135"/>
      <c r="E45" s="135"/>
      <c r="F45" s="135"/>
      <c r="G45" s="135"/>
      <c r="H45" s="135"/>
      <c r="I45" s="135"/>
      <c r="J45" s="135"/>
      <c r="K45" s="135"/>
      <c r="L45" s="135"/>
      <c r="M45" s="135"/>
      <c r="N45" s="135"/>
      <c r="O45" s="135"/>
      <c r="P45" s="135"/>
      <c r="Q45" s="135"/>
      <c r="R45" s="135"/>
      <c r="S45" s="135"/>
      <c r="T45" s="135"/>
      <c r="U45" s="135"/>
      <c r="V45" s="135"/>
      <c r="W45" s="135"/>
      <c r="X45" s="135"/>
      <c r="Y45" s="135"/>
      <c r="Z45" s="135"/>
    </row>
    <row r="46" spans="1:26">
      <c r="A46" s="127">
        <v>43993</v>
      </c>
      <c r="B46" s="136">
        <f>SUM('District 1'!K53,'District 2'!N56,'District 3'!N76,'District 4'!M34,'District 5'!N115,'District 6'!N72,'District 7'!N30,'District 8'!N34,'District 9'!K54,'District 10'!N63)</f>
        <v>4720</v>
      </c>
      <c r="C46" s="136">
        <f>SUM('District 1'!L53,'District 2'!O56,'District 3'!O76,'District 4'!N34,'District 5'!O115,'District 6'!O72,'District 7'!O30,'District 8'!O34,'District 9'!L54,'District 10'!O63)</f>
        <v>111</v>
      </c>
      <c r="D46" s="2"/>
      <c r="E46" s="135"/>
      <c r="F46" s="135"/>
      <c r="G46" s="135"/>
      <c r="H46" s="135"/>
      <c r="I46" s="135"/>
      <c r="J46" s="135"/>
      <c r="K46" s="135"/>
      <c r="L46" s="135"/>
      <c r="M46" s="135"/>
      <c r="N46" s="135"/>
      <c r="O46" s="135"/>
      <c r="P46" s="135"/>
      <c r="Q46" s="135"/>
      <c r="R46" s="135"/>
      <c r="S46" s="135"/>
      <c r="T46" s="135"/>
      <c r="U46" s="135"/>
      <c r="V46" s="135"/>
      <c r="W46" s="135"/>
      <c r="X46" s="135"/>
      <c r="Y46" s="135"/>
      <c r="Z46" s="135"/>
    </row>
    <row r="47" spans="1:26">
      <c r="A47" s="127">
        <v>43994</v>
      </c>
      <c r="B47" s="136">
        <f>SUM('District 1'!M53,'District 2'!P56,'District 3'!P76,'District 4'!O34,'District 5'!P115,'District 6'!P72,'District 7'!P30,'District 8'!P34,'District 9'!M54,'District 10'!P63)</f>
        <v>8919</v>
      </c>
      <c r="C47" s="136">
        <f>SUM('District 1'!N53,'District 2'!Q56,'District 3'!Q76,'District 4'!P34,'District 5'!Q115,'District 6'!Q72,'District 7'!Q30,'District 8'!Q34,'District 9'!N54,'District 10'!Q63)</f>
        <v>214</v>
      </c>
      <c r="D47" s="135"/>
      <c r="E47" s="135"/>
      <c r="F47" s="135" t="s">
        <v>3365</v>
      </c>
      <c r="G47" s="135"/>
      <c r="H47" s="135"/>
      <c r="I47" s="135"/>
      <c r="J47" s="135"/>
      <c r="K47" s="135"/>
      <c r="L47" s="135"/>
      <c r="M47" s="135"/>
      <c r="N47" s="135"/>
      <c r="O47" s="135"/>
      <c r="P47" s="135"/>
      <c r="Q47" s="135"/>
      <c r="R47" s="135"/>
      <c r="S47" s="135"/>
      <c r="T47" s="135"/>
      <c r="U47" s="135"/>
      <c r="V47" s="135"/>
      <c r="W47" s="135"/>
      <c r="X47" s="135"/>
      <c r="Y47" s="135"/>
      <c r="Z47" s="135"/>
    </row>
    <row r="48" spans="1:26">
      <c r="A48" s="127">
        <v>43995</v>
      </c>
      <c r="B48" s="136">
        <f>SUM('District 1'!O53,'District 2'!R56,'District 3'!R76,'District 4'!Q34,'District 5'!R115,'District 6'!R72,'District 7'!R30,'District 8'!R34,'District 9'!O54,'District 10'!R63)</f>
        <v>6980</v>
      </c>
      <c r="C48" s="136">
        <f>SUM('District 1'!P53,'District 2'!S56,'District 3'!S76,'District 4'!R34,'District 5'!S115,'District 6'!S72,'District 7'!S30,'District 8'!S34,'District 9'!P54,'District 10'!S63)</f>
        <v>154</v>
      </c>
      <c r="D48" s="135"/>
      <c r="E48" s="135" t="s">
        <v>3368</v>
      </c>
      <c r="F48" s="135">
        <v>5</v>
      </c>
      <c r="G48" s="135"/>
      <c r="H48" s="135"/>
      <c r="I48" s="135"/>
      <c r="J48" s="135"/>
      <c r="K48" s="135"/>
      <c r="L48" s="135"/>
      <c r="M48" s="135"/>
      <c r="N48" s="135"/>
      <c r="O48" s="135"/>
      <c r="P48" s="135"/>
      <c r="Q48" s="135"/>
      <c r="R48" s="135"/>
      <c r="S48" s="135"/>
      <c r="T48" s="135"/>
      <c r="U48" s="135"/>
      <c r="V48" s="135"/>
      <c r="W48" s="135"/>
      <c r="X48" s="135"/>
      <c r="Y48" s="135"/>
      <c r="Z48" s="135"/>
    </row>
    <row r="49" spans="1:26">
      <c r="A49" s="127">
        <v>43997</v>
      </c>
      <c r="B49" s="136">
        <f>SUM('District 1'!Q53,'District 2'!T56,'District 3'!T76,'District 4'!U34,'District 5'!T115,'District 6'!T72,'District 7'!T30,'District 8'!T34,'District 9'!Q54,'District 10'!T63)</f>
        <v>5009</v>
      </c>
      <c r="C49" s="136">
        <f>SUM('District 1'!R53,'District 2'!U56,'District 3'!U76,'District 4'!V34,'District 5'!U115,'District 6'!U72,'District 7'!U30,'District 8'!U34,'District 9'!R54,'District 10'!U63)</f>
        <v>115</v>
      </c>
      <c r="D49" s="135"/>
      <c r="E49" s="135" t="s">
        <v>3371</v>
      </c>
      <c r="F49" s="135">
        <v>3</v>
      </c>
      <c r="G49" s="135"/>
      <c r="H49" s="135"/>
      <c r="I49" s="135"/>
      <c r="J49" s="135"/>
      <c r="K49" s="135"/>
      <c r="L49" s="135"/>
      <c r="M49" s="135"/>
      <c r="N49" s="135"/>
      <c r="O49" s="135"/>
      <c r="P49" s="135"/>
      <c r="Q49" s="135"/>
      <c r="R49" s="135"/>
      <c r="S49" s="135"/>
      <c r="T49" s="135"/>
      <c r="U49" s="135"/>
      <c r="V49" s="135"/>
      <c r="W49" s="135"/>
      <c r="X49" s="135"/>
      <c r="Y49" s="135"/>
      <c r="Z49" s="135"/>
    </row>
    <row r="50" spans="1:26">
      <c r="A50" s="127">
        <v>43998</v>
      </c>
      <c r="B50" s="136">
        <f>SUM('District 1'!S53,'District 2'!W56,'District 3'!V76,'District 4'!W34,'District 5'!V115,'District 6'!V72,'District 7'!V30,'District 8'!V34,'District 9'!S54,'District 10'!V63)</f>
        <v>4797</v>
      </c>
      <c r="C50" s="136">
        <f>SUM('District 1'!T53,'District 2'!X56,'District 3'!W76,'District 4'!X34,'District 5'!W115,'District 6'!W72,'District 7'!W30,'District 8'!W34,'District 9'!T54,'District 10'!W63)</f>
        <v>114</v>
      </c>
      <c r="D50" s="135"/>
      <c r="E50" s="135" t="s">
        <v>3374</v>
      </c>
      <c r="F50" s="135">
        <v>15</v>
      </c>
      <c r="G50" s="135"/>
      <c r="H50" s="135"/>
      <c r="I50" s="135"/>
      <c r="J50" s="135"/>
      <c r="K50" s="135"/>
      <c r="L50" s="135"/>
      <c r="M50" s="135"/>
      <c r="N50" s="135"/>
      <c r="O50" s="135"/>
      <c r="P50" s="135"/>
      <c r="Q50" s="135"/>
      <c r="R50" s="135"/>
      <c r="S50" s="135"/>
      <c r="T50" s="135"/>
      <c r="U50" s="135"/>
      <c r="V50" s="135"/>
      <c r="W50" s="135"/>
      <c r="X50" s="135"/>
      <c r="Y50" s="135"/>
      <c r="Z50" s="135"/>
    </row>
    <row r="51" spans="1:26">
      <c r="A51" s="127">
        <v>43999</v>
      </c>
      <c r="B51" s="135">
        <f>SUM('District 1'!I58,'District 2'!L61,'District 3'!L81,'District 4'!K39,'District 5'!L120,'District 6'!L77,'District 7'!L35,'District 8'!L39,'District 9'!I59,'District 10'!L68)</f>
        <v>5590</v>
      </c>
      <c r="C51" s="135">
        <f>SUM('District 1'!J58,'District 2'!M61,'District 3'!M81,'District 4'!L39,'District 5'!M120,'District 6'!M77,'District 7'!M35,'District 8'!M39,'District 9'!J59,'District 10'!M68)</f>
        <v>132</v>
      </c>
      <c r="D51" s="135"/>
      <c r="E51" s="135" t="s">
        <v>3377</v>
      </c>
      <c r="F51" s="135">
        <v>30</v>
      </c>
      <c r="G51" s="135"/>
      <c r="H51" s="135"/>
      <c r="I51" s="135"/>
      <c r="J51" s="135"/>
      <c r="K51" s="135"/>
      <c r="L51" s="135"/>
      <c r="M51" s="135"/>
      <c r="N51" s="135"/>
      <c r="O51" s="135"/>
      <c r="P51" s="135"/>
      <c r="Q51" s="135"/>
      <c r="R51" s="135"/>
      <c r="S51" s="135"/>
      <c r="T51" s="135"/>
      <c r="U51" s="135"/>
      <c r="V51" s="135"/>
      <c r="W51" s="135"/>
      <c r="X51" s="135"/>
      <c r="Y51" s="135"/>
      <c r="Z51" s="135"/>
    </row>
    <row r="52" spans="1:26">
      <c r="A52" s="127">
        <v>44000</v>
      </c>
      <c r="B52" s="135">
        <f>SUM('District 1'!K58,'District 2'!N61,'District 3'!N81,'District 4'!M39,'District 5'!N120,'District 6'!N77,'District 7'!N35,'District 8'!N39,'District 9'!K59,'District 10'!N68)</f>
        <v>5002</v>
      </c>
      <c r="C52" s="135">
        <f>SUM('District 1'!L58,'District 2'!O61,'District 3'!O81,'District 4'!N39,'District 5'!O120,'District 6'!O77,'District 7'!O35,'District 8'!O39,'District 9'!L59,'District 10'!O68)</f>
        <v>118</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row>
    <row r="53" spans="1:26">
      <c r="A53" s="127">
        <v>44001</v>
      </c>
      <c r="B53" s="135">
        <f>SUM('District 1'!M58,'District 2'!P61,'District 3'!P81,'District 4'!O39,'District 5'!P120,'District 6'!P77,'District 7'!P35,'District 8'!P39,'District 9'!M59,'District 10'!P68)</f>
        <v>4120</v>
      </c>
      <c r="C53" s="135">
        <f>SUM('District 1'!N58,'District 2'!Q61,'District 3'!Q81,'District 4'!P39,'District 5'!Q120,'District 6'!Q77,'District 7'!Q35,'District 8'!Q39,'District 9'!N59,'District 10'!Q68)</f>
        <v>101</v>
      </c>
      <c r="D53" s="135"/>
      <c r="E53" s="135" t="s">
        <v>3380</v>
      </c>
      <c r="F53" s="135">
        <f>(60/F48)*F49</f>
        <v>36</v>
      </c>
      <c r="G53" s="135"/>
      <c r="H53" s="135"/>
      <c r="I53" s="135"/>
      <c r="J53" s="135"/>
      <c r="K53" s="135"/>
      <c r="L53" s="135"/>
      <c r="M53" s="135"/>
      <c r="N53" s="135"/>
      <c r="O53" s="135"/>
      <c r="P53" s="135"/>
      <c r="Q53" s="135"/>
      <c r="R53" s="135"/>
      <c r="S53" s="135"/>
      <c r="T53" s="135"/>
      <c r="U53" s="135"/>
      <c r="V53" s="135"/>
      <c r="W53" s="135"/>
      <c r="X53" s="135"/>
      <c r="Y53" s="135"/>
      <c r="Z53" s="135"/>
    </row>
    <row r="54" spans="1:26">
      <c r="A54" s="127">
        <v>44002</v>
      </c>
      <c r="B54" s="135">
        <f>SUM('District 1'!O58,'District 2'!R61,'District 3'!R81,'District 4'!Q39,'District 5'!R120,'District 6'!R77,'District 7'!R35,'District 8'!R39,'District 9'!O59,'District 10'!R68)</f>
        <v>3737</v>
      </c>
      <c r="C54" s="135">
        <f>SUM('District 1'!P58,'District 2'!S61,'District 3'!S81,'District 4'!R39,'District 5'!S120,'District 6'!S77,'District 7'!S35,'District 8'!S39,'District 9'!P59,'District 10'!S68)</f>
        <v>90</v>
      </c>
      <c r="D54" s="135"/>
      <c r="E54" s="135" t="s">
        <v>3383</v>
      </c>
      <c r="F54" s="135" t="s">
        <v>3384</v>
      </c>
      <c r="G54" s="135"/>
      <c r="H54" s="135"/>
      <c r="I54" s="135"/>
      <c r="J54" s="135"/>
      <c r="K54" s="135"/>
      <c r="L54" s="135"/>
      <c r="M54" s="135"/>
      <c r="N54" s="135"/>
      <c r="O54" s="135"/>
      <c r="P54" s="135"/>
      <c r="Q54" s="135"/>
      <c r="R54" s="135"/>
      <c r="S54" s="135"/>
      <c r="T54" s="135"/>
      <c r="U54" s="135"/>
      <c r="V54" s="135"/>
      <c r="W54" s="135"/>
      <c r="X54" s="135"/>
      <c r="Y54" s="135"/>
      <c r="Z54" s="135"/>
    </row>
    <row r="55" spans="1:26">
      <c r="A55" s="127">
        <v>44004</v>
      </c>
      <c r="B55" s="135">
        <f>SUM('District 1'!Q58,'District 2'!T61,'District 3'!T81,'District 4'!S39,'District 5'!T120,'District 6'!T77,'District 7'!T35,'District 8'!T39,'District 9'!Q59,'District 10'!T68)</f>
        <v>2615</v>
      </c>
      <c r="C55" s="135">
        <f>SUM('District 1'!R58,'District 2'!U61,'District 3'!U81,'District 4'!T39,'District 5'!U120,'District 6'!U77,'District 7'!U35,'District 8'!U39,'District 9'!R59,'District 10'!U68)</f>
        <v>60</v>
      </c>
      <c r="D55" s="135"/>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c r="A56" s="127"/>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c r="A57" s="2"/>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c r="A58" s="2"/>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c r="A59" s="2"/>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c r="A60" s="2"/>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c r="A61" s="2"/>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c r="A62" s="2"/>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c r="A63" s="2"/>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c r="A64" s="2"/>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c r="A65" s="2"/>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c r="A66" s="2"/>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c r="A67" s="2"/>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c r="A68" s="2"/>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c r="A69" s="2"/>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row>
    <row r="70" spans="1:26">
      <c r="A70" s="2"/>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row>
    <row r="71" spans="1:26">
      <c r="A71" s="2"/>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row>
    <row r="72" spans="1:26">
      <c r="A72" s="2"/>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row>
    <row r="73" spans="1:26">
      <c r="A73" s="2"/>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row>
    <row r="74" spans="1:26">
      <c r="A74" s="2"/>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row>
    <row r="75" spans="1:26">
      <c r="A75" s="2"/>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c r="A76" s="2"/>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c r="A77" s="2"/>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c r="A78" s="2"/>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c r="A79" s="2"/>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c r="A80" s="2"/>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c r="A81" s="2"/>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row>
    <row r="82" spans="1:26">
      <c r="A82" s="2"/>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row>
    <row r="83" spans="1:26">
      <c r="A83" s="2"/>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26">
      <c r="A84" s="2"/>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26">
      <c r="A85" s="2"/>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1:26">
      <c r="A86" s="2"/>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row>
    <row r="87" spans="1:26">
      <c r="A87" s="2"/>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row>
    <row r="88" spans="1:26">
      <c r="A88" s="2"/>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row>
    <row r="89" spans="1:26">
      <c r="A89" s="2"/>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row>
    <row r="90" spans="1:26">
      <c r="A90" s="2"/>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row>
    <row r="91" spans="1:26">
      <c r="A91" s="2"/>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row>
    <row r="92" spans="1:26">
      <c r="A92" s="2"/>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row>
    <row r="93" spans="1:26">
      <c r="A93" s="2"/>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row>
    <row r="94" spans="1:26">
      <c r="A94" s="2"/>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row>
    <row r="95" spans="1:26">
      <c r="A95" s="2"/>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row>
    <row r="96" spans="1:26">
      <c r="A96" s="2"/>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row>
    <row r="97" spans="1:26">
      <c r="A97" s="2"/>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row>
    <row r="98" spans="1:26">
      <c r="A98" s="2"/>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row>
    <row r="99" spans="1:26">
      <c r="A99" s="2"/>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row>
    <row r="100" spans="1:26">
      <c r="A100" s="2"/>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row>
    <row r="101" spans="1:26">
      <c r="A101" s="2"/>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row>
    <row r="102" spans="1:26">
      <c r="A102" s="2"/>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row>
    <row r="103" spans="1:26">
      <c r="A103" s="2"/>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row>
    <row r="104" spans="1:26">
      <c r="A104" s="2"/>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row>
    <row r="105" spans="1:26">
      <c r="A105" s="2"/>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row>
    <row r="106" spans="1:26">
      <c r="A106" s="2"/>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row>
    <row r="107" spans="1:26">
      <c r="A107" s="2"/>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row>
    <row r="108" spans="1:26">
      <c r="A108" s="2"/>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row>
    <row r="109" spans="1:26">
      <c r="A109" s="2"/>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row>
    <row r="110" spans="1:26">
      <c r="A110" s="2"/>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row>
    <row r="111" spans="1:26">
      <c r="A111" s="2"/>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row>
    <row r="112" spans="1:26">
      <c r="A112" s="2"/>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row>
    <row r="113" spans="1:26">
      <c r="A113" s="2"/>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row>
    <row r="114" spans="1:26">
      <c r="A114" s="2"/>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row>
    <row r="115" spans="1:26">
      <c r="A115" s="2"/>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row>
    <row r="116" spans="1:26">
      <c r="A116" s="2"/>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row>
    <row r="117" spans="1:26">
      <c r="A117" s="2"/>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row>
    <row r="118" spans="1:26">
      <c r="A118" s="2"/>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row>
    <row r="119" spans="1:26">
      <c r="A119" s="2"/>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row>
    <row r="120" spans="1:26">
      <c r="A120" s="2"/>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row>
    <row r="121" spans="1:26">
      <c r="A121" s="2"/>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row>
    <row r="122" spans="1:26">
      <c r="A122" s="2"/>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row>
    <row r="123" spans="1:26">
      <c r="A123" s="2"/>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row>
    <row r="124" spans="1:26">
      <c r="A124" s="2"/>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row>
    <row r="125" spans="1:26">
      <c r="A125" s="2"/>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row>
    <row r="126" spans="1:26">
      <c r="A126" s="2"/>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row>
    <row r="127" spans="1:26">
      <c r="A127" s="2"/>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row>
    <row r="128" spans="1:26">
      <c r="A128" s="2"/>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row>
    <row r="129" spans="1:26">
      <c r="A129" s="2"/>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row>
    <row r="130" spans="1:26">
      <c r="A130" s="2"/>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row>
    <row r="131" spans="1:26">
      <c r="A131" s="2"/>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row>
    <row r="132" spans="1:26">
      <c r="A132" s="2"/>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row>
    <row r="133" spans="1:26">
      <c r="A133" s="2"/>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row>
    <row r="134" spans="1:26">
      <c r="A134" s="2"/>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row>
    <row r="135" spans="1:26">
      <c r="A135" s="2"/>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row>
    <row r="136" spans="1:26">
      <c r="A136" s="2"/>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row>
    <row r="137" spans="1:26">
      <c r="A137" s="2"/>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row>
    <row r="138" spans="1:26">
      <c r="A138" s="2"/>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row>
    <row r="139" spans="1:26">
      <c r="A139" s="2"/>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row>
    <row r="140" spans="1:26">
      <c r="A140" s="2"/>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row>
    <row r="141" spans="1:26">
      <c r="A141" s="2"/>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row>
    <row r="142" spans="1:26">
      <c r="A142" s="2"/>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row>
    <row r="143" spans="1:26">
      <c r="A143" s="2"/>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row>
    <row r="144" spans="1:26">
      <c r="A144" s="2"/>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row>
    <row r="145" spans="1:26">
      <c r="A145" s="2"/>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row>
    <row r="146" spans="1:26">
      <c r="A146" s="2"/>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row>
    <row r="147" spans="1:26">
      <c r="A147" s="2"/>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row>
    <row r="148" spans="1:26">
      <c r="A148" s="2"/>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row>
    <row r="149" spans="1:26">
      <c r="A149" s="2"/>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row>
    <row r="150" spans="1:26">
      <c r="A150" s="2"/>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row>
    <row r="151" spans="1:26">
      <c r="A151" s="2"/>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row>
    <row r="152" spans="1:26">
      <c r="A152" s="2"/>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row>
    <row r="153" spans="1:26">
      <c r="A153" s="2"/>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row>
    <row r="154" spans="1:26">
      <c r="A154" s="2"/>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row>
    <row r="155" spans="1:26">
      <c r="A155" s="2"/>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row>
    <row r="156" spans="1:26">
      <c r="A156" s="2"/>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row>
    <row r="157" spans="1:26">
      <c r="A157" s="2"/>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row>
    <row r="158" spans="1:26">
      <c r="A158" s="2"/>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row>
    <row r="159" spans="1:26">
      <c r="A159" s="2"/>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row>
    <row r="160" spans="1:26">
      <c r="A160" s="2"/>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row>
    <row r="161" spans="1:26">
      <c r="A161" s="2"/>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row>
    <row r="162" spans="1:26">
      <c r="A162" s="2"/>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row>
    <row r="163" spans="1:26">
      <c r="A163" s="2"/>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row>
    <row r="164" spans="1:26">
      <c r="A164" s="2"/>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row>
    <row r="165" spans="1:26">
      <c r="A165" s="2"/>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row>
    <row r="166" spans="1:26">
      <c r="A166" s="2"/>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row>
    <row r="167" spans="1:26">
      <c r="A167" s="2"/>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row>
    <row r="168" spans="1:26">
      <c r="A168" s="2"/>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row>
    <row r="169" spans="1:26">
      <c r="A169" s="2"/>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row>
    <row r="170" spans="1:26">
      <c r="A170" s="2"/>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row>
    <row r="171" spans="1:26">
      <c r="A171" s="2"/>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row>
    <row r="172" spans="1:26">
      <c r="A172" s="2"/>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row>
    <row r="173" spans="1:26">
      <c r="A173" s="2"/>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row>
    <row r="174" spans="1:26">
      <c r="A174" s="2"/>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row>
    <row r="175" spans="1:26">
      <c r="A175" s="2"/>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row>
    <row r="176" spans="1:26">
      <c r="A176" s="2"/>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row>
    <row r="177" spans="1:26">
      <c r="A177" s="2"/>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row>
    <row r="178" spans="1:26">
      <c r="A178" s="2"/>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row>
    <row r="179" spans="1:26">
      <c r="A179" s="2"/>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row>
    <row r="180" spans="1:26">
      <c r="A180" s="2"/>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row>
    <row r="181" spans="1:26">
      <c r="A181" s="2"/>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row>
    <row r="182" spans="1:26">
      <c r="A182" s="2"/>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row>
    <row r="183" spans="1:26">
      <c r="A183" s="2"/>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row>
    <row r="184" spans="1:26">
      <c r="A184" s="2"/>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row>
    <row r="185" spans="1:26">
      <c r="A185" s="2"/>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row>
    <row r="186" spans="1:26">
      <c r="A186" s="2"/>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row>
    <row r="187" spans="1:26">
      <c r="A187" s="2"/>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row>
    <row r="188" spans="1:26">
      <c r="A188" s="2"/>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row>
    <row r="189" spans="1:26">
      <c r="A189" s="2"/>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row>
    <row r="190" spans="1:26">
      <c r="A190" s="2"/>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row>
    <row r="191" spans="1:26">
      <c r="A191" s="2"/>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row>
    <row r="192" spans="1:26">
      <c r="A192" s="2"/>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row>
    <row r="193" spans="1:26">
      <c r="A193" s="2"/>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row>
    <row r="194" spans="1:26">
      <c r="A194" s="2"/>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row>
    <row r="195" spans="1:26">
      <c r="A195" s="2"/>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spans="1:26">
      <c r="A196" s="2"/>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row>
    <row r="197" spans="1:26">
      <c r="A197" s="2"/>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row>
    <row r="198" spans="1:26">
      <c r="A198" s="2"/>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row>
    <row r="199" spans="1:26">
      <c r="A199" s="2"/>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row>
    <row r="200" spans="1:26">
      <c r="A200" s="2"/>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row>
    <row r="201" spans="1:26">
      <c r="A201" s="2"/>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row>
    <row r="202" spans="1:26">
      <c r="A202" s="2"/>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row>
    <row r="203" spans="1:26">
      <c r="A203" s="2"/>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row>
    <row r="204" spans="1:26">
      <c r="A204" s="2"/>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row>
    <row r="205" spans="1:26">
      <c r="A205" s="2"/>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row>
    <row r="206" spans="1:26">
      <c r="A206" s="2"/>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row>
    <row r="207" spans="1:26">
      <c r="A207" s="2"/>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row>
    <row r="208" spans="1:26">
      <c r="A208" s="2"/>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row>
    <row r="209" spans="1:26">
      <c r="A209" s="2"/>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row>
    <row r="210" spans="1:26">
      <c r="A210" s="2"/>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row>
    <row r="211" spans="1:26">
      <c r="A211" s="2"/>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row>
    <row r="212" spans="1:26">
      <c r="A212" s="2"/>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row>
    <row r="213" spans="1:26">
      <c r="A213" s="2"/>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row>
    <row r="214" spans="1:26">
      <c r="A214" s="2"/>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row>
    <row r="215" spans="1:26">
      <c r="A215" s="2"/>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row>
    <row r="216" spans="1:26">
      <c r="A216" s="2"/>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row>
    <row r="217" spans="1:26">
      <c r="A217" s="2"/>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row>
    <row r="218" spans="1:26">
      <c r="A218" s="2"/>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row>
    <row r="219" spans="1:26">
      <c r="A219" s="2"/>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row>
    <row r="220" spans="1:26">
      <c r="A220" s="2"/>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row>
    <row r="221" spans="1:26">
      <c r="A221" s="2"/>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row>
    <row r="222" spans="1:26">
      <c r="A222" s="2"/>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row>
    <row r="223" spans="1:26">
      <c r="A223" s="2"/>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row>
    <row r="224" spans="1:26">
      <c r="A224" s="2"/>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row>
    <row r="225" spans="1:26">
      <c r="A225" s="2"/>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row>
    <row r="226" spans="1:26">
      <c r="A226" s="2"/>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row>
    <row r="227" spans="1:26">
      <c r="A227" s="2"/>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row>
    <row r="228" spans="1:26">
      <c r="A228" s="2"/>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row>
    <row r="229" spans="1:26">
      <c r="A229" s="2"/>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row>
    <row r="230" spans="1:26">
      <c r="A230" s="2"/>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row>
    <row r="231" spans="1:26">
      <c r="A231" s="2"/>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row>
    <row r="232" spans="1:26">
      <c r="A232" s="2"/>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row>
    <row r="233" spans="1:26">
      <c r="A233" s="2"/>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row>
    <row r="234" spans="1:26">
      <c r="A234" s="2"/>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row>
    <row r="235" spans="1:26">
      <c r="A235" s="2"/>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spans="1:26">
      <c r="A236" s="2"/>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row>
    <row r="237" spans="1:26">
      <c r="A237" s="2"/>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row>
    <row r="238" spans="1:26">
      <c r="A238" s="2"/>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row>
    <row r="239" spans="1:26">
      <c r="A239" s="2"/>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row>
    <row r="240" spans="1:26">
      <c r="A240" s="2"/>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row>
    <row r="241" spans="1:26">
      <c r="A241" s="2"/>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row>
    <row r="242" spans="1:26">
      <c r="A242" s="2"/>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row>
    <row r="243" spans="1:26">
      <c r="A243" s="2"/>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row>
    <row r="244" spans="1:26">
      <c r="A244" s="2"/>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row>
    <row r="245" spans="1:26">
      <c r="A245" s="2"/>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row>
    <row r="246" spans="1:26">
      <c r="A246" s="2"/>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row>
    <row r="247" spans="1:26">
      <c r="A247" s="2"/>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row>
    <row r="248" spans="1:26">
      <c r="A248" s="2"/>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row>
    <row r="249" spans="1:26">
      <c r="A249" s="2"/>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row>
    <row r="250" spans="1:26">
      <c r="A250" s="2"/>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row>
    <row r="251" spans="1:26">
      <c r="A251" s="2"/>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row>
    <row r="252" spans="1:26">
      <c r="A252" s="2"/>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row>
    <row r="253" spans="1:26">
      <c r="A253" s="2"/>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row>
    <row r="254" spans="1:26">
      <c r="A254" s="2"/>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row>
    <row r="255" spans="1:26">
      <c r="A255" s="2"/>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row>
    <row r="256" spans="1:26">
      <c r="A256" s="2"/>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row>
    <row r="257" spans="1:26">
      <c r="A257" s="2"/>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row>
    <row r="258" spans="1:26">
      <c r="A258" s="2"/>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row>
    <row r="259" spans="1:26">
      <c r="A259" s="2"/>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row>
    <row r="260" spans="1:26">
      <c r="A260" s="2"/>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row>
    <row r="261" spans="1:26">
      <c r="A261" s="2"/>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row>
    <row r="262" spans="1:26">
      <c r="A262" s="2"/>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row>
    <row r="263" spans="1:26">
      <c r="A263" s="2"/>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row>
    <row r="264" spans="1:26">
      <c r="A264" s="2"/>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row>
    <row r="265" spans="1:26">
      <c r="A265" s="2"/>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row>
    <row r="266" spans="1:26">
      <c r="A266" s="2"/>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row>
    <row r="267" spans="1:26">
      <c r="A267" s="2"/>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row>
    <row r="268" spans="1:26">
      <c r="A268" s="2"/>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row>
    <row r="269" spans="1:26">
      <c r="A269" s="2"/>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row>
    <row r="270" spans="1:26">
      <c r="A270" s="2"/>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row>
    <row r="271" spans="1:26">
      <c r="A271" s="2"/>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row>
    <row r="272" spans="1:26">
      <c r="A272" s="2"/>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row>
    <row r="273" spans="1:26">
      <c r="A273" s="2"/>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row>
    <row r="274" spans="1:26">
      <c r="A274" s="2"/>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row>
    <row r="275" spans="1:26">
      <c r="A275" s="2"/>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row>
    <row r="276" spans="1:26">
      <c r="A276" s="2"/>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row>
    <row r="277" spans="1:26">
      <c r="A277" s="2"/>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row>
    <row r="278" spans="1:26">
      <c r="A278" s="2"/>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row>
    <row r="279" spans="1:26">
      <c r="A279" s="2"/>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row>
    <row r="280" spans="1:26">
      <c r="A280" s="2"/>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row>
    <row r="281" spans="1:26">
      <c r="A281" s="2"/>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row>
    <row r="282" spans="1:26">
      <c r="A282" s="2"/>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row>
    <row r="283" spans="1:26">
      <c r="A283" s="2"/>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row>
    <row r="284" spans="1:26">
      <c r="A284" s="2"/>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row>
    <row r="285" spans="1:26">
      <c r="A285" s="2"/>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row>
    <row r="286" spans="1:26">
      <c r="A286" s="2"/>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row>
    <row r="287" spans="1:26">
      <c r="A287" s="2"/>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row>
    <row r="288" spans="1:26">
      <c r="A288" s="2"/>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row>
    <row r="289" spans="1:26">
      <c r="A289" s="2"/>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row>
    <row r="290" spans="1:26">
      <c r="A290" s="2"/>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row>
    <row r="291" spans="1:26">
      <c r="A291" s="2"/>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row>
    <row r="292" spans="1:26">
      <c r="A292" s="2"/>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row>
    <row r="293" spans="1:26">
      <c r="A293" s="2"/>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row>
    <row r="294" spans="1:26">
      <c r="A294" s="2"/>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row>
    <row r="295" spans="1:26">
      <c r="A295" s="2"/>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row>
    <row r="296" spans="1:26">
      <c r="A296" s="2"/>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spans="1:26">
      <c r="A297" s="2"/>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spans="1:26">
      <c r="A298" s="2"/>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spans="1:26">
      <c r="A299" s="2"/>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spans="1:26">
      <c r="A300" s="2"/>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spans="1:26">
      <c r="A301" s="2"/>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spans="1:26">
      <c r="A302" s="2"/>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spans="1:26">
      <c r="A303" s="2"/>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spans="1:26">
      <c r="A304" s="2"/>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spans="1:26">
      <c r="A305" s="2"/>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spans="1:26">
      <c r="A306" s="2"/>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spans="1:26">
      <c r="A307" s="2"/>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spans="1:26">
      <c r="A308" s="2"/>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spans="1:26">
      <c r="A309" s="2"/>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spans="1:26">
      <c r="A310" s="2"/>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spans="1:26">
      <c r="A311" s="2"/>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spans="1:26">
      <c r="A312" s="2"/>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spans="1:26">
      <c r="A313" s="2"/>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spans="1:26">
      <c r="A314" s="2"/>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spans="1:26">
      <c r="A315" s="2"/>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spans="1:26">
      <c r="A316" s="2"/>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spans="1:26">
      <c r="A317" s="2"/>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spans="1:26">
      <c r="A318" s="2"/>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spans="1:26">
      <c r="A319" s="2"/>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spans="1:26">
      <c r="A320" s="2"/>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spans="1:26">
      <c r="A321" s="2"/>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spans="1:26">
      <c r="A322" s="2"/>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spans="1:26">
      <c r="A323" s="2"/>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spans="1:26">
      <c r="A324" s="2"/>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spans="1:26">
      <c r="A325" s="2"/>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spans="1:26">
      <c r="A326" s="2"/>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spans="1:26">
      <c r="A327" s="2"/>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spans="1:26">
      <c r="A328" s="2"/>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spans="1:26">
      <c r="A329" s="2"/>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spans="1:26">
      <c r="A330" s="2"/>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spans="1:26">
      <c r="A331" s="2"/>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spans="1:26">
      <c r="A332" s="2"/>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spans="1:26">
      <c r="A333" s="2"/>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spans="1:26">
      <c r="A334" s="2"/>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spans="1:26">
      <c r="A335" s="2"/>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spans="1:26">
      <c r="A336" s="2"/>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spans="1:26">
      <c r="A337" s="2"/>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spans="1:26">
      <c r="A338" s="2"/>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spans="1:26">
      <c r="A339" s="2"/>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spans="1:26">
      <c r="A340" s="2"/>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spans="1:26">
      <c r="A341" s="2"/>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spans="1:26">
      <c r="A342" s="2"/>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spans="1:26">
      <c r="A343" s="2"/>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spans="1:26">
      <c r="A344" s="2"/>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spans="1:26">
      <c r="A345" s="2"/>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spans="1:26">
      <c r="A346" s="2"/>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spans="1:26">
      <c r="A347" s="2"/>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spans="1:26">
      <c r="A348" s="2"/>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spans="1:26">
      <c r="A349" s="2"/>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spans="1:26">
      <c r="A350" s="2"/>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spans="1:26">
      <c r="A351" s="2"/>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spans="1:26">
      <c r="A352" s="2"/>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spans="1:26">
      <c r="A353" s="2"/>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spans="1:26">
      <c r="A354" s="2"/>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spans="1:26">
      <c r="A355" s="2"/>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spans="1:26">
      <c r="A356" s="2"/>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spans="1:26">
      <c r="A357" s="2"/>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spans="1:26">
      <c r="A358" s="2"/>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spans="1:26">
      <c r="A359" s="2"/>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spans="1:26">
      <c r="A360" s="2"/>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spans="1:26">
      <c r="A361" s="2"/>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spans="1:26">
      <c r="A362" s="2"/>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spans="1:26">
      <c r="A363" s="2"/>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spans="1:26">
      <c r="A364" s="2"/>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spans="1:26">
      <c r="A365" s="2"/>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spans="1:26">
      <c r="A366" s="2"/>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spans="1:26">
      <c r="A367" s="2"/>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spans="1:26">
      <c r="A368" s="2"/>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spans="1:26">
      <c r="A369" s="2"/>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row>
    <row r="370" spans="1:26">
      <c r="A370" s="2"/>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spans="1:26">
      <c r="A371" s="2"/>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spans="1:26">
      <c r="A372" s="2"/>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spans="1:26">
      <c r="A373" s="2"/>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spans="1:26">
      <c r="A374" s="2"/>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spans="1:26">
      <c r="A375" s="2"/>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spans="1:26">
      <c r="A376" s="2"/>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spans="1:26">
      <c r="A377" s="2"/>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spans="1:26">
      <c r="A378" s="2"/>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spans="1:26">
      <c r="A379" s="2"/>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spans="1:26">
      <c r="A380" s="2"/>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spans="1:26">
      <c r="A381" s="2"/>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spans="1:26">
      <c r="A382" s="2"/>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spans="1:26">
      <c r="A383" s="2"/>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spans="1:26">
      <c r="A384" s="2"/>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spans="1:26">
      <c r="A385" s="2"/>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spans="1:26">
      <c r="A386" s="2"/>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spans="1:26">
      <c r="A387" s="2"/>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spans="1:26">
      <c r="A388" s="2"/>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spans="1:26">
      <c r="A389" s="2"/>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spans="1:26">
      <c r="A390" s="2"/>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spans="1:26">
      <c r="A391" s="2"/>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spans="1:26">
      <c r="A392" s="2"/>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spans="1:26">
      <c r="A393" s="2"/>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spans="1:26">
      <c r="A394" s="2"/>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spans="1:26">
      <c r="A395" s="2"/>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spans="1:26">
      <c r="A396" s="2"/>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spans="1:26">
      <c r="A397" s="2"/>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spans="1:26">
      <c r="A398" s="2"/>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spans="1:26">
      <c r="A399" s="2"/>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spans="1:26">
      <c r="A400" s="2"/>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spans="1:26">
      <c r="A401" s="2"/>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spans="1:26">
      <c r="A402" s="2"/>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spans="1:26">
      <c r="A403" s="2"/>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spans="1:26">
      <c r="A404" s="2"/>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spans="1:26">
      <c r="A405" s="2"/>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spans="1:26">
      <c r="A406" s="2"/>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spans="1:26">
      <c r="A407" s="2"/>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spans="1:26">
      <c r="A408" s="2"/>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spans="1:26">
      <c r="A409" s="2"/>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spans="1:26">
      <c r="A410" s="2"/>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spans="1:26">
      <c r="A411" s="2"/>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spans="1:26">
      <c r="A412" s="2"/>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spans="1:26">
      <c r="A413" s="2"/>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spans="1:26">
      <c r="A414" s="2"/>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spans="1:26">
      <c r="A415" s="2"/>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spans="1:26">
      <c r="A416" s="2"/>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spans="1:26">
      <c r="A417" s="2"/>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spans="1:26">
      <c r="A418" s="2"/>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spans="1:26">
      <c r="A419" s="2"/>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spans="1:26">
      <c r="A420" s="2"/>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spans="1:26">
      <c r="A421" s="2"/>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spans="1:26">
      <c r="A422" s="2"/>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spans="1:26">
      <c r="A423" s="2"/>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spans="1:26">
      <c r="A424" s="2"/>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spans="1:26">
      <c r="A425" s="2"/>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spans="1:26">
      <c r="A426" s="2"/>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spans="1:26">
      <c r="A427" s="2"/>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spans="1:26">
      <c r="A428" s="2"/>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spans="1:26">
      <c r="A429" s="2"/>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spans="1:26">
      <c r="A430" s="2"/>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spans="1:26">
      <c r="A431" s="2"/>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spans="1:26">
      <c r="A432" s="2"/>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spans="1:26">
      <c r="A433" s="2"/>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spans="1:26">
      <c r="A434" s="2"/>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spans="1:26">
      <c r="A435" s="2"/>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spans="1:26">
      <c r="A436" s="2"/>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spans="1:26">
      <c r="A437" s="2"/>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spans="1:26">
      <c r="A438" s="2"/>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spans="1:26">
      <c r="A439" s="2"/>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spans="1:26">
      <c r="A440" s="2"/>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spans="1:26">
      <c r="A441" s="2"/>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spans="1:26">
      <c r="A442" s="2"/>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spans="1:26">
      <c r="A443" s="2"/>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spans="1:26">
      <c r="A444" s="2"/>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spans="1:26">
      <c r="A445" s="2"/>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spans="1:26">
      <c r="A446" s="2"/>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spans="1:26">
      <c r="A447" s="2"/>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spans="1:26">
      <c r="A448" s="2"/>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spans="1:26">
      <c r="A449" s="2"/>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spans="1:26">
      <c r="A450" s="2"/>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spans="1:26">
      <c r="A451" s="2"/>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spans="1:26">
      <c r="A452" s="2"/>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spans="1:26">
      <c r="A453" s="2"/>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spans="1:26">
      <c r="A454" s="2"/>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spans="1:26">
      <c r="A455" s="2"/>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spans="1:26">
      <c r="A456" s="2"/>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spans="1:26">
      <c r="A457" s="2"/>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spans="1:26">
      <c r="A458" s="2"/>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spans="1:26">
      <c r="A459" s="2"/>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spans="1:26">
      <c r="A460" s="2"/>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spans="1:26">
      <c r="A461" s="2"/>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spans="1:26">
      <c r="A462" s="2"/>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spans="1:26">
      <c r="A463" s="2"/>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spans="1:26">
      <c r="A464" s="2"/>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spans="1:26">
      <c r="A465" s="2"/>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spans="1:26">
      <c r="A466" s="2"/>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spans="1:26">
      <c r="A467" s="2"/>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spans="1:26">
      <c r="A468" s="2"/>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spans="1:26">
      <c r="A469" s="2"/>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spans="1:26">
      <c r="A470" s="2"/>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spans="1:26">
      <c r="A471" s="2"/>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spans="1:26">
      <c r="A472" s="2"/>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spans="1:26">
      <c r="A473" s="2"/>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spans="1:26">
      <c r="A474" s="2"/>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spans="1:26">
      <c r="A475" s="2"/>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spans="1:26">
      <c r="A476" s="2"/>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spans="1:26">
      <c r="A477" s="2"/>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spans="1:26">
      <c r="A478" s="2"/>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spans="1:26">
      <c r="A479" s="2"/>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spans="1:26">
      <c r="A480" s="2"/>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spans="1:26">
      <c r="A481" s="2"/>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spans="1:26">
      <c r="A482" s="2"/>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spans="1:26">
      <c r="A483" s="2"/>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spans="1:26">
      <c r="A484" s="2"/>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spans="1:26">
      <c r="A485" s="2"/>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spans="1:26">
      <c r="A486" s="2"/>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spans="1:26">
      <c r="A487" s="2"/>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spans="1:26">
      <c r="A488" s="2"/>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spans="1:26">
      <c r="A489" s="2"/>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spans="1:26">
      <c r="A490" s="2"/>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spans="1:26">
      <c r="A491" s="2"/>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spans="1:26">
      <c r="A492" s="2"/>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spans="1:26">
      <c r="A493" s="2"/>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spans="1:26">
      <c r="A494" s="2"/>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spans="1:26">
      <c r="A495" s="2"/>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spans="1:26">
      <c r="A496" s="2"/>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spans="1:26">
      <c r="A497" s="2"/>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spans="1:26">
      <c r="A498" s="2"/>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spans="1:26">
      <c r="A499" s="2"/>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spans="1:26">
      <c r="A500" s="2"/>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spans="1:26">
      <c r="A501" s="2"/>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spans="1:26">
      <c r="A502" s="2"/>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spans="1:26">
      <c r="A503" s="2"/>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spans="1:26">
      <c r="A504" s="2"/>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spans="1:26">
      <c r="A505" s="2"/>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spans="1:26">
      <c r="A506" s="2"/>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spans="1:26">
      <c r="A507" s="2"/>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spans="1:26">
      <c r="A508" s="2"/>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spans="1:26">
      <c r="A509" s="2"/>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spans="1:26">
      <c r="A510" s="2"/>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spans="1:26">
      <c r="A511" s="2"/>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spans="1:26">
      <c r="A512" s="2"/>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spans="1:26">
      <c r="A513" s="2"/>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spans="1:26">
      <c r="A514" s="2"/>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spans="1:26">
      <c r="A515" s="2"/>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spans="1:26">
      <c r="A516" s="2"/>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spans="1:26">
      <c r="A517" s="2"/>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spans="1:26">
      <c r="A518" s="2"/>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spans="1:26">
      <c r="A519" s="2"/>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spans="1:26">
      <c r="A520" s="2"/>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spans="1:26">
      <c r="A521" s="2"/>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spans="1:26">
      <c r="A522" s="2"/>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spans="1:26">
      <c r="A523" s="2"/>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spans="1:26">
      <c r="A524" s="2"/>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spans="1:26">
      <c r="A525" s="2"/>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spans="1:26">
      <c r="A526" s="2"/>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spans="1:26">
      <c r="A527" s="2"/>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spans="1:26">
      <c r="A528" s="2"/>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spans="1:26">
      <c r="A529" s="2"/>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spans="1:26">
      <c r="A530" s="2"/>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spans="1:26">
      <c r="A531" s="2"/>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spans="1:26">
      <c r="A532" s="2"/>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spans="1:26">
      <c r="A533" s="2"/>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spans="1:26">
      <c r="A534" s="2"/>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spans="1:26">
      <c r="A535" s="2"/>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spans="1:26">
      <c r="A536" s="2"/>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spans="1:26">
      <c r="A537" s="2"/>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spans="1:26">
      <c r="A538" s="2"/>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spans="1:26">
      <c r="A539" s="2"/>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spans="1:26">
      <c r="A540" s="2"/>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spans="1:26">
      <c r="A541" s="2"/>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spans="1:26">
      <c r="A542" s="2"/>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spans="1:26">
      <c r="A543" s="2"/>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spans="1:26">
      <c r="A544" s="2"/>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spans="1:26">
      <c r="A545" s="2"/>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spans="1:26">
      <c r="A546" s="2"/>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spans="1:26">
      <c r="A547" s="2"/>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spans="1:26">
      <c r="A548" s="2"/>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spans="1:26">
      <c r="A549" s="2"/>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spans="1:26">
      <c r="A550" s="2"/>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spans="1:26">
      <c r="A551" s="2"/>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spans="1:26">
      <c r="A552" s="2"/>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spans="1:26">
      <c r="A553" s="2"/>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spans="1:26">
      <c r="A554" s="2"/>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spans="1:26">
      <c r="A555" s="2"/>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spans="1:26">
      <c r="A556" s="2"/>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spans="1:26">
      <c r="A557" s="2"/>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spans="1:26">
      <c r="A558" s="2"/>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spans="1:26">
      <c r="A559" s="2"/>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spans="1:26">
      <c r="A560" s="2"/>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spans="1:26">
      <c r="A561" s="2"/>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spans="1:26">
      <c r="A562" s="2"/>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spans="1:26">
      <c r="A563" s="2"/>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spans="1:26">
      <c r="A564" s="2"/>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spans="1:26">
      <c r="A565" s="2"/>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spans="1:26">
      <c r="A566" s="2"/>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spans="1:26">
      <c r="A567" s="2"/>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spans="1:26">
      <c r="A568" s="2"/>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spans="1:26">
      <c r="A569" s="2"/>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spans="1:26">
      <c r="A570" s="2"/>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spans="1:26">
      <c r="A571" s="2"/>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spans="1:26">
      <c r="A572" s="2"/>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spans="1:26">
      <c r="A573" s="2"/>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spans="1:26">
      <c r="A574" s="2"/>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spans="1:26">
      <c r="A575" s="2"/>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spans="1:26">
      <c r="A576" s="2"/>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spans="1:26">
      <c r="A577" s="2"/>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spans="1:26">
      <c r="A578" s="2"/>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spans="1:26">
      <c r="A579" s="2"/>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spans="1:26">
      <c r="A580" s="2"/>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spans="1:26">
      <c r="A581" s="2"/>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spans="1:26">
      <c r="A582" s="2"/>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spans="1:26">
      <c r="A583" s="2"/>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spans="1:26">
      <c r="A584" s="2"/>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spans="1:26">
      <c r="A585" s="2"/>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spans="1:26">
      <c r="A586" s="2"/>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spans="1:26">
      <c r="A587" s="2"/>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spans="1:26">
      <c r="A588" s="2"/>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spans="1:26">
      <c r="A589" s="2"/>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spans="1:26">
      <c r="A590" s="2"/>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spans="1:26">
      <c r="A591" s="2"/>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spans="1:26">
      <c r="A592" s="2"/>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spans="1:26">
      <c r="A593" s="2"/>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spans="1:26">
      <c r="A594" s="2"/>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spans="1:26">
      <c r="A595" s="2"/>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spans="1:26">
      <c r="A596" s="2"/>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spans="1:26">
      <c r="A597" s="2"/>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spans="1:26">
      <c r="A598" s="2"/>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spans="1:26">
      <c r="A599" s="2"/>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spans="1:26">
      <c r="A600" s="2"/>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spans="1:26">
      <c r="A601" s="2"/>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spans="1:26">
      <c r="A602" s="2"/>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spans="1:26">
      <c r="A603" s="2"/>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spans="1:26">
      <c r="A604" s="2"/>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spans="1:26">
      <c r="A605" s="2"/>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spans="1:26">
      <c r="A606" s="2"/>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spans="1:26">
      <c r="A607" s="2"/>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spans="1:26">
      <c r="A608" s="2"/>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spans="1:26">
      <c r="A609" s="2"/>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spans="1:26">
      <c r="A610" s="2"/>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spans="1:26">
      <c r="A611" s="2"/>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spans="1:26">
      <c r="A612" s="2"/>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spans="1:26">
      <c r="A613" s="2"/>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spans="1:26">
      <c r="A614" s="2"/>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spans="1:26">
      <c r="A615" s="2"/>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spans="1:26">
      <c r="A616" s="2"/>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spans="1:26">
      <c r="A617" s="2"/>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spans="1:26">
      <c r="A618" s="2"/>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spans="1:26">
      <c r="A619" s="2"/>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spans="1:26">
      <c r="A620" s="2"/>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spans="1:26">
      <c r="A621" s="2"/>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spans="1:26">
      <c r="A622" s="2"/>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spans="1:26">
      <c r="A623" s="2"/>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spans="1:26">
      <c r="A624" s="2"/>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spans="1:26">
      <c r="A625" s="2"/>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spans="1:26">
      <c r="A626" s="2"/>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spans="1:26">
      <c r="A627" s="2"/>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spans="1:26">
      <c r="A628" s="2"/>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spans="1:26">
      <c r="A629" s="2"/>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spans="1:26">
      <c r="A630" s="2"/>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spans="1:26">
      <c r="A631" s="2"/>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spans="1:26">
      <c r="A632" s="2"/>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spans="1:26">
      <c r="A633" s="2"/>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spans="1:26">
      <c r="A634" s="2"/>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spans="1:26">
      <c r="A635" s="2"/>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spans="1:26">
      <c r="A636" s="2"/>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spans="1:26">
      <c r="A637" s="2"/>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spans="1:26">
      <c r="A638" s="2"/>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spans="1:26">
      <c r="A639" s="2"/>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spans="1:26">
      <c r="A640" s="2"/>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spans="1:26">
      <c r="A641" s="2"/>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spans="1:26">
      <c r="A642" s="2"/>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spans="1:26">
      <c r="A643" s="2"/>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spans="1:26">
      <c r="A644" s="2"/>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spans="1:26">
      <c r="A645" s="2"/>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spans="1:26">
      <c r="A646" s="2"/>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spans="1:26">
      <c r="A647" s="2"/>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spans="1:26">
      <c r="A648" s="2"/>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spans="1:26">
      <c r="A649" s="2"/>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spans="1:26">
      <c r="A650" s="2"/>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spans="1:26">
      <c r="A651" s="2"/>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spans="1:26">
      <c r="A652" s="2"/>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spans="1:26">
      <c r="A653" s="2"/>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spans="1:26">
      <c r="A654" s="2"/>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spans="1:26">
      <c r="A655" s="2"/>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spans="1:26">
      <c r="A656" s="2"/>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spans="1:26">
      <c r="A657" s="2"/>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spans="1:26">
      <c r="A658" s="2"/>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spans="1:26">
      <c r="A659" s="2"/>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spans="1:26">
      <c r="A660" s="2"/>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spans="1:26">
      <c r="A661" s="2"/>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spans="1:26">
      <c r="A662" s="2"/>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spans="1:26">
      <c r="A663" s="2"/>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spans="1:26">
      <c r="A664" s="2"/>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spans="1:26">
      <c r="A665" s="2"/>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spans="1:26">
      <c r="A666" s="2"/>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spans="1:26">
      <c r="A667" s="2"/>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spans="1:26">
      <c r="A668" s="2"/>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spans="1:26">
      <c r="A669" s="2"/>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spans="1:26">
      <c r="A670" s="2"/>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spans="1:26">
      <c r="A671" s="2"/>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spans="1:26">
      <c r="A672" s="2"/>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spans="1:26">
      <c r="A673" s="2"/>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spans="1:26">
      <c r="A674" s="2"/>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spans="1:26">
      <c r="A675" s="2"/>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spans="1:26">
      <c r="A676" s="2"/>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spans="1:26">
      <c r="A677" s="2"/>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spans="1:26">
      <c r="A678" s="2"/>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spans="1:26">
      <c r="A679" s="2"/>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spans="1:26">
      <c r="A680" s="2"/>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spans="1:26">
      <c r="A681" s="2"/>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spans="1:26">
      <c r="A682" s="2"/>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spans="1:26">
      <c r="A683" s="2"/>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spans="1:26">
      <c r="A684" s="2"/>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spans="1:26">
      <c r="A685" s="2"/>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spans="1:26">
      <c r="A686" s="2"/>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spans="1:26">
      <c r="A687" s="2"/>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spans="1:26">
      <c r="A688" s="2"/>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spans="1:26">
      <c r="A689" s="2"/>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spans="1:26">
      <c r="A690" s="2"/>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spans="1:26">
      <c r="A691" s="2"/>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spans="1:26">
      <c r="A692" s="2"/>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spans="1:26">
      <c r="A693" s="2"/>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spans="1:26">
      <c r="A694" s="2"/>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spans="1:26">
      <c r="A695" s="2"/>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spans="1:26">
      <c r="A696" s="2"/>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spans="1:26">
      <c r="A697" s="2"/>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spans="1:26">
      <c r="A698" s="2"/>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spans="1:26">
      <c r="A699" s="2"/>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spans="1:26">
      <c r="A700" s="2"/>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spans="1:26">
      <c r="A701" s="2"/>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spans="1:26">
      <c r="A702" s="2"/>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spans="1:26">
      <c r="A703" s="2"/>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spans="1:26">
      <c r="A704" s="2"/>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spans="1:26">
      <c r="A705" s="2"/>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spans="1:26">
      <c r="A706" s="2"/>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spans="1:26">
      <c r="A707" s="2"/>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spans="1:26">
      <c r="A708" s="2"/>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spans="1:26">
      <c r="A709" s="2"/>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spans="1:26">
      <c r="A710" s="2"/>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spans="1:26">
      <c r="A711" s="2"/>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spans="1:26">
      <c r="A712" s="2"/>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spans="1:26">
      <c r="A713" s="2"/>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spans="1:26">
      <c r="A714" s="2"/>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spans="1:26">
      <c r="A715" s="2"/>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spans="1:26">
      <c r="A716" s="2"/>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spans="1:26">
      <c r="A717" s="2"/>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spans="1:26">
      <c r="A718" s="2"/>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spans="1:26">
      <c r="A719" s="2"/>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spans="1:26">
      <c r="A720" s="2"/>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spans="1:26">
      <c r="A721" s="2"/>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spans="1:26">
      <c r="A722" s="2"/>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spans="1:26">
      <c r="A723" s="2"/>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spans="1:26">
      <c r="A724" s="2"/>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spans="1:26">
      <c r="A725" s="2"/>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spans="1:26">
      <c r="A726" s="2"/>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spans="1:26">
      <c r="A727" s="2"/>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spans="1:26">
      <c r="A728" s="2"/>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spans="1:26">
      <c r="A729" s="2"/>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spans="1:26">
      <c r="A730" s="2"/>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spans="1:26">
      <c r="A731" s="2"/>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spans="1:26">
      <c r="A732" s="2"/>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spans="1:26">
      <c r="A733" s="2"/>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spans="1:26">
      <c r="A734" s="2"/>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spans="1:26">
      <c r="A735" s="2"/>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spans="1:26">
      <c r="A736" s="2"/>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spans="1:26">
      <c r="A737" s="2"/>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spans="1:26">
      <c r="A738" s="2"/>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spans="1:26">
      <c r="A739" s="2"/>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spans="1:26">
      <c r="A740" s="2"/>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spans="1:26">
      <c r="A741" s="2"/>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spans="1:26">
      <c r="A742" s="2"/>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spans="1:26">
      <c r="A743" s="2"/>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spans="1:26">
      <c r="A744" s="2"/>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spans="1:26">
      <c r="A745" s="2"/>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spans="1:26">
      <c r="A746" s="2"/>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spans="1:26">
      <c r="A747" s="2"/>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spans="1:26">
      <c r="A748" s="2"/>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spans="1:26">
      <c r="A749" s="2"/>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spans="1:26">
      <c r="A750" s="2"/>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spans="1:26">
      <c r="A751" s="2"/>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spans="1:26">
      <c r="A752" s="2"/>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spans="1:26">
      <c r="A753" s="2"/>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spans="1:26">
      <c r="A754" s="2"/>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spans="1:26">
      <c r="A755" s="2"/>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spans="1:26">
      <c r="A756" s="2"/>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spans="1:26">
      <c r="A757" s="2"/>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spans="1:26">
      <c r="A758" s="2"/>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spans="1:26">
      <c r="A759" s="2"/>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spans="1:26">
      <c r="A760" s="2"/>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spans="1:26">
      <c r="A761" s="2"/>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spans="1:26">
      <c r="A762" s="2"/>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spans="1:26">
      <c r="A763" s="2"/>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spans="1:26">
      <c r="A764" s="2"/>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spans="1:26">
      <c r="A765" s="2"/>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spans="1:26">
      <c r="A766" s="2"/>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spans="1:26">
      <c r="A767" s="2"/>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spans="1:26">
      <c r="A768" s="2"/>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spans="1:26">
      <c r="A769" s="2"/>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spans="1:26">
      <c r="A770" s="2"/>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spans="1:26">
      <c r="A771" s="2"/>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spans="1:26">
      <c r="A772" s="2"/>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spans="1:26">
      <c r="A773" s="2"/>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spans="1:26">
      <c r="A774" s="2"/>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spans="1:26">
      <c r="A775" s="2"/>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spans="1:26">
      <c r="A776" s="2"/>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spans="1:26">
      <c r="A777" s="2"/>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spans="1:26">
      <c r="A778" s="2"/>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spans="1:26">
      <c r="A779" s="2"/>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spans="1:26">
      <c r="A780" s="2"/>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spans="1:26">
      <c r="A781" s="2"/>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spans="1:26">
      <c r="A782" s="2"/>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spans="1:26">
      <c r="A783" s="2"/>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spans="1:26">
      <c r="A784" s="2"/>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spans="1:26">
      <c r="A785" s="2"/>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spans="1:26">
      <c r="A786" s="2"/>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spans="1:26">
      <c r="A787" s="2"/>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spans="1:26">
      <c r="A788" s="2"/>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spans="1:26">
      <c r="A789" s="2"/>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spans="1:26">
      <c r="A790" s="2"/>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spans="1:26">
      <c r="A791" s="2"/>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spans="1:26">
      <c r="A792" s="2"/>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spans="1:26">
      <c r="A793" s="2"/>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spans="1:26">
      <c r="A794" s="2"/>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spans="1:26">
      <c r="A795" s="2"/>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spans="1:26">
      <c r="A796" s="2"/>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spans="1:26">
      <c r="A797" s="2"/>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spans="1:26">
      <c r="A798" s="2"/>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spans="1:26">
      <c r="A799" s="2"/>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spans="1:26">
      <c r="A800" s="2"/>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spans="1:26">
      <c r="A801" s="2"/>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spans="1:26">
      <c r="A802" s="2"/>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spans="1:26">
      <c r="A803" s="2"/>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spans="1:26">
      <c r="A804" s="2"/>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spans="1:26">
      <c r="A805" s="2"/>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spans="1:26">
      <c r="A806" s="2"/>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spans="1:26">
      <c r="A807" s="2"/>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spans="1:26">
      <c r="A808" s="2"/>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spans="1:26">
      <c r="A809" s="2"/>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spans="1:26">
      <c r="A810" s="2"/>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spans="1:26">
      <c r="A811" s="2"/>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spans="1:26">
      <c r="A812" s="2"/>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spans="1:26">
      <c r="A813" s="2"/>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spans="1:26">
      <c r="A814" s="2"/>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spans="1:26">
      <c r="A815" s="2"/>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spans="1:26">
      <c r="A816" s="2"/>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spans="1:26">
      <c r="A817" s="2"/>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spans="1:26">
      <c r="A818" s="2"/>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spans="1:26">
      <c r="A819" s="2"/>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spans="1:26">
      <c r="A820" s="2"/>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spans="1:26">
      <c r="A821" s="2"/>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spans="1:26">
      <c r="A822" s="2"/>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spans="1:26">
      <c r="A823" s="2"/>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spans="1:26">
      <c r="A824" s="2"/>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spans="1:26">
      <c r="A825" s="2"/>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spans="1:26">
      <c r="A826" s="2"/>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spans="1:26">
      <c r="A827" s="2"/>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spans="1:26">
      <c r="A828" s="2"/>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spans="1:26">
      <c r="A829" s="2"/>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spans="1:26">
      <c r="A830" s="2"/>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spans="1:26">
      <c r="A831" s="2"/>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spans="1:26">
      <c r="A832" s="2"/>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spans="1:26">
      <c r="A833" s="2"/>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spans="1:26">
      <c r="A834" s="2"/>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spans="1:26">
      <c r="A835" s="2"/>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spans="1:26">
      <c r="A836" s="2"/>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spans="1:26">
      <c r="A837" s="2"/>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spans="1:26">
      <c r="A838" s="2"/>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spans="1:26">
      <c r="A839" s="2"/>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spans="1:26">
      <c r="A840" s="2"/>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spans="1:26">
      <c r="A841" s="2"/>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spans="1:26">
      <c r="A842" s="2"/>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spans="1:26">
      <c r="A843" s="2"/>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spans="1:26">
      <c r="A844" s="2"/>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spans="1:26">
      <c r="A845" s="2"/>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spans="1:26">
      <c r="A846" s="2"/>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spans="1:26">
      <c r="A847" s="2"/>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spans="1:26">
      <c r="A848" s="2"/>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spans="1:26">
      <c r="A849" s="2"/>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spans="1:26">
      <c r="A850" s="2"/>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spans="1:26">
      <c r="A851" s="2"/>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spans="1:26">
      <c r="A852" s="2"/>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spans="1:26">
      <c r="A853" s="2"/>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spans="1:26">
      <c r="A854" s="2"/>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spans="1:26">
      <c r="A855" s="2"/>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spans="1:26">
      <c r="A856" s="2"/>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spans="1:26">
      <c r="A857" s="2"/>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spans="1:26">
      <c r="A858" s="2"/>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spans="1:26">
      <c r="A859" s="2"/>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spans="1:26">
      <c r="A860" s="2"/>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spans="1:26">
      <c r="A861" s="2"/>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spans="1:26">
      <c r="A862" s="2"/>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spans="1:26">
      <c r="A863" s="2"/>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spans="1:26">
      <c r="A864" s="2"/>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spans="1:26">
      <c r="A865" s="2"/>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spans="1:26">
      <c r="A866" s="2"/>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spans="1:26">
      <c r="A867" s="2"/>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spans="1:26">
      <c r="A868" s="2"/>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spans="1:26">
      <c r="A869" s="2"/>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spans="1:26">
      <c r="A870" s="2"/>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spans="1:26">
      <c r="A871" s="2"/>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spans="1:26">
      <c r="A872" s="2"/>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spans="1:26">
      <c r="A873" s="2"/>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spans="1:26">
      <c r="A874" s="2"/>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spans="1:26">
      <c r="A875" s="2"/>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spans="1:26">
      <c r="A876" s="2"/>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spans="1:26">
      <c r="A877" s="2"/>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spans="1:26">
      <c r="A878" s="2"/>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spans="1:26">
      <c r="A879" s="2"/>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spans="1:26">
      <c r="A880" s="2"/>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spans="1:26">
      <c r="A881" s="2"/>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spans="1:26">
      <c r="A882" s="2"/>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spans="1:26">
      <c r="A883" s="2"/>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spans="1:26">
      <c r="A884" s="2"/>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spans="1:26">
      <c r="A885" s="2"/>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spans="1:26">
      <c r="A886" s="2"/>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spans="1:26">
      <c r="A887" s="2"/>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spans="1:26">
      <c r="A888" s="2"/>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spans="1:26">
      <c r="A889" s="2"/>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spans="1:26">
      <c r="A890" s="2"/>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spans="1:26">
      <c r="A891" s="2"/>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spans="1:26">
      <c r="A892" s="2"/>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spans="1:26">
      <c r="A893" s="2"/>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spans="1:26">
      <c r="A894" s="2"/>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spans="1:26">
      <c r="A895" s="2"/>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spans="1:26">
      <c r="A896" s="2"/>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spans="1:26">
      <c r="A897" s="2"/>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spans="1:26">
      <c r="A898" s="2"/>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spans="1:26">
      <c r="A899" s="2"/>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spans="1:26">
      <c r="A900" s="2"/>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spans="1:26">
      <c r="A901" s="2"/>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spans="1:26">
      <c r="A902" s="2"/>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spans="1:26">
      <c r="A903" s="2"/>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spans="1:26">
      <c r="A904" s="2"/>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spans="1:26">
      <c r="A905" s="2"/>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spans="1:26">
      <c r="A906" s="2"/>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spans="1:26">
      <c r="A907" s="2"/>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spans="1:26">
      <c r="A908" s="2"/>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spans="1:26">
      <c r="A909" s="2"/>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spans="1:26">
      <c r="A910" s="2"/>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spans="1:26">
      <c r="A911" s="2"/>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spans="1:26">
      <c r="A912" s="2"/>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spans="1:26">
      <c r="A913" s="2"/>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spans="1:26">
      <c r="A914" s="2"/>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spans="1:26">
      <c r="A915" s="2"/>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spans="1:26">
      <c r="A916" s="2"/>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spans="1:26">
      <c r="A917" s="2"/>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spans="1:26">
      <c r="A918" s="2"/>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spans="1:26">
      <c r="A919" s="2"/>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spans="1:26">
      <c r="A920" s="2"/>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spans="1:26">
      <c r="A921" s="2"/>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spans="1:26">
      <c r="A922" s="2"/>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spans="1:26">
      <c r="A923" s="2"/>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spans="1:26">
      <c r="A924" s="2"/>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spans="1:26">
      <c r="A925" s="2"/>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spans="1:26">
      <c r="A926" s="2"/>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spans="1:26">
      <c r="A927" s="2"/>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spans="1:26">
      <c r="A928" s="2"/>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spans="1:26">
      <c r="A929" s="2"/>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spans="1:26">
      <c r="A930" s="2"/>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spans="1:26">
      <c r="A931" s="2"/>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spans="1:26">
      <c r="A932" s="2"/>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spans="1:26">
      <c r="A933" s="2"/>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spans="1:26">
      <c r="A934" s="2"/>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spans="1:26">
      <c r="A935" s="2"/>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spans="1:26">
      <c r="A936" s="2"/>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spans="1:26">
      <c r="A937" s="2"/>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spans="1:26">
      <c r="A938" s="2"/>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spans="1:26">
      <c r="A939" s="2"/>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spans="1:26">
      <c r="A940" s="2"/>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spans="1:26">
      <c r="A941" s="2"/>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spans="1:26">
      <c r="A942" s="2"/>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spans="1:26">
      <c r="A943" s="2"/>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spans="1:26">
      <c r="A944" s="2"/>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spans="1:26">
      <c r="A945" s="2"/>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spans="1:26">
      <c r="A946" s="2"/>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spans="1:26">
      <c r="A947" s="2"/>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spans="1:26">
      <c r="A948" s="2"/>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spans="1:26">
      <c r="A949" s="2"/>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spans="1:26">
      <c r="A950" s="2"/>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spans="1:26">
      <c r="A951" s="2"/>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spans="1:26">
      <c r="A952" s="2"/>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spans="1:26">
      <c r="A953" s="2"/>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spans="1:26">
      <c r="A954" s="2"/>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spans="1:26">
      <c r="A955" s="2"/>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spans="1:26">
      <c r="A956" s="2"/>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spans="1:26">
      <c r="A957" s="2"/>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spans="1:26">
      <c r="A958" s="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spans="1:26">
      <c r="A959" s="2"/>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spans="1:26">
      <c r="A960" s="2"/>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spans="1:26">
      <c r="A961" s="2"/>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spans="1:26">
      <c r="A962" s="2"/>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spans="1:26">
      <c r="A963" s="2"/>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spans="1:26">
      <c r="A964" s="2"/>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spans="1:26">
      <c r="A965" s="2"/>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spans="1:26">
      <c r="A966" s="2"/>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spans="1:26">
      <c r="A967" s="2"/>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spans="1:26">
      <c r="A968" s="2"/>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spans="1:26">
      <c r="A969" s="2"/>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spans="1:26">
      <c r="A970" s="2"/>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spans="1:26">
      <c r="A971" s="2"/>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spans="1:26">
      <c r="A972" s="2"/>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spans="1:26">
      <c r="A973" s="2"/>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spans="1:26">
      <c r="A974" s="2"/>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spans="1:26">
      <c r="A975" s="2"/>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spans="1:26">
      <c r="A976" s="2"/>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spans="1:26">
      <c r="A977" s="2"/>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spans="1:26">
      <c r="A978" s="2"/>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spans="1:26">
      <c r="A979" s="2"/>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spans="1:26">
      <c r="A980" s="2"/>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spans="1:26">
      <c r="A981" s="2"/>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spans="1:26">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spans="1:26">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spans="1:26">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spans="1:26">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spans="1:26">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spans="1:26">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spans="1:26">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spans="1:26">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spans="1:26">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spans="1:26">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spans="1:26">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spans="3:26">
      <c r="C993" s="135"/>
      <c r="D993" s="135"/>
      <c r="E993" s="135"/>
      <c r="F993" s="135"/>
      <c r="M993" s="135"/>
      <c r="N993" s="135"/>
      <c r="O993" s="135"/>
      <c r="P993" s="135"/>
      <c r="Q993" s="135"/>
      <c r="R993" s="135"/>
      <c r="S993" s="135"/>
      <c r="T993" s="135"/>
      <c r="U993" s="135"/>
      <c r="V993" s="135"/>
      <c r="W993" s="135"/>
      <c r="X993" s="135"/>
      <c r="Y993" s="135"/>
      <c r="Z993" s="135"/>
    </row>
    <row r="994" spans="3:26">
      <c r="C994" s="135"/>
      <c r="D994" s="135"/>
      <c r="E994" s="135"/>
      <c r="F994" s="135"/>
      <c r="M994" s="135"/>
      <c r="N994" s="135"/>
      <c r="O994" s="135"/>
      <c r="P994" s="135"/>
      <c r="Q994" s="135"/>
      <c r="R994" s="135"/>
      <c r="S994" s="135"/>
      <c r="T994" s="135"/>
      <c r="U994" s="135"/>
      <c r="V994" s="135"/>
      <c r="W994" s="135"/>
      <c r="X994" s="135"/>
      <c r="Y994" s="135"/>
      <c r="Z994" s="135"/>
    </row>
    <row r="995" spans="3:26" ht="15" customHeight="1">
      <c r="C995" s="135"/>
      <c r="E995" s="135"/>
      <c r="F995" s="135"/>
    </row>
    <row r="996" spans="3:26" ht="15" customHeight="1">
      <c r="E996" s="135"/>
      <c r="F996" s="135"/>
    </row>
    <row r="997" spans="3:26" ht="15" customHeight="1">
      <c r="E997" s="135"/>
      <c r="F997" s="135"/>
    </row>
    <row r="998" spans="3:26" ht="15" customHeight="1">
      <c r="E998" s="135"/>
      <c r="F998" s="135"/>
    </row>
    <row r="999" spans="3:26" ht="15" customHeight="1">
      <c r="E999" s="135"/>
      <c r="F999" s="135"/>
    </row>
    <row r="1000" spans="3:26" ht="15" customHeight="1">
      <c r="E1000" s="135"/>
      <c r="F1000" s="135"/>
    </row>
    <row r="1001" spans="3:26" ht="15" customHeight="1">
      <c r="E1001" s="135"/>
      <c r="F1001" s="135"/>
    </row>
  </sheetData>
  <phoneticPr fontId="17" type="noConversion"/>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E454D-EE78-4C90-ABD6-1F5B81EB35C9}">
  <dimension ref="A1:I25"/>
  <sheetViews>
    <sheetView workbookViewId="0">
      <selection activeCell="C3" sqref="C3"/>
    </sheetView>
  </sheetViews>
  <sheetFormatPr defaultColWidth="9" defaultRowHeight="14.25"/>
  <cols>
    <col min="1" max="1" width="5.125" style="131" bestFit="1" customWidth="1"/>
    <col min="2" max="2" width="5.625" style="131" bestFit="1" customWidth="1"/>
    <col min="3" max="3" width="10.375" style="137" bestFit="1" customWidth="1"/>
    <col min="4" max="4" width="12.75" style="137" bestFit="1" customWidth="1"/>
    <col min="5" max="5" width="2.375" style="137" customWidth="1"/>
    <col min="6" max="6" width="8.25" style="137" bestFit="1" customWidth="1"/>
    <col min="7" max="7" width="5.625" style="137" bestFit="1" customWidth="1"/>
    <col min="8" max="8" width="9.125" style="137" bestFit="1" customWidth="1"/>
    <col min="9" max="9" width="12.75" style="137" bestFit="1" customWidth="1"/>
    <col min="10" max="10" width="9" style="137"/>
    <col min="11" max="11" width="12.75" style="137" customWidth="1"/>
    <col min="12" max="16384" width="9" style="137"/>
  </cols>
  <sheetData>
    <row r="1" spans="1:9" ht="15">
      <c r="A1" s="417" t="s">
        <v>6780</v>
      </c>
      <c r="B1" s="418"/>
      <c r="C1" s="418"/>
      <c r="D1" s="419"/>
      <c r="E1" s="131"/>
      <c r="F1" s="420" t="s">
        <v>6781</v>
      </c>
      <c r="G1" s="418"/>
      <c r="H1" s="418"/>
      <c r="I1" s="419"/>
    </row>
    <row r="2" spans="1:9" ht="15">
      <c r="A2" s="305" t="s">
        <v>6782</v>
      </c>
      <c r="B2" s="306" t="s">
        <v>6783</v>
      </c>
      <c r="C2" s="306" t="s">
        <v>6784</v>
      </c>
      <c r="D2" s="307" t="s">
        <v>6785</v>
      </c>
      <c r="E2" s="131"/>
      <c r="F2" s="305" t="s">
        <v>6782</v>
      </c>
      <c r="G2" s="306" t="s">
        <v>6783</v>
      </c>
      <c r="H2" s="306" t="s">
        <v>6784</v>
      </c>
      <c r="I2" s="307" t="s">
        <v>6785</v>
      </c>
    </row>
    <row r="3" spans="1:9">
      <c r="A3" s="308">
        <v>1</v>
      </c>
      <c r="B3" s="309" t="s">
        <v>6786</v>
      </c>
      <c r="C3" s="309" t="s">
        <v>6787</v>
      </c>
      <c r="D3" s="310" t="s">
        <v>6788</v>
      </c>
      <c r="E3" s="131"/>
      <c r="F3" s="308" t="s">
        <v>6789</v>
      </c>
      <c r="G3" s="309" t="s">
        <v>6790</v>
      </c>
      <c r="H3" s="309" t="s">
        <v>6791</v>
      </c>
      <c r="I3" s="310" t="s">
        <v>6792</v>
      </c>
    </row>
    <row r="4" spans="1:9">
      <c r="A4" s="308">
        <v>2</v>
      </c>
      <c r="B4" s="309" t="s">
        <v>6786</v>
      </c>
      <c r="C4" s="309" t="s">
        <v>6793</v>
      </c>
      <c r="D4" s="310" t="s">
        <v>6794</v>
      </c>
      <c r="E4" s="131"/>
      <c r="F4" s="308" t="s">
        <v>6795</v>
      </c>
      <c r="G4" s="309" t="s">
        <v>6796</v>
      </c>
      <c r="H4" s="309" t="s">
        <v>6797</v>
      </c>
      <c r="I4" s="311" t="s">
        <v>6798</v>
      </c>
    </row>
    <row r="5" spans="1:9">
      <c r="A5" s="308">
        <v>3</v>
      </c>
      <c r="B5" s="309" t="s">
        <v>6799</v>
      </c>
      <c r="C5" s="309" t="s">
        <v>6800</v>
      </c>
      <c r="D5" s="310" t="s">
        <v>6801</v>
      </c>
      <c r="E5" s="131"/>
      <c r="F5" s="308" t="s">
        <v>6802</v>
      </c>
      <c r="G5" s="309" t="s">
        <v>6803</v>
      </c>
      <c r="H5" s="309" t="s">
        <v>6804</v>
      </c>
      <c r="I5" s="311" t="s">
        <v>6805</v>
      </c>
    </row>
    <row r="6" spans="1:9">
      <c r="A6" s="308">
        <v>4</v>
      </c>
      <c r="B6" s="309" t="s">
        <v>6786</v>
      </c>
      <c r="C6" s="309" t="s">
        <v>6806</v>
      </c>
      <c r="D6" s="310" t="s">
        <v>6807</v>
      </c>
      <c r="E6" s="131"/>
      <c r="F6" s="312" t="s">
        <v>6808</v>
      </c>
      <c r="G6" s="313" t="s">
        <v>6803</v>
      </c>
      <c r="H6" s="313" t="s">
        <v>6809</v>
      </c>
      <c r="I6" s="314" t="s">
        <v>6810</v>
      </c>
    </row>
    <row r="7" spans="1:9">
      <c r="A7" s="308">
        <v>5</v>
      </c>
      <c r="B7" s="309" t="s">
        <v>6786</v>
      </c>
      <c r="C7" s="309" t="s">
        <v>6811</v>
      </c>
      <c r="D7" s="311" t="s">
        <v>6812</v>
      </c>
      <c r="E7" s="131"/>
      <c r="F7" s="131"/>
      <c r="G7" s="131"/>
      <c r="H7" s="131"/>
      <c r="I7" s="131"/>
    </row>
    <row r="8" spans="1:9">
      <c r="A8" s="308">
        <v>6</v>
      </c>
      <c r="B8" s="309" t="s">
        <v>6786</v>
      </c>
      <c r="C8" s="309" t="s">
        <v>6813</v>
      </c>
      <c r="D8" s="310" t="s">
        <v>6814</v>
      </c>
      <c r="E8" s="131"/>
      <c r="F8" s="131"/>
      <c r="G8" s="131"/>
      <c r="H8" s="131"/>
      <c r="I8" s="131"/>
    </row>
    <row r="9" spans="1:9">
      <c r="A9" s="308">
        <v>7</v>
      </c>
      <c r="B9" s="309" t="s">
        <v>6786</v>
      </c>
      <c r="C9" s="309" t="s">
        <v>1995</v>
      </c>
      <c r="D9" s="315" t="s">
        <v>6815</v>
      </c>
      <c r="E9" s="131"/>
      <c r="F9" s="131"/>
      <c r="G9" s="131"/>
      <c r="H9" s="131"/>
      <c r="I9" s="131"/>
    </row>
    <row r="10" spans="1:9">
      <c r="A10" s="308">
        <v>8</v>
      </c>
      <c r="B10" s="309" t="s">
        <v>6786</v>
      </c>
      <c r="C10" s="309" t="s">
        <v>6816</v>
      </c>
      <c r="D10" s="310" t="s">
        <v>6817</v>
      </c>
      <c r="E10" s="131"/>
      <c r="F10" s="131"/>
      <c r="G10" s="131"/>
      <c r="H10" s="131"/>
      <c r="I10" s="131"/>
    </row>
    <row r="11" spans="1:9">
      <c r="A11" s="308">
        <v>9</v>
      </c>
      <c r="B11" s="309" t="s">
        <v>6786</v>
      </c>
      <c r="C11" s="309" t="s">
        <v>6818</v>
      </c>
      <c r="D11" s="310" t="s">
        <v>6819</v>
      </c>
      <c r="E11" s="131"/>
      <c r="F11" s="131"/>
      <c r="G11" s="131"/>
      <c r="H11" s="131"/>
      <c r="I11" s="131"/>
    </row>
    <row r="12" spans="1:9">
      <c r="A12" s="308">
        <v>10</v>
      </c>
      <c r="B12" s="309" t="s">
        <v>6820</v>
      </c>
      <c r="C12" s="309" t="s">
        <v>6821</v>
      </c>
      <c r="D12" s="310" t="s">
        <v>6822</v>
      </c>
      <c r="E12" s="131"/>
      <c r="F12" s="131"/>
      <c r="G12" s="131"/>
      <c r="H12" s="131"/>
      <c r="I12" s="131"/>
    </row>
    <row r="13" spans="1:9">
      <c r="A13" s="308">
        <v>11</v>
      </c>
      <c r="B13" s="309" t="s">
        <v>6823</v>
      </c>
      <c r="C13" s="309" t="s">
        <v>6824</v>
      </c>
      <c r="D13" s="311" t="s">
        <v>6825</v>
      </c>
      <c r="E13" s="131"/>
      <c r="F13" s="131"/>
      <c r="G13" s="131"/>
      <c r="H13" s="131"/>
      <c r="I13" s="131"/>
    </row>
    <row r="14" spans="1:9">
      <c r="A14" s="308">
        <v>12</v>
      </c>
      <c r="B14" s="309" t="s">
        <v>6799</v>
      </c>
      <c r="C14" s="309" t="s">
        <v>6826</v>
      </c>
      <c r="D14" s="310" t="s">
        <v>6827</v>
      </c>
      <c r="E14" s="131"/>
      <c r="F14" s="131"/>
      <c r="G14" s="131"/>
      <c r="H14" s="131"/>
      <c r="I14" s="131"/>
    </row>
    <row r="15" spans="1:9">
      <c r="A15" s="308">
        <v>13</v>
      </c>
      <c r="B15" s="309" t="s">
        <v>6828</v>
      </c>
      <c r="C15" s="309" t="s">
        <v>6829</v>
      </c>
      <c r="D15" s="311" t="s">
        <v>6830</v>
      </c>
      <c r="E15" s="131"/>
      <c r="F15" s="131"/>
      <c r="G15" s="131"/>
      <c r="H15" s="131"/>
      <c r="I15" s="131"/>
    </row>
    <row r="16" spans="1:9">
      <c r="A16" s="308">
        <v>14</v>
      </c>
      <c r="B16" s="309" t="s">
        <v>6828</v>
      </c>
      <c r="C16" s="309" t="s">
        <v>6831</v>
      </c>
      <c r="D16" s="310" t="s">
        <v>6832</v>
      </c>
      <c r="E16" s="131"/>
      <c r="F16" s="131"/>
      <c r="G16" s="131"/>
      <c r="H16" s="131"/>
      <c r="I16" s="131"/>
    </row>
    <row r="17" spans="1:9">
      <c r="A17" s="308">
        <v>15</v>
      </c>
      <c r="B17" s="309" t="s">
        <v>6786</v>
      </c>
      <c r="C17" s="309" t="s">
        <v>6833</v>
      </c>
      <c r="D17" s="310" t="s">
        <v>6834</v>
      </c>
      <c r="E17" s="131"/>
      <c r="F17" s="131"/>
      <c r="G17" s="131"/>
      <c r="H17" s="131"/>
      <c r="I17" s="131"/>
    </row>
    <row r="18" spans="1:9">
      <c r="A18" s="308">
        <v>16</v>
      </c>
      <c r="B18" s="309" t="s">
        <v>6835</v>
      </c>
      <c r="C18" s="309" t="s">
        <v>6836</v>
      </c>
      <c r="D18" s="311" t="s">
        <v>6837</v>
      </c>
      <c r="E18" s="131"/>
      <c r="F18" s="131"/>
      <c r="G18" s="131"/>
      <c r="H18" s="131"/>
      <c r="I18" s="131"/>
    </row>
    <row r="19" spans="1:9">
      <c r="A19" s="308">
        <v>17</v>
      </c>
      <c r="B19" s="309" t="s">
        <v>6838</v>
      </c>
      <c r="C19" s="309" t="s">
        <v>6839</v>
      </c>
      <c r="D19" s="311" t="s">
        <v>6840</v>
      </c>
    </row>
    <row r="20" spans="1:9">
      <c r="A20" s="308">
        <v>18</v>
      </c>
      <c r="B20" s="309" t="s">
        <v>6786</v>
      </c>
      <c r="C20" s="309" t="s">
        <v>6841</v>
      </c>
      <c r="D20" s="311" t="s">
        <v>6842</v>
      </c>
    </row>
    <row r="21" spans="1:9">
      <c r="A21" s="308">
        <v>19</v>
      </c>
      <c r="B21" s="309" t="s">
        <v>6790</v>
      </c>
      <c r="C21" s="309" t="s">
        <v>6843</v>
      </c>
      <c r="D21" s="311" t="s">
        <v>6844</v>
      </c>
    </row>
    <row r="22" spans="1:9">
      <c r="A22" s="308">
        <v>20</v>
      </c>
      <c r="B22" s="309" t="s">
        <v>6803</v>
      </c>
      <c r="C22" s="309" t="s">
        <v>6845</v>
      </c>
      <c r="D22" s="311" t="s">
        <v>6846</v>
      </c>
    </row>
    <row r="23" spans="1:9">
      <c r="A23" s="308">
        <v>21</v>
      </c>
      <c r="B23" s="309" t="s">
        <v>6820</v>
      </c>
      <c r="C23" s="309" t="s">
        <v>6847</v>
      </c>
      <c r="D23" s="315" t="s">
        <v>6848</v>
      </c>
    </row>
    <row r="24" spans="1:9">
      <c r="A24" s="308">
        <v>22</v>
      </c>
      <c r="B24" s="309" t="s">
        <v>6849</v>
      </c>
      <c r="C24" s="309" t="s">
        <v>6850</v>
      </c>
      <c r="D24" s="311" t="s">
        <v>6851</v>
      </c>
    </row>
    <row r="25" spans="1:9">
      <c r="A25" s="312">
        <v>23</v>
      </c>
      <c r="B25" s="313" t="s">
        <v>6852</v>
      </c>
      <c r="C25" s="313" t="s">
        <v>6853</v>
      </c>
      <c r="D25" s="314" t="s">
        <v>6854</v>
      </c>
    </row>
  </sheetData>
  <mergeCells count="2">
    <mergeCell ref="A1:D1"/>
    <mergeCell ref="F1:I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90C7-F2D1-4C4F-866A-A81E540727E4}">
  <dimension ref="A1:D33"/>
  <sheetViews>
    <sheetView workbookViewId="0">
      <selection activeCell="A16" sqref="A16:D16"/>
    </sheetView>
  </sheetViews>
  <sheetFormatPr defaultColWidth="9" defaultRowHeight="14.25"/>
  <cols>
    <col min="1" max="1" width="9" style="137"/>
    <col min="2" max="2" width="23.75" style="137" customWidth="1"/>
    <col min="3" max="3" width="24.625" style="137" customWidth="1"/>
    <col min="4" max="4" width="34.875" style="137" customWidth="1"/>
    <col min="5" max="16384" width="9" style="137"/>
  </cols>
  <sheetData>
    <row r="1" spans="1:4" ht="15">
      <c r="A1" s="422" t="s">
        <v>6855</v>
      </c>
      <c r="B1" s="422"/>
      <c r="C1" s="422"/>
      <c r="D1" s="422"/>
    </row>
    <row r="2" spans="1:4" ht="15">
      <c r="A2" s="422" t="s">
        <v>6856</v>
      </c>
      <c r="B2" s="422"/>
      <c r="C2" s="422"/>
      <c r="D2" s="422"/>
    </row>
    <row r="3" spans="1:4">
      <c r="A3" s="423" t="s">
        <v>6857</v>
      </c>
      <c r="B3" s="423"/>
      <c r="C3" s="423"/>
      <c r="D3" s="423"/>
    </row>
    <row r="4" spans="1:4">
      <c r="A4" s="316"/>
      <c r="B4" s="316"/>
      <c r="C4" s="316"/>
      <c r="D4" s="316"/>
    </row>
    <row r="5" spans="1:4" ht="15">
      <c r="A5" s="421" t="s">
        <v>6858</v>
      </c>
      <c r="B5" s="421"/>
      <c r="C5" s="421"/>
      <c r="D5" s="421"/>
    </row>
    <row r="6" spans="1:4" ht="15">
      <c r="A6" s="317"/>
      <c r="B6" s="317"/>
      <c r="C6" s="317" t="s">
        <v>6859</v>
      </c>
      <c r="D6" s="317" t="s">
        <v>6707</v>
      </c>
    </row>
    <row r="7" spans="1:4">
      <c r="A7" s="318"/>
      <c r="B7" s="318" t="s">
        <v>6860</v>
      </c>
      <c r="C7" s="318" t="s">
        <v>6861</v>
      </c>
      <c r="D7" s="318" t="s">
        <v>6862</v>
      </c>
    </row>
    <row r="8" spans="1:4">
      <c r="A8" s="318"/>
      <c r="B8" s="318" t="s">
        <v>6863</v>
      </c>
      <c r="C8" s="318" t="s">
        <v>6861</v>
      </c>
      <c r="D8" s="318" t="s">
        <v>6864</v>
      </c>
    </row>
    <row r="9" spans="1:4">
      <c r="A9" s="318"/>
      <c r="B9" s="318" t="s">
        <v>6865</v>
      </c>
      <c r="C9" s="318" t="s">
        <v>6861</v>
      </c>
      <c r="D9" s="318" t="s">
        <v>6866</v>
      </c>
    </row>
    <row r="10" spans="1:4">
      <c r="A10" s="318"/>
      <c r="B10" s="318"/>
      <c r="C10" s="318"/>
      <c r="D10" s="318"/>
    </row>
    <row r="11" spans="1:4" ht="15">
      <c r="A11" s="421" t="s">
        <v>6867</v>
      </c>
      <c r="B11" s="421"/>
      <c r="C11" s="421"/>
      <c r="D11" s="421"/>
    </row>
    <row r="12" spans="1:4" ht="15">
      <c r="A12" s="317" t="s">
        <v>6783</v>
      </c>
      <c r="B12" s="317" t="s">
        <v>3399</v>
      </c>
      <c r="C12" s="317" t="s">
        <v>6859</v>
      </c>
      <c r="D12" s="317" t="s">
        <v>3401</v>
      </c>
    </row>
    <row r="13" spans="1:4">
      <c r="A13" s="318" t="s">
        <v>6868</v>
      </c>
      <c r="B13" s="318" t="s">
        <v>6869</v>
      </c>
      <c r="C13" s="318" t="s">
        <v>6870</v>
      </c>
      <c r="D13" s="319" t="s">
        <v>6871</v>
      </c>
    </row>
    <row r="14" spans="1:4">
      <c r="A14" s="318" t="s">
        <v>6868</v>
      </c>
      <c r="B14" s="318" t="s">
        <v>6872</v>
      </c>
      <c r="C14" s="318" t="s">
        <v>6873</v>
      </c>
      <c r="D14" s="319" t="s">
        <v>6874</v>
      </c>
    </row>
    <row r="15" spans="1:4" ht="15">
      <c r="A15" s="318"/>
      <c r="B15" s="317"/>
      <c r="C15" s="318"/>
      <c r="D15" s="318"/>
    </row>
    <row r="16" spans="1:4" ht="15">
      <c r="A16" s="421" t="s">
        <v>6875</v>
      </c>
      <c r="B16" s="421"/>
      <c r="C16" s="421"/>
      <c r="D16" s="421"/>
    </row>
    <row r="17" spans="1:4" ht="15">
      <c r="A17" s="317" t="s">
        <v>6783</v>
      </c>
      <c r="B17" s="317" t="s">
        <v>3399</v>
      </c>
      <c r="C17" s="317" t="s">
        <v>6859</v>
      </c>
      <c r="D17" s="317" t="s">
        <v>3401</v>
      </c>
    </row>
    <row r="18" spans="1:4">
      <c r="A18" s="318" t="s">
        <v>6868</v>
      </c>
      <c r="B18" s="318" t="s">
        <v>6876</v>
      </c>
      <c r="C18" s="318" t="s">
        <v>6877</v>
      </c>
      <c r="D18" s="319" t="s">
        <v>6878</v>
      </c>
    </row>
    <row r="19" spans="1:4">
      <c r="A19" s="318" t="s">
        <v>6879</v>
      </c>
      <c r="B19" s="318" t="s">
        <v>6880</v>
      </c>
      <c r="C19" s="318" t="s">
        <v>6881</v>
      </c>
      <c r="D19" s="318" t="s">
        <v>6882</v>
      </c>
    </row>
    <row r="20" spans="1:4">
      <c r="A20" s="318"/>
      <c r="B20" s="318"/>
      <c r="C20" s="318"/>
      <c r="D20" s="318"/>
    </row>
    <row r="21" spans="1:4">
      <c r="A21" s="318"/>
      <c r="B21" s="318"/>
      <c r="C21" s="318"/>
      <c r="D21" s="318"/>
    </row>
    <row r="22" spans="1:4" ht="15">
      <c r="A22" s="421" t="s">
        <v>6883</v>
      </c>
      <c r="B22" s="421"/>
      <c r="C22" s="421"/>
      <c r="D22" s="421"/>
    </row>
    <row r="23" spans="1:4" ht="15">
      <c r="A23" s="317" t="s">
        <v>6783</v>
      </c>
      <c r="B23" s="317" t="s">
        <v>3399</v>
      </c>
      <c r="C23" s="317" t="s">
        <v>6859</v>
      </c>
      <c r="D23" s="317" t="s">
        <v>3401</v>
      </c>
    </row>
    <row r="24" spans="1:4">
      <c r="A24" s="318" t="s">
        <v>6799</v>
      </c>
      <c r="B24" s="318" t="s">
        <v>6884</v>
      </c>
      <c r="C24" s="318" t="s">
        <v>6885</v>
      </c>
      <c r="D24" s="319" t="s">
        <v>6886</v>
      </c>
    </row>
    <row r="25" spans="1:4">
      <c r="A25" s="318" t="s">
        <v>6849</v>
      </c>
      <c r="B25" s="318" t="s">
        <v>6887</v>
      </c>
      <c r="C25" s="318" t="s">
        <v>6888</v>
      </c>
      <c r="D25" s="319" t="s">
        <v>6889</v>
      </c>
    </row>
    <row r="26" spans="1:4" ht="15">
      <c r="A26" s="421" t="s">
        <v>6890</v>
      </c>
      <c r="B26" s="421"/>
      <c r="C26" s="421"/>
      <c r="D26" s="421"/>
    </row>
    <row r="27" spans="1:4" ht="15">
      <c r="A27" s="317" t="s">
        <v>6783</v>
      </c>
      <c r="B27" s="317" t="s">
        <v>3399</v>
      </c>
      <c r="C27" s="317" t="s">
        <v>6859</v>
      </c>
      <c r="D27" s="317" t="s">
        <v>3401</v>
      </c>
    </row>
    <row r="28" spans="1:4">
      <c r="A28" s="318" t="s">
        <v>6852</v>
      </c>
      <c r="B28" s="318" t="s">
        <v>6891</v>
      </c>
      <c r="C28" s="318" t="s">
        <v>6892</v>
      </c>
      <c r="D28" s="319" t="s">
        <v>6893</v>
      </c>
    </row>
    <row r="29" spans="1:4">
      <c r="A29" s="318" t="s">
        <v>6799</v>
      </c>
      <c r="B29" s="318" t="s">
        <v>6894</v>
      </c>
      <c r="C29" s="318" t="s">
        <v>6895</v>
      </c>
      <c r="D29" s="319" t="s">
        <v>6896</v>
      </c>
    </row>
    <row r="30" spans="1:4">
      <c r="A30" s="318"/>
      <c r="B30" s="318"/>
      <c r="C30" s="318"/>
      <c r="D30" s="318"/>
    </row>
    <row r="31" spans="1:4" ht="15">
      <c r="A31" s="421" t="s">
        <v>6897</v>
      </c>
      <c r="B31" s="421"/>
      <c r="C31" s="421"/>
      <c r="D31" s="421"/>
    </row>
    <row r="32" spans="1:4" ht="15">
      <c r="A32" s="317" t="s">
        <v>6783</v>
      </c>
      <c r="B32" s="317" t="s">
        <v>3399</v>
      </c>
      <c r="C32" s="317" t="s">
        <v>6859</v>
      </c>
      <c r="D32" s="317" t="s">
        <v>3401</v>
      </c>
    </row>
    <row r="33" spans="1:4">
      <c r="A33" s="318" t="s">
        <v>6799</v>
      </c>
      <c r="B33" s="318" t="s">
        <v>6898</v>
      </c>
      <c r="C33" s="318" t="s">
        <v>6899</v>
      </c>
      <c r="D33" s="319" t="s">
        <v>6900</v>
      </c>
    </row>
  </sheetData>
  <mergeCells count="9">
    <mergeCell ref="A22:D22"/>
    <mergeCell ref="A26:D26"/>
    <mergeCell ref="A31:D31"/>
    <mergeCell ref="A1:D1"/>
    <mergeCell ref="A2:D2"/>
    <mergeCell ref="A3:D3"/>
    <mergeCell ref="A5:D5"/>
    <mergeCell ref="A11:D11"/>
    <mergeCell ref="A16:D16"/>
  </mergeCells>
  <hyperlinks>
    <hyperlink ref="D28" r:id="rId1" xr:uid="{CA94C106-0EBC-4F6A-A64D-03C5E0EF5B2A}"/>
    <hyperlink ref="D29" r:id="rId2" xr:uid="{EB1B5BCF-7DD4-481D-BB5E-4B363E9E1C83}"/>
    <hyperlink ref="D18" r:id="rId3" xr:uid="{01F16938-B523-4788-8AD5-152B002280A9}"/>
    <hyperlink ref="D24" r:id="rId4" xr:uid="{E6637C18-1779-4346-9825-CFA911FA1EA8}"/>
    <hyperlink ref="D25" r:id="rId5" xr:uid="{551EAEE4-4BE4-431F-A48A-F2D00C045097}"/>
    <hyperlink ref="D13" r:id="rId6" xr:uid="{61D66B88-9430-46B6-B262-81A5B876A7F5}"/>
    <hyperlink ref="D14" r:id="rId7" xr:uid="{A62ED7C3-6143-4CF4-8132-C017A6091624}"/>
    <hyperlink ref="D33" r:id="rId8" xr:uid="{22D8413B-3021-4DF8-88B8-2724178AACA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44CDC-5C7F-4AF7-92A8-9FA064EA6BBE}">
  <sheetPr>
    <tabColor rgb="FF00B0F0"/>
    <pageSetUpPr fitToPage="1"/>
  </sheetPr>
  <dimension ref="A1:T27"/>
  <sheetViews>
    <sheetView zoomScale="60" zoomScaleNormal="60" workbookViewId="0">
      <selection activeCell="C13" sqref="C13"/>
    </sheetView>
  </sheetViews>
  <sheetFormatPr defaultColWidth="8.625" defaultRowHeight="14.25"/>
  <cols>
    <col min="1" max="2" width="9.625" style="90" customWidth="1"/>
    <col min="3" max="5" width="18.25" style="90" customWidth="1"/>
    <col min="6" max="8" width="21.375" style="90" customWidth="1"/>
    <col min="9" max="10" width="20.75" style="90" customWidth="1"/>
    <col min="11" max="16" width="21.625" style="90" customWidth="1"/>
    <col min="17" max="17" width="22.375" style="90" bestFit="1" customWidth="1"/>
    <col min="18" max="18" width="23.625" style="90" bestFit="1" customWidth="1"/>
    <col min="19" max="19" width="13.125" style="90" bestFit="1" customWidth="1"/>
    <col min="20" max="20" width="12.125" style="90" bestFit="1" customWidth="1"/>
    <col min="21" max="16384" width="8.625" style="90"/>
  </cols>
  <sheetData>
    <row r="1" spans="1:20" ht="15.75" thickBot="1">
      <c r="A1" s="404"/>
      <c r="B1" s="190"/>
      <c r="C1" s="410" t="s">
        <v>3392</v>
      </c>
      <c r="D1" s="411"/>
      <c r="E1" s="411"/>
      <c r="F1" s="411"/>
      <c r="G1" s="411"/>
      <c r="H1" s="412"/>
      <c r="I1" s="400" t="s">
        <v>3393</v>
      </c>
      <c r="J1" s="401"/>
      <c r="K1" s="400" t="s">
        <v>3394</v>
      </c>
      <c r="L1" s="401"/>
      <c r="M1" s="400" t="s">
        <v>3395</v>
      </c>
      <c r="N1" s="401"/>
      <c r="O1" s="400" t="s">
        <v>3396</v>
      </c>
      <c r="P1" s="401"/>
    </row>
    <row r="2" spans="1:20" ht="15">
      <c r="A2" s="405"/>
      <c r="B2" s="191"/>
      <c r="C2" s="407" t="s">
        <v>3397</v>
      </c>
      <c r="D2" s="408"/>
      <c r="E2" s="409"/>
      <c r="F2" s="413" t="s">
        <v>3398</v>
      </c>
      <c r="G2" s="413"/>
      <c r="H2" s="401"/>
      <c r="I2" s="402"/>
      <c r="J2" s="403"/>
      <c r="K2" s="402"/>
      <c r="L2" s="403"/>
      <c r="M2" s="402"/>
      <c r="N2" s="403"/>
      <c r="O2" s="402"/>
      <c r="P2" s="403"/>
    </row>
    <row r="3" spans="1:20" ht="15.75" thickBot="1">
      <c r="A3" s="406"/>
      <c r="B3" s="192"/>
      <c r="C3" s="103" t="s">
        <v>3399</v>
      </c>
      <c r="D3" s="104" t="s">
        <v>3400</v>
      </c>
      <c r="E3" s="105" t="s">
        <v>3401</v>
      </c>
      <c r="F3" s="100" t="s">
        <v>3399</v>
      </c>
      <c r="G3" s="100" t="s">
        <v>3400</v>
      </c>
      <c r="H3" s="101" t="s">
        <v>3401</v>
      </c>
      <c r="I3" s="188" t="s">
        <v>3402</v>
      </c>
      <c r="J3" s="189" t="s">
        <v>3400</v>
      </c>
      <c r="K3" s="97" t="s">
        <v>3399</v>
      </c>
      <c r="L3" s="96" t="s">
        <v>3400</v>
      </c>
      <c r="M3" s="97" t="s">
        <v>3399</v>
      </c>
      <c r="N3" s="96" t="s">
        <v>3400</v>
      </c>
      <c r="O3" s="97" t="s">
        <v>3399</v>
      </c>
      <c r="P3" s="96" t="s">
        <v>3400</v>
      </c>
      <c r="Q3" s="90" t="s">
        <v>3403</v>
      </c>
      <c r="R3" s="90" t="s">
        <v>3404</v>
      </c>
      <c r="S3" s="90" t="s">
        <v>3405</v>
      </c>
      <c r="T3" s="90" t="s">
        <v>3406</v>
      </c>
    </row>
    <row r="4" spans="1:20" ht="15">
      <c r="A4" s="95" t="s">
        <v>3407</v>
      </c>
      <c r="B4" s="186">
        <v>1</v>
      </c>
      <c r="C4" s="106" t="s">
        <v>3408</v>
      </c>
      <c r="D4" s="107" t="s">
        <v>3409</v>
      </c>
      <c r="E4" s="108" t="s">
        <v>3410</v>
      </c>
      <c r="F4" s="118"/>
      <c r="G4" s="119"/>
      <c r="H4" s="120"/>
      <c r="I4" s="245" t="s">
        <v>3411</v>
      </c>
      <c r="J4" s="246" t="s">
        <v>3412</v>
      </c>
      <c r="K4" s="245" t="s">
        <v>3413</v>
      </c>
      <c r="L4" s="246" t="s">
        <v>3414</v>
      </c>
      <c r="M4" s="243" t="s">
        <v>3415</v>
      </c>
      <c r="N4" s="247" t="s">
        <v>3416</v>
      </c>
      <c r="O4" s="243" t="s">
        <v>3417</v>
      </c>
      <c r="P4" s="247" t="s">
        <v>3418</v>
      </c>
      <c r="Q4" s="90">
        <v>2</v>
      </c>
      <c r="R4" s="90">
        <v>1</v>
      </c>
      <c r="S4" s="90">
        <v>1</v>
      </c>
      <c r="T4" s="90">
        <v>2</v>
      </c>
    </row>
    <row r="5" spans="1:20" ht="15">
      <c r="A5" s="95" t="s">
        <v>3419</v>
      </c>
      <c r="B5" s="186">
        <v>1</v>
      </c>
      <c r="C5" s="109"/>
      <c r="D5" s="99"/>
      <c r="E5" s="110"/>
      <c r="F5" s="241" t="s">
        <v>3420</v>
      </c>
      <c r="G5" s="98" t="s">
        <v>3421</v>
      </c>
      <c r="H5" s="121" t="s">
        <v>3422</v>
      </c>
      <c r="I5" s="243" t="s">
        <v>3423</v>
      </c>
      <c r="J5" s="247" t="s">
        <v>3424</v>
      </c>
      <c r="K5" s="243" t="s">
        <v>3425</v>
      </c>
      <c r="L5" s="247" t="s">
        <v>3426</v>
      </c>
      <c r="M5" s="243" t="s">
        <v>3427</v>
      </c>
      <c r="N5" s="247" t="s">
        <v>3428</v>
      </c>
      <c r="O5" s="243" t="s">
        <v>3429</v>
      </c>
      <c r="P5" s="247" t="s">
        <v>3430</v>
      </c>
      <c r="Q5" s="90">
        <v>1</v>
      </c>
      <c r="R5" s="90">
        <v>2</v>
      </c>
      <c r="S5" s="90">
        <v>2</v>
      </c>
      <c r="T5" s="90">
        <v>0</v>
      </c>
    </row>
    <row r="6" spans="1:20" ht="15">
      <c r="A6" s="95" t="s">
        <v>3431</v>
      </c>
      <c r="B6" s="186">
        <v>2</v>
      </c>
      <c r="C6" s="111" t="s">
        <v>3432</v>
      </c>
      <c r="D6" s="102" t="s">
        <v>3433</v>
      </c>
      <c r="E6" s="112" t="s">
        <v>3434</v>
      </c>
      <c r="F6" s="109"/>
      <c r="G6" s="99"/>
      <c r="H6" s="110"/>
      <c r="I6" s="243" t="s">
        <v>3435</v>
      </c>
      <c r="J6" s="247" t="s">
        <v>3436</v>
      </c>
      <c r="K6" s="243" t="s">
        <v>3437</v>
      </c>
      <c r="L6" s="247" t="s">
        <v>3438</v>
      </c>
      <c r="M6" s="243" t="s">
        <v>3439</v>
      </c>
      <c r="N6" s="247" t="s">
        <v>3440</v>
      </c>
      <c r="O6" s="243" t="s">
        <v>3441</v>
      </c>
      <c r="P6" s="247"/>
      <c r="Q6" s="90">
        <v>2</v>
      </c>
      <c r="R6" s="90">
        <v>1</v>
      </c>
      <c r="S6" s="90">
        <v>1</v>
      </c>
      <c r="T6" s="90">
        <v>2</v>
      </c>
    </row>
    <row r="7" spans="1:20" ht="15">
      <c r="A7" s="95" t="s">
        <v>3442</v>
      </c>
      <c r="B7" s="186">
        <v>2</v>
      </c>
      <c r="C7" s="109"/>
      <c r="D7" s="99"/>
      <c r="E7" s="110"/>
      <c r="F7" s="241" t="s">
        <v>3443</v>
      </c>
      <c r="G7" s="98" t="s">
        <v>3444</v>
      </c>
      <c r="H7" s="121" t="s">
        <v>3445</v>
      </c>
      <c r="I7" s="243" t="s">
        <v>3446</v>
      </c>
      <c r="J7" s="247" t="s">
        <v>3447</v>
      </c>
      <c r="K7" s="243" t="s">
        <v>3448</v>
      </c>
      <c r="L7" s="247" t="s">
        <v>3449</v>
      </c>
      <c r="M7" s="243" t="s">
        <v>3450</v>
      </c>
      <c r="N7" s="247" t="s">
        <v>3451</v>
      </c>
      <c r="O7" s="243" t="s">
        <v>3452</v>
      </c>
      <c r="P7" s="247"/>
      <c r="Q7" s="90">
        <v>1</v>
      </c>
      <c r="R7" s="90">
        <v>2</v>
      </c>
      <c r="S7" s="90">
        <v>2</v>
      </c>
      <c r="T7" s="90">
        <v>0</v>
      </c>
    </row>
    <row r="8" spans="1:20" ht="15">
      <c r="A8" s="95" t="s">
        <v>3453</v>
      </c>
      <c r="B8" s="186">
        <v>3</v>
      </c>
      <c r="C8" s="111" t="s">
        <v>3454</v>
      </c>
      <c r="D8" s="102" t="s">
        <v>3455</v>
      </c>
      <c r="E8" s="112" t="s">
        <v>3456</v>
      </c>
      <c r="F8" s="109"/>
      <c r="G8" s="99"/>
      <c r="H8" s="110"/>
      <c r="I8" s="243" t="s">
        <v>3457</v>
      </c>
      <c r="J8" s="243" t="s">
        <v>3458</v>
      </c>
      <c r="K8" s="243" t="s">
        <v>3459</v>
      </c>
      <c r="L8" s="247" t="s">
        <v>3460</v>
      </c>
      <c r="M8" s="243" t="s">
        <v>3461</v>
      </c>
      <c r="N8" s="344" t="s">
        <v>6912</v>
      </c>
      <c r="O8" s="243" t="s">
        <v>3462</v>
      </c>
      <c r="P8" s="247" t="s">
        <v>6917</v>
      </c>
      <c r="Q8" s="90">
        <v>2</v>
      </c>
      <c r="R8" s="90">
        <v>1</v>
      </c>
      <c r="S8" s="90">
        <v>1</v>
      </c>
      <c r="T8" s="90">
        <v>2</v>
      </c>
    </row>
    <row r="9" spans="1:20" ht="15.75" thickBot="1">
      <c r="A9" s="95" t="s">
        <v>3463</v>
      </c>
      <c r="B9" s="186">
        <v>3</v>
      </c>
      <c r="C9" s="113" t="s">
        <v>3464</v>
      </c>
      <c r="D9" s="98" t="s">
        <v>3465</v>
      </c>
      <c r="E9" s="114" t="s">
        <v>3466</v>
      </c>
      <c r="F9" s="109"/>
      <c r="G9" s="99"/>
      <c r="H9" s="110"/>
      <c r="I9" s="243" t="s">
        <v>3467</v>
      </c>
      <c r="J9" s="243" t="s">
        <v>3468</v>
      </c>
      <c r="M9" s="244" t="s">
        <v>3469</v>
      </c>
      <c r="N9" s="248" t="s">
        <v>3470</v>
      </c>
      <c r="O9" s="244" t="s">
        <v>3471</v>
      </c>
      <c r="P9" s="248"/>
      <c r="Q9" s="90">
        <v>2</v>
      </c>
      <c r="R9" s="90">
        <v>1</v>
      </c>
      <c r="S9" s="90">
        <v>1</v>
      </c>
      <c r="T9" s="90">
        <v>2</v>
      </c>
    </row>
    <row r="10" spans="1:20" ht="15">
      <c r="A10" s="95" t="s">
        <v>3472</v>
      </c>
      <c r="B10" s="186">
        <v>3</v>
      </c>
      <c r="C10" s="109"/>
      <c r="D10" s="99"/>
      <c r="E10" s="110"/>
      <c r="F10" s="241" t="s">
        <v>3473</v>
      </c>
      <c r="G10" s="98" t="s">
        <v>3474</v>
      </c>
      <c r="H10" s="121" t="s">
        <v>3475</v>
      </c>
      <c r="I10" s="243" t="s">
        <v>3476</v>
      </c>
      <c r="J10" s="243" t="s">
        <v>3477</v>
      </c>
      <c r="K10" s="243" t="s">
        <v>3478</v>
      </c>
      <c r="L10" s="247" t="s">
        <v>3479</v>
      </c>
      <c r="M10" s="243" t="s">
        <v>3480</v>
      </c>
      <c r="N10" s="247" t="s">
        <v>3481</v>
      </c>
      <c r="O10" s="243" t="s">
        <v>3482</v>
      </c>
      <c r="P10" s="247"/>
      <c r="Q10" s="90">
        <v>1</v>
      </c>
      <c r="R10" s="90">
        <v>2</v>
      </c>
      <c r="S10" s="90">
        <v>2</v>
      </c>
      <c r="T10" s="90">
        <v>0</v>
      </c>
    </row>
    <row r="11" spans="1:20" ht="15">
      <c r="A11" s="95" t="s">
        <v>3483</v>
      </c>
      <c r="B11" s="186">
        <v>4</v>
      </c>
      <c r="C11" s="111" t="s">
        <v>3484</v>
      </c>
      <c r="D11" s="102" t="s">
        <v>3485</v>
      </c>
      <c r="E11" s="112" t="s">
        <v>3486</v>
      </c>
      <c r="F11" s="109"/>
      <c r="G11" s="99"/>
      <c r="H11" s="110"/>
      <c r="I11" s="243" t="s">
        <v>3487</v>
      </c>
      <c r="J11" s="247" t="s">
        <v>3488</v>
      </c>
      <c r="K11" s="243" t="s">
        <v>3489</v>
      </c>
      <c r="L11" s="247" t="s">
        <v>3490</v>
      </c>
      <c r="M11" s="243" t="s">
        <v>3491</v>
      </c>
      <c r="N11" s="247" t="s">
        <v>3492</v>
      </c>
      <c r="O11" s="243" t="s">
        <v>3493</v>
      </c>
      <c r="P11" s="247"/>
      <c r="Q11" s="90">
        <v>2</v>
      </c>
      <c r="R11" s="90">
        <v>1</v>
      </c>
      <c r="S11" s="90">
        <v>1</v>
      </c>
      <c r="T11" s="90">
        <v>2</v>
      </c>
    </row>
    <row r="12" spans="1:20" ht="15">
      <c r="A12" s="95" t="s">
        <v>3494</v>
      </c>
      <c r="B12" s="186">
        <v>4</v>
      </c>
      <c r="C12" s="109"/>
      <c r="D12" s="99"/>
      <c r="E12" s="110"/>
      <c r="F12" s="241" t="s">
        <v>3495</v>
      </c>
      <c r="G12" s="98" t="s">
        <v>3496</v>
      </c>
      <c r="H12" s="121" t="s">
        <v>3497</v>
      </c>
      <c r="I12" s="243" t="s">
        <v>3498</v>
      </c>
      <c r="J12" s="247" t="s">
        <v>3499</v>
      </c>
      <c r="M12" s="243" t="s">
        <v>3500</v>
      </c>
      <c r="N12" s="247" t="s">
        <v>3501</v>
      </c>
      <c r="O12" s="243" t="s">
        <v>3502</v>
      </c>
      <c r="P12" s="247" t="s">
        <v>3503</v>
      </c>
      <c r="Q12" s="90">
        <v>1</v>
      </c>
      <c r="R12" s="90">
        <v>2</v>
      </c>
      <c r="S12" s="90">
        <v>2</v>
      </c>
      <c r="T12" s="90">
        <v>0</v>
      </c>
    </row>
    <row r="13" spans="1:20" ht="15">
      <c r="A13" s="95" t="s">
        <v>3504</v>
      </c>
      <c r="B13" s="186">
        <v>5</v>
      </c>
      <c r="C13" s="111" t="s">
        <v>3505</v>
      </c>
      <c r="D13" s="102" t="s">
        <v>3506</v>
      </c>
      <c r="E13" s="112" t="s">
        <v>3507</v>
      </c>
      <c r="F13" s="109"/>
      <c r="G13" s="99"/>
      <c r="H13" s="110"/>
      <c r="I13" s="243" t="s">
        <v>3508</v>
      </c>
      <c r="J13" s="243" t="s">
        <v>3509</v>
      </c>
      <c r="K13" s="243" t="s">
        <v>3510</v>
      </c>
      <c r="L13" s="247" t="s">
        <v>3511</v>
      </c>
      <c r="M13" s="243" t="s">
        <v>3512</v>
      </c>
      <c r="N13" s="247" t="s">
        <v>6913</v>
      </c>
      <c r="O13" s="243" t="s">
        <v>3513</v>
      </c>
      <c r="P13" s="345" t="s">
        <v>6918</v>
      </c>
      <c r="Q13" s="90">
        <v>2</v>
      </c>
      <c r="R13" s="90">
        <v>1</v>
      </c>
      <c r="S13" s="90">
        <v>1</v>
      </c>
      <c r="T13" s="90">
        <v>2</v>
      </c>
    </row>
    <row r="14" spans="1:20" ht="15">
      <c r="A14" s="95" t="s">
        <v>3514</v>
      </c>
      <c r="B14" s="186">
        <v>5</v>
      </c>
      <c r="C14" s="113" t="s">
        <v>3515</v>
      </c>
      <c r="D14" s="98" t="s">
        <v>3516</v>
      </c>
      <c r="E14" s="114" t="s">
        <v>3517</v>
      </c>
      <c r="F14" s="109"/>
      <c r="G14" s="99"/>
      <c r="H14" s="110"/>
      <c r="I14" s="243" t="s">
        <v>3518</v>
      </c>
      <c r="J14" s="243" t="s">
        <v>3519</v>
      </c>
      <c r="K14" s="243" t="s">
        <v>3520</v>
      </c>
      <c r="L14" s="345" t="s">
        <v>6910</v>
      </c>
      <c r="M14" s="243" t="s">
        <v>3521</v>
      </c>
      <c r="N14" s="247" t="s">
        <v>3522</v>
      </c>
      <c r="O14" s="243" t="s">
        <v>3523</v>
      </c>
      <c r="P14" s="345" t="s">
        <v>6919</v>
      </c>
      <c r="Q14" s="90">
        <v>2</v>
      </c>
      <c r="R14" s="90">
        <v>1</v>
      </c>
      <c r="S14" s="90">
        <v>1</v>
      </c>
      <c r="T14" s="90">
        <v>2</v>
      </c>
    </row>
    <row r="15" spans="1:20" ht="15.75" thickBot="1">
      <c r="A15" s="95" t="s">
        <v>3524</v>
      </c>
      <c r="B15" s="186">
        <v>5</v>
      </c>
      <c r="C15" s="109"/>
      <c r="D15" s="99"/>
      <c r="E15" s="110"/>
      <c r="F15" s="241" t="s">
        <v>3525</v>
      </c>
      <c r="G15" s="98" t="s">
        <v>3526</v>
      </c>
      <c r="H15" s="121" t="s">
        <v>3527</v>
      </c>
      <c r="I15" s="243" t="s">
        <v>3528</v>
      </c>
      <c r="J15" s="243" t="s">
        <v>3529</v>
      </c>
      <c r="K15" s="243" t="s">
        <v>3530</v>
      </c>
      <c r="L15" s="247" t="s">
        <v>3531</v>
      </c>
      <c r="M15" s="244" t="s">
        <v>3532</v>
      </c>
      <c r="N15" s="248" t="s">
        <v>3533</v>
      </c>
      <c r="O15" s="244" t="s">
        <v>3534</v>
      </c>
      <c r="P15" s="345" t="s">
        <v>6920</v>
      </c>
      <c r="Q15" s="90">
        <v>1</v>
      </c>
      <c r="R15" s="90">
        <v>2</v>
      </c>
      <c r="S15" s="90">
        <v>2</v>
      </c>
      <c r="T15" s="90">
        <v>0</v>
      </c>
    </row>
    <row r="16" spans="1:20" ht="15">
      <c r="A16" s="95" t="s">
        <v>3535</v>
      </c>
      <c r="B16" s="186">
        <v>5</v>
      </c>
      <c r="C16" s="109"/>
      <c r="D16" s="99"/>
      <c r="E16" s="110"/>
      <c r="F16" s="242" t="s">
        <v>3536</v>
      </c>
      <c r="G16" s="237" t="s">
        <v>3537</v>
      </c>
      <c r="H16" s="238" t="s">
        <v>3538</v>
      </c>
      <c r="I16" s="243" t="s">
        <v>3539</v>
      </c>
      <c r="J16" s="243" t="s">
        <v>3540</v>
      </c>
      <c r="K16" s="243" t="s">
        <v>3541</v>
      </c>
      <c r="L16" s="247" t="s">
        <v>3542</v>
      </c>
      <c r="M16" s="243" t="s">
        <v>3543</v>
      </c>
      <c r="N16" s="247" t="s">
        <v>3544</v>
      </c>
      <c r="O16" s="243" t="s">
        <v>3545</v>
      </c>
      <c r="P16" s="345" t="s">
        <v>6921</v>
      </c>
      <c r="Q16" s="90">
        <v>1</v>
      </c>
      <c r="R16" s="90">
        <v>2</v>
      </c>
      <c r="S16" s="90">
        <v>2</v>
      </c>
      <c r="T16" s="90">
        <v>0</v>
      </c>
    </row>
    <row r="17" spans="1:20" ht="15">
      <c r="A17" s="95" t="s">
        <v>3546</v>
      </c>
      <c r="B17" s="186">
        <v>5</v>
      </c>
      <c r="C17" s="109"/>
      <c r="D17" s="99"/>
      <c r="E17" s="110"/>
      <c r="F17" s="243" t="s">
        <v>3547</v>
      </c>
      <c r="G17" s="239" t="s">
        <v>3548</v>
      </c>
      <c r="H17" s="240" t="s">
        <v>3549</v>
      </c>
      <c r="I17" s="243" t="s">
        <v>3550</v>
      </c>
      <c r="J17" s="243" t="s">
        <v>3551</v>
      </c>
      <c r="K17" s="243" t="s">
        <v>3552</v>
      </c>
      <c r="L17" s="247"/>
      <c r="M17" s="243" t="s">
        <v>3553</v>
      </c>
      <c r="N17" s="344" t="s">
        <v>6914</v>
      </c>
      <c r="O17" s="243" t="s">
        <v>3554</v>
      </c>
      <c r="P17" s="247" t="s">
        <v>3555</v>
      </c>
      <c r="Q17" s="90">
        <v>1</v>
      </c>
      <c r="R17" s="90">
        <v>2</v>
      </c>
      <c r="S17" s="90">
        <v>2</v>
      </c>
      <c r="T17" s="90">
        <v>0</v>
      </c>
    </row>
    <row r="18" spans="1:20" ht="15">
      <c r="A18" s="95" t="s">
        <v>3556</v>
      </c>
      <c r="B18" s="186">
        <v>6</v>
      </c>
      <c r="C18" s="113" t="s">
        <v>3557</v>
      </c>
      <c r="D18" s="98" t="s">
        <v>3558</v>
      </c>
      <c r="E18" s="114" t="s">
        <v>3559</v>
      </c>
      <c r="F18" s="123"/>
      <c r="G18" s="94"/>
      <c r="H18" s="124"/>
      <c r="I18" s="243" t="s">
        <v>3560</v>
      </c>
      <c r="J18" s="243" t="s">
        <v>3561</v>
      </c>
      <c r="K18" s="243"/>
      <c r="L18" s="247"/>
      <c r="M18" s="243" t="s">
        <v>3562</v>
      </c>
      <c r="N18" s="247"/>
      <c r="O18" s="243" t="s">
        <v>3563</v>
      </c>
      <c r="P18" s="247" t="s">
        <v>3564</v>
      </c>
      <c r="Q18" s="90">
        <v>2</v>
      </c>
      <c r="R18" s="90">
        <v>1</v>
      </c>
      <c r="S18" s="90">
        <v>1</v>
      </c>
      <c r="T18" s="90">
        <v>2</v>
      </c>
    </row>
    <row r="19" spans="1:20" ht="15">
      <c r="A19" s="95" t="s">
        <v>3565</v>
      </c>
      <c r="B19" s="186">
        <v>6</v>
      </c>
      <c r="C19" s="109"/>
      <c r="D19" s="99"/>
      <c r="E19" s="110"/>
      <c r="F19" s="243" t="s">
        <v>3566</v>
      </c>
      <c r="G19" s="93" t="s">
        <v>3567</v>
      </c>
      <c r="H19" s="122" t="s">
        <v>3568</v>
      </c>
      <c r="I19" s="243" t="s">
        <v>3569</v>
      </c>
      <c r="J19" s="243"/>
      <c r="K19" s="243" t="s">
        <v>3570</v>
      </c>
      <c r="L19" s="344" t="s">
        <v>6909</v>
      </c>
      <c r="M19" s="243" t="s">
        <v>3571</v>
      </c>
      <c r="N19" s="247" t="s">
        <v>6915</v>
      </c>
      <c r="O19" s="243" t="s">
        <v>3572</v>
      </c>
      <c r="P19" s="247" t="s">
        <v>3573</v>
      </c>
      <c r="Q19" s="90">
        <v>1</v>
      </c>
      <c r="R19" s="90">
        <v>2</v>
      </c>
      <c r="S19" s="90">
        <v>2</v>
      </c>
      <c r="T19" s="90">
        <v>0</v>
      </c>
    </row>
    <row r="20" spans="1:20" ht="15">
      <c r="A20" s="95" t="s">
        <v>3574</v>
      </c>
      <c r="B20" s="186">
        <v>6</v>
      </c>
      <c r="C20" s="109"/>
      <c r="D20" s="99"/>
      <c r="E20" s="110"/>
      <c r="F20" s="243" t="s">
        <v>3575</v>
      </c>
      <c r="G20" s="93" t="s">
        <v>3576</v>
      </c>
      <c r="H20" s="122" t="s">
        <v>3577</v>
      </c>
      <c r="I20" s="243" t="s">
        <v>3578</v>
      </c>
      <c r="J20" s="243" t="s">
        <v>3579</v>
      </c>
      <c r="K20" s="243"/>
      <c r="L20" s="247"/>
      <c r="M20" s="243" t="s">
        <v>3580</v>
      </c>
      <c r="N20" s="247" t="s">
        <v>3581</v>
      </c>
      <c r="O20" s="243" t="s">
        <v>3582</v>
      </c>
      <c r="P20" s="247"/>
      <c r="Q20" s="90">
        <v>1</v>
      </c>
      <c r="R20" s="90">
        <v>2</v>
      </c>
      <c r="S20" s="90">
        <v>2</v>
      </c>
      <c r="T20" s="90">
        <v>0</v>
      </c>
    </row>
    <row r="21" spans="1:20" ht="15.75" thickBot="1">
      <c r="A21" s="95" t="s">
        <v>3583</v>
      </c>
      <c r="B21" s="186">
        <v>7</v>
      </c>
      <c r="C21" s="111" t="s">
        <v>3584</v>
      </c>
      <c r="D21" s="98" t="s">
        <v>3585</v>
      </c>
      <c r="E21" s="114" t="s">
        <v>3586</v>
      </c>
      <c r="F21" s="123"/>
      <c r="G21" s="94"/>
      <c r="H21" s="124"/>
      <c r="I21" s="243" t="s">
        <v>3587</v>
      </c>
      <c r="J21" s="243" t="s">
        <v>3588</v>
      </c>
      <c r="K21" s="243" t="s">
        <v>3589</v>
      </c>
      <c r="L21" s="247" t="s">
        <v>3590</v>
      </c>
      <c r="M21" s="244" t="s">
        <v>3591</v>
      </c>
      <c r="N21" s="248" t="s">
        <v>3592</v>
      </c>
      <c r="O21" s="244" t="s">
        <v>3593</v>
      </c>
      <c r="P21" s="248" t="s">
        <v>3594</v>
      </c>
      <c r="Q21" s="90">
        <v>2</v>
      </c>
      <c r="R21" s="90">
        <v>1</v>
      </c>
      <c r="S21" s="90">
        <v>1</v>
      </c>
      <c r="T21" s="90">
        <v>2</v>
      </c>
    </row>
    <row r="22" spans="1:20" ht="15">
      <c r="A22" s="95" t="s">
        <v>3595</v>
      </c>
      <c r="B22" s="186">
        <v>8</v>
      </c>
      <c r="C22" s="113" t="s">
        <v>3596</v>
      </c>
      <c r="D22" s="98" t="s">
        <v>3597</v>
      </c>
      <c r="E22" s="114" t="s">
        <v>3598</v>
      </c>
      <c r="F22" s="123"/>
      <c r="G22" s="94"/>
      <c r="H22" s="124"/>
      <c r="I22" s="243" t="s">
        <v>3599</v>
      </c>
      <c r="J22" s="243" t="s">
        <v>3600</v>
      </c>
      <c r="K22" s="243" t="s">
        <v>3601</v>
      </c>
      <c r="L22" s="247" t="s">
        <v>3602</v>
      </c>
      <c r="M22" s="243" t="s">
        <v>3603</v>
      </c>
      <c r="N22" s="247" t="s">
        <v>3604</v>
      </c>
      <c r="O22" s="243" t="s">
        <v>3605</v>
      </c>
      <c r="P22" s="247" t="s">
        <v>3606</v>
      </c>
      <c r="Q22" s="90">
        <v>2</v>
      </c>
      <c r="R22" s="90">
        <v>1</v>
      </c>
      <c r="S22" s="90">
        <v>1</v>
      </c>
      <c r="T22" s="90">
        <v>2</v>
      </c>
    </row>
    <row r="23" spans="1:20" ht="15">
      <c r="A23" s="95" t="s">
        <v>3607</v>
      </c>
      <c r="B23" s="186">
        <v>9</v>
      </c>
      <c r="C23" s="113" t="s">
        <v>3608</v>
      </c>
      <c r="D23" s="98" t="s">
        <v>3609</v>
      </c>
      <c r="E23" s="114" t="s">
        <v>3610</v>
      </c>
      <c r="F23" s="123"/>
      <c r="G23" s="94"/>
      <c r="H23" s="124"/>
      <c r="I23" s="243" t="s">
        <v>3611</v>
      </c>
      <c r="J23" s="243" t="s">
        <v>3612</v>
      </c>
      <c r="K23" s="243" t="s">
        <v>3613</v>
      </c>
      <c r="L23" s="344" t="s">
        <v>6911</v>
      </c>
      <c r="M23" s="243" t="s">
        <v>3614</v>
      </c>
      <c r="N23" s="247" t="s">
        <v>3615</v>
      </c>
      <c r="O23" s="243" t="s">
        <v>3616</v>
      </c>
      <c r="P23" s="247" t="s">
        <v>3617</v>
      </c>
      <c r="Q23" s="90">
        <v>2</v>
      </c>
      <c r="R23" s="90">
        <v>1</v>
      </c>
      <c r="S23" s="90">
        <v>1</v>
      </c>
      <c r="T23" s="90">
        <v>2</v>
      </c>
    </row>
    <row r="24" spans="1:20" ht="15">
      <c r="A24" s="95" t="s">
        <v>3618</v>
      </c>
      <c r="B24" s="186">
        <v>9</v>
      </c>
      <c r="C24" s="109"/>
      <c r="D24" s="99"/>
      <c r="E24" s="110"/>
      <c r="F24" s="243" t="s">
        <v>3619</v>
      </c>
      <c r="G24" s="239" t="s">
        <v>3620</v>
      </c>
      <c r="H24" s="122" t="s">
        <v>3621</v>
      </c>
      <c r="I24" s="243" t="s">
        <v>3622</v>
      </c>
      <c r="J24" s="243" t="s">
        <v>3623</v>
      </c>
      <c r="K24" s="243" t="s">
        <v>3624</v>
      </c>
      <c r="L24" s="247" t="s">
        <v>3625</v>
      </c>
      <c r="M24" s="243" t="s">
        <v>3626</v>
      </c>
      <c r="N24" s="247" t="s">
        <v>3627</v>
      </c>
      <c r="O24" s="243" t="s">
        <v>3628</v>
      </c>
      <c r="P24" s="247" t="s">
        <v>3629</v>
      </c>
      <c r="Q24" s="90">
        <v>1</v>
      </c>
      <c r="R24" s="90">
        <v>2</v>
      </c>
      <c r="S24" s="90">
        <v>2</v>
      </c>
      <c r="T24" s="90">
        <v>0</v>
      </c>
    </row>
    <row r="25" spans="1:20" ht="15">
      <c r="A25" s="95" t="s">
        <v>3630</v>
      </c>
      <c r="B25" s="186">
        <v>10</v>
      </c>
      <c r="C25" s="113" t="s">
        <v>3631</v>
      </c>
      <c r="D25" s="98" t="s">
        <v>3632</v>
      </c>
      <c r="E25" s="114" t="s">
        <v>3633</v>
      </c>
      <c r="F25" s="123"/>
      <c r="G25" s="94"/>
      <c r="H25" s="124"/>
      <c r="I25" s="243" t="s">
        <v>3634</v>
      </c>
      <c r="J25" s="243" t="s">
        <v>3635</v>
      </c>
      <c r="K25" s="243" t="s">
        <v>3636</v>
      </c>
      <c r="L25" s="247" t="s">
        <v>3637</v>
      </c>
      <c r="M25" s="243" t="s">
        <v>3638</v>
      </c>
      <c r="N25" s="247" t="s">
        <v>3639</v>
      </c>
      <c r="O25" s="243" t="s">
        <v>3640</v>
      </c>
      <c r="P25" s="247"/>
      <c r="Q25" s="90">
        <v>2</v>
      </c>
      <c r="R25" s="90">
        <v>1</v>
      </c>
      <c r="S25" s="90">
        <v>1</v>
      </c>
      <c r="T25" s="90">
        <v>2</v>
      </c>
    </row>
    <row r="26" spans="1:20" ht="15.75" thickBot="1">
      <c r="A26" s="92" t="s">
        <v>3641</v>
      </c>
      <c r="B26" s="91">
        <v>10</v>
      </c>
      <c r="C26" s="115"/>
      <c r="D26" s="116"/>
      <c r="E26" s="117"/>
      <c r="F26" s="244" t="s">
        <v>3642</v>
      </c>
      <c r="G26" s="125" t="s">
        <v>3643</v>
      </c>
      <c r="H26" s="126" t="s">
        <v>3644</v>
      </c>
      <c r="I26" s="244" t="s">
        <v>3645</v>
      </c>
      <c r="J26" s="244" t="s">
        <v>3646</v>
      </c>
      <c r="K26" s="243" t="s">
        <v>3647</v>
      </c>
      <c r="L26" s="247"/>
      <c r="M26" s="243" t="s">
        <v>3648</v>
      </c>
      <c r="N26" s="344" t="s">
        <v>6916</v>
      </c>
      <c r="O26" s="243" t="s">
        <v>3649</v>
      </c>
      <c r="P26" s="247" t="s">
        <v>3650</v>
      </c>
      <c r="Q26" s="90">
        <v>1</v>
      </c>
      <c r="R26" s="90">
        <v>2</v>
      </c>
      <c r="S26" s="90">
        <v>2</v>
      </c>
      <c r="T26" s="90">
        <v>0</v>
      </c>
    </row>
    <row r="27" spans="1:20" ht="15">
      <c r="Q27" s="186">
        <f t="shared" ref="Q27:R27" si="0">SUM(Q4:Q26)</f>
        <v>35</v>
      </c>
      <c r="R27" s="186">
        <f t="shared" si="0"/>
        <v>34</v>
      </c>
      <c r="S27" s="186">
        <f>SUM(S4:S26)</f>
        <v>34</v>
      </c>
      <c r="T27" s="186">
        <f>SUM(T4:T26)</f>
        <v>24</v>
      </c>
    </row>
  </sheetData>
  <mergeCells count="8">
    <mergeCell ref="O1:P2"/>
    <mergeCell ref="A1:A3"/>
    <mergeCell ref="C2:E2"/>
    <mergeCell ref="C1:H1"/>
    <mergeCell ref="F2:H2"/>
    <mergeCell ref="I1:J2"/>
    <mergeCell ref="K1:L2"/>
    <mergeCell ref="M1:N2"/>
  </mergeCells>
  <hyperlinks>
    <hyperlink ref="E4" r:id="rId1" xr:uid="{47A8BD4A-345D-4726-AD54-9DD2376A44B1}"/>
    <hyperlink ref="E6" r:id="rId2" xr:uid="{E6F7659A-7D25-44FD-A120-0A38C1F7FDBE}"/>
    <hyperlink ref="E8" r:id="rId3" xr:uid="{BD828826-959A-4F21-856B-EBA6D51E8F59}"/>
    <hyperlink ref="E11" r:id="rId4" xr:uid="{95EC4BF0-B0A2-4859-9666-BF281AC6A997}"/>
    <hyperlink ref="E13" r:id="rId5" xr:uid="{6F95C7E0-2348-4090-A203-4A18805BD584}"/>
    <hyperlink ref="E22" r:id="rId6" xr:uid="{91C6AB2C-9060-46CF-BF87-179144C89DC5}"/>
    <hyperlink ref="E23" r:id="rId7" xr:uid="{C2B18138-D89C-4213-82F9-A577A3AE3001}"/>
    <hyperlink ref="E9" r:id="rId8" xr:uid="{A0D72D9D-78E4-4595-AB6B-8B404D8B1FD1}"/>
    <hyperlink ref="E14" r:id="rId9" xr:uid="{3EEC5D3D-E595-4756-ABB2-D0EE16BF716F}"/>
    <hyperlink ref="E18" r:id="rId10" xr:uid="{96B93D97-DB99-4FC0-B49C-3DBD9C6C1E2A}"/>
    <hyperlink ref="E21" r:id="rId11" xr:uid="{9282E453-006C-4957-988F-4949A99C20EE}"/>
    <hyperlink ref="E25" r:id="rId12" xr:uid="{A4DAFB18-E829-436C-B2EE-896ED306AC0C}"/>
    <hyperlink ref="L19" r:id="rId13" xr:uid="{1E575731-076D-4743-9459-D770152C567E}"/>
    <hyperlink ref="L23" r:id="rId14" xr:uid="{907AC3DE-A673-44B1-B657-B0E4D895A30C}"/>
    <hyperlink ref="N8" r:id="rId15" xr:uid="{120A6FC8-BE26-4C98-937A-B2A0A622F6BE}"/>
    <hyperlink ref="N17" r:id="rId16" xr:uid="{EB6FF135-206B-45ED-8D4B-32C346CE17F9}"/>
    <hyperlink ref="N26" r:id="rId17" display="mailto:jusngamez@icloud.com" xr:uid="{2EAD4939-AA26-4A10-8119-9D13BAC49752}"/>
  </hyperlinks>
  <pageMargins left="0.7" right="0.7" top="0.75" bottom="0.75" header="0.3" footer="0.3"/>
  <pageSetup scale="52" fitToHeight="0" orientation="landscape"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AF423"/>
  <sheetViews>
    <sheetView tabSelected="1" zoomScale="70" zoomScaleNormal="70" workbookViewId="0">
      <selection activeCell="V16" sqref="V16"/>
    </sheetView>
  </sheetViews>
  <sheetFormatPr defaultColWidth="12.625" defaultRowHeight="15" customHeight="1"/>
  <cols>
    <col min="1" max="1" width="49.5" style="464" customWidth="1"/>
    <col min="2" max="4" width="12.625" style="464" customWidth="1"/>
    <col min="5" max="5" width="15.75" style="464" customWidth="1"/>
    <col min="6" max="6" width="39.875" style="464" customWidth="1"/>
    <col min="7" max="7" width="20" style="464" customWidth="1"/>
    <col min="8" max="8" width="15.5" style="464" customWidth="1"/>
    <col min="9" max="9" width="12.625" style="464"/>
    <col min="10" max="13" width="0" style="464" hidden="1" customWidth="1"/>
    <col min="14" max="14" width="14.75" style="465" hidden="1" customWidth="1"/>
    <col min="15" max="15" width="12.625" style="464"/>
    <col min="16" max="16" width="18.75" style="464" customWidth="1"/>
    <col min="17" max="17" width="13.5" style="464" hidden="1" customWidth="1"/>
    <col min="18" max="18" width="3.375" style="464" hidden="1" customWidth="1"/>
    <col min="19" max="19" width="16" style="464" hidden="1" customWidth="1"/>
    <col min="20" max="20" width="17.75" style="464" hidden="1" customWidth="1"/>
    <col min="21" max="21" width="0" style="464" hidden="1" customWidth="1"/>
    <col min="22" max="16384" width="12.625" style="464"/>
  </cols>
  <sheetData>
    <row r="1" spans="1:27" s="429" customFormat="1" ht="47.25">
      <c r="A1" s="424" t="s">
        <v>1224</v>
      </c>
      <c r="B1" s="424" t="s">
        <v>1225</v>
      </c>
      <c r="C1" s="424" t="s">
        <v>1228</v>
      </c>
      <c r="D1" s="424" t="s">
        <v>1246</v>
      </c>
      <c r="E1" s="424" t="s">
        <v>1247</v>
      </c>
      <c r="F1" s="424" t="s">
        <v>1248</v>
      </c>
      <c r="G1" s="424" t="s">
        <v>18</v>
      </c>
      <c r="H1" s="424" t="s">
        <v>1249</v>
      </c>
      <c r="I1" s="424" t="s">
        <v>1250</v>
      </c>
      <c r="J1" s="424" t="s">
        <v>10</v>
      </c>
      <c r="K1" s="425" t="s">
        <v>3651</v>
      </c>
      <c r="L1" s="425" t="s">
        <v>3652</v>
      </c>
      <c r="M1" s="425" t="s">
        <v>3653</v>
      </c>
      <c r="N1" s="425" t="s">
        <v>3654</v>
      </c>
      <c r="O1" s="426">
        <v>43991</v>
      </c>
      <c r="P1" s="427" t="s">
        <v>3655</v>
      </c>
      <c r="Q1" s="428" t="s">
        <v>3656</v>
      </c>
      <c r="R1" s="427"/>
      <c r="S1" s="427" t="s">
        <v>3657</v>
      </c>
      <c r="T1" s="425" t="s">
        <v>3658</v>
      </c>
    </row>
    <row r="2" spans="1:27" s="436" customFormat="1" ht="15.75">
      <c r="A2" s="430" t="s">
        <v>708</v>
      </c>
      <c r="B2" s="430" t="s">
        <v>3659</v>
      </c>
      <c r="C2" s="430" t="s">
        <v>1338</v>
      </c>
      <c r="D2" s="430" t="s">
        <v>2648</v>
      </c>
      <c r="E2" s="430" t="s">
        <v>2649</v>
      </c>
      <c r="F2" s="430" t="s">
        <v>1342</v>
      </c>
      <c r="G2" s="430" t="s">
        <v>18</v>
      </c>
      <c r="H2" s="430" t="s">
        <v>30</v>
      </c>
      <c r="I2" s="430">
        <v>150</v>
      </c>
      <c r="J2" s="430" t="s">
        <v>3659</v>
      </c>
      <c r="K2" s="431">
        <v>4.166666666666667</v>
      </c>
      <c r="L2" s="431">
        <v>4.916666666666667</v>
      </c>
      <c r="M2" s="432">
        <v>1</v>
      </c>
      <c r="N2" s="433">
        <v>1</v>
      </c>
      <c r="O2" s="434">
        <f>$O$1+N2</f>
        <v>43992</v>
      </c>
      <c r="P2" s="430" t="s">
        <v>3660</v>
      </c>
      <c r="Q2" s="435">
        <f>ROUNDUP(I2/$R$2,0)</f>
        <v>3</v>
      </c>
      <c r="R2" s="435">
        <v>50</v>
      </c>
      <c r="S2" s="436" t="s">
        <v>3661</v>
      </c>
      <c r="T2" s="436">
        <v>5</v>
      </c>
      <c r="U2" s="435"/>
      <c r="V2" s="435"/>
      <c r="W2" s="435"/>
      <c r="X2" s="435"/>
      <c r="Y2" s="435"/>
      <c r="Z2" s="435"/>
      <c r="AA2" s="435"/>
    </row>
    <row r="3" spans="1:27" s="436" customFormat="1" ht="15.75">
      <c r="A3" s="430" t="s">
        <v>761</v>
      </c>
      <c r="B3" s="430" t="s">
        <v>2027</v>
      </c>
      <c r="C3" s="430" t="s">
        <v>1338</v>
      </c>
      <c r="D3" s="430" t="s">
        <v>2771</v>
      </c>
      <c r="E3" s="430" t="s">
        <v>2772</v>
      </c>
      <c r="F3" s="430" t="s">
        <v>2773</v>
      </c>
      <c r="G3" s="430" t="s">
        <v>18</v>
      </c>
      <c r="H3" s="430" t="s">
        <v>30</v>
      </c>
      <c r="I3" s="430">
        <v>125</v>
      </c>
      <c r="J3" s="430" t="s">
        <v>3659</v>
      </c>
      <c r="K3" s="431">
        <v>3.4722222222222223</v>
      </c>
      <c r="L3" s="431">
        <v>4.2222222222222223</v>
      </c>
      <c r="M3" s="432"/>
      <c r="N3" s="435">
        <v>2</v>
      </c>
      <c r="O3" s="434">
        <f t="shared" ref="O3:O23" si="0">$O$1+N3</f>
        <v>43993</v>
      </c>
      <c r="P3" s="437" t="s">
        <v>3662</v>
      </c>
      <c r="Q3" s="435">
        <f t="shared" ref="Q3:Q42" si="1">ROUNDUP(I3/$R$2,0)</f>
        <v>3</v>
      </c>
    </row>
    <row r="4" spans="1:27" s="436" customFormat="1" ht="15.75">
      <c r="A4" s="430" t="s">
        <v>56</v>
      </c>
      <c r="B4" s="430" t="s">
        <v>1323</v>
      </c>
      <c r="C4" s="430" t="s">
        <v>1338</v>
      </c>
      <c r="D4" s="430" t="s">
        <v>1340</v>
      </c>
      <c r="E4" s="430" t="s">
        <v>1341</v>
      </c>
      <c r="F4" s="430" t="s">
        <v>1342</v>
      </c>
      <c r="G4" s="430" t="s">
        <v>18</v>
      </c>
      <c r="H4" s="430" t="s">
        <v>30</v>
      </c>
      <c r="I4" s="430">
        <v>85</v>
      </c>
      <c r="J4" s="430" t="s">
        <v>60</v>
      </c>
      <c r="K4" s="431">
        <v>2.3611111111111112</v>
      </c>
      <c r="L4" s="431">
        <v>3.1111111111111112</v>
      </c>
      <c r="M4" s="432"/>
      <c r="N4" s="433">
        <v>2</v>
      </c>
      <c r="O4" s="434">
        <f t="shared" si="0"/>
        <v>43993</v>
      </c>
      <c r="P4" s="437" t="s">
        <v>3663</v>
      </c>
      <c r="Q4" s="435">
        <f t="shared" si="1"/>
        <v>2</v>
      </c>
    </row>
    <row r="5" spans="1:27" s="436" customFormat="1" ht="15.75">
      <c r="A5" s="430" t="s">
        <v>328</v>
      </c>
      <c r="B5" s="430" t="s">
        <v>3659</v>
      </c>
      <c r="C5" s="430" t="s">
        <v>1881</v>
      </c>
      <c r="D5" s="430" t="s">
        <v>1883</v>
      </c>
      <c r="E5" s="430" t="s">
        <v>1884</v>
      </c>
      <c r="F5" s="430" t="s">
        <v>1885</v>
      </c>
      <c r="G5" s="430" t="s">
        <v>18</v>
      </c>
      <c r="H5" s="430" t="s">
        <v>30</v>
      </c>
      <c r="I5" s="430">
        <v>81</v>
      </c>
      <c r="J5" s="430" t="s">
        <v>3659</v>
      </c>
      <c r="K5" s="431">
        <v>2.25</v>
      </c>
      <c r="L5" s="431">
        <v>3</v>
      </c>
      <c r="M5" s="432"/>
      <c r="N5" s="433">
        <v>3</v>
      </c>
      <c r="O5" s="434">
        <f t="shared" si="0"/>
        <v>43994</v>
      </c>
      <c r="P5" s="437" t="s">
        <v>3664</v>
      </c>
      <c r="Q5" s="435">
        <f t="shared" si="1"/>
        <v>2</v>
      </c>
    </row>
    <row r="6" spans="1:27" s="436" customFormat="1" ht="15.75">
      <c r="A6" s="430" t="s">
        <v>1149</v>
      </c>
      <c r="B6" s="430" t="s">
        <v>1527</v>
      </c>
      <c r="C6" s="430" t="s">
        <v>1881</v>
      </c>
      <c r="D6" s="430" t="s">
        <v>3665</v>
      </c>
      <c r="E6" s="430" t="s">
        <v>3666</v>
      </c>
      <c r="F6" s="430" t="s">
        <v>3667</v>
      </c>
      <c r="G6" s="430" t="s">
        <v>18</v>
      </c>
      <c r="H6" s="430" t="s">
        <v>3665</v>
      </c>
      <c r="I6" s="430">
        <v>52</v>
      </c>
      <c r="J6" s="430"/>
      <c r="K6" s="431">
        <v>1.4444444444444444</v>
      </c>
      <c r="L6" s="431">
        <v>2.1944444444444446</v>
      </c>
      <c r="M6" s="432"/>
      <c r="N6" s="433">
        <v>3</v>
      </c>
      <c r="O6" s="434">
        <f t="shared" si="0"/>
        <v>43994</v>
      </c>
      <c r="P6" s="437" t="s">
        <v>3668</v>
      </c>
      <c r="Q6" s="435">
        <f t="shared" si="1"/>
        <v>2</v>
      </c>
    </row>
    <row r="7" spans="1:27" s="436" customFormat="1" ht="15.75">
      <c r="A7" s="430" t="s">
        <v>1634</v>
      </c>
      <c r="B7" s="430" t="s">
        <v>1312</v>
      </c>
      <c r="C7" s="430" t="s">
        <v>1375</v>
      </c>
      <c r="D7" s="430" t="s">
        <v>1637</v>
      </c>
      <c r="E7" s="430" t="s">
        <v>1638</v>
      </c>
      <c r="F7" s="430" t="s">
        <v>1639</v>
      </c>
      <c r="G7" s="430" t="s">
        <v>18</v>
      </c>
      <c r="H7" s="430" t="s">
        <v>1298</v>
      </c>
      <c r="I7" s="430">
        <v>136</v>
      </c>
      <c r="J7" s="430" t="s">
        <v>3659</v>
      </c>
      <c r="K7" s="431">
        <v>3.7777777777777777</v>
      </c>
      <c r="L7" s="431">
        <v>4.5277777777777777</v>
      </c>
      <c r="M7" s="432"/>
      <c r="N7" s="433">
        <v>4</v>
      </c>
      <c r="O7" s="434">
        <f t="shared" si="0"/>
        <v>43995</v>
      </c>
      <c r="P7" s="437" t="s">
        <v>3660</v>
      </c>
      <c r="Q7" s="435">
        <f t="shared" si="1"/>
        <v>3</v>
      </c>
    </row>
    <row r="8" spans="1:27" s="436" customFormat="1" ht="15.75">
      <c r="A8" s="430" t="s">
        <v>2312</v>
      </c>
      <c r="B8" s="430" t="s">
        <v>343</v>
      </c>
      <c r="C8" s="430" t="s">
        <v>1375</v>
      </c>
      <c r="D8" s="430" t="s">
        <v>2313</v>
      </c>
      <c r="E8" s="430" t="s">
        <v>2314</v>
      </c>
      <c r="F8" s="430" t="s">
        <v>1639</v>
      </c>
      <c r="G8" s="430" t="s">
        <v>18</v>
      </c>
      <c r="H8" s="430" t="s">
        <v>1298</v>
      </c>
      <c r="I8" s="430">
        <v>122</v>
      </c>
      <c r="J8" s="430" t="s">
        <v>3659</v>
      </c>
      <c r="K8" s="431">
        <v>3.3888888888888888</v>
      </c>
      <c r="L8" s="431">
        <v>4.1388888888888893</v>
      </c>
      <c r="M8" s="432"/>
      <c r="N8" s="435">
        <v>4</v>
      </c>
      <c r="O8" s="434">
        <f t="shared" si="0"/>
        <v>43995</v>
      </c>
      <c r="P8" s="437" t="s">
        <v>3669</v>
      </c>
      <c r="Q8" s="435">
        <f t="shared" si="1"/>
        <v>3</v>
      </c>
    </row>
    <row r="9" spans="1:27" s="436" customFormat="1" ht="15.75">
      <c r="A9" s="430" t="s">
        <v>1957</v>
      </c>
      <c r="B9" s="430" t="s">
        <v>1903</v>
      </c>
      <c r="C9" s="430" t="s">
        <v>1375</v>
      </c>
      <c r="D9" s="430" t="s">
        <v>1959</v>
      </c>
      <c r="E9" s="430" t="s">
        <v>1960</v>
      </c>
      <c r="F9" s="430" t="s">
        <v>1961</v>
      </c>
      <c r="G9" s="430" t="s">
        <v>18</v>
      </c>
      <c r="H9" s="430" t="s">
        <v>1298</v>
      </c>
      <c r="I9" s="430">
        <v>125</v>
      </c>
      <c r="J9" s="430" t="s">
        <v>3659</v>
      </c>
      <c r="K9" s="431">
        <v>3.4722222222222223</v>
      </c>
      <c r="L9" s="431">
        <v>4.2222222222222223</v>
      </c>
      <c r="M9" s="432"/>
      <c r="N9" s="433">
        <v>6</v>
      </c>
      <c r="O9" s="434">
        <f t="shared" si="0"/>
        <v>43997</v>
      </c>
      <c r="P9" s="430" t="s">
        <v>3662</v>
      </c>
      <c r="Q9" s="435">
        <f t="shared" si="1"/>
        <v>3</v>
      </c>
      <c r="R9" s="435"/>
      <c r="S9" s="435"/>
      <c r="T9" s="435"/>
      <c r="U9" s="435"/>
      <c r="V9" s="435"/>
      <c r="W9" s="435"/>
      <c r="X9" s="435"/>
      <c r="Y9" s="435"/>
      <c r="Z9" s="435"/>
      <c r="AA9" s="435"/>
    </row>
    <row r="10" spans="1:27" s="436" customFormat="1" ht="15.75">
      <c r="A10" s="430" t="s">
        <v>551</v>
      </c>
      <c r="B10" s="430" t="s">
        <v>3659</v>
      </c>
      <c r="C10" s="430" t="s">
        <v>1375</v>
      </c>
      <c r="D10" s="430" t="s">
        <v>2300</v>
      </c>
      <c r="E10" s="430" t="s">
        <v>2301</v>
      </c>
      <c r="F10" s="430" t="s">
        <v>1961</v>
      </c>
      <c r="G10" s="430" t="s">
        <v>18</v>
      </c>
      <c r="H10" s="430" t="s">
        <v>30</v>
      </c>
      <c r="I10" s="430">
        <v>120</v>
      </c>
      <c r="J10" s="430" t="s">
        <v>3659</v>
      </c>
      <c r="K10" s="431">
        <v>3.3333333333333335</v>
      </c>
      <c r="L10" s="431">
        <v>4.0833333333333339</v>
      </c>
      <c r="M10" s="432"/>
      <c r="N10" s="433">
        <v>6</v>
      </c>
      <c r="O10" s="434">
        <f t="shared" si="0"/>
        <v>43997</v>
      </c>
      <c r="P10" s="437" t="s">
        <v>3663</v>
      </c>
      <c r="Q10" s="435">
        <f t="shared" si="1"/>
        <v>3</v>
      </c>
    </row>
    <row r="11" spans="1:27" s="436" customFormat="1" ht="15.75">
      <c r="A11" s="430" t="s">
        <v>239</v>
      </c>
      <c r="B11" s="430" t="s">
        <v>1624</v>
      </c>
      <c r="C11" s="430" t="s">
        <v>1375</v>
      </c>
      <c r="D11" s="430" t="s">
        <v>1690</v>
      </c>
      <c r="E11" s="430" t="s">
        <v>1691</v>
      </c>
      <c r="F11" s="430" t="s">
        <v>1692</v>
      </c>
      <c r="G11" s="430" t="s">
        <v>18</v>
      </c>
      <c r="H11" s="430" t="s">
        <v>30</v>
      </c>
      <c r="I11" s="430">
        <v>10</v>
      </c>
      <c r="J11" s="430" t="s">
        <v>243</v>
      </c>
      <c r="K11" s="431">
        <v>0.27777777777777779</v>
      </c>
      <c r="L11" s="431">
        <v>1.0277777777777777</v>
      </c>
      <c r="M11" s="432"/>
      <c r="N11" s="433">
        <v>7</v>
      </c>
      <c r="O11" s="434">
        <f t="shared" si="0"/>
        <v>43998</v>
      </c>
      <c r="P11" s="437" t="s">
        <v>3670</v>
      </c>
      <c r="Q11" s="435">
        <f t="shared" si="1"/>
        <v>1</v>
      </c>
    </row>
    <row r="12" spans="1:27" s="436" customFormat="1" ht="15.75">
      <c r="A12" s="430" t="s">
        <v>3028</v>
      </c>
      <c r="B12" s="430" t="s">
        <v>3021</v>
      </c>
      <c r="C12" s="430" t="s">
        <v>1375</v>
      </c>
      <c r="D12" s="430" t="s">
        <v>3030</v>
      </c>
      <c r="E12" s="430" t="s">
        <v>3031</v>
      </c>
      <c r="F12" s="430" t="s">
        <v>1780</v>
      </c>
      <c r="G12" s="430" t="s">
        <v>18</v>
      </c>
      <c r="H12" s="430" t="s">
        <v>30</v>
      </c>
      <c r="I12" s="430">
        <v>200</v>
      </c>
      <c r="J12" s="430" t="s">
        <v>3671</v>
      </c>
      <c r="K12" s="431">
        <v>5.5555555555555554</v>
      </c>
      <c r="L12" s="431">
        <v>6.3055555555555554</v>
      </c>
      <c r="M12" s="432"/>
      <c r="N12" s="433">
        <v>7</v>
      </c>
      <c r="O12" s="434">
        <f t="shared" si="0"/>
        <v>43998</v>
      </c>
      <c r="P12" s="437" t="s">
        <v>3672</v>
      </c>
      <c r="Q12" s="435">
        <f t="shared" si="1"/>
        <v>4</v>
      </c>
    </row>
    <row r="13" spans="1:27" s="436" customFormat="1" ht="15.75">
      <c r="A13" s="430" t="s">
        <v>270</v>
      </c>
      <c r="B13" s="430" t="s">
        <v>3659</v>
      </c>
      <c r="C13" s="430" t="s">
        <v>1375</v>
      </c>
      <c r="D13" s="430" t="s">
        <v>1778</v>
      </c>
      <c r="E13" s="430" t="s">
        <v>1779</v>
      </c>
      <c r="F13" s="430" t="s">
        <v>1780</v>
      </c>
      <c r="G13" s="430" t="s">
        <v>18</v>
      </c>
      <c r="H13" s="430" t="s">
        <v>30</v>
      </c>
      <c r="I13" s="430">
        <v>80</v>
      </c>
      <c r="J13" s="430" t="s">
        <v>3659</v>
      </c>
      <c r="K13" s="431">
        <v>2.2222222222222223</v>
      </c>
      <c r="L13" s="431">
        <v>2.9722222222222223</v>
      </c>
      <c r="M13" s="432"/>
      <c r="N13" s="433">
        <v>8</v>
      </c>
      <c r="O13" s="434">
        <f t="shared" si="0"/>
        <v>43999</v>
      </c>
      <c r="P13" s="437" t="s">
        <v>3664</v>
      </c>
      <c r="Q13" s="435">
        <f t="shared" si="1"/>
        <v>2</v>
      </c>
    </row>
    <row r="14" spans="1:27" s="436" customFormat="1" ht="15.75">
      <c r="A14" s="430" t="s">
        <v>2968</v>
      </c>
      <c r="B14" s="430" t="s">
        <v>2329</v>
      </c>
      <c r="C14" s="430" t="s">
        <v>1375</v>
      </c>
      <c r="D14" s="430" t="s">
        <v>3673</v>
      </c>
      <c r="E14" s="430" t="s">
        <v>2969</v>
      </c>
      <c r="F14" s="430" t="s">
        <v>3674</v>
      </c>
      <c r="G14" s="430" t="s">
        <v>18</v>
      </c>
      <c r="H14" s="430" t="s">
        <v>30</v>
      </c>
      <c r="I14" s="430">
        <v>300</v>
      </c>
      <c r="J14" s="430" t="s">
        <v>3659</v>
      </c>
      <c r="K14" s="431">
        <v>8.3333333333333339</v>
      </c>
      <c r="L14" s="431">
        <v>9.0833333333333339</v>
      </c>
      <c r="M14" s="432"/>
      <c r="N14" s="433">
        <v>8</v>
      </c>
      <c r="O14" s="434">
        <f t="shared" si="0"/>
        <v>43999</v>
      </c>
      <c r="P14" s="437" t="s">
        <v>3675</v>
      </c>
      <c r="Q14" s="435">
        <f t="shared" si="1"/>
        <v>6</v>
      </c>
    </row>
    <row r="15" spans="1:27" s="436" customFormat="1" ht="15.75">
      <c r="A15" s="430" t="s">
        <v>1075</v>
      </c>
      <c r="B15" s="430" t="s">
        <v>3659</v>
      </c>
      <c r="C15" s="430" t="s">
        <v>1375</v>
      </c>
      <c r="D15" s="430" t="s">
        <v>1750</v>
      </c>
      <c r="E15" s="430" t="s">
        <v>1751</v>
      </c>
      <c r="F15" s="430" t="s">
        <v>1692</v>
      </c>
      <c r="G15" s="430" t="s">
        <v>18</v>
      </c>
      <c r="H15" s="430" t="s">
        <v>3665</v>
      </c>
      <c r="I15" s="430">
        <v>175</v>
      </c>
      <c r="J15" s="430"/>
      <c r="K15" s="431">
        <v>4.8611111111111107</v>
      </c>
      <c r="L15" s="431">
        <v>5.6111111111111107</v>
      </c>
      <c r="M15" s="432"/>
      <c r="N15" s="433">
        <v>9</v>
      </c>
      <c r="O15" s="434">
        <f t="shared" si="0"/>
        <v>44000</v>
      </c>
      <c r="P15" s="430" t="s">
        <v>3676</v>
      </c>
      <c r="Q15" s="435">
        <f t="shared" si="1"/>
        <v>4</v>
      </c>
      <c r="R15" s="435"/>
      <c r="S15" s="435"/>
      <c r="T15" s="435"/>
      <c r="U15" s="435"/>
      <c r="V15" s="435"/>
      <c r="W15" s="435"/>
      <c r="X15" s="435"/>
      <c r="Y15" s="435"/>
      <c r="Z15" s="435"/>
      <c r="AA15" s="435"/>
    </row>
    <row r="16" spans="1:27" s="436" customFormat="1" ht="15.75">
      <c r="A16" s="430" t="s">
        <v>1170</v>
      </c>
      <c r="B16" s="430" t="s">
        <v>3659</v>
      </c>
      <c r="C16" s="430" t="s">
        <v>1375</v>
      </c>
      <c r="D16" s="430" t="s">
        <v>2938</v>
      </c>
      <c r="E16" s="430" t="s">
        <v>2939</v>
      </c>
      <c r="F16" s="430" t="s">
        <v>1961</v>
      </c>
      <c r="G16" s="430" t="s">
        <v>18</v>
      </c>
      <c r="H16" s="430" t="s">
        <v>3665</v>
      </c>
      <c r="I16" s="430">
        <v>150</v>
      </c>
      <c r="J16" s="430"/>
      <c r="K16" s="431">
        <v>4.166666666666667</v>
      </c>
      <c r="L16" s="431">
        <v>4.916666666666667</v>
      </c>
      <c r="M16" s="432"/>
      <c r="N16" s="435">
        <v>9</v>
      </c>
      <c r="O16" s="434">
        <f t="shared" si="0"/>
        <v>44000</v>
      </c>
      <c r="P16" s="437" t="s">
        <v>3677</v>
      </c>
      <c r="Q16" s="435">
        <f t="shared" si="1"/>
        <v>3</v>
      </c>
    </row>
    <row r="17" spans="1:27" s="436" customFormat="1" ht="15.75">
      <c r="A17" s="430" t="s">
        <v>724</v>
      </c>
      <c r="B17" s="430" t="s">
        <v>3659</v>
      </c>
      <c r="C17" s="430" t="s">
        <v>1375</v>
      </c>
      <c r="D17" s="430" t="s">
        <v>2685</v>
      </c>
      <c r="E17" s="430" t="s">
        <v>2686</v>
      </c>
      <c r="F17" s="430" t="s">
        <v>2687</v>
      </c>
      <c r="G17" s="430" t="s">
        <v>18</v>
      </c>
      <c r="H17" s="430" t="s">
        <v>30</v>
      </c>
      <c r="I17" s="430">
        <v>150</v>
      </c>
      <c r="J17" s="430" t="s">
        <v>3659</v>
      </c>
      <c r="K17" s="431">
        <v>4.166666666666667</v>
      </c>
      <c r="L17" s="431">
        <v>4.916666666666667</v>
      </c>
      <c r="M17" s="432"/>
      <c r="N17" s="433">
        <v>10</v>
      </c>
      <c r="O17" s="434">
        <f t="shared" si="0"/>
        <v>44001</v>
      </c>
      <c r="P17" s="437" t="s">
        <v>3660</v>
      </c>
      <c r="Q17" s="435">
        <f t="shared" si="1"/>
        <v>3</v>
      </c>
    </row>
    <row r="18" spans="1:27" s="436" customFormat="1" ht="15.75">
      <c r="A18" s="430" t="s">
        <v>1207</v>
      </c>
      <c r="B18" s="430" t="s">
        <v>3659</v>
      </c>
      <c r="C18" s="430" t="s">
        <v>1375</v>
      </c>
      <c r="D18" s="430" t="s">
        <v>2767</v>
      </c>
      <c r="E18" s="430" t="s">
        <v>2768</v>
      </c>
      <c r="F18" s="430" t="s">
        <v>2604</v>
      </c>
      <c r="G18" s="430" t="s">
        <v>18</v>
      </c>
      <c r="H18" s="430" t="s">
        <v>3665</v>
      </c>
      <c r="I18" s="430">
        <v>130</v>
      </c>
      <c r="J18" s="430"/>
      <c r="K18" s="431">
        <v>3.6111111111111112</v>
      </c>
      <c r="L18" s="431">
        <v>4.3611111111111107</v>
      </c>
      <c r="M18" s="432"/>
      <c r="N18" s="433">
        <v>10</v>
      </c>
      <c r="O18" s="434">
        <f t="shared" si="0"/>
        <v>44001</v>
      </c>
      <c r="P18" s="430" t="s">
        <v>3678</v>
      </c>
      <c r="Q18" s="435">
        <f t="shared" si="1"/>
        <v>3</v>
      </c>
      <c r="R18" s="435"/>
      <c r="S18" s="435"/>
      <c r="T18" s="435"/>
      <c r="U18" s="435"/>
      <c r="V18" s="435"/>
      <c r="W18" s="435"/>
      <c r="X18" s="435"/>
      <c r="Y18" s="435"/>
      <c r="Z18" s="435"/>
      <c r="AA18" s="435"/>
    </row>
    <row r="19" spans="1:27" s="436" customFormat="1" ht="15.75">
      <c r="A19" s="430" t="s">
        <v>1106</v>
      </c>
      <c r="B19" s="430" t="s">
        <v>3659</v>
      </c>
      <c r="C19" s="430" t="s">
        <v>1375</v>
      </c>
      <c r="D19" s="430" t="s">
        <v>2913</v>
      </c>
      <c r="E19" s="430" t="s">
        <v>2914</v>
      </c>
      <c r="F19" s="430" t="s">
        <v>2915</v>
      </c>
      <c r="G19" s="430" t="s">
        <v>18</v>
      </c>
      <c r="H19" s="430" t="s">
        <v>3665</v>
      </c>
      <c r="I19" s="430">
        <v>110</v>
      </c>
      <c r="J19" s="430"/>
      <c r="K19" s="431">
        <v>3.0555555555555554</v>
      </c>
      <c r="L19" s="431">
        <v>3.8055555555555554</v>
      </c>
      <c r="M19" s="432"/>
      <c r="N19" s="435">
        <v>11</v>
      </c>
      <c r="O19" s="434">
        <f t="shared" si="0"/>
        <v>44002</v>
      </c>
      <c r="P19" s="437" t="s">
        <v>3679</v>
      </c>
      <c r="Q19" s="435">
        <f t="shared" si="1"/>
        <v>3</v>
      </c>
    </row>
    <row r="20" spans="1:27" s="436" customFormat="1" ht="15.75">
      <c r="A20" s="430" t="s">
        <v>1178</v>
      </c>
      <c r="B20" s="430" t="s">
        <v>1323</v>
      </c>
      <c r="C20" s="430" t="s">
        <v>1375</v>
      </c>
      <c r="D20" s="430" t="s">
        <v>3680</v>
      </c>
      <c r="E20" s="430" t="s">
        <v>1376</v>
      </c>
      <c r="F20" s="430" t="s">
        <v>3681</v>
      </c>
      <c r="G20" s="430" t="s">
        <v>18</v>
      </c>
      <c r="H20" s="430" t="s">
        <v>3665</v>
      </c>
      <c r="I20" s="430">
        <v>105</v>
      </c>
      <c r="J20" s="430"/>
      <c r="K20" s="431">
        <v>2.9166666666666665</v>
      </c>
      <c r="L20" s="431">
        <v>3.6666666666666665</v>
      </c>
      <c r="M20" s="432"/>
      <c r="N20" s="433">
        <v>11</v>
      </c>
      <c r="O20" s="434">
        <f t="shared" si="0"/>
        <v>44002</v>
      </c>
      <c r="P20" s="437" t="s">
        <v>3682</v>
      </c>
      <c r="Q20" s="435">
        <f t="shared" si="1"/>
        <v>3</v>
      </c>
    </row>
    <row r="21" spans="1:27" s="436" customFormat="1" ht="15.75">
      <c r="A21" s="430" t="s">
        <v>2462</v>
      </c>
      <c r="B21" s="430" t="s">
        <v>2423</v>
      </c>
      <c r="C21" s="430" t="s">
        <v>1375</v>
      </c>
      <c r="D21" s="430" t="s">
        <v>2464</v>
      </c>
      <c r="E21" s="430" t="s">
        <v>2465</v>
      </c>
      <c r="F21" s="430" t="s">
        <v>2466</v>
      </c>
      <c r="G21" s="430" t="s">
        <v>18</v>
      </c>
      <c r="H21" s="430" t="s">
        <v>1298</v>
      </c>
      <c r="I21" s="430">
        <v>75</v>
      </c>
      <c r="J21" s="430" t="s">
        <v>3659</v>
      </c>
      <c r="K21" s="431">
        <v>2.0833333333333335</v>
      </c>
      <c r="L21" s="431">
        <v>2.8333333333333335</v>
      </c>
      <c r="M21" s="432"/>
      <c r="N21" s="433">
        <v>13</v>
      </c>
      <c r="O21" s="434">
        <f t="shared" si="0"/>
        <v>44004</v>
      </c>
      <c r="P21" s="437" t="s">
        <v>3664</v>
      </c>
      <c r="Q21" s="435">
        <f t="shared" si="1"/>
        <v>2</v>
      </c>
    </row>
    <row r="22" spans="1:27" s="436" customFormat="1" ht="15.75">
      <c r="A22" s="430" t="s">
        <v>378</v>
      </c>
      <c r="B22" s="430" t="s">
        <v>2027</v>
      </c>
      <c r="C22" s="430" t="s">
        <v>1375</v>
      </c>
      <c r="D22" s="430" t="s">
        <v>2069</v>
      </c>
      <c r="E22" s="430" t="s">
        <v>2070</v>
      </c>
      <c r="F22" s="430" t="s">
        <v>2071</v>
      </c>
      <c r="G22" s="430" t="s">
        <v>18</v>
      </c>
      <c r="H22" s="430" t="s">
        <v>30</v>
      </c>
      <c r="I22" s="430">
        <v>100</v>
      </c>
      <c r="J22" s="430" t="s">
        <v>3659</v>
      </c>
      <c r="K22" s="431">
        <v>2.7777777777777777</v>
      </c>
      <c r="L22" s="431">
        <v>3.5277777777777777</v>
      </c>
      <c r="M22" s="432"/>
      <c r="N22" s="433">
        <v>13</v>
      </c>
      <c r="O22" s="434">
        <f t="shared" si="0"/>
        <v>44004</v>
      </c>
      <c r="P22" s="430" t="s">
        <v>3683</v>
      </c>
      <c r="Q22" s="435">
        <f t="shared" si="1"/>
        <v>2</v>
      </c>
      <c r="R22" s="435"/>
      <c r="S22" s="435"/>
      <c r="T22" s="435"/>
      <c r="U22" s="435"/>
      <c r="V22" s="435"/>
      <c r="W22" s="435"/>
      <c r="X22" s="435"/>
      <c r="Y22" s="435"/>
      <c r="Z22" s="435"/>
      <c r="AA22" s="435"/>
    </row>
    <row r="23" spans="1:27" s="436" customFormat="1" ht="15.75">
      <c r="A23" s="430" t="s">
        <v>508</v>
      </c>
      <c r="B23" s="430" t="s">
        <v>3659</v>
      </c>
      <c r="C23" s="430" t="s">
        <v>1375</v>
      </c>
      <c r="D23" s="430" t="s">
        <v>2258</v>
      </c>
      <c r="E23" s="430" t="s">
        <v>2259</v>
      </c>
      <c r="F23" s="430" t="s">
        <v>2260</v>
      </c>
      <c r="G23" s="430" t="s">
        <v>18</v>
      </c>
      <c r="H23" s="430" t="s">
        <v>30</v>
      </c>
      <c r="I23" s="430">
        <v>100</v>
      </c>
      <c r="J23" s="430" t="s">
        <v>3659</v>
      </c>
      <c r="K23" s="431">
        <v>2.7777777777777777</v>
      </c>
      <c r="L23" s="431">
        <v>3.5277777777777777</v>
      </c>
      <c r="M23" s="432"/>
      <c r="N23" s="433">
        <v>13</v>
      </c>
      <c r="O23" s="434">
        <f t="shared" si="0"/>
        <v>44004</v>
      </c>
      <c r="P23" s="437" t="s">
        <v>3684</v>
      </c>
      <c r="Q23" s="435">
        <f t="shared" si="1"/>
        <v>2</v>
      </c>
    </row>
    <row r="24" spans="1:27" s="445" customFormat="1" ht="15.75">
      <c r="A24" s="438" t="s">
        <v>2863</v>
      </c>
      <c r="B24" s="438" t="s">
        <v>3659</v>
      </c>
      <c r="C24" s="438" t="s">
        <v>1375</v>
      </c>
      <c r="D24" s="438" t="s">
        <v>2865</v>
      </c>
      <c r="E24" s="438" t="s">
        <v>2866</v>
      </c>
      <c r="F24" s="438" t="s">
        <v>2466</v>
      </c>
      <c r="G24" s="438" t="s">
        <v>18</v>
      </c>
      <c r="H24" s="438" t="s">
        <v>30</v>
      </c>
      <c r="I24" s="438">
        <v>140</v>
      </c>
      <c r="J24" s="438" t="s">
        <v>3665</v>
      </c>
      <c r="K24" s="439">
        <v>3.8888888888888888</v>
      </c>
      <c r="L24" s="439">
        <v>4.6388888888888893</v>
      </c>
      <c r="M24" s="440">
        <v>2</v>
      </c>
      <c r="N24" s="441">
        <v>1</v>
      </c>
      <c r="O24" s="442">
        <f>$O$1+N24</f>
        <v>43992</v>
      </c>
      <c r="P24" s="443" t="s">
        <v>3660</v>
      </c>
      <c r="Q24" s="444">
        <f t="shared" si="1"/>
        <v>3</v>
      </c>
      <c r="S24" s="444" t="s">
        <v>3661</v>
      </c>
      <c r="T24" s="444">
        <v>4</v>
      </c>
    </row>
    <row r="25" spans="1:27" s="445" customFormat="1" ht="15.75">
      <c r="A25" s="438" t="s">
        <v>1938</v>
      </c>
      <c r="B25" s="438" t="s">
        <v>1903</v>
      </c>
      <c r="C25" s="438" t="s">
        <v>1267</v>
      </c>
      <c r="D25" s="438" t="s">
        <v>1941</v>
      </c>
      <c r="E25" s="438" t="s">
        <v>1942</v>
      </c>
      <c r="F25" s="438" t="s">
        <v>1943</v>
      </c>
      <c r="G25" s="438" t="s">
        <v>18</v>
      </c>
      <c r="H25" s="438" t="s">
        <v>1298</v>
      </c>
      <c r="I25" s="438">
        <v>138</v>
      </c>
      <c r="J25" s="438" t="s">
        <v>3659</v>
      </c>
      <c r="K25" s="439">
        <v>3.8333333333333335</v>
      </c>
      <c r="L25" s="439">
        <v>4.5833333333333339</v>
      </c>
      <c r="M25" s="439"/>
      <c r="N25" s="441">
        <v>2</v>
      </c>
      <c r="O25" s="442">
        <f t="shared" ref="O25:O37" si="2">$O$1+N25</f>
        <v>43993</v>
      </c>
      <c r="P25" s="438" t="s">
        <v>3660</v>
      </c>
      <c r="Q25" s="444">
        <f t="shared" si="1"/>
        <v>3</v>
      </c>
      <c r="R25" s="444"/>
      <c r="U25" s="444"/>
      <c r="V25" s="444"/>
      <c r="W25" s="444"/>
      <c r="X25" s="444"/>
      <c r="Y25" s="444"/>
      <c r="Z25" s="444"/>
      <c r="AA25" s="444"/>
    </row>
    <row r="26" spans="1:27" s="445" customFormat="1" ht="15.75">
      <c r="A26" s="438" t="s">
        <v>26</v>
      </c>
      <c r="B26" s="438" t="s">
        <v>1265</v>
      </c>
      <c r="C26" s="438" t="s">
        <v>1267</v>
      </c>
      <c r="D26" s="438" t="s">
        <v>1271</v>
      </c>
      <c r="E26" s="438" t="s">
        <v>1272</v>
      </c>
      <c r="F26" s="438" t="s">
        <v>1273</v>
      </c>
      <c r="G26" s="438" t="s">
        <v>18</v>
      </c>
      <c r="H26" s="438" t="s">
        <v>30</v>
      </c>
      <c r="I26" s="438">
        <v>100</v>
      </c>
      <c r="J26" s="438" t="s">
        <v>3659</v>
      </c>
      <c r="K26" s="439">
        <v>2.7777777777777777</v>
      </c>
      <c r="L26" s="439">
        <v>3.5277777777777777</v>
      </c>
      <c r="M26" s="439"/>
      <c r="N26" s="441">
        <v>2</v>
      </c>
      <c r="O26" s="442">
        <f t="shared" si="2"/>
        <v>43993</v>
      </c>
      <c r="P26" s="443" t="s">
        <v>3685</v>
      </c>
      <c r="Q26" s="444">
        <f t="shared" si="1"/>
        <v>2</v>
      </c>
    </row>
    <row r="27" spans="1:27" s="445" customFormat="1" ht="15.75">
      <c r="A27" s="438" t="s">
        <v>2506</v>
      </c>
      <c r="B27" s="438" t="s">
        <v>2423</v>
      </c>
      <c r="C27" s="438" t="s">
        <v>1267</v>
      </c>
      <c r="D27" s="438" t="s">
        <v>2507</v>
      </c>
      <c r="E27" s="438" t="s">
        <v>2508</v>
      </c>
      <c r="F27" s="438" t="s">
        <v>1943</v>
      </c>
      <c r="G27" s="438" t="s">
        <v>18</v>
      </c>
      <c r="H27" s="438" t="s">
        <v>1298</v>
      </c>
      <c r="I27" s="438">
        <v>95</v>
      </c>
      <c r="J27" s="438" t="s">
        <v>3659</v>
      </c>
      <c r="K27" s="439">
        <v>2.6388888888888888</v>
      </c>
      <c r="L27" s="439">
        <v>3.3888888888888888</v>
      </c>
      <c r="M27" s="439"/>
      <c r="N27" s="441">
        <v>3</v>
      </c>
      <c r="O27" s="442">
        <f t="shared" si="2"/>
        <v>43994</v>
      </c>
      <c r="P27" s="443" t="s">
        <v>3679</v>
      </c>
      <c r="Q27" s="444">
        <f t="shared" si="1"/>
        <v>2</v>
      </c>
    </row>
    <row r="28" spans="1:27" s="445" customFormat="1" ht="15.75">
      <c r="A28" s="438" t="s">
        <v>230</v>
      </c>
      <c r="B28" s="438" t="s">
        <v>1624</v>
      </c>
      <c r="C28" s="438" t="s">
        <v>1267</v>
      </c>
      <c r="D28" s="438" t="s">
        <v>1658</v>
      </c>
      <c r="E28" s="438" t="s">
        <v>1659</v>
      </c>
      <c r="F28" s="438" t="s">
        <v>1273</v>
      </c>
      <c r="G28" s="438" t="s">
        <v>18</v>
      </c>
      <c r="H28" s="438" t="s">
        <v>19</v>
      </c>
      <c r="I28" s="438">
        <v>50</v>
      </c>
      <c r="J28" s="438" t="s">
        <v>3659</v>
      </c>
      <c r="K28" s="439">
        <v>1.3888888888888888</v>
      </c>
      <c r="L28" s="439">
        <v>2.1388888888888888</v>
      </c>
      <c r="M28" s="439"/>
      <c r="N28" s="441">
        <v>3</v>
      </c>
      <c r="O28" s="442">
        <f t="shared" si="2"/>
        <v>43994</v>
      </c>
      <c r="P28" s="443" t="s">
        <v>3686</v>
      </c>
      <c r="Q28" s="444">
        <f t="shared" si="1"/>
        <v>1</v>
      </c>
    </row>
    <row r="29" spans="1:27" s="445" customFormat="1" ht="15.75">
      <c r="A29" s="438" t="s">
        <v>1082</v>
      </c>
      <c r="B29" s="438" t="s">
        <v>3021</v>
      </c>
      <c r="C29" s="438" t="s">
        <v>1267</v>
      </c>
      <c r="D29" s="438" t="s">
        <v>3024</v>
      </c>
      <c r="E29" s="438" t="s">
        <v>3025</v>
      </c>
      <c r="F29" s="438" t="s">
        <v>1273</v>
      </c>
      <c r="G29" s="438" t="s">
        <v>18</v>
      </c>
      <c r="H29" s="438" t="s">
        <v>3665</v>
      </c>
      <c r="I29" s="438">
        <v>150</v>
      </c>
      <c r="J29" s="438"/>
      <c r="K29" s="439">
        <v>4.166666666666667</v>
      </c>
      <c r="L29" s="439">
        <v>4.916666666666667</v>
      </c>
      <c r="M29" s="439"/>
      <c r="N29" s="441">
        <v>4</v>
      </c>
      <c r="O29" s="442">
        <f t="shared" si="2"/>
        <v>43995</v>
      </c>
      <c r="P29" s="443" t="s">
        <v>3660</v>
      </c>
      <c r="Q29" s="444">
        <f t="shared" si="1"/>
        <v>3</v>
      </c>
    </row>
    <row r="30" spans="1:27" s="445" customFormat="1" ht="15.75">
      <c r="A30" s="438" t="s">
        <v>3103</v>
      </c>
      <c r="B30" s="438" t="s">
        <v>343</v>
      </c>
      <c r="C30" s="438" t="s">
        <v>1267</v>
      </c>
      <c r="D30" s="438" t="s">
        <v>3104</v>
      </c>
      <c r="E30" s="438" t="s">
        <v>3105</v>
      </c>
      <c r="F30" s="438" t="s">
        <v>1450</v>
      </c>
      <c r="G30" s="438" t="s">
        <v>18</v>
      </c>
      <c r="H30" s="438" t="s">
        <v>1298</v>
      </c>
      <c r="I30" s="438">
        <v>239</v>
      </c>
      <c r="J30" s="438" t="s">
        <v>3659</v>
      </c>
      <c r="K30" s="439">
        <v>6.6388888888888893</v>
      </c>
      <c r="L30" s="439">
        <v>7.3888888888888893</v>
      </c>
      <c r="M30" s="439"/>
      <c r="N30" s="441">
        <v>6</v>
      </c>
      <c r="O30" s="442">
        <f t="shared" si="2"/>
        <v>43997</v>
      </c>
      <c r="P30" s="443" t="s">
        <v>3687</v>
      </c>
      <c r="Q30" s="444">
        <f t="shared" si="1"/>
        <v>5</v>
      </c>
    </row>
    <row r="31" spans="1:27" s="445" customFormat="1" ht="15.75">
      <c r="A31" s="438" t="s">
        <v>1980</v>
      </c>
      <c r="B31" s="438" t="s">
        <v>1903</v>
      </c>
      <c r="C31" s="438" t="s">
        <v>1267</v>
      </c>
      <c r="D31" s="438" t="s">
        <v>1982</v>
      </c>
      <c r="E31" s="438" t="s">
        <v>1983</v>
      </c>
      <c r="F31" s="438" t="s">
        <v>1450</v>
      </c>
      <c r="G31" s="438" t="s">
        <v>18</v>
      </c>
      <c r="H31" s="438" t="s">
        <v>1298</v>
      </c>
      <c r="I31" s="438">
        <v>100</v>
      </c>
      <c r="J31" s="438" t="s">
        <v>3659</v>
      </c>
      <c r="K31" s="439">
        <v>2.7777777777777777</v>
      </c>
      <c r="L31" s="439">
        <v>3.5277777777777777</v>
      </c>
      <c r="M31" s="439"/>
      <c r="N31" s="441">
        <v>6</v>
      </c>
      <c r="O31" s="442">
        <f t="shared" si="2"/>
        <v>43997</v>
      </c>
      <c r="P31" s="438" t="s">
        <v>3688</v>
      </c>
      <c r="Q31" s="444">
        <f t="shared" si="1"/>
        <v>2</v>
      </c>
      <c r="R31" s="444"/>
      <c r="S31" s="444"/>
      <c r="T31" s="444"/>
      <c r="U31" s="444"/>
      <c r="V31" s="444"/>
      <c r="W31" s="444"/>
      <c r="X31" s="444"/>
      <c r="Y31" s="444"/>
      <c r="Z31" s="444"/>
      <c r="AA31" s="444"/>
    </row>
    <row r="32" spans="1:27" s="445" customFormat="1" ht="15.75">
      <c r="A32" s="438" t="s">
        <v>547</v>
      </c>
      <c r="B32" s="438" t="s">
        <v>2274</v>
      </c>
      <c r="C32" s="438" t="s">
        <v>1267</v>
      </c>
      <c r="D32" s="438" t="s">
        <v>2291</v>
      </c>
      <c r="E32" s="438" t="s">
        <v>2292</v>
      </c>
      <c r="F32" s="438" t="s">
        <v>2293</v>
      </c>
      <c r="G32" s="438" t="s">
        <v>18</v>
      </c>
      <c r="H32" s="438" t="s">
        <v>30</v>
      </c>
      <c r="I32" s="438">
        <v>165</v>
      </c>
      <c r="J32" s="438" t="s">
        <v>3659</v>
      </c>
      <c r="K32" s="439">
        <v>4.583333333333333</v>
      </c>
      <c r="L32" s="439">
        <v>5.333333333333333</v>
      </c>
      <c r="M32" s="439"/>
      <c r="N32" s="444">
        <v>7</v>
      </c>
      <c r="O32" s="442">
        <f t="shared" si="2"/>
        <v>43998</v>
      </c>
      <c r="P32" s="443" t="s">
        <v>3689</v>
      </c>
      <c r="Q32" s="444">
        <f t="shared" si="1"/>
        <v>4</v>
      </c>
    </row>
    <row r="33" spans="1:17" s="445" customFormat="1" ht="15.75">
      <c r="A33" s="438" t="s">
        <v>1446</v>
      </c>
      <c r="B33" s="438" t="s">
        <v>1312</v>
      </c>
      <c r="C33" s="438" t="s">
        <v>1267</v>
      </c>
      <c r="D33" s="438" t="s">
        <v>1448</v>
      </c>
      <c r="E33" s="438" t="s">
        <v>1449</v>
      </c>
      <c r="F33" s="438" t="s">
        <v>1450</v>
      </c>
      <c r="G33" s="438" t="s">
        <v>18</v>
      </c>
      <c r="H33" s="438" t="s">
        <v>1298</v>
      </c>
      <c r="I33" s="438">
        <v>161</v>
      </c>
      <c r="J33" s="438" t="s">
        <v>3659</v>
      </c>
      <c r="K33" s="439">
        <v>4.4722222222222223</v>
      </c>
      <c r="L33" s="439">
        <v>5.2222222222222223</v>
      </c>
      <c r="M33" s="439"/>
      <c r="N33" s="441">
        <v>8</v>
      </c>
      <c r="O33" s="442">
        <f t="shared" si="2"/>
        <v>43999</v>
      </c>
      <c r="P33" s="443" t="s">
        <v>3689</v>
      </c>
      <c r="Q33" s="444">
        <f t="shared" si="1"/>
        <v>4</v>
      </c>
    </row>
    <row r="34" spans="1:17" s="445" customFormat="1" ht="15.75">
      <c r="A34" s="438" t="s">
        <v>1944</v>
      </c>
      <c r="B34" s="438" t="s">
        <v>1903</v>
      </c>
      <c r="C34" s="438" t="s">
        <v>1333</v>
      </c>
      <c r="D34" s="438" t="s">
        <v>1946</v>
      </c>
      <c r="E34" s="438" t="s">
        <v>1947</v>
      </c>
      <c r="F34" s="438" t="s">
        <v>1948</v>
      </c>
      <c r="G34" s="438" t="s">
        <v>18</v>
      </c>
      <c r="H34" s="438" t="s">
        <v>1298</v>
      </c>
      <c r="I34" s="438">
        <v>152</v>
      </c>
      <c r="J34" s="438" t="s">
        <v>3659</v>
      </c>
      <c r="K34" s="439">
        <v>4.2222222222222223</v>
      </c>
      <c r="L34" s="439">
        <v>4.9722222222222223</v>
      </c>
      <c r="M34" s="439"/>
      <c r="N34" s="441">
        <v>9</v>
      </c>
      <c r="O34" s="442">
        <f t="shared" si="2"/>
        <v>44000</v>
      </c>
      <c r="P34" s="443" t="s">
        <v>3660</v>
      </c>
      <c r="Q34" s="444">
        <f t="shared" si="1"/>
        <v>4</v>
      </c>
    </row>
    <row r="35" spans="1:17" s="445" customFormat="1" ht="15.75">
      <c r="A35" s="438" t="s">
        <v>1954</v>
      </c>
      <c r="B35" s="438" t="s">
        <v>1903</v>
      </c>
      <c r="C35" s="438" t="s">
        <v>1333</v>
      </c>
      <c r="D35" s="438" t="s">
        <v>1955</v>
      </c>
      <c r="E35" s="438" t="s">
        <v>1956</v>
      </c>
      <c r="F35" s="438" t="s">
        <v>1948</v>
      </c>
      <c r="G35" s="438" t="s">
        <v>18</v>
      </c>
      <c r="H35" s="438" t="s">
        <v>1298</v>
      </c>
      <c r="I35" s="438">
        <v>72</v>
      </c>
      <c r="J35" s="438" t="s">
        <v>3659</v>
      </c>
      <c r="K35" s="439">
        <v>2</v>
      </c>
      <c r="L35" s="439">
        <v>2.75</v>
      </c>
      <c r="M35" s="439"/>
      <c r="N35" s="441">
        <v>10</v>
      </c>
      <c r="O35" s="442">
        <f t="shared" si="2"/>
        <v>44001</v>
      </c>
      <c r="P35" s="443" t="s">
        <v>3664</v>
      </c>
      <c r="Q35" s="444">
        <f t="shared" si="1"/>
        <v>2</v>
      </c>
    </row>
    <row r="36" spans="1:17" s="445" customFormat="1" ht="15.75">
      <c r="A36" s="438" t="s">
        <v>1058</v>
      </c>
      <c r="B36" s="438" t="s">
        <v>2274</v>
      </c>
      <c r="C36" s="438" t="s">
        <v>1333</v>
      </c>
      <c r="D36" s="438" t="s">
        <v>2282</v>
      </c>
      <c r="E36" s="438" t="s">
        <v>2283</v>
      </c>
      <c r="F36" s="438" t="s">
        <v>1336</v>
      </c>
      <c r="G36" s="438" t="s">
        <v>18</v>
      </c>
      <c r="H36" s="438" t="s">
        <v>3665</v>
      </c>
      <c r="I36" s="438">
        <v>115</v>
      </c>
      <c r="J36" s="444" t="s">
        <v>1062</v>
      </c>
      <c r="K36" s="439">
        <v>3.1944444444444446</v>
      </c>
      <c r="L36" s="439">
        <v>3.9444444444444446</v>
      </c>
      <c r="M36" s="439"/>
      <c r="N36" s="441">
        <v>10</v>
      </c>
      <c r="O36" s="442">
        <f t="shared" si="2"/>
        <v>44001</v>
      </c>
      <c r="P36" s="443" t="s">
        <v>3690</v>
      </c>
      <c r="Q36" s="444">
        <f t="shared" si="1"/>
        <v>3</v>
      </c>
    </row>
    <row r="37" spans="1:17" s="445" customFormat="1" ht="15.75">
      <c r="A37" s="438" t="s">
        <v>2430</v>
      </c>
      <c r="B37" s="438" t="s">
        <v>2423</v>
      </c>
      <c r="C37" s="438" t="s">
        <v>1333</v>
      </c>
      <c r="D37" s="438" t="s">
        <v>2431</v>
      </c>
      <c r="E37" s="438" t="s">
        <v>2432</v>
      </c>
      <c r="F37" s="438" t="s">
        <v>1948</v>
      </c>
      <c r="G37" s="438" t="s">
        <v>18</v>
      </c>
      <c r="H37" s="438" t="s">
        <v>1298</v>
      </c>
      <c r="I37" s="438">
        <v>109</v>
      </c>
      <c r="J37" s="438" t="s">
        <v>3659</v>
      </c>
      <c r="K37" s="439">
        <v>3.0277777777777777</v>
      </c>
      <c r="L37" s="439">
        <v>3.7777777777777777</v>
      </c>
      <c r="M37" s="439"/>
      <c r="N37" s="441">
        <v>11</v>
      </c>
      <c r="O37" s="442">
        <f t="shared" si="2"/>
        <v>44002</v>
      </c>
      <c r="P37" s="443" t="s">
        <v>3679</v>
      </c>
      <c r="Q37" s="444">
        <f t="shared" si="1"/>
        <v>3</v>
      </c>
    </row>
    <row r="38" spans="1:17" s="453" customFormat="1" ht="15.75">
      <c r="A38" s="446" t="s">
        <v>6905</v>
      </c>
      <c r="B38" s="446"/>
      <c r="C38" s="446" t="s">
        <v>1375</v>
      </c>
      <c r="D38" s="446">
        <v>2198368300</v>
      </c>
      <c r="E38" s="446" t="s">
        <v>6906</v>
      </c>
      <c r="F38" s="446" t="s">
        <v>6907</v>
      </c>
      <c r="G38" s="446" t="s">
        <v>18</v>
      </c>
      <c r="H38" s="446" t="s">
        <v>30</v>
      </c>
      <c r="I38" s="446">
        <v>250</v>
      </c>
      <c r="J38" s="446"/>
      <c r="K38" s="447">
        <f>I38/B54</f>
        <v>6.9444444444444446</v>
      </c>
      <c r="L38" s="447">
        <f>K38+(B51+B52)/60</f>
        <v>7.6944444444444446</v>
      </c>
      <c r="M38" s="448"/>
      <c r="N38" s="449">
        <v>11</v>
      </c>
      <c r="O38" s="450">
        <f>$O$1+N38</f>
        <v>44002</v>
      </c>
      <c r="P38" s="451" t="s">
        <v>3914</v>
      </c>
      <c r="Q38" s="452">
        <f>ROUNDUP(I38/$R$2,0)</f>
        <v>5</v>
      </c>
    </row>
    <row r="39" spans="1:17" s="460" customFormat="1" ht="15.75">
      <c r="A39" s="454" t="s">
        <v>2105</v>
      </c>
      <c r="B39" s="454" t="s">
        <v>3659</v>
      </c>
      <c r="C39" s="454" t="s">
        <v>1375</v>
      </c>
      <c r="D39" s="454" t="s">
        <v>3691</v>
      </c>
      <c r="E39" s="454" t="s">
        <v>2106</v>
      </c>
      <c r="F39" s="454" t="s">
        <v>3674</v>
      </c>
      <c r="G39" s="454" t="s">
        <v>91</v>
      </c>
      <c r="H39" s="454" t="s">
        <v>30</v>
      </c>
      <c r="I39" s="454">
        <v>250</v>
      </c>
      <c r="J39" s="454" t="s">
        <v>3665</v>
      </c>
      <c r="K39" s="455">
        <v>15.625</v>
      </c>
      <c r="L39" s="455">
        <v>18.125</v>
      </c>
      <c r="M39" s="455" t="s">
        <v>6926</v>
      </c>
      <c r="N39" s="456" t="s">
        <v>6924</v>
      </c>
      <c r="O39" s="457" t="s">
        <v>6922</v>
      </c>
      <c r="P39" s="458" t="s">
        <v>6923</v>
      </c>
      <c r="Q39" s="459">
        <f t="shared" si="1"/>
        <v>5</v>
      </c>
    </row>
    <row r="40" spans="1:17" s="460" customFormat="1" ht="15.75">
      <c r="A40" s="454" t="s">
        <v>357</v>
      </c>
      <c r="B40" s="454" t="s">
        <v>1288</v>
      </c>
      <c r="C40" s="454" t="s">
        <v>1375</v>
      </c>
      <c r="D40" s="454" t="s">
        <v>2020</v>
      </c>
      <c r="E40" s="454" t="s">
        <v>2021</v>
      </c>
      <c r="F40" s="454" t="s">
        <v>1780</v>
      </c>
      <c r="G40" s="454" t="s">
        <v>91</v>
      </c>
      <c r="H40" s="454" t="s">
        <v>30</v>
      </c>
      <c r="I40" s="454">
        <v>180</v>
      </c>
      <c r="J40" s="454" t="s">
        <v>3659</v>
      </c>
      <c r="K40" s="455">
        <v>12.5</v>
      </c>
      <c r="L40" s="455">
        <v>15</v>
      </c>
      <c r="M40" s="455" t="s">
        <v>6926</v>
      </c>
      <c r="N40" s="456">
        <v>5</v>
      </c>
      <c r="O40" s="461" t="s">
        <v>3734</v>
      </c>
      <c r="P40" s="458" t="s">
        <v>6923</v>
      </c>
      <c r="Q40" s="459">
        <f t="shared" si="1"/>
        <v>4</v>
      </c>
    </row>
    <row r="41" spans="1:17" s="460" customFormat="1" ht="15.75">
      <c r="A41" s="454" t="s">
        <v>1098</v>
      </c>
      <c r="B41" s="454" t="s">
        <v>3021</v>
      </c>
      <c r="C41" s="454" t="s">
        <v>1375</v>
      </c>
      <c r="D41" s="454" t="s">
        <v>3026</v>
      </c>
      <c r="E41" s="454" t="s">
        <v>3027</v>
      </c>
      <c r="F41" s="454" t="s">
        <v>1692</v>
      </c>
      <c r="G41" s="454" t="s">
        <v>91</v>
      </c>
      <c r="H41" s="454" t="s">
        <v>3665</v>
      </c>
      <c r="I41" s="454">
        <v>130</v>
      </c>
      <c r="J41" s="454"/>
      <c r="K41" s="455">
        <v>9.375</v>
      </c>
      <c r="L41" s="455">
        <v>11.875</v>
      </c>
      <c r="M41" s="455" t="s">
        <v>6926</v>
      </c>
      <c r="N41" s="456" t="s">
        <v>6925</v>
      </c>
      <c r="O41" s="462">
        <v>44009</v>
      </c>
      <c r="P41" s="458" t="s">
        <v>3985</v>
      </c>
      <c r="Q41" s="459">
        <f t="shared" si="1"/>
        <v>3</v>
      </c>
    </row>
    <row r="42" spans="1:17" s="460" customFormat="1" ht="15.75">
      <c r="A42" s="454" t="s">
        <v>2909</v>
      </c>
      <c r="B42" s="454" t="s">
        <v>3659</v>
      </c>
      <c r="C42" s="454" t="s">
        <v>1375</v>
      </c>
      <c r="D42" s="454" t="s">
        <v>3692</v>
      </c>
      <c r="E42" s="454" t="s">
        <v>2910</v>
      </c>
      <c r="F42" s="454" t="s">
        <v>3693</v>
      </c>
      <c r="G42" s="454" t="s">
        <v>91</v>
      </c>
      <c r="H42" s="454" t="s">
        <v>3665</v>
      </c>
      <c r="I42" s="454">
        <v>35</v>
      </c>
      <c r="J42" s="454" t="s">
        <v>3665</v>
      </c>
      <c r="K42" s="455">
        <v>3.125</v>
      </c>
      <c r="L42" s="455">
        <v>5.625</v>
      </c>
      <c r="M42" s="455" t="s">
        <v>6926</v>
      </c>
      <c r="N42" s="456">
        <v>6</v>
      </c>
      <c r="O42" s="462">
        <v>44010</v>
      </c>
      <c r="P42" s="458" t="s">
        <v>3850</v>
      </c>
      <c r="Q42" s="459">
        <f t="shared" si="1"/>
        <v>1</v>
      </c>
    </row>
    <row r="43" spans="1:17" ht="15.75">
      <c r="A43" s="463" t="s">
        <v>50</v>
      </c>
      <c r="B43" s="463" t="s">
        <v>1323</v>
      </c>
      <c r="C43" s="463" t="s">
        <v>1333</v>
      </c>
      <c r="D43" s="463" t="s">
        <v>1334</v>
      </c>
      <c r="E43" s="463" t="s">
        <v>1335</v>
      </c>
      <c r="F43" s="463" t="s">
        <v>1336</v>
      </c>
      <c r="G43" s="463" t="s">
        <v>54</v>
      </c>
      <c r="H43" s="463" t="s">
        <v>30</v>
      </c>
      <c r="I43" s="463" t="s">
        <v>3659</v>
      </c>
      <c r="J43" s="463" t="s">
        <v>55</v>
      </c>
    </row>
    <row r="44" spans="1:17" s="471" customFormat="1" ht="15.75">
      <c r="A44" s="466" t="s">
        <v>543</v>
      </c>
      <c r="B44" s="466" t="s">
        <v>2274</v>
      </c>
      <c r="C44" s="466" t="s">
        <v>1267</v>
      </c>
      <c r="D44" s="466" t="s">
        <v>2288</v>
      </c>
      <c r="E44" s="466" t="s">
        <v>2289</v>
      </c>
      <c r="F44" s="466" t="s">
        <v>1450</v>
      </c>
      <c r="G44" s="466" t="s">
        <v>54</v>
      </c>
      <c r="H44" s="466" t="s">
        <v>30</v>
      </c>
      <c r="I44" s="466">
        <v>130</v>
      </c>
      <c r="J44" s="466" t="s">
        <v>6951</v>
      </c>
      <c r="K44" s="467"/>
      <c r="L44" s="467"/>
      <c r="M44" s="467"/>
      <c r="N44" s="468"/>
      <c r="O44" s="469"/>
      <c r="P44" s="470"/>
      <c r="Q44" s="468"/>
    </row>
    <row r="45" spans="1:17" ht="15.75" hidden="1">
      <c r="A45" s="472" t="str">
        <f ca="1">IFERROR(__xludf.DUMMYFUNCTION("""COMPUTED_VALUE"""),"")</f>
        <v/>
      </c>
      <c r="B45" s="472" t="str">
        <f ca="1">IFERROR(__xludf.DUMMYFUNCTION("""COMPUTED_VALUE"""),"")</f>
        <v/>
      </c>
      <c r="C45" s="472" t="str">
        <f ca="1">IFERROR(__xludf.DUMMYFUNCTION("""COMPUTED_VALUE"""),"")</f>
        <v/>
      </c>
      <c r="D45" s="472" t="str">
        <f ca="1">IFERROR(__xludf.DUMMYFUNCTION("""COMPUTED_VALUE"""),"")</f>
        <v/>
      </c>
      <c r="E45" s="472" t="str">
        <f ca="1">IFERROR(__xludf.DUMMYFUNCTION("""COMPUTED_VALUE"""),"")</f>
        <v/>
      </c>
      <c r="F45" s="472" t="str">
        <f ca="1">IFERROR(__xludf.DUMMYFUNCTION("""COMPUTED_VALUE"""),"")</f>
        <v/>
      </c>
      <c r="G45" s="472" t="str">
        <f ca="1">IFERROR(__xludf.DUMMYFUNCTION("""COMPUTED_VALUE"""),"")</f>
        <v/>
      </c>
      <c r="H45" s="472" t="str">
        <f ca="1">IFERROR(__xludf.DUMMYFUNCTION("""COMPUTED_VALUE"""),"")</f>
        <v/>
      </c>
      <c r="I45" s="472" t="str">
        <f ca="1">IFERROR(__xludf.DUMMYFUNCTION("""COMPUTED_VALUE"""),"")</f>
        <v/>
      </c>
      <c r="J45" s="472" t="str">
        <f ca="1">IFERROR(__xludf.DUMMYFUNCTION("""COMPUTED_VALUE"""),"")</f>
        <v/>
      </c>
    </row>
    <row r="46" spans="1:17" ht="16.5" hidden="1" thickBot="1">
      <c r="A46" s="472" t="str">
        <f ca="1">IFERROR(__xludf.DUMMYFUNCTION("""COMPUTED_VALUE"""),"")</f>
        <v/>
      </c>
      <c r="B46" s="472" t="str">
        <f ca="1">IFERROR(__xludf.DUMMYFUNCTION("""COMPUTED_VALUE"""),"")</f>
        <v/>
      </c>
      <c r="C46" s="472" t="str">
        <f ca="1">IFERROR(__xludf.DUMMYFUNCTION("""COMPUTED_VALUE"""),"")</f>
        <v/>
      </c>
      <c r="D46" s="472" t="str">
        <f ca="1">IFERROR(__xludf.DUMMYFUNCTION("""COMPUTED_VALUE"""),"")</f>
        <v/>
      </c>
      <c r="E46" s="472" t="str">
        <f ca="1">IFERROR(__xludf.DUMMYFUNCTION("""COMPUTED_VALUE"""),"")</f>
        <v/>
      </c>
      <c r="F46" s="472" t="str">
        <f ca="1">IFERROR(__xludf.DUMMYFUNCTION("""COMPUTED_VALUE"""),"")</f>
        <v/>
      </c>
      <c r="G46" s="472" t="str">
        <f ca="1">IFERROR(__xludf.DUMMYFUNCTION("""COMPUTED_VALUE"""),"")</f>
        <v/>
      </c>
      <c r="H46" s="472" t="str">
        <f ca="1">IFERROR(__xludf.DUMMYFUNCTION("""COMPUTED_VALUE"""),"")</f>
        <v/>
      </c>
      <c r="I46" s="472" t="str">
        <f ca="1">IFERROR(__xludf.DUMMYFUNCTION("""COMPUTED_VALUE"""),"")</f>
        <v/>
      </c>
      <c r="J46" s="472" t="str">
        <f ca="1">IFERROR(__xludf.DUMMYFUNCTION("""COMPUTED_VALUE"""),"")</f>
        <v/>
      </c>
    </row>
    <row r="47" spans="1:17" ht="16.5" hidden="1" thickBot="1">
      <c r="A47" s="473" t="s">
        <v>3695</v>
      </c>
      <c r="B47" s="474"/>
      <c r="C47" s="472" t="str">
        <f ca="1">IFERROR(__xludf.DUMMYFUNCTION("""COMPUTED_VALUE"""),"")</f>
        <v/>
      </c>
      <c r="D47" s="473" t="s">
        <v>3696</v>
      </c>
      <c r="E47" s="475"/>
      <c r="F47" s="475"/>
      <c r="G47" s="474"/>
      <c r="H47" s="472" t="str">
        <f ca="1">IFERROR(__xludf.DUMMYFUNCTION("""COMPUTED_VALUE"""),"")</f>
        <v/>
      </c>
      <c r="I47" s="472" t="str">
        <f ca="1">IFERROR(__xludf.DUMMYFUNCTION("""COMPUTED_VALUE"""),"")</f>
        <v/>
      </c>
      <c r="J47" s="472" t="str">
        <f ca="1">IFERROR(__xludf.DUMMYFUNCTION("""COMPUTED_VALUE"""),"")</f>
        <v/>
      </c>
    </row>
    <row r="48" spans="1:17" ht="31.5" hidden="1">
      <c r="A48" s="476"/>
      <c r="B48" s="477" t="s">
        <v>3365</v>
      </c>
      <c r="C48" s="472" t="str">
        <f ca="1">IFERROR(__xludf.DUMMYFUNCTION("""COMPUTED_VALUE"""),"")</f>
        <v/>
      </c>
      <c r="D48" s="476"/>
      <c r="E48" s="478" t="s">
        <v>3366</v>
      </c>
      <c r="F48" s="479" t="s">
        <v>3367</v>
      </c>
      <c r="G48" s="477"/>
      <c r="H48" s="472" t="str">
        <f ca="1">IFERROR(__xludf.DUMMYFUNCTION("""COMPUTED_VALUE"""),"")</f>
        <v/>
      </c>
      <c r="I48" s="472">
        <v>60</v>
      </c>
      <c r="J48" s="472" t="s">
        <v>3697</v>
      </c>
    </row>
    <row r="49" spans="1:32" ht="15.75" hidden="1">
      <c r="A49" s="480" t="s">
        <v>3368</v>
      </c>
      <c r="B49" s="481">
        <v>5</v>
      </c>
      <c r="C49" s="472" t="str">
        <f ca="1">IFERROR(__xludf.DUMMYFUNCTION("""COMPUTED_VALUE"""),"")</f>
        <v/>
      </c>
      <c r="D49" s="480" t="s">
        <v>3369</v>
      </c>
      <c r="E49" s="482">
        <f>(50/$F$52)*60</f>
        <v>187.5</v>
      </c>
      <c r="F49" s="483">
        <v>15</v>
      </c>
      <c r="G49" s="484" t="s">
        <v>3370</v>
      </c>
      <c r="H49" s="472" t="str">
        <f ca="1">IFERROR(__xludf.DUMMYFUNCTION("""COMPUTED_VALUE"""),"")</f>
        <v/>
      </c>
      <c r="I49" s="472" t="str">
        <f ca="1">IFERROR(__xludf.DUMMYFUNCTION("""COMPUTED_VALUE"""),"")</f>
        <v/>
      </c>
      <c r="J49" s="472" t="str">
        <f ca="1">IFERROR(__xludf.DUMMYFUNCTION("""COMPUTED_VALUE"""),"")</f>
        <v/>
      </c>
    </row>
    <row r="50" spans="1:32" ht="15.75" hidden="1">
      <c r="A50" s="480" t="s">
        <v>3371</v>
      </c>
      <c r="B50" s="481">
        <v>3</v>
      </c>
      <c r="C50" s="472" t="str">
        <f ca="1">IFERROR(__xludf.DUMMYFUNCTION("""COMPUTED_VALUE"""),"")</f>
        <v/>
      </c>
      <c r="D50" s="480" t="s">
        <v>3372</v>
      </c>
      <c r="E50" s="482">
        <f>(100/$F$52)*60</f>
        <v>375</v>
      </c>
      <c r="F50" s="483">
        <v>5</v>
      </c>
      <c r="G50" s="484" t="s">
        <v>3373</v>
      </c>
      <c r="H50" s="472" t="str">
        <f ca="1">IFERROR(__xludf.DUMMYFUNCTION("""COMPUTED_VALUE"""),"")</f>
        <v/>
      </c>
      <c r="I50" s="472" t="str">
        <f ca="1">IFERROR(__xludf.DUMMYFUNCTION("""COMPUTED_VALUE"""),"")</f>
        <v/>
      </c>
      <c r="J50" s="472" t="str">
        <f ca="1">IFERROR(__xludf.DUMMYFUNCTION("""COMPUTED_VALUE"""),"")</f>
        <v/>
      </c>
    </row>
    <row r="51" spans="1:32" ht="15.75" hidden="1">
      <c r="A51" s="480" t="s">
        <v>3374</v>
      </c>
      <c r="B51" s="481">
        <v>15</v>
      </c>
      <c r="C51" s="472" t="str">
        <f ca="1">IFERROR(__xludf.DUMMYFUNCTION("""COMPUTED_VALUE"""),"")</f>
        <v/>
      </c>
      <c r="D51" s="480" t="s">
        <v>3375</v>
      </c>
      <c r="E51" s="482">
        <f>(150/$F$52)*60</f>
        <v>562.5</v>
      </c>
      <c r="F51" s="483">
        <v>5.5</v>
      </c>
      <c r="G51" s="484" t="s">
        <v>3376</v>
      </c>
      <c r="H51" s="472" t="str">
        <f ca="1">IFERROR(__xludf.DUMMYFUNCTION("""COMPUTED_VALUE"""),"")</f>
        <v/>
      </c>
      <c r="I51" s="472" t="str">
        <f ca="1">IFERROR(__xludf.DUMMYFUNCTION("""COMPUTED_VALUE"""),"")</f>
        <v/>
      </c>
      <c r="J51" s="472" t="str">
        <f ca="1">IFERROR(__xludf.DUMMYFUNCTION("""COMPUTED_VALUE"""),"")</f>
        <v/>
      </c>
    </row>
    <row r="52" spans="1:32" ht="15.75" hidden="1">
      <c r="A52" s="480" t="s">
        <v>3377</v>
      </c>
      <c r="B52" s="481">
        <v>30</v>
      </c>
      <c r="C52" s="472" t="str">
        <f ca="1">IFERROR(__xludf.DUMMYFUNCTION("""COMPUTED_VALUE"""),"")</f>
        <v/>
      </c>
      <c r="D52" s="480" t="s">
        <v>3378</v>
      </c>
      <c r="E52" s="482">
        <f>(200/$F$52)*60</f>
        <v>750</v>
      </c>
      <c r="F52" s="483">
        <f>ROUNDDOWN(F51*3,0)</f>
        <v>16</v>
      </c>
      <c r="G52" s="484" t="s">
        <v>3698</v>
      </c>
      <c r="H52" s="472" t="str">
        <f ca="1">IFERROR(__xludf.DUMMYFUNCTION("""COMPUTED_VALUE"""),"")</f>
        <v/>
      </c>
      <c r="I52" s="485">
        <v>43992</v>
      </c>
      <c r="J52" s="485"/>
      <c r="K52" s="485">
        <v>43993</v>
      </c>
      <c r="L52" s="485"/>
      <c r="M52" s="485">
        <v>43994</v>
      </c>
      <c r="N52" s="485"/>
      <c r="O52" s="485">
        <v>43995</v>
      </c>
      <c r="P52" s="485"/>
      <c r="Q52" s="485">
        <v>43997</v>
      </c>
      <c r="R52" s="485"/>
      <c r="S52" s="485">
        <v>43998</v>
      </c>
      <c r="T52" s="485"/>
    </row>
    <row r="53" spans="1:32" ht="15.75" hidden="1">
      <c r="A53" s="480"/>
      <c r="B53" s="481"/>
      <c r="C53" s="472" t="str">
        <f ca="1">IFERROR(__xludf.DUMMYFUNCTION("""COMPUTED_VALUE"""),"")</f>
        <v/>
      </c>
      <c r="D53" s="480" t="s">
        <v>3381</v>
      </c>
      <c r="E53" s="482">
        <f>(250/$F$52)*60</f>
        <v>937.5</v>
      </c>
      <c r="F53" s="483">
        <v>45</v>
      </c>
      <c r="G53" s="484" t="s">
        <v>3382</v>
      </c>
      <c r="H53" s="472" t="str">
        <f ca="1">IFERROR(__xludf.DUMMYFUNCTION("""COMPUTED_VALUE"""),"")</f>
        <v/>
      </c>
      <c r="I53" s="472">
        <f>SUM(I2,I24)</f>
        <v>290</v>
      </c>
      <c r="J53" s="472">
        <f>SUM(Q2,Q24)</f>
        <v>6</v>
      </c>
      <c r="K53" s="472">
        <f>SUM(I25:I26,I3:I4)</f>
        <v>448</v>
      </c>
      <c r="L53" s="472">
        <f>SUM(Q25:Q26,Q3:Q4)</f>
        <v>10</v>
      </c>
      <c r="M53" s="472">
        <f>SUM(I27:I28,I5:I6)</f>
        <v>278</v>
      </c>
      <c r="N53" s="472">
        <f>SUM(Q27:Q28,Q5:Q6)</f>
        <v>7</v>
      </c>
      <c r="O53" s="472">
        <f>SUM(I29:I44,I7:I8)</f>
        <v>2496</v>
      </c>
      <c r="P53" s="472">
        <f>SUM(Q29:Q44,Q7:Q8)</f>
        <v>54</v>
      </c>
      <c r="Q53" s="472">
        <f>SUM(I30:I31,I9:I10)</f>
        <v>584</v>
      </c>
      <c r="R53" s="472">
        <f>SUM(Q30:Q31,Q9:Q10)</f>
        <v>13</v>
      </c>
      <c r="S53" s="472">
        <f>SUM(I32,I11:I12)</f>
        <v>375</v>
      </c>
      <c r="T53" s="472">
        <f>SUM(Q32,Q11:Q12)</f>
        <v>9</v>
      </c>
    </row>
    <row r="54" spans="1:32" ht="15.75" hidden="1">
      <c r="A54" s="480" t="s">
        <v>3380</v>
      </c>
      <c r="B54" s="481">
        <f>(60/B49)*B50</f>
        <v>36</v>
      </c>
      <c r="C54" s="472" t="str">
        <f ca="1">IFERROR(__xludf.DUMMYFUNCTION("""COMPUTED_VALUE"""),"")</f>
        <v/>
      </c>
      <c r="D54" s="480" t="s">
        <v>3385</v>
      </c>
      <c r="E54" s="482">
        <f>(300/$F$52)*60</f>
        <v>1125</v>
      </c>
      <c r="F54" s="486">
        <v>60</v>
      </c>
      <c r="G54" s="487" t="s">
        <v>3386</v>
      </c>
      <c r="H54" s="472" t="str">
        <f ca="1">IFERROR(__xludf.DUMMYFUNCTION("""COMPUTED_VALUE"""),"")</f>
        <v/>
      </c>
      <c r="I54" s="472"/>
      <c r="J54" s="472"/>
      <c r="K54" s="472"/>
      <c r="L54" s="472"/>
      <c r="M54" s="488"/>
      <c r="N54" s="488"/>
      <c r="Q54" s="488"/>
      <c r="R54" s="488"/>
      <c r="S54" s="465"/>
    </row>
    <row r="55" spans="1:32" ht="16.5" hidden="1" thickBot="1">
      <c r="A55" s="489" t="s">
        <v>3383</v>
      </c>
      <c r="B55" s="490" t="s">
        <v>3384</v>
      </c>
      <c r="C55" s="491" t="str">
        <f ca="1">IFERROR(__xludf.DUMMYFUNCTION("""COMPUTED_VALUE"""),"")</f>
        <v/>
      </c>
      <c r="D55" s="489" t="s">
        <v>3387</v>
      </c>
      <c r="E55" s="492">
        <f>(350/$F$52)*60</f>
        <v>1312.5</v>
      </c>
      <c r="F55" s="493">
        <v>45</v>
      </c>
      <c r="G55" s="494" t="s">
        <v>3388</v>
      </c>
      <c r="H55" s="491" t="str">
        <f ca="1">IFERROR(__xludf.DUMMYFUNCTION("""COMPUTED_VALUE"""),"")</f>
        <v/>
      </c>
      <c r="I55" s="491" t="str">
        <f ca="1">IFERROR(__xludf.DUMMYFUNCTION("""COMPUTED_VALUE"""),"")</f>
        <v/>
      </c>
      <c r="J55" s="491" t="str">
        <f ca="1">IFERROR(__xludf.DUMMYFUNCTION("""COMPUTED_VALUE"""),"")</f>
        <v/>
      </c>
      <c r="K55" s="491" t="str">
        <f ca="1">IFERROR(__xludf.DUMMYFUNCTION("""COMPUTED_VALUE"""),"")</f>
        <v/>
      </c>
      <c r="L55" s="491" t="str">
        <f ca="1">IFERROR(__xludf.DUMMYFUNCTION("""COMPUTED_VALUE"""),"")</f>
        <v/>
      </c>
      <c r="M55" s="491"/>
      <c r="N55" s="491"/>
      <c r="O55" s="491"/>
      <c r="P55" s="491"/>
      <c r="Q55" s="491"/>
      <c r="R55" s="491"/>
      <c r="S55" s="491"/>
      <c r="T55" s="491"/>
      <c r="U55" s="491"/>
      <c r="V55" s="491"/>
      <c r="W55" s="491"/>
      <c r="X55" s="491"/>
      <c r="Y55" s="491"/>
      <c r="Z55" s="491"/>
      <c r="AA55" s="491"/>
      <c r="AB55" s="491"/>
      <c r="AC55" s="491"/>
      <c r="AD55" s="491"/>
      <c r="AE55" s="491"/>
      <c r="AF55" s="491"/>
    </row>
    <row r="56" spans="1:32" ht="15.75" hidden="1">
      <c r="A56" s="472" t="str">
        <f ca="1">IFERROR(__xludf.DUMMYFUNCTION("""COMPUTED_VALUE"""),"")</f>
        <v/>
      </c>
      <c r="B56" s="472" t="str">
        <f ca="1">IFERROR(__xludf.DUMMYFUNCTION("""COMPUTED_VALUE"""),"")</f>
        <v/>
      </c>
      <c r="C56" s="491" t="str">
        <f ca="1">IFERROR(__xludf.DUMMYFUNCTION("""COMPUTED_VALUE"""),"")</f>
        <v/>
      </c>
      <c r="D56" s="491" t="str">
        <f ca="1">IFERROR(__xludf.DUMMYFUNCTION("""COMPUTED_VALUE"""),"")</f>
        <v/>
      </c>
      <c r="E56" s="491" t="str">
        <f ca="1">IFERROR(__xludf.DUMMYFUNCTION("""COMPUTED_VALUE"""),"")</f>
        <v/>
      </c>
      <c r="F56" s="491" t="str">
        <f ca="1">IFERROR(__xludf.DUMMYFUNCTION("""COMPUTED_VALUE"""),"")</f>
        <v/>
      </c>
      <c r="G56" s="491" t="str">
        <f ca="1">IFERROR(__xludf.DUMMYFUNCTION("""COMPUTED_VALUE"""),"")</f>
        <v/>
      </c>
      <c r="H56" s="491" t="str">
        <f ca="1">IFERROR(__xludf.DUMMYFUNCTION("""COMPUTED_VALUE"""),"")</f>
        <v/>
      </c>
      <c r="I56" s="491" t="str">
        <f ca="1">IFERROR(__xludf.DUMMYFUNCTION("""COMPUTED_VALUE"""),"")</f>
        <v/>
      </c>
      <c r="J56" s="491" t="str">
        <f ca="1">IFERROR(__xludf.DUMMYFUNCTION("""COMPUTED_VALUE"""),"")</f>
        <v/>
      </c>
      <c r="K56" s="491" t="str">
        <f ca="1">IFERROR(__xludf.DUMMYFUNCTION("""COMPUTED_VALUE"""),"")</f>
        <v/>
      </c>
      <c r="L56" s="491" t="str">
        <f ca="1">IFERROR(__xludf.DUMMYFUNCTION("""COMPUTED_VALUE"""),"")</f>
        <v/>
      </c>
      <c r="M56" s="491"/>
      <c r="N56" s="491"/>
      <c r="O56" s="491"/>
      <c r="P56" s="491"/>
      <c r="Q56" s="491"/>
      <c r="R56" s="491"/>
      <c r="S56" s="491"/>
      <c r="T56" s="491"/>
      <c r="U56" s="491"/>
      <c r="V56" s="491"/>
      <c r="W56" s="491"/>
      <c r="X56" s="491"/>
      <c r="Y56" s="491"/>
      <c r="Z56" s="491"/>
      <c r="AA56" s="491"/>
      <c r="AB56" s="491"/>
      <c r="AC56" s="491"/>
      <c r="AD56" s="491"/>
      <c r="AE56" s="491"/>
    </row>
    <row r="57" spans="1:32" ht="15.75" hidden="1">
      <c r="A57" s="472" t="str">
        <f ca="1">IFERROR(__xludf.DUMMYFUNCTION("""COMPUTED_VALUE"""),"")</f>
        <v/>
      </c>
      <c r="B57" s="472" t="str">
        <f ca="1">IFERROR(__xludf.DUMMYFUNCTION("""COMPUTED_VALUE"""),"")</f>
        <v/>
      </c>
      <c r="C57" s="472" t="str">
        <f ca="1">IFERROR(__xludf.DUMMYFUNCTION("""COMPUTED_VALUE"""),"")</f>
        <v/>
      </c>
      <c r="D57" s="472" t="str">
        <f ca="1">IFERROR(__xludf.DUMMYFUNCTION("""COMPUTED_VALUE"""),"")</f>
        <v/>
      </c>
      <c r="E57" s="472" t="str">
        <f ca="1">IFERROR(__xludf.DUMMYFUNCTION("""COMPUTED_VALUE"""),"")</f>
        <v/>
      </c>
      <c r="F57" s="472" t="str">
        <f ca="1">IFERROR(__xludf.DUMMYFUNCTION("""COMPUTED_VALUE"""),"")</f>
        <v/>
      </c>
      <c r="G57" s="472" t="str">
        <f ca="1">IFERROR(__xludf.DUMMYFUNCTION("""COMPUTED_VALUE"""),"")</f>
        <v/>
      </c>
      <c r="H57" s="472" t="str">
        <f ca="1">IFERROR(__xludf.DUMMYFUNCTION("""COMPUTED_VALUE"""),"")</f>
        <v/>
      </c>
      <c r="I57" s="485">
        <v>43999</v>
      </c>
      <c r="J57" s="485"/>
      <c r="K57" s="485">
        <v>44000</v>
      </c>
      <c r="L57" s="485"/>
      <c r="M57" s="485">
        <v>44001</v>
      </c>
      <c r="N57" s="485"/>
      <c r="O57" s="485">
        <v>44002</v>
      </c>
      <c r="P57" s="485"/>
      <c r="Q57" s="485">
        <v>44004</v>
      </c>
      <c r="R57" s="485"/>
    </row>
    <row r="58" spans="1:32" ht="15.75" hidden="1">
      <c r="A58" s="472"/>
      <c r="B58" s="472" t="str">
        <f ca="1">IFERROR(__xludf.DUMMYFUNCTION("""COMPUTED_VALUE"""),"")</f>
        <v/>
      </c>
      <c r="C58" s="472" t="str">
        <f ca="1">IFERROR(__xludf.DUMMYFUNCTION("""COMPUTED_VALUE"""),"")</f>
        <v/>
      </c>
      <c r="D58" s="472" t="str">
        <f ca="1">IFERROR(__xludf.DUMMYFUNCTION("""COMPUTED_VALUE"""),"")</f>
        <v/>
      </c>
      <c r="E58" s="472" t="str">
        <f ca="1">IFERROR(__xludf.DUMMYFUNCTION("""COMPUTED_VALUE"""),"")</f>
        <v/>
      </c>
      <c r="F58" s="472" t="str">
        <f ca="1">IFERROR(__xludf.DUMMYFUNCTION("""COMPUTED_VALUE"""),"")</f>
        <v/>
      </c>
      <c r="G58" s="472" t="str">
        <f ca="1">IFERROR(__xludf.DUMMYFUNCTION("""COMPUTED_VALUE"""),"")</f>
        <v/>
      </c>
      <c r="H58" s="472" t="str">
        <f ca="1">IFERROR(__xludf.DUMMYFUNCTION("""COMPUTED_VALUE"""),"")</f>
        <v/>
      </c>
      <c r="I58" s="495">
        <f>SUM(I33,I13:I14)</f>
        <v>541</v>
      </c>
      <c r="J58" s="495">
        <f>SUM(Q33,Q13:Q14)</f>
        <v>12</v>
      </c>
      <c r="K58" s="495">
        <f>SUM(I34,I15:I16)</f>
        <v>477</v>
      </c>
      <c r="L58" s="495">
        <f>SUM(Q34,Q15:Q16)</f>
        <v>11</v>
      </c>
      <c r="M58" s="495">
        <f>SUM(I35:I36,I17:I18)</f>
        <v>467</v>
      </c>
      <c r="N58" s="495">
        <f>SUM(Q35:Q36,Q17:Q18)</f>
        <v>11</v>
      </c>
      <c r="O58" s="495">
        <f>SUM(I37,I19:I20)</f>
        <v>324</v>
      </c>
      <c r="P58" s="495">
        <f>SUM(Q37,Q19:Q20)</f>
        <v>9</v>
      </c>
      <c r="Q58" s="495">
        <f>SUM(I21:I23)</f>
        <v>275</v>
      </c>
      <c r="R58" s="495">
        <f>SUM(Q21:Q23)</f>
        <v>6</v>
      </c>
    </row>
    <row r="59" spans="1:32" ht="15.75" hidden="1">
      <c r="A59" s="472"/>
      <c r="B59" s="472" t="str">
        <f ca="1">IFERROR(__xludf.DUMMYFUNCTION("""COMPUTED_VALUE"""),"")</f>
        <v/>
      </c>
      <c r="C59" s="472" t="str">
        <f ca="1">IFERROR(__xludf.DUMMYFUNCTION("""COMPUTED_VALUE"""),"")</f>
        <v/>
      </c>
      <c r="D59" s="472" t="str">
        <f ca="1">IFERROR(__xludf.DUMMYFUNCTION("""COMPUTED_VALUE"""),"")</f>
        <v/>
      </c>
      <c r="E59" s="472" t="str">
        <f ca="1">IFERROR(__xludf.DUMMYFUNCTION("""COMPUTED_VALUE"""),"")</f>
        <v/>
      </c>
      <c r="F59" s="472" t="str">
        <f ca="1">IFERROR(__xludf.DUMMYFUNCTION("""COMPUTED_VALUE"""),"")</f>
        <v/>
      </c>
      <c r="G59" s="472" t="str">
        <f ca="1">IFERROR(__xludf.DUMMYFUNCTION("""COMPUTED_VALUE"""),"")</f>
        <v/>
      </c>
      <c r="H59" s="472" t="str">
        <f ca="1">IFERROR(__xludf.DUMMYFUNCTION("""COMPUTED_VALUE"""),"")</f>
        <v/>
      </c>
      <c r="I59" s="472"/>
      <c r="J59" s="472"/>
      <c r="K59" s="472"/>
      <c r="L59" s="472"/>
      <c r="N59" s="464"/>
    </row>
    <row r="60" spans="1:32" ht="15.75">
      <c r="A60" s="472"/>
      <c r="B60" s="472" t="str">
        <f ca="1">IFERROR(__xludf.DUMMYFUNCTION("""COMPUTED_VALUE"""),"")</f>
        <v/>
      </c>
      <c r="C60" s="472" t="str">
        <f ca="1">IFERROR(__xludf.DUMMYFUNCTION("""COMPUTED_VALUE"""),"")</f>
        <v/>
      </c>
      <c r="D60" s="472" t="str">
        <f ca="1">IFERROR(__xludf.DUMMYFUNCTION("""COMPUTED_VALUE"""),"")</f>
        <v/>
      </c>
      <c r="E60" s="472" t="str">
        <f ca="1">IFERROR(__xludf.DUMMYFUNCTION("""COMPUTED_VALUE"""),"")</f>
        <v/>
      </c>
      <c r="F60" s="472" t="str">
        <f ca="1">IFERROR(__xludf.DUMMYFUNCTION("""COMPUTED_VALUE"""),"")</f>
        <v/>
      </c>
      <c r="G60" s="472" t="str">
        <f ca="1">IFERROR(__xludf.DUMMYFUNCTION("""COMPUTED_VALUE"""),"")</f>
        <v/>
      </c>
      <c r="H60" s="472" t="str">
        <f ca="1">IFERROR(__xludf.DUMMYFUNCTION("""COMPUTED_VALUE"""),"")</f>
        <v/>
      </c>
      <c r="I60" s="472" t="str">
        <f ca="1">IFERROR(__xludf.DUMMYFUNCTION("""COMPUTED_VALUE"""),"")</f>
        <v/>
      </c>
      <c r="J60" s="472" t="str">
        <f ca="1">IFERROR(__xludf.DUMMYFUNCTION("""COMPUTED_VALUE"""),"")</f>
        <v/>
      </c>
    </row>
    <row r="61" spans="1:32" ht="15.75">
      <c r="A61" s="472" t="str">
        <f ca="1">IFERROR(__xludf.DUMMYFUNCTION("""COMPUTED_VALUE"""),"")</f>
        <v/>
      </c>
      <c r="B61" s="472" t="str">
        <f ca="1">IFERROR(__xludf.DUMMYFUNCTION("""COMPUTED_VALUE"""),"")</f>
        <v/>
      </c>
      <c r="C61" s="472" t="str">
        <f ca="1">IFERROR(__xludf.DUMMYFUNCTION("""COMPUTED_VALUE"""),"")</f>
        <v/>
      </c>
      <c r="D61" s="472" t="str">
        <f ca="1">IFERROR(__xludf.DUMMYFUNCTION("""COMPUTED_VALUE"""),"")</f>
        <v/>
      </c>
      <c r="E61" s="472" t="str">
        <f ca="1">IFERROR(__xludf.DUMMYFUNCTION("""COMPUTED_VALUE"""),"")</f>
        <v/>
      </c>
      <c r="F61" s="472" t="str">
        <f ca="1">IFERROR(__xludf.DUMMYFUNCTION("""COMPUTED_VALUE"""),"")</f>
        <v/>
      </c>
      <c r="G61" s="472" t="str">
        <f ca="1">IFERROR(__xludf.DUMMYFUNCTION("""COMPUTED_VALUE"""),"")</f>
        <v/>
      </c>
      <c r="H61" s="472" t="str">
        <f ca="1">IFERROR(__xludf.DUMMYFUNCTION("""COMPUTED_VALUE"""),"")</f>
        <v/>
      </c>
      <c r="I61" s="472" t="str">
        <f ca="1">IFERROR(__xludf.DUMMYFUNCTION("""COMPUTED_VALUE"""),"")</f>
        <v/>
      </c>
      <c r="J61" s="472" t="str">
        <f ca="1">IFERROR(__xludf.DUMMYFUNCTION("""COMPUTED_VALUE"""),"")</f>
        <v/>
      </c>
    </row>
    <row r="62" spans="1:32" ht="15.75">
      <c r="A62" s="472" t="str">
        <f ca="1">IFERROR(__xludf.DUMMYFUNCTION("""COMPUTED_VALUE"""),"")</f>
        <v/>
      </c>
      <c r="B62" s="472" t="str">
        <f ca="1">IFERROR(__xludf.DUMMYFUNCTION("""COMPUTED_VALUE"""),"")</f>
        <v/>
      </c>
      <c r="C62" s="472" t="str">
        <f ca="1">IFERROR(__xludf.DUMMYFUNCTION("""COMPUTED_VALUE"""),"")</f>
        <v/>
      </c>
      <c r="D62" s="472" t="str">
        <f ca="1">IFERROR(__xludf.DUMMYFUNCTION("""COMPUTED_VALUE"""),"")</f>
        <v/>
      </c>
      <c r="E62" s="472" t="str">
        <f ca="1">IFERROR(__xludf.DUMMYFUNCTION("""COMPUTED_VALUE"""),"")</f>
        <v/>
      </c>
      <c r="F62" s="472" t="str">
        <f ca="1">IFERROR(__xludf.DUMMYFUNCTION("""COMPUTED_VALUE"""),"")</f>
        <v/>
      </c>
      <c r="G62" s="472" t="str">
        <f ca="1">IFERROR(__xludf.DUMMYFUNCTION("""COMPUTED_VALUE"""),"")</f>
        <v/>
      </c>
      <c r="H62" s="472" t="str">
        <f ca="1">IFERROR(__xludf.DUMMYFUNCTION("""COMPUTED_VALUE"""),"")</f>
        <v/>
      </c>
      <c r="I62" s="472" t="str">
        <f ca="1">IFERROR(__xludf.DUMMYFUNCTION("""COMPUTED_VALUE"""),"")</f>
        <v/>
      </c>
      <c r="J62" s="472" t="str">
        <f ca="1">IFERROR(__xludf.DUMMYFUNCTION("""COMPUTED_VALUE"""),"")</f>
        <v/>
      </c>
    </row>
    <row r="63" spans="1:32" ht="15.75">
      <c r="A63" s="472"/>
      <c r="B63" s="472" t="str">
        <f ca="1">IFERROR(__xludf.DUMMYFUNCTION("""COMPUTED_VALUE"""),"")</f>
        <v/>
      </c>
      <c r="C63" s="472" t="str">
        <f ca="1">IFERROR(__xludf.DUMMYFUNCTION("""COMPUTED_VALUE"""),"")</f>
        <v/>
      </c>
      <c r="D63" s="472" t="str">
        <f ca="1">IFERROR(__xludf.DUMMYFUNCTION("""COMPUTED_VALUE"""),"")</f>
        <v/>
      </c>
      <c r="E63" s="472" t="str">
        <f ca="1">IFERROR(__xludf.DUMMYFUNCTION("""COMPUTED_VALUE"""),"")</f>
        <v/>
      </c>
      <c r="F63" s="472" t="str">
        <f ca="1">IFERROR(__xludf.DUMMYFUNCTION("""COMPUTED_VALUE"""),"")</f>
        <v/>
      </c>
      <c r="G63" s="472" t="str">
        <f ca="1">IFERROR(__xludf.DUMMYFUNCTION("""COMPUTED_VALUE"""),"")</f>
        <v/>
      </c>
      <c r="H63" s="472" t="str">
        <f ca="1">IFERROR(__xludf.DUMMYFUNCTION("""COMPUTED_VALUE"""),"")</f>
        <v/>
      </c>
      <c r="I63" s="472" t="str">
        <f ca="1">IFERROR(__xludf.DUMMYFUNCTION("""COMPUTED_VALUE"""),"")</f>
        <v/>
      </c>
      <c r="J63" s="472" t="str">
        <f ca="1">IFERROR(__xludf.DUMMYFUNCTION("""COMPUTED_VALUE"""),"")</f>
        <v/>
      </c>
    </row>
    <row r="64" spans="1:32" ht="15.75">
      <c r="A64" s="472" t="str">
        <f ca="1">IFERROR(__xludf.DUMMYFUNCTION("""COMPUTED_VALUE"""),"")</f>
        <v/>
      </c>
      <c r="B64" s="472" t="str">
        <f ca="1">IFERROR(__xludf.DUMMYFUNCTION("""COMPUTED_VALUE"""),"")</f>
        <v/>
      </c>
      <c r="C64" s="472" t="str">
        <f ca="1">IFERROR(__xludf.DUMMYFUNCTION("""COMPUTED_VALUE"""),"")</f>
        <v/>
      </c>
      <c r="D64" s="472" t="str">
        <f ca="1">IFERROR(__xludf.DUMMYFUNCTION("""COMPUTED_VALUE"""),"")</f>
        <v/>
      </c>
      <c r="E64" s="472" t="str">
        <f ca="1">IFERROR(__xludf.DUMMYFUNCTION("""COMPUTED_VALUE"""),"")</f>
        <v/>
      </c>
      <c r="F64" s="472" t="str">
        <f ca="1">IFERROR(__xludf.DUMMYFUNCTION("""COMPUTED_VALUE"""),"")</f>
        <v/>
      </c>
      <c r="G64" s="472" t="str">
        <f ca="1">IFERROR(__xludf.DUMMYFUNCTION("""COMPUTED_VALUE"""),"")</f>
        <v/>
      </c>
      <c r="H64" s="472" t="str">
        <f ca="1">IFERROR(__xludf.DUMMYFUNCTION("""COMPUTED_VALUE"""),"")</f>
        <v/>
      </c>
      <c r="I64" s="472" t="str">
        <f ca="1">IFERROR(__xludf.DUMMYFUNCTION("""COMPUTED_VALUE"""),"")</f>
        <v/>
      </c>
      <c r="J64" s="472" t="str">
        <f ca="1">IFERROR(__xludf.DUMMYFUNCTION("""COMPUTED_VALUE"""),"")</f>
        <v/>
      </c>
    </row>
    <row r="65" spans="1:10" ht="15.75">
      <c r="A65" s="472" t="str">
        <f ca="1">IFERROR(__xludf.DUMMYFUNCTION("""COMPUTED_VALUE"""),"")</f>
        <v/>
      </c>
      <c r="B65" s="472" t="str">
        <f ca="1">IFERROR(__xludf.DUMMYFUNCTION("""COMPUTED_VALUE"""),"")</f>
        <v/>
      </c>
      <c r="C65" s="472" t="str">
        <f ca="1">IFERROR(__xludf.DUMMYFUNCTION("""COMPUTED_VALUE"""),"")</f>
        <v/>
      </c>
      <c r="D65" s="472" t="str">
        <f ca="1">IFERROR(__xludf.DUMMYFUNCTION("""COMPUTED_VALUE"""),"")</f>
        <v/>
      </c>
      <c r="E65" s="472" t="str">
        <f ca="1">IFERROR(__xludf.DUMMYFUNCTION("""COMPUTED_VALUE"""),"")</f>
        <v/>
      </c>
      <c r="F65" s="472" t="str">
        <f ca="1">IFERROR(__xludf.DUMMYFUNCTION("""COMPUTED_VALUE"""),"")</f>
        <v/>
      </c>
      <c r="G65" s="472" t="str">
        <f ca="1">IFERROR(__xludf.DUMMYFUNCTION("""COMPUTED_VALUE"""),"")</f>
        <v/>
      </c>
      <c r="H65" s="472" t="str">
        <f ca="1">IFERROR(__xludf.DUMMYFUNCTION("""COMPUTED_VALUE"""),"")</f>
        <v/>
      </c>
      <c r="I65" s="472" t="str">
        <f ca="1">IFERROR(__xludf.DUMMYFUNCTION("""COMPUTED_VALUE"""),"")</f>
        <v/>
      </c>
      <c r="J65" s="472" t="str">
        <f ca="1">IFERROR(__xludf.DUMMYFUNCTION("""COMPUTED_VALUE"""),"")</f>
        <v/>
      </c>
    </row>
    <row r="66" spans="1:10" ht="15.75">
      <c r="A66" s="472" t="str">
        <f ca="1">IFERROR(__xludf.DUMMYFUNCTION("""COMPUTED_VALUE"""),"")</f>
        <v/>
      </c>
      <c r="B66" s="472" t="str">
        <f ca="1">IFERROR(__xludf.DUMMYFUNCTION("""COMPUTED_VALUE"""),"")</f>
        <v/>
      </c>
      <c r="C66" s="472" t="str">
        <f ca="1">IFERROR(__xludf.DUMMYFUNCTION("""COMPUTED_VALUE"""),"")</f>
        <v/>
      </c>
      <c r="D66" s="472" t="str">
        <f ca="1">IFERROR(__xludf.DUMMYFUNCTION("""COMPUTED_VALUE"""),"")</f>
        <v/>
      </c>
      <c r="E66" s="472" t="str">
        <f ca="1">IFERROR(__xludf.DUMMYFUNCTION("""COMPUTED_VALUE"""),"")</f>
        <v/>
      </c>
      <c r="F66" s="472" t="str">
        <f ca="1">IFERROR(__xludf.DUMMYFUNCTION("""COMPUTED_VALUE"""),"")</f>
        <v/>
      </c>
      <c r="G66" s="472" t="str">
        <f ca="1">IFERROR(__xludf.DUMMYFUNCTION("""COMPUTED_VALUE"""),"")</f>
        <v/>
      </c>
      <c r="H66" s="472" t="str">
        <f ca="1">IFERROR(__xludf.DUMMYFUNCTION("""COMPUTED_VALUE"""),"")</f>
        <v/>
      </c>
      <c r="I66" s="472" t="str">
        <f ca="1">IFERROR(__xludf.DUMMYFUNCTION("""COMPUTED_VALUE"""),"")</f>
        <v/>
      </c>
      <c r="J66" s="472" t="str">
        <f ca="1">IFERROR(__xludf.DUMMYFUNCTION("""COMPUTED_VALUE"""),"")</f>
        <v/>
      </c>
    </row>
    <row r="67" spans="1:10" ht="15.75">
      <c r="A67" s="472" t="str">
        <f ca="1">IFERROR(__xludf.DUMMYFUNCTION("""COMPUTED_VALUE"""),"")</f>
        <v/>
      </c>
      <c r="B67" s="472" t="str">
        <f ca="1">IFERROR(__xludf.DUMMYFUNCTION("""COMPUTED_VALUE"""),"")</f>
        <v/>
      </c>
      <c r="C67" s="472" t="str">
        <f ca="1">IFERROR(__xludf.DUMMYFUNCTION("""COMPUTED_VALUE"""),"")</f>
        <v/>
      </c>
      <c r="D67" s="472" t="str">
        <f ca="1">IFERROR(__xludf.DUMMYFUNCTION("""COMPUTED_VALUE"""),"")</f>
        <v/>
      </c>
      <c r="E67" s="472" t="str">
        <f ca="1">IFERROR(__xludf.DUMMYFUNCTION("""COMPUTED_VALUE"""),"")</f>
        <v/>
      </c>
      <c r="F67" s="472" t="str">
        <f ca="1">IFERROR(__xludf.DUMMYFUNCTION("""COMPUTED_VALUE"""),"")</f>
        <v/>
      </c>
      <c r="G67" s="472" t="str">
        <f ca="1">IFERROR(__xludf.DUMMYFUNCTION("""COMPUTED_VALUE"""),"")</f>
        <v/>
      </c>
      <c r="H67" s="472" t="str">
        <f ca="1">IFERROR(__xludf.DUMMYFUNCTION("""COMPUTED_VALUE"""),"")</f>
        <v/>
      </c>
      <c r="I67" s="472" t="str">
        <f ca="1">IFERROR(__xludf.DUMMYFUNCTION("""COMPUTED_VALUE"""),"")</f>
        <v/>
      </c>
      <c r="J67" s="472" t="str">
        <f ca="1">IFERROR(__xludf.DUMMYFUNCTION("""COMPUTED_VALUE"""),"")</f>
        <v/>
      </c>
    </row>
    <row r="68" spans="1:10" ht="15.75">
      <c r="A68" s="472" t="str">
        <f ca="1">IFERROR(__xludf.DUMMYFUNCTION("""COMPUTED_VALUE"""),"")</f>
        <v/>
      </c>
      <c r="B68" s="472" t="str">
        <f ca="1">IFERROR(__xludf.DUMMYFUNCTION("""COMPUTED_VALUE"""),"")</f>
        <v/>
      </c>
      <c r="C68" s="472" t="str">
        <f ca="1">IFERROR(__xludf.DUMMYFUNCTION("""COMPUTED_VALUE"""),"")</f>
        <v/>
      </c>
      <c r="D68" s="472" t="str">
        <f ca="1">IFERROR(__xludf.DUMMYFUNCTION("""COMPUTED_VALUE"""),"")</f>
        <v/>
      </c>
      <c r="E68" s="472" t="str">
        <f ca="1">IFERROR(__xludf.DUMMYFUNCTION("""COMPUTED_VALUE"""),"")</f>
        <v/>
      </c>
      <c r="F68" s="472" t="str">
        <f ca="1">IFERROR(__xludf.DUMMYFUNCTION("""COMPUTED_VALUE"""),"")</f>
        <v/>
      </c>
      <c r="G68" s="472" t="str">
        <f ca="1">IFERROR(__xludf.DUMMYFUNCTION("""COMPUTED_VALUE"""),"")</f>
        <v/>
      </c>
      <c r="H68" s="472" t="str">
        <f ca="1">IFERROR(__xludf.DUMMYFUNCTION("""COMPUTED_VALUE"""),"")</f>
        <v/>
      </c>
      <c r="I68" s="472" t="str">
        <f ca="1">IFERROR(__xludf.DUMMYFUNCTION("""COMPUTED_VALUE"""),"")</f>
        <v/>
      </c>
      <c r="J68" s="472" t="str">
        <f ca="1">IFERROR(__xludf.DUMMYFUNCTION("""COMPUTED_VALUE"""),"")</f>
        <v/>
      </c>
    </row>
    <row r="69" spans="1:10" ht="15.75">
      <c r="A69" s="472" t="str">
        <f ca="1">IFERROR(__xludf.DUMMYFUNCTION("""COMPUTED_VALUE"""),"")</f>
        <v/>
      </c>
      <c r="B69" s="472" t="str">
        <f ca="1">IFERROR(__xludf.DUMMYFUNCTION("""COMPUTED_VALUE"""),"")</f>
        <v/>
      </c>
      <c r="C69" s="472" t="str">
        <f ca="1">IFERROR(__xludf.DUMMYFUNCTION("""COMPUTED_VALUE"""),"")</f>
        <v/>
      </c>
      <c r="D69" s="472" t="str">
        <f ca="1">IFERROR(__xludf.DUMMYFUNCTION("""COMPUTED_VALUE"""),"")</f>
        <v/>
      </c>
      <c r="E69" s="472" t="str">
        <f ca="1">IFERROR(__xludf.DUMMYFUNCTION("""COMPUTED_VALUE"""),"")</f>
        <v/>
      </c>
      <c r="F69" s="472" t="str">
        <f ca="1">IFERROR(__xludf.DUMMYFUNCTION("""COMPUTED_VALUE"""),"")</f>
        <v/>
      </c>
      <c r="G69" s="472" t="str">
        <f ca="1">IFERROR(__xludf.DUMMYFUNCTION("""COMPUTED_VALUE"""),"")</f>
        <v/>
      </c>
      <c r="H69" s="472" t="str">
        <f ca="1">IFERROR(__xludf.DUMMYFUNCTION("""COMPUTED_VALUE"""),"")</f>
        <v/>
      </c>
      <c r="I69" s="472" t="str">
        <f ca="1">IFERROR(__xludf.DUMMYFUNCTION("""COMPUTED_VALUE"""),"")</f>
        <v/>
      </c>
      <c r="J69" s="472" t="str">
        <f ca="1">IFERROR(__xludf.DUMMYFUNCTION("""COMPUTED_VALUE"""),"")</f>
        <v/>
      </c>
    </row>
    <row r="70" spans="1:10" ht="15.75">
      <c r="A70" s="472" t="str">
        <f ca="1">IFERROR(__xludf.DUMMYFUNCTION("""COMPUTED_VALUE"""),"")</f>
        <v/>
      </c>
      <c r="B70" s="472" t="str">
        <f ca="1">IFERROR(__xludf.DUMMYFUNCTION("""COMPUTED_VALUE"""),"")</f>
        <v/>
      </c>
      <c r="C70" s="472" t="str">
        <f ca="1">IFERROR(__xludf.DUMMYFUNCTION("""COMPUTED_VALUE"""),"")</f>
        <v/>
      </c>
      <c r="D70" s="472" t="str">
        <f ca="1">IFERROR(__xludf.DUMMYFUNCTION("""COMPUTED_VALUE"""),"")</f>
        <v/>
      </c>
      <c r="E70" s="472" t="str">
        <f ca="1">IFERROR(__xludf.DUMMYFUNCTION("""COMPUTED_VALUE"""),"")</f>
        <v/>
      </c>
      <c r="F70" s="472" t="str">
        <f ca="1">IFERROR(__xludf.DUMMYFUNCTION("""COMPUTED_VALUE"""),"")</f>
        <v/>
      </c>
      <c r="G70" s="472" t="str">
        <f ca="1">IFERROR(__xludf.DUMMYFUNCTION("""COMPUTED_VALUE"""),"")</f>
        <v/>
      </c>
      <c r="H70" s="472" t="str">
        <f ca="1">IFERROR(__xludf.DUMMYFUNCTION("""COMPUTED_VALUE"""),"")</f>
        <v/>
      </c>
      <c r="I70" s="472" t="str">
        <f ca="1">IFERROR(__xludf.DUMMYFUNCTION("""COMPUTED_VALUE"""),"")</f>
        <v/>
      </c>
      <c r="J70" s="472" t="str">
        <f ca="1">IFERROR(__xludf.DUMMYFUNCTION("""COMPUTED_VALUE"""),"")</f>
        <v/>
      </c>
    </row>
    <row r="71" spans="1:10" ht="15.75">
      <c r="A71" s="472" t="str">
        <f ca="1">IFERROR(__xludf.DUMMYFUNCTION("""COMPUTED_VALUE"""),"")</f>
        <v/>
      </c>
      <c r="B71" s="472" t="str">
        <f ca="1">IFERROR(__xludf.DUMMYFUNCTION("""COMPUTED_VALUE"""),"")</f>
        <v/>
      </c>
      <c r="C71" s="472" t="str">
        <f ca="1">IFERROR(__xludf.DUMMYFUNCTION("""COMPUTED_VALUE"""),"")</f>
        <v/>
      </c>
      <c r="D71" s="472" t="str">
        <f ca="1">IFERROR(__xludf.DUMMYFUNCTION("""COMPUTED_VALUE"""),"")</f>
        <v/>
      </c>
      <c r="E71" s="472" t="str">
        <f ca="1">IFERROR(__xludf.DUMMYFUNCTION("""COMPUTED_VALUE"""),"")</f>
        <v/>
      </c>
      <c r="F71" s="472" t="str">
        <f ca="1">IFERROR(__xludf.DUMMYFUNCTION("""COMPUTED_VALUE"""),"")</f>
        <v/>
      </c>
      <c r="G71" s="472" t="str">
        <f ca="1">IFERROR(__xludf.DUMMYFUNCTION("""COMPUTED_VALUE"""),"")</f>
        <v/>
      </c>
      <c r="H71" s="472" t="str">
        <f ca="1">IFERROR(__xludf.DUMMYFUNCTION("""COMPUTED_VALUE"""),"")</f>
        <v/>
      </c>
      <c r="I71" s="472" t="str">
        <f ca="1">IFERROR(__xludf.DUMMYFUNCTION("""COMPUTED_VALUE"""),"")</f>
        <v/>
      </c>
      <c r="J71" s="472" t="str">
        <f ca="1">IFERROR(__xludf.DUMMYFUNCTION("""COMPUTED_VALUE"""),"")</f>
        <v/>
      </c>
    </row>
    <row r="72" spans="1:10" ht="15.75">
      <c r="A72" s="472" t="str">
        <f ca="1">IFERROR(__xludf.DUMMYFUNCTION("""COMPUTED_VALUE"""),"")</f>
        <v/>
      </c>
      <c r="B72" s="472" t="str">
        <f ca="1">IFERROR(__xludf.DUMMYFUNCTION("""COMPUTED_VALUE"""),"")</f>
        <v/>
      </c>
      <c r="C72" s="472" t="str">
        <f ca="1">IFERROR(__xludf.DUMMYFUNCTION("""COMPUTED_VALUE"""),"")</f>
        <v/>
      </c>
      <c r="D72" s="472" t="str">
        <f ca="1">IFERROR(__xludf.DUMMYFUNCTION("""COMPUTED_VALUE"""),"")</f>
        <v/>
      </c>
      <c r="E72" s="472" t="str">
        <f ca="1">IFERROR(__xludf.DUMMYFUNCTION("""COMPUTED_VALUE"""),"")</f>
        <v/>
      </c>
      <c r="F72" s="472" t="str">
        <f ca="1">IFERROR(__xludf.DUMMYFUNCTION("""COMPUTED_VALUE"""),"")</f>
        <v/>
      </c>
      <c r="G72" s="472" t="str">
        <f ca="1">IFERROR(__xludf.DUMMYFUNCTION("""COMPUTED_VALUE"""),"")</f>
        <v/>
      </c>
      <c r="H72" s="472" t="str">
        <f ca="1">IFERROR(__xludf.DUMMYFUNCTION("""COMPUTED_VALUE"""),"")</f>
        <v/>
      </c>
      <c r="I72" s="472" t="str">
        <f ca="1">IFERROR(__xludf.DUMMYFUNCTION("""COMPUTED_VALUE"""),"")</f>
        <v/>
      </c>
      <c r="J72" s="472" t="str">
        <f ca="1">IFERROR(__xludf.DUMMYFUNCTION("""COMPUTED_VALUE"""),"")</f>
        <v/>
      </c>
    </row>
    <row r="73" spans="1:10" ht="15.75">
      <c r="A73" s="472" t="str">
        <f ca="1">IFERROR(__xludf.DUMMYFUNCTION("""COMPUTED_VALUE"""),"")</f>
        <v/>
      </c>
      <c r="B73" s="472" t="str">
        <f ca="1">IFERROR(__xludf.DUMMYFUNCTION("""COMPUTED_VALUE"""),"")</f>
        <v/>
      </c>
      <c r="C73" s="472" t="str">
        <f ca="1">IFERROR(__xludf.DUMMYFUNCTION("""COMPUTED_VALUE"""),"")</f>
        <v/>
      </c>
      <c r="D73" s="472" t="str">
        <f ca="1">IFERROR(__xludf.DUMMYFUNCTION("""COMPUTED_VALUE"""),"")</f>
        <v/>
      </c>
      <c r="E73" s="472" t="str">
        <f ca="1">IFERROR(__xludf.DUMMYFUNCTION("""COMPUTED_VALUE"""),"")</f>
        <v/>
      </c>
      <c r="F73" s="472" t="str">
        <f ca="1">IFERROR(__xludf.DUMMYFUNCTION("""COMPUTED_VALUE"""),"")</f>
        <v/>
      </c>
      <c r="G73" s="472" t="str">
        <f ca="1">IFERROR(__xludf.DUMMYFUNCTION("""COMPUTED_VALUE"""),"")</f>
        <v/>
      </c>
      <c r="H73" s="472" t="str">
        <f ca="1">IFERROR(__xludf.DUMMYFUNCTION("""COMPUTED_VALUE"""),"")</f>
        <v/>
      </c>
      <c r="I73" s="472" t="str">
        <f ca="1">IFERROR(__xludf.DUMMYFUNCTION("""COMPUTED_VALUE"""),"")</f>
        <v/>
      </c>
      <c r="J73" s="472" t="str">
        <f ca="1">IFERROR(__xludf.DUMMYFUNCTION("""COMPUTED_VALUE"""),"")</f>
        <v/>
      </c>
    </row>
    <row r="74" spans="1:10" ht="15.75">
      <c r="A74" s="472" t="str">
        <f ca="1">IFERROR(__xludf.DUMMYFUNCTION("""COMPUTED_VALUE"""),"")</f>
        <v/>
      </c>
      <c r="B74" s="472" t="str">
        <f ca="1">IFERROR(__xludf.DUMMYFUNCTION("""COMPUTED_VALUE"""),"")</f>
        <v/>
      </c>
      <c r="C74" s="472" t="str">
        <f ca="1">IFERROR(__xludf.DUMMYFUNCTION("""COMPUTED_VALUE"""),"")</f>
        <v/>
      </c>
      <c r="D74" s="472" t="str">
        <f ca="1">IFERROR(__xludf.DUMMYFUNCTION("""COMPUTED_VALUE"""),"")</f>
        <v/>
      </c>
      <c r="E74" s="472" t="str">
        <f ca="1">IFERROR(__xludf.DUMMYFUNCTION("""COMPUTED_VALUE"""),"")</f>
        <v/>
      </c>
      <c r="F74" s="472" t="str">
        <f ca="1">IFERROR(__xludf.DUMMYFUNCTION("""COMPUTED_VALUE"""),"")</f>
        <v/>
      </c>
      <c r="G74" s="472" t="str">
        <f ca="1">IFERROR(__xludf.DUMMYFUNCTION("""COMPUTED_VALUE"""),"")</f>
        <v/>
      </c>
      <c r="H74" s="472" t="str">
        <f ca="1">IFERROR(__xludf.DUMMYFUNCTION("""COMPUTED_VALUE"""),"")</f>
        <v/>
      </c>
      <c r="I74" s="472" t="str">
        <f ca="1">IFERROR(__xludf.DUMMYFUNCTION("""COMPUTED_VALUE"""),"")</f>
        <v/>
      </c>
      <c r="J74" s="472" t="str">
        <f ca="1">IFERROR(__xludf.DUMMYFUNCTION("""COMPUTED_VALUE"""),"")</f>
        <v/>
      </c>
    </row>
    <row r="75" spans="1:10" ht="15.75">
      <c r="A75" s="472" t="str">
        <f ca="1">IFERROR(__xludf.DUMMYFUNCTION("""COMPUTED_VALUE"""),"")</f>
        <v/>
      </c>
      <c r="B75" s="472" t="str">
        <f ca="1">IFERROR(__xludf.DUMMYFUNCTION("""COMPUTED_VALUE"""),"")</f>
        <v/>
      </c>
      <c r="C75" s="472" t="str">
        <f ca="1">IFERROR(__xludf.DUMMYFUNCTION("""COMPUTED_VALUE"""),"")</f>
        <v/>
      </c>
      <c r="D75" s="472" t="str">
        <f ca="1">IFERROR(__xludf.DUMMYFUNCTION("""COMPUTED_VALUE"""),"")</f>
        <v/>
      </c>
      <c r="E75" s="472" t="str">
        <f ca="1">IFERROR(__xludf.DUMMYFUNCTION("""COMPUTED_VALUE"""),"")</f>
        <v/>
      </c>
      <c r="F75" s="472" t="str">
        <f ca="1">IFERROR(__xludf.DUMMYFUNCTION("""COMPUTED_VALUE"""),"")</f>
        <v/>
      </c>
      <c r="G75" s="472" t="str">
        <f ca="1">IFERROR(__xludf.DUMMYFUNCTION("""COMPUTED_VALUE"""),"")</f>
        <v/>
      </c>
      <c r="H75" s="472" t="str">
        <f ca="1">IFERROR(__xludf.DUMMYFUNCTION("""COMPUTED_VALUE"""),"")</f>
        <v/>
      </c>
      <c r="I75" s="472" t="str">
        <f ca="1">IFERROR(__xludf.DUMMYFUNCTION("""COMPUTED_VALUE"""),"")</f>
        <v/>
      </c>
      <c r="J75" s="472" t="str">
        <f ca="1">IFERROR(__xludf.DUMMYFUNCTION("""COMPUTED_VALUE"""),"")</f>
        <v/>
      </c>
    </row>
    <row r="76" spans="1:10" ht="15.75">
      <c r="A76" s="472" t="str">
        <f ca="1">IFERROR(__xludf.DUMMYFUNCTION("""COMPUTED_VALUE"""),"")</f>
        <v/>
      </c>
      <c r="B76" s="472" t="str">
        <f ca="1">IFERROR(__xludf.DUMMYFUNCTION("""COMPUTED_VALUE"""),"")</f>
        <v/>
      </c>
      <c r="C76" s="472" t="str">
        <f ca="1">IFERROR(__xludf.DUMMYFUNCTION("""COMPUTED_VALUE"""),"")</f>
        <v/>
      </c>
      <c r="D76" s="472" t="str">
        <f ca="1">IFERROR(__xludf.DUMMYFUNCTION("""COMPUTED_VALUE"""),"")</f>
        <v/>
      </c>
      <c r="E76" s="472" t="str">
        <f ca="1">IFERROR(__xludf.DUMMYFUNCTION("""COMPUTED_VALUE"""),"")</f>
        <v/>
      </c>
      <c r="F76" s="472" t="str">
        <f ca="1">IFERROR(__xludf.DUMMYFUNCTION("""COMPUTED_VALUE"""),"")</f>
        <v/>
      </c>
      <c r="G76" s="472" t="str">
        <f ca="1">IFERROR(__xludf.DUMMYFUNCTION("""COMPUTED_VALUE"""),"")</f>
        <v/>
      </c>
      <c r="H76" s="472" t="str">
        <f ca="1">IFERROR(__xludf.DUMMYFUNCTION("""COMPUTED_VALUE"""),"")</f>
        <v/>
      </c>
      <c r="I76" s="472" t="str">
        <f ca="1">IFERROR(__xludf.DUMMYFUNCTION("""COMPUTED_VALUE"""),"")</f>
        <v/>
      </c>
      <c r="J76" s="472" t="str">
        <f ca="1">IFERROR(__xludf.DUMMYFUNCTION("""COMPUTED_VALUE"""),"")</f>
        <v/>
      </c>
    </row>
    <row r="77" spans="1:10" ht="15.75">
      <c r="A77" s="472" t="str">
        <f ca="1">IFERROR(__xludf.DUMMYFUNCTION("""COMPUTED_VALUE"""),"")</f>
        <v/>
      </c>
      <c r="B77" s="472" t="str">
        <f ca="1">IFERROR(__xludf.DUMMYFUNCTION("""COMPUTED_VALUE"""),"")</f>
        <v/>
      </c>
      <c r="C77" s="472" t="str">
        <f ca="1">IFERROR(__xludf.DUMMYFUNCTION("""COMPUTED_VALUE"""),"")</f>
        <v/>
      </c>
      <c r="D77" s="472" t="str">
        <f ca="1">IFERROR(__xludf.DUMMYFUNCTION("""COMPUTED_VALUE"""),"")</f>
        <v/>
      </c>
      <c r="E77" s="472" t="str">
        <f ca="1">IFERROR(__xludf.DUMMYFUNCTION("""COMPUTED_VALUE"""),"")</f>
        <v/>
      </c>
      <c r="F77" s="472" t="str">
        <f ca="1">IFERROR(__xludf.DUMMYFUNCTION("""COMPUTED_VALUE"""),"")</f>
        <v/>
      </c>
      <c r="G77" s="472" t="str">
        <f ca="1">IFERROR(__xludf.DUMMYFUNCTION("""COMPUTED_VALUE"""),"")</f>
        <v/>
      </c>
      <c r="H77" s="472" t="str">
        <f ca="1">IFERROR(__xludf.DUMMYFUNCTION("""COMPUTED_VALUE"""),"")</f>
        <v/>
      </c>
      <c r="I77" s="472" t="str">
        <f ca="1">IFERROR(__xludf.DUMMYFUNCTION("""COMPUTED_VALUE"""),"")</f>
        <v/>
      </c>
      <c r="J77" s="472" t="str">
        <f ca="1">IFERROR(__xludf.DUMMYFUNCTION("""COMPUTED_VALUE"""),"")</f>
        <v/>
      </c>
    </row>
    <row r="78" spans="1:10" ht="15.75">
      <c r="A78" s="472" t="str">
        <f ca="1">IFERROR(__xludf.DUMMYFUNCTION("""COMPUTED_VALUE"""),"")</f>
        <v/>
      </c>
      <c r="B78" s="472" t="str">
        <f ca="1">IFERROR(__xludf.DUMMYFUNCTION("""COMPUTED_VALUE"""),"")</f>
        <v/>
      </c>
      <c r="C78" s="472" t="str">
        <f ca="1">IFERROR(__xludf.DUMMYFUNCTION("""COMPUTED_VALUE"""),"")</f>
        <v/>
      </c>
      <c r="D78" s="472" t="str">
        <f ca="1">IFERROR(__xludf.DUMMYFUNCTION("""COMPUTED_VALUE"""),"")</f>
        <v/>
      </c>
      <c r="E78" s="472" t="str">
        <f ca="1">IFERROR(__xludf.DUMMYFUNCTION("""COMPUTED_VALUE"""),"")</f>
        <v/>
      </c>
      <c r="F78" s="472" t="str">
        <f ca="1">IFERROR(__xludf.DUMMYFUNCTION("""COMPUTED_VALUE"""),"")</f>
        <v/>
      </c>
      <c r="G78" s="472" t="str">
        <f ca="1">IFERROR(__xludf.DUMMYFUNCTION("""COMPUTED_VALUE"""),"")</f>
        <v/>
      </c>
      <c r="H78" s="472" t="str">
        <f ca="1">IFERROR(__xludf.DUMMYFUNCTION("""COMPUTED_VALUE"""),"")</f>
        <v/>
      </c>
      <c r="I78" s="472" t="str">
        <f ca="1">IFERROR(__xludf.DUMMYFUNCTION("""COMPUTED_VALUE"""),"")</f>
        <v/>
      </c>
      <c r="J78" s="472" t="str">
        <f ca="1">IFERROR(__xludf.DUMMYFUNCTION("""COMPUTED_VALUE"""),"")</f>
        <v/>
      </c>
    </row>
    <row r="79" spans="1:10" ht="15.75">
      <c r="A79" s="472" t="str">
        <f ca="1">IFERROR(__xludf.DUMMYFUNCTION("""COMPUTED_VALUE"""),"")</f>
        <v/>
      </c>
      <c r="B79" s="472" t="str">
        <f ca="1">IFERROR(__xludf.DUMMYFUNCTION("""COMPUTED_VALUE"""),"")</f>
        <v/>
      </c>
      <c r="C79" s="472" t="str">
        <f ca="1">IFERROR(__xludf.DUMMYFUNCTION("""COMPUTED_VALUE"""),"")</f>
        <v/>
      </c>
      <c r="D79" s="472" t="str">
        <f ca="1">IFERROR(__xludf.DUMMYFUNCTION("""COMPUTED_VALUE"""),"")</f>
        <v/>
      </c>
      <c r="E79" s="472" t="str">
        <f ca="1">IFERROR(__xludf.DUMMYFUNCTION("""COMPUTED_VALUE"""),"")</f>
        <v/>
      </c>
      <c r="F79" s="472" t="str">
        <f ca="1">IFERROR(__xludf.DUMMYFUNCTION("""COMPUTED_VALUE"""),"")</f>
        <v/>
      </c>
      <c r="G79" s="472" t="str">
        <f ca="1">IFERROR(__xludf.DUMMYFUNCTION("""COMPUTED_VALUE"""),"")</f>
        <v/>
      </c>
      <c r="H79" s="472" t="str">
        <f ca="1">IFERROR(__xludf.DUMMYFUNCTION("""COMPUTED_VALUE"""),"")</f>
        <v/>
      </c>
      <c r="I79" s="472" t="str">
        <f ca="1">IFERROR(__xludf.DUMMYFUNCTION("""COMPUTED_VALUE"""),"")</f>
        <v/>
      </c>
      <c r="J79" s="472" t="str">
        <f ca="1">IFERROR(__xludf.DUMMYFUNCTION("""COMPUTED_VALUE"""),"")</f>
        <v/>
      </c>
    </row>
    <row r="80" spans="1:10" ht="15.75">
      <c r="A80" s="472" t="str">
        <f ca="1">IFERROR(__xludf.DUMMYFUNCTION("""COMPUTED_VALUE"""),"")</f>
        <v/>
      </c>
      <c r="B80" s="472" t="str">
        <f ca="1">IFERROR(__xludf.DUMMYFUNCTION("""COMPUTED_VALUE"""),"")</f>
        <v/>
      </c>
      <c r="C80" s="472" t="str">
        <f ca="1">IFERROR(__xludf.DUMMYFUNCTION("""COMPUTED_VALUE"""),"")</f>
        <v/>
      </c>
      <c r="D80" s="472" t="str">
        <f ca="1">IFERROR(__xludf.DUMMYFUNCTION("""COMPUTED_VALUE"""),"")</f>
        <v/>
      </c>
      <c r="E80" s="472" t="str">
        <f ca="1">IFERROR(__xludf.DUMMYFUNCTION("""COMPUTED_VALUE"""),"")</f>
        <v/>
      </c>
      <c r="F80" s="472" t="str">
        <f ca="1">IFERROR(__xludf.DUMMYFUNCTION("""COMPUTED_VALUE"""),"")</f>
        <v/>
      </c>
      <c r="G80" s="472" t="str">
        <f ca="1">IFERROR(__xludf.DUMMYFUNCTION("""COMPUTED_VALUE"""),"")</f>
        <v/>
      </c>
      <c r="H80" s="472" t="str">
        <f ca="1">IFERROR(__xludf.DUMMYFUNCTION("""COMPUTED_VALUE"""),"")</f>
        <v/>
      </c>
      <c r="I80" s="472" t="str">
        <f ca="1">IFERROR(__xludf.DUMMYFUNCTION("""COMPUTED_VALUE"""),"")</f>
        <v/>
      </c>
      <c r="J80" s="472" t="str">
        <f ca="1">IFERROR(__xludf.DUMMYFUNCTION("""COMPUTED_VALUE"""),"")</f>
        <v/>
      </c>
    </row>
    <row r="81" spans="1:10" ht="15.75">
      <c r="A81" s="472" t="str">
        <f ca="1">IFERROR(__xludf.DUMMYFUNCTION("""COMPUTED_VALUE"""),"")</f>
        <v/>
      </c>
      <c r="B81" s="472" t="str">
        <f ca="1">IFERROR(__xludf.DUMMYFUNCTION("""COMPUTED_VALUE"""),"")</f>
        <v/>
      </c>
      <c r="C81" s="472" t="str">
        <f ca="1">IFERROR(__xludf.DUMMYFUNCTION("""COMPUTED_VALUE"""),"")</f>
        <v/>
      </c>
      <c r="D81" s="472" t="str">
        <f ca="1">IFERROR(__xludf.DUMMYFUNCTION("""COMPUTED_VALUE"""),"")</f>
        <v/>
      </c>
      <c r="E81" s="472" t="str">
        <f ca="1">IFERROR(__xludf.DUMMYFUNCTION("""COMPUTED_VALUE"""),"")</f>
        <v/>
      </c>
      <c r="F81" s="472" t="str">
        <f ca="1">IFERROR(__xludf.DUMMYFUNCTION("""COMPUTED_VALUE"""),"")</f>
        <v/>
      </c>
      <c r="G81" s="472" t="str">
        <f ca="1">IFERROR(__xludf.DUMMYFUNCTION("""COMPUTED_VALUE"""),"")</f>
        <v/>
      </c>
      <c r="H81" s="472" t="str">
        <f ca="1">IFERROR(__xludf.DUMMYFUNCTION("""COMPUTED_VALUE"""),"")</f>
        <v/>
      </c>
      <c r="I81" s="472" t="str">
        <f ca="1">IFERROR(__xludf.DUMMYFUNCTION("""COMPUTED_VALUE"""),"")</f>
        <v/>
      </c>
      <c r="J81" s="472" t="str">
        <f ca="1">IFERROR(__xludf.DUMMYFUNCTION("""COMPUTED_VALUE"""),"")</f>
        <v/>
      </c>
    </row>
    <row r="82" spans="1:10" ht="15.75">
      <c r="A82" s="472" t="str">
        <f ca="1">IFERROR(__xludf.DUMMYFUNCTION("""COMPUTED_VALUE"""),"")</f>
        <v/>
      </c>
      <c r="B82" s="472" t="str">
        <f ca="1">IFERROR(__xludf.DUMMYFUNCTION("""COMPUTED_VALUE"""),"")</f>
        <v/>
      </c>
      <c r="C82" s="472" t="str">
        <f ca="1">IFERROR(__xludf.DUMMYFUNCTION("""COMPUTED_VALUE"""),"")</f>
        <v/>
      </c>
      <c r="D82" s="472" t="str">
        <f ca="1">IFERROR(__xludf.DUMMYFUNCTION("""COMPUTED_VALUE"""),"")</f>
        <v/>
      </c>
      <c r="E82" s="472" t="str">
        <f ca="1">IFERROR(__xludf.DUMMYFUNCTION("""COMPUTED_VALUE"""),"")</f>
        <v/>
      </c>
      <c r="F82" s="472" t="str">
        <f ca="1">IFERROR(__xludf.DUMMYFUNCTION("""COMPUTED_VALUE"""),"")</f>
        <v/>
      </c>
      <c r="G82" s="472" t="str">
        <f ca="1">IFERROR(__xludf.DUMMYFUNCTION("""COMPUTED_VALUE"""),"")</f>
        <v/>
      </c>
      <c r="H82" s="472" t="str">
        <f ca="1">IFERROR(__xludf.DUMMYFUNCTION("""COMPUTED_VALUE"""),"")</f>
        <v/>
      </c>
      <c r="I82" s="472" t="str">
        <f ca="1">IFERROR(__xludf.DUMMYFUNCTION("""COMPUTED_VALUE"""),"")</f>
        <v/>
      </c>
      <c r="J82" s="472" t="str">
        <f ca="1">IFERROR(__xludf.DUMMYFUNCTION("""COMPUTED_VALUE"""),"")</f>
        <v/>
      </c>
    </row>
    <row r="83" spans="1:10" ht="15.75">
      <c r="A83" s="472" t="str">
        <f ca="1">IFERROR(__xludf.DUMMYFUNCTION("""COMPUTED_VALUE"""),"")</f>
        <v/>
      </c>
      <c r="B83" s="472" t="str">
        <f ca="1">IFERROR(__xludf.DUMMYFUNCTION("""COMPUTED_VALUE"""),"")</f>
        <v/>
      </c>
      <c r="C83" s="472" t="str">
        <f ca="1">IFERROR(__xludf.DUMMYFUNCTION("""COMPUTED_VALUE"""),"")</f>
        <v/>
      </c>
      <c r="D83" s="472" t="str">
        <f ca="1">IFERROR(__xludf.DUMMYFUNCTION("""COMPUTED_VALUE"""),"")</f>
        <v/>
      </c>
      <c r="E83" s="472" t="str">
        <f ca="1">IFERROR(__xludf.DUMMYFUNCTION("""COMPUTED_VALUE"""),"")</f>
        <v/>
      </c>
      <c r="F83" s="472" t="str">
        <f ca="1">IFERROR(__xludf.DUMMYFUNCTION("""COMPUTED_VALUE"""),"")</f>
        <v/>
      </c>
      <c r="G83" s="472" t="str">
        <f ca="1">IFERROR(__xludf.DUMMYFUNCTION("""COMPUTED_VALUE"""),"")</f>
        <v/>
      </c>
      <c r="H83" s="472" t="str">
        <f ca="1">IFERROR(__xludf.DUMMYFUNCTION("""COMPUTED_VALUE"""),"")</f>
        <v/>
      </c>
      <c r="I83" s="472" t="str">
        <f ca="1">IFERROR(__xludf.DUMMYFUNCTION("""COMPUTED_VALUE"""),"")</f>
        <v/>
      </c>
      <c r="J83" s="472" t="str">
        <f ca="1">IFERROR(__xludf.DUMMYFUNCTION("""COMPUTED_VALUE"""),"")</f>
        <v/>
      </c>
    </row>
    <row r="84" spans="1:10" ht="15.75">
      <c r="A84" s="472" t="str">
        <f ca="1">IFERROR(__xludf.DUMMYFUNCTION("""COMPUTED_VALUE"""),"")</f>
        <v/>
      </c>
      <c r="B84" s="472" t="str">
        <f ca="1">IFERROR(__xludf.DUMMYFUNCTION("""COMPUTED_VALUE"""),"")</f>
        <v/>
      </c>
      <c r="C84" s="472" t="str">
        <f ca="1">IFERROR(__xludf.DUMMYFUNCTION("""COMPUTED_VALUE"""),"")</f>
        <v/>
      </c>
      <c r="D84" s="472" t="str">
        <f ca="1">IFERROR(__xludf.DUMMYFUNCTION("""COMPUTED_VALUE"""),"")</f>
        <v/>
      </c>
      <c r="E84" s="472" t="str">
        <f ca="1">IFERROR(__xludf.DUMMYFUNCTION("""COMPUTED_VALUE"""),"")</f>
        <v/>
      </c>
      <c r="F84" s="472" t="str">
        <f ca="1">IFERROR(__xludf.DUMMYFUNCTION("""COMPUTED_VALUE"""),"")</f>
        <v/>
      </c>
      <c r="G84" s="472" t="str">
        <f ca="1">IFERROR(__xludf.DUMMYFUNCTION("""COMPUTED_VALUE"""),"")</f>
        <v/>
      </c>
      <c r="H84" s="472" t="str">
        <f ca="1">IFERROR(__xludf.DUMMYFUNCTION("""COMPUTED_VALUE"""),"")</f>
        <v/>
      </c>
      <c r="I84" s="472" t="str">
        <f ca="1">IFERROR(__xludf.DUMMYFUNCTION("""COMPUTED_VALUE"""),"")</f>
        <v/>
      </c>
      <c r="J84" s="472" t="str">
        <f ca="1">IFERROR(__xludf.DUMMYFUNCTION("""COMPUTED_VALUE"""),"")</f>
        <v/>
      </c>
    </row>
    <row r="85" spans="1:10" ht="15.75">
      <c r="A85" s="472" t="str">
        <f ca="1">IFERROR(__xludf.DUMMYFUNCTION("""COMPUTED_VALUE"""),"")</f>
        <v/>
      </c>
      <c r="B85" s="472" t="str">
        <f ca="1">IFERROR(__xludf.DUMMYFUNCTION("""COMPUTED_VALUE"""),"")</f>
        <v/>
      </c>
      <c r="C85" s="472" t="str">
        <f ca="1">IFERROR(__xludf.DUMMYFUNCTION("""COMPUTED_VALUE"""),"")</f>
        <v/>
      </c>
      <c r="D85" s="472" t="str">
        <f ca="1">IFERROR(__xludf.DUMMYFUNCTION("""COMPUTED_VALUE"""),"")</f>
        <v/>
      </c>
      <c r="E85" s="472" t="str">
        <f ca="1">IFERROR(__xludf.DUMMYFUNCTION("""COMPUTED_VALUE"""),"")</f>
        <v/>
      </c>
      <c r="F85" s="472" t="str">
        <f ca="1">IFERROR(__xludf.DUMMYFUNCTION("""COMPUTED_VALUE"""),"")</f>
        <v/>
      </c>
      <c r="G85" s="472" t="str">
        <f ca="1">IFERROR(__xludf.DUMMYFUNCTION("""COMPUTED_VALUE"""),"")</f>
        <v/>
      </c>
      <c r="H85" s="472" t="str">
        <f ca="1">IFERROR(__xludf.DUMMYFUNCTION("""COMPUTED_VALUE"""),"")</f>
        <v/>
      </c>
      <c r="I85" s="472" t="str">
        <f ca="1">IFERROR(__xludf.DUMMYFUNCTION("""COMPUTED_VALUE"""),"")</f>
        <v/>
      </c>
      <c r="J85" s="472" t="str">
        <f ca="1">IFERROR(__xludf.DUMMYFUNCTION("""COMPUTED_VALUE"""),"")</f>
        <v/>
      </c>
    </row>
    <row r="86" spans="1:10" ht="15.75">
      <c r="A86" s="472" t="str">
        <f ca="1">IFERROR(__xludf.DUMMYFUNCTION("""COMPUTED_VALUE"""),"")</f>
        <v/>
      </c>
      <c r="B86" s="472" t="str">
        <f ca="1">IFERROR(__xludf.DUMMYFUNCTION("""COMPUTED_VALUE"""),"")</f>
        <v/>
      </c>
      <c r="C86" s="472" t="str">
        <f ca="1">IFERROR(__xludf.DUMMYFUNCTION("""COMPUTED_VALUE"""),"")</f>
        <v/>
      </c>
      <c r="D86" s="472" t="str">
        <f ca="1">IFERROR(__xludf.DUMMYFUNCTION("""COMPUTED_VALUE"""),"")</f>
        <v/>
      </c>
      <c r="E86" s="472" t="str">
        <f ca="1">IFERROR(__xludf.DUMMYFUNCTION("""COMPUTED_VALUE"""),"")</f>
        <v/>
      </c>
      <c r="F86" s="472" t="str">
        <f ca="1">IFERROR(__xludf.DUMMYFUNCTION("""COMPUTED_VALUE"""),"")</f>
        <v/>
      </c>
      <c r="G86" s="472" t="str">
        <f ca="1">IFERROR(__xludf.DUMMYFUNCTION("""COMPUTED_VALUE"""),"")</f>
        <v/>
      </c>
      <c r="H86" s="472" t="str">
        <f ca="1">IFERROR(__xludf.DUMMYFUNCTION("""COMPUTED_VALUE"""),"")</f>
        <v/>
      </c>
      <c r="I86" s="472" t="str">
        <f ca="1">IFERROR(__xludf.DUMMYFUNCTION("""COMPUTED_VALUE"""),"")</f>
        <v/>
      </c>
      <c r="J86" s="472" t="str">
        <f ca="1">IFERROR(__xludf.DUMMYFUNCTION("""COMPUTED_VALUE"""),"")</f>
        <v/>
      </c>
    </row>
    <row r="87" spans="1:10" ht="15.75">
      <c r="A87" s="472" t="str">
        <f ca="1">IFERROR(__xludf.DUMMYFUNCTION("""COMPUTED_VALUE"""),"")</f>
        <v/>
      </c>
      <c r="B87" s="472" t="str">
        <f ca="1">IFERROR(__xludf.DUMMYFUNCTION("""COMPUTED_VALUE"""),"")</f>
        <v/>
      </c>
      <c r="C87" s="472" t="str">
        <f ca="1">IFERROR(__xludf.DUMMYFUNCTION("""COMPUTED_VALUE"""),"")</f>
        <v/>
      </c>
      <c r="D87" s="472" t="str">
        <f ca="1">IFERROR(__xludf.DUMMYFUNCTION("""COMPUTED_VALUE"""),"")</f>
        <v/>
      </c>
      <c r="E87" s="472" t="str">
        <f ca="1">IFERROR(__xludf.DUMMYFUNCTION("""COMPUTED_VALUE"""),"")</f>
        <v/>
      </c>
      <c r="F87" s="472" t="str">
        <f ca="1">IFERROR(__xludf.DUMMYFUNCTION("""COMPUTED_VALUE"""),"")</f>
        <v/>
      </c>
      <c r="G87" s="472" t="str">
        <f ca="1">IFERROR(__xludf.DUMMYFUNCTION("""COMPUTED_VALUE"""),"")</f>
        <v/>
      </c>
      <c r="H87" s="472" t="str">
        <f ca="1">IFERROR(__xludf.DUMMYFUNCTION("""COMPUTED_VALUE"""),"")</f>
        <v/>
      </c>
      <c r="I87" s="472" t="str">
        <f ca="1">IFERROR(__xludf.DUMMYFUNCTION("""COMPUTED_VALUE"""),"")</f>
        <v/>
      </c>
      <c r="J87" s="472" t="str">
        <f ca="1">IFERROR(__xludf.DUMMYFUNCTION("""COMPUTED_VALUE"""),"")</f>
        <v/>
      </c>
    </row>
    <row r="88" spans="1:10" ht="15.75">
      <c r="A88" s="472" t="str">
        <f ca="1">IFERROR(__xludf.DUMMYFUNCTION("""COMPUTED_VALUE"""),"")</f>
        <v/>
      </c>
      <c r="B88" s="472" t="str">
        <f ca="1">IFERROR(__xludf.DUMMYFUNCTION("""COMPUTED_VALUE"""),"")</f>
        <v/>
      </c>
      <c r="C88" s="472" t="str">
        <f ca="1">IFERROR(__xludf.DUMMYFUNCTION("""COMPUTED_VALUE"""),"")</f>
        <v/>
      </c>
      <c r="D88" s="472" t="str">
        <f ca="1">IFERROR(__xludf.DUMMYFUNCTION("""COMPUTED_VALUE"""),"")</f>
        <v/>
      </c>
      <c r="E88" s="472" t="str">
        <f ca="1">IFERROR(__xludf.DUMMYFUNCTION("""COMPUTED_VALUE"""),"")</f>
        <v/>
      </c>
      <c r="F88" s="472" t="str">
        <f ca="1">IFERROR(__xludf.DUMMYFUNCTION("""COMPUTED_VALUE"""),"")</f>
        <v/>
      </c>
      <c r="G88" s="472" t="str">
        <f ca="1">IFERROR(__xludf.DUMMYFUNCTION("""COMPUTED_VALUE"""),"")</f>
        <v/>
      </c>
      <c r="H88" s="472" t="str">
        <f ca="1">IFERROR(__xludf.DUMMYFUNCTION("""COMPUTED_VALUE"""),"")</f>
        <v/>
      </c>
      <c r="I88" s="472" t="str">
        <f ca="1">IFERROR(__xludf.DUMMYFUNCTION("""COMPUTED_VALUE"""),"")</f>
        <v/>
      </c>
      <c r="J88" s="472" t="str">
        <f ca="1">IFERROR(__xludf.DUMMYFUNCTION("""COMPUTED_VALUE"""),"")</f>
        <v/>
      </c>
    </row>
    <row r="89" spans="1:10" ht="15.75">
      <c r="A89" s="472" t="str">
        <f ca="1">IFERROR(__xludf.DUMMYFUNCTION("""COMPUTED_VALUE"""),"")</f>
        <v/>
      </c>
      <c r="B89" s="472" t="str">
        <f ca="1">IFERROR(__xludf.DUMMYFUNCTION("""COMPUTED_VALUE"""),"")</f>
        <v/>
      </c>
      <c r="C89" s="472" t="str">
        <f ca="1">IFERROR(__xludf.DUMMYFUNCTION("""COMPUTED_VALUE"""),"")</f>
        <v/>
      </c>
      <c r="D89" s="472" t="str">
        <f ca="1">IFERROR(__xludf.DUMMYFUNCTION("""COMPUTED_VALUE"""),"")</f>
        <v/>
      </c>
      <c r="E89" s="472" t="str">
        <f ca="1">IFERROR(__xludf.DUMMYFUNCTION("""COMPUTED_VALUE"""),"")</f>
        <v/>
      </c>
      <c r="F89" s="472" t="str">
        <f ca="1">IFERROR(__xludf.DUMMYFUNCTION("""COMPUTED_VALUE"""),"")</f>
        <v/>
      </c>
      <c r="G89" s="472" t="str">
        <f ca="1">IFERROR(__xludf.DUMMYFUNCTION("""COMPUTED_VALUE"""),"")</f>
        <v/>
      </c>
      <c r="H89" s="472" t="str">
        <f ca="1">IFERROR(__xludf.DUMMYFUNCTION("""COMPUTED_VALUE"""),"")</f>
        <v/>
      </c>
      <c r="I89" s="472" t="str">
        <f ca="1">IFERROR(__xludf.DUMMYFUNCTION("""COMPUTED_VALUE"""),"")</f>
        <v/>
      </c>
      <c r="J89" s="472" t="str">
        <f ca="1">IFERROR(__xludf.DUMMYFUNCTION("""COMPUTED_VALUE"""),"")</f>
        <v/>
      </c>
    </row>
    <row r="90" spans="1:10" ht="15.75">
      <c r="A90" s="472" t="str">
        <f ca="1">IFERROR(__xludf.DUMMYFUNCTION("""COMPUTED_VALUE"""),"")</f>
        <v/>
      </c>
      <c r="B90" s="472" t="str">
        <f ca="1">IFERROR(__xludf.DUMMYFUNCTION("""COMPUTED_VALUE"""),"")</f>
        <v/>
      </c>
      <c r="C90" s="472" t="str">
        <f ca="1">IFERROR(__xludf.DUMMYFUNCTION("""COMPUTED_VALUE"""),"")</f>
        <v/>
      </c>
      <c r="D90" s="472" t="str">
        <f ca="1">IFERROR(__xludf.DUMMYFUNCTION("""COMPUTED_VALUE"""),"")</f>
        <v/>
      </c>
      <c r="E90" s="472" t="str">
        <f ca="1">IFERROR(__xludf.DUMMYFUNCTION("""COMPUTED_VALUE"""),"")</f>
        <v/>
      </c>
      <c r="F90" s="472" t="str">
        <f ca="1">IFERROR(__xludf.DUMMYFUNCTION("""COMPUTED_VALUE"""),"")</f>
        <v/>
      </c>
      <c r="G90" s="472" t="str">
        <f ca="1">IFERROR(__xludf.DUMMYFUNCTION("""COMPUTED_VALUE"""),"")</f>
        <v/>
      </c>
      <c r="H90" s="472" t="str">
        <f ca="1">IFERROR(__xludf.DUMMYFUNCTION("""COMPUTED_VALUE"""),"")</f>
        <v/>
      </c>
      <c r="I90" s="472" t="str">
        <f ca="1">IFERROR(__xludf.DUMMYFUNCTION("""COMPUTED_VALUE"""),"")</f>
        <v/>
      </c>
      <c r="J90" s="472" t="str">
        <f ca="1">IFERROR(__xludf.DUMMYFUNCTION("""COMPUTED_VALUE"""),"")</f>
        <v/>
      </c>
    </row>
    <row r="91" spans="1:10" ht="15.75">
      <c r="A91" s="472" t="str">
        <f ca="1">IFERROR(__xludf.DUMMYFUNCTION("""COMPUTED_VALUE"""),"")</f>
        <v/>
      </c>
      <c r="B91" s="472" t="str">
        <f ca="1">IFERROR(__xludf.DUMMYFUNCTION("""COMPUTED_VALUE"""),"")</f>
        <v/>
      </c>
      <c r="C91" s="472" t="str">
        <f ca="1">IFERROR(__xludf.DUMMYFUNCTION("""COMPUTED_VALUE"""),"")</f>
        <v/>
      </c>
      <c r="D91" s="472" t="str">
        <f ca="1">IFERROR(__xludf.DUMMYFUNCTION("""COMPUTED_VALUE"""),"")</f>
        <v/>
      </c>
      <c r="E91" s="472" t="str">
        <f ca="1">IFERROR(__xludf.DUMMYFUNCTION("""COMPUTED_VALUE"""),"")</f>
        <v/>
      </c>
      <c r="F91" s="472" t="str">
        <f ca="1">IFERROR(__xludf.DUMMYFUNCTION("""COMPUTED_VALUE"""),"")</f>
        <v/>
      </c>
      <c r="G91" s="472" t="str">
        <f ca="1">IFERROR(__xludf.DUMMYFUNCTION("""COMPUTED_VALUE"""),"")</f>
        <v/>
      </c>
      <c r="H91" s="472" t="str">
        <f ca="1">IFERROR(__xludf.DUMMYFUNCTION("""COMPUTED_VALUE"""),"")</f>
        <v/>
      </c>
      <c r="I91" s="472" t="str">
        <f ca="1">IFERROR(__xludf.DUMMYFUNCTION("""COMPUTED_VALUE"""),"")</f>
        <v/>
      </c>
      <c r="J91" s="472" t="str">
        <f ca="1">IFERROR(__xludf.DUMMYFUNCTION("""COMPUTED_VALUE"""),"")</f>
        <v/>
      </c>
    </row>
    <row r="92" spans="1:10" ht="15.75">
      <c r="A92" s="472" t="str">
        <f ca="1">IFERROR(__xludf.DUMMYFUNCTION("""COMPUTED_VALUE"""),"")</f>
        <v/>
      </c>
      <c r="B92" s="472" t="str">
        <f ca="1">IFERROR(__xludf.DUMMYFUNCTION("""COMPUTED_VALUE"""),"")</f>
        <v/>
      </c>
      <c r="C92" s="472" t="str">
        <f ca="1">IFERROR(__xludf.DUMMYFUNCTION("""COMPUTED_VALUE"""),"")</f>
        <v/>
      </c>
      <c r="D92" s="472" t="str">
        <f ca="1">IFERROR(__xludf.DUMMYFUNCTION("""COMPUTED_VALUE"""),"")</f>
        <v/>
      </c>
      <c r="E92" s="472" t="str">
        <f ca="1">IFERROR(__xludf.DUMMYFUNCTION("""COMPUTED_VALUE"""),"")</f>
        <v/>
      </c>
      <c r="F92" s="472" t="str">
        <f ca="1">IFERROR(__xludf.DUMMYFUNCTION("""COMPUTED_VALUE"""),"")</f>
        <v/>
      </c>
      <c r="G92" s="472" t="str">
        <f ca="1">IFERROR(__xludf.DUMMYFUNCTION("""COMPUTED_VALUE"""),"")</f>
        <v/>
      </c>
      <c r="H92" s="472" t="str">
        <f ca="1">IFERROR(__xludf.DUMMYFUNCTION("""COMPUTED_VALUE"""),"")</f>
        <v/>
      </c>
      <c r="I92" s="472" t="str">
        <f ca="1">IFERROR(__xludf.DUMMYFUNCTION("""COMPUTED_VALUE"""),"")</f>
        <v/>
      </c>
      <c r="J92" s="472" t="str">
        <f ca="1">IFERROR(__xludf.DUMMYFUNCTION("""COMPUTED_VALUE"""),"")</f>
        <v/>
      </c>
    </row>
    <row r="93" spans="1:10" ht="15.75">
      <c r="A93" s="472" t="str">
        <f ca="1">IFERROR(__xludf.DUMMYFUNCTION("""COMPUTED_VALUE"""),"")</f>
        <v/>
      </c>
      <c r="B93" s="472" t="str">
        <f ca="1">IFERROR(__xludf.DUMMYFUNCTION("""COMPUTED_VALUE"""),"")</f>
        <v/>
      </c>
      <c r="C93" s="472" t="str">
        <f ca="1">IFERROR(__xludf.DUMMYFUNCTION("""COMPUTED_VALUE"""),"")</f>
        <v/>
      </c>
      <c r="D93" s="472" t="str">
        <f ca="1">IFERROR(__xludf.DUMMYFUNCTION("""COMPUTED_VALUE"""),"")</f>
        <v/>
      </c>
      <c r="E93" s="472" t="str">
        <f ca="1">IFERROR(__xludf.DUMMYFUNCTION("""COMPUTED_VALUE"""),"")</f>
        <v/>
      </c>
      <c r="F93" s="472" t="str">
        <f ca="1">IFERROR(__xludf.DUMMYFUNCTION("""COMPUTED_VALUE"""),"")</f>
        <v/>
      </c>
      <c r="G93" s="472" t="str">
        <f ca="1">IFERROR(__xludf.DUMMYFUNCTION("""COMPUTED_VALUE"""),"")</f>
        <v/>
      </c>
      <c r="H93" s="472" t="str">
        <f ca="1">IFERROR(__xludf.DUMMYFUNCTION("""COMPUTED_VALUE"""),"")</f>
        <v/>
      </c>
      <c r="I93" s="472" t="str">
        <f ca="1">IFERROR(__xludf.DUMMYFUNCTION("""COMPUTED_VALUE"""),"")</f>
        <v/>
      </c>
      <c r="J93" s="472" t="str">
        <f ca="1">IFERROR(__xludf.DUMMYFUNCTION("""COMPUTED_VALUE"""),"")</f>
        <v/>
      </c>
    </row>
    <row r="94" spans="1:10" ht="15.75">
      <c r="A94" s="472" t="str">
        <f ca="1">IFERROR(__xludf.DUMMYFUNCTION("""COMPUTED_VALUE"""),"")</f>
        <v/>
      </c>
      <c r="B94" s="472" t="str">
        <f ca="1">IFERROR(__xludf.DUMMYFUNCTION("""COMPUTED_VALUE"""),"")</f>
        <v/>
      </c>
      <c r="C94" s="472" t="str">
        <f ca="1">IFERROR(__xludf.DUMMYFUNCTION("""COMPUTED_VALUE"""),"")</f>
        <v/>
      </c>
      <c r="D94" s="472" t="str">
        <f ca="1">IFERROR(__xludf.DUMMYFUNCTION("""COMPUTED_VALUE"""),"")</f>
        <v/>
      </c>
      <c r="E94" s="472" t="str">
        <f ca="1">IFERROR(__xludf.DUMMYFUNCTION("""COMPUTED_VALUE"""),"")</f>
        <v/>
      </c>
      <c r="F94" s="472" t="str">
        <f ca="1">IFERROR(__xludf.DUMMYFUNCTION("""COMPUTED_VALUE"""),"")</f>
        <v/>
      </c>
      <c r="G94" s="472" t="str">
        <f ca="1">IFERROR(__xludf.DUMMYFUNCTION("""COMPUTED_VALUE"""),"")</f>
        <v/>
      </c>
      <c r="H94" s="472" t="str">
        <f ca="1">IFERROR(__xludf.DUMMYFUNCTION("""COMPUTED_VALUE"""),"")</f>
        <v/>
      </c>
      <c r="I94" s="472" t="str">
        <f ca="1">IFERROR(__xludf.DUMMYFUNCTION("""COMPUTED_VALUE"""),"")</f>
        <v/>
      </c>
      <c r="J94" s="472" t="str">
        <f ca="1">IFERROR(__xludf.DUMMYFUNCTION("""COMPUTED_VALUE"""),"")</f>
        <v/>
      </c>
    </row>
    <row r="95" spans="1:10" ht="15.75">
      <c r="A95" s="472" t="str">
        <f ca="1">IFERROR(__xludf.DUMMYFUNCTION("""COMPUTED_VALUE"""),"")</f>
        <v/>
      </c>
      <c r="B95" s="472" t="str">
        <f ca="1">IFERROR(__xludf.DUMMYFUNCTION("""COMPUTED_VALUE"""),"")</f>
        <v/>
      </c>
      <c r="C95" s="472" t="str">
        <f ca="1">IFERROR(__xludf.DUMMYFUNCTION("""COMPUTED_VALUE"""),"")</f>
        <v/>
      </c>
      <c r="D95" s="472" t="str">
        <f ca="1">IFERROR(__xludf.DUMMYFUNCTION("""COMPUTED_VALUE"""),"")</f>
        <v/>
      </c>
      <c r="E95" s="472" t="str">
        <f ca="1">IFERROR(__xludf.DUMMYFUNCTION("""COMPUTED_VALUE"""),"")</f>
        <v/>
      </c>
      <c r="F95" s="472" t="str">
        <f ca="1">IFERROR(__xludf.DUMMYFUNCTION("""COMPUTED_VALUE"""),"")</f>
        <v/>
      </c>
      <c r="G95" s="472" t="str">
        <f ca="1">IFERROR(__xludf.DUMMYFUNCTION("""COMPUTED_VALUE"""),"")</f>
        <v/>
      </c>
      <c r="H95" s="472" t="str">
        <f ca="1">IFERROR(__xludf.DUMMYFUNCTION("""COMPUTED_VALUE"""),"")</f>
        <v/>
      </c>
      <c r="I95" s="472" t="str">
        <f ca="1">IFERROR(__xludf.DUMMYFUNCTION("""COMPUTED_VALUE"""),"")</f>
        <v/>
      </c>
      <c r="J95" s="472" t="str">
        <f ca="1">IFERROR(__xludf.DUMMYFUNCTION("""COMPUTED_VALUE"""),"")</f>
        <v/>
      </c>
    </row>
    <row r="96" spans="1:10" ht="15.75">
      <c r="A96" s="472" t="str">
        <f ca="1">IFERROR(__xludf.DUMMYFUNCTION("""COMPUTED_VALUE"""),"")</f>
        <v/>
      </c>
      <c r="B96" s="472" t="str">
        <f ca="1">IFERROR(__xludf.DUMMYFUNCTION("""COMPUTED_VALUE"""),"")</f>
        <v/>
      </c>
      <c r="C96" s="472" t="str">
        <f ca="1">IFERROR(__xludf.DUMMYFUNCTION("""COMPUTED_VALUE"""),"")</f>
        <v/>
      </c>
      <c r="D96" s="472" t="str">
        <f ca="1">IFERROR(__xludf.DUMMYFUNCTION("""COMPUTED_VALUE"""),"")</f>
        <v/>
      </c>
      <c r="E96" s="472" t="str">
        <f ca="1">IFERROR(__xludf.DUMMYFUNCTION("""COMPUTED_VALUE"""),"")</f>
        <v/>
      </c>
      <c r="F96" s="472" t="str">
        <f ca="1">IFERROR(__xludf.DUMMYFUNCTION("""COMPUTED_VALUE"""),"")</f>
        <v/>
      </c>
      <c r="G96" s="472" t="str">
        <f ca="1">IFERROR(__xludf.DUMMYFUNCTION("""COMPUTED_VALUE"""),"")</f>
        <v/>
      </c>
      <c r="H96" s="472" t="str">
        <f ca="1">IFERROR(__xludf.DUMMYFUNCTION("""COMPUTED_VALUE"""),"")</f>
        <v/>
      </c>
      <c r="I96" s="472" t="str">
        <f ca="1">IFERROR(__xludf.DUMMYFUNCTION("""COMPUTED_VALUE"""),"")</f>
        <v/>
      </c>
      <c r="J96" s="472" t="str">
        <f ca="1">IFERROR(__xludf.DUMMYFUNCTION("""COMPUTED_VALUE"""),"")</f>
        <v/>
      </c>
    </row>
    <row r="97" spans="1:10" ht="15.75">
      <c r="A97" s="472" t="str">
        <f ca="1">IFERROR(__xludf.DUMMYFUNCTION("""COMPUTED_VALUE"""),"")</f>
        <v/>
      </c>
      <c r="B97" s="472" t="str">
        <f ca="1">IFERROR(__xludf.DUMMYFUNCTION("""COMPUTED_VALUE"""),"")</f>
        <v/>
      </c>
      <c r="C97" s="472" t="str">
        <f ca="1">IFERROR(__xludf.DUMMYFUNCTION("""COMPUTED_VALUE"""),"")</f>
        <v/>
      </c>
      <c r="D97" s="472" t="str">
        <f ca="1">IFERROR(__xludf.DUMMYFUNCTION("""COMPUTED_VALUE"""),"")</f>
        <v/>
      </c>
      <c r="E97" s="472" t="str">
        <f ca="1">IFERROR(__xludf.DUMMYFUNCTION("""COMPUTED_VALUE"""),"")</f>
        <v/>
      </c>
      <c r="F97" s="472" t="str">
        <f ca="1">IFERROR(__xludf.DUMMYFUNCTION("""COMPUTED_VALUE"""),"")</f>
        <v/>
      </c>
      <c r="G97" s="472" t="str">
        <f ca="1">IFERROR(__xludf.DUMMYFUNCTION("""COMPUTED_VALUE"""),"")</f>
        <v/>
      </c>
      <c r="H97" s="472" t="str">
        <f ca="1">IFERROR(__xludf.DUMMYFUNCTION("""COMPUTED_VALUE"""),"")</f>
        <v/>
      </c>
      <c r="I97" s="472" t="str">
        <f ca="1">IFERROR(__xludf.DUMMYFUNCTION("""COMPUTED_VALUE"""),"")</f>
        <v/>
      </c>
      <c r="J97" s="472" t="str">
        <f ca="1">IFERROR(__xludf.DUMMYFUNCTION("""COMPUTED_VALUE"""),"")</f>
        <v/>
      </c>
    </row>
    <row r="98" spans="1:10" ht="15.75">
      <c r="A98" s="472" t="str">
        <f ca="1">IFERROR(__xludf.DUMMYFUNCTION("""COMPUTED_VALUE"""),"")</f>
        <v/>
      </c>
      <c r="B98" s="472" t="str">
        <f ca="1">IFERROR(__xludf.DUMMYFUNCTION("""COMPUTED_VALUE"""),"")</f>
        <v/>
      </c>
      <c r="C98" s="472" t="str">
        <f ca="1">IFERROR(__xludf.DUMMYFUNCTION("""COMPUTED_VALUE"""),"")</f>
        <v/>
      </c>
      <c r="D98" s="472" t="str">
        <f ca="1">IFERROR(__xludf.DUMMYFUNCTION("""COMPUTED_VALUE"""),"")</f>
        <v/>
      </c>
      <c r="E98" s="472" t="str">
        <f ca="1">IFERROR(__xludf.DUMMYFUNCTION("""COMPUTED_VALUE"""),"")</f>
        <v/>
      </c>
      <c r="F98" s="472" t="str">
        <f ca="1">IFERROR(__xludf.DUMMYFUNCTION("""COMPUTED_VALUE"""),"")</f>
        <v/>
      </c>
      <c r="G98" s="472" t="str">
        <f ca="1">IFERROR(__xludf.DUMMYFUNCTION("""COMPUTED_VALUE"""),"")</f>
        <v/>
      </c>
      <c r="H98" s="472" t="str">
        <f ca="1">IFERROR(__xludf.DUMMYFUNCTION("""COMPUTED_VALUE"""),"")</f>
        <v/>
      </c>
      <c r="I98" s="472" t="str">
        <f ca="1">IFERROR(__xludf.DUMMYFUNCTION("""COMPUTED_VALUE"""),"")</f>
        <v/>
      </c>
      <c r="J98" s="472" t="str">
        <f ca="1">IFERROR(__xludf.DUMMYFUNCTION("""COMPUTED_VALUE"""),"")</f>
        <v/>
      </c>
    </row>
    <row r="99" spans="1:10" ht="15.75">
      <c r="A99" s="472" t="str">
        <f ca="1">IFERROR(__xludf.DUMMYFUNCTION("""COMPUTED_VALUE"""),"")</f>
        <v/>
      </c>
      <c r="B99" s="472" t="str">
        <f ca="1">IFERROR(__xludf.DUMMYFUNCTION("""COMPUTED_VALUE"""),"")</f>
        <v/>
      </c>
      <c r="C99" s="472" t="str">
        <f ca="1">IFERROR(__xludf.DUMMYFUNCTION("""COMPUTED_VALUE"""),"")</f>
        <v/>
      </c>
      <c r="D99" s="472" t="str">
        <f ca="1">IFERROR(__xludf.DUMMYFUNCTION("""COMPUTED_VALUE"""),"")</f>
        <v/>
      </c>
      <c r="E99" s="472" t="str">
        <f ca="1">IFERROR(__xludf.DUMMYFUNCTION("""COMPUTED_VALUE"""),"")</f>
        <v/>
      </c>
      <c r="F99" s="472" t="str">
        <f ca="1">IFERROR(__xludf.DUMMYFUNCTION("""COMPUTED_VALUE"""),"")</f>
        <v/>
      </c>
      <c r="G99" s="472" t="str">
        <f ca="1">IFERROR(__xludf.DUMMYFUNCTION("""COMPUTED_VALUE"""),"")</f>
        <v/>
      </c>
      <c r="H99" s="472" t="str">
        <f ca="1">IFERROR(__xludf.DUMMYFUNCTION("""COMPUTED_VALUE"""),"")</f>
        <v/>
      </c>
      <c r="I99" s="472" t="str">
        <f ca="1">IFERROR(__xludf.DUMMYFUNCTION("""COMPUTED_VALUE"""),"")</f>
        <v/>
      </c>
      <c r="J99" s="472" t="str">
        <f ca="1">IFERROR(__xludf.DUMMYFUNCTION("""COMPUTED_VALUE"""),"")</f>
        <v/>
      </c>
    </row>
    <row r="100" spans="1:10" ht="15.75">
      <c r="A100" s="472" t="str">
        <f ca="1">IFERROR(__xludf.DUMMYFUNCTION("""COMPUTED_VALUE"""),"")</f>
        <v/>
      </c>
      <c r="B100" s="472" t="str">
        <f ca="1">IFERROR(__xludf.DUMMYFUNCTION("""COMPUTED_VALUE"""),"")</f>
        <v/>
      </c>
      <c r="C100" s="472" t="str">
        <f ca="1">IFERROR(__xludf.DUMMYFUNCTION("""COMPUTED_VALUE"""),"")</f>
        <v/>
      </c>
      <c r="D100" s="472" t="str">
        <f ca="1">IFERROR(__xludf.DUMMYFUNCTION("""COMPUTED_VALUE"""),"")</f>
        <v/>
      </c>
      <c r="E100" s="472" t="str">
        <f ca="1">IFERROR(__xludf.DUMMYFUNCTION("""COMPUTED_VALUE"""),"")</f>
        <v/>
      </c>
      <c r="F100" s="472" t="str">
        <f ca="1">IFERROR(__xludf.DUMMYFUNCTION("""COMPUTED_VALUE"""),"")</f>
        <v/>
      </c>
      <c r="G100" s="472" t="str">
        <f ca="1">IFERROR(__xludf.DUMMYFUNCTION("""COMPUTED_VALUE"""),"")</f>
        <v/>
      </c>
      <c r="H100" s="472" t="str">
        <f ca="1">IFERROR(__xludf.DUMMYFUNCTION("""COMPUTED_VALUE"""),"")</f>
        <v/>
      </c>
      <c r="I100" s="472" t="str">
        <f ca="1">IFERROR(__xludf.DUMMYFUNCTION("""COMPUTED_VALUE"""),"")</f>
        <v/>
      </c>
      <c r="J100" s="472" t="str">
        <f ca="1">IFERROR(__xludf.DUMMYFUNCTION("""COMPUTED_VALUE"""),"")</f>
        <v/>
      </c>
    </row>
    <row r="101" spans="1:10" ht="15.75">
      <c r="A101" s="472" t="str">
        <f ca="1">IFERROR(__xludf.DUMMYFUNCTION("""COMPUTED_VALUE"""),"")</f>
        <v/>
      </c>
      <c r="B101" s="472" t="str">
        <f ca="1">IFERROR(__xludf.DUMMYFUNCTION("""COMPUTED_VALUE"""),"")</f>
        <v/>
      </c>
      <c r="C101" s="472" t="str">
        <f ca="1">IFERROR(__xludf.DUMMYFUNCTION("""COMPUTED_VALUE"""),"")</f>
        <v/>
      </c>
      <c r="D101" s="472" t="str">
        <f ca="1">IFERROR(__xludf.DUMMYFUNCTION("""COMPUTED_VALUE"""),"")</f>
        <v/>
      </c>
      <c r="E101" s="472" t="str">
        <f ca="1">IFERROR(__xludf.DUMMYFUNCTION("""COMPUTED_VALUE"""),"")</f>
        <v/>
      </c>
      <c r="F101" s="472" t="str">
        <f ca="1">IFERROR(__xludf.DUMMYFUNCTION("""COMPUTED_VALUE"""),"")</f>
        <v/>
      </c>
      <c r="G101" s="472" t="str">
        <f ca="1">IFERROR(__xludf.DUMMYFUNCTION("""COMPUTED_VALUE"""),"")</f>
        <v/>
      </c>
      <c r="H101" s="472" t="str">
        <f ca="1">IFERROR(__xludf.DUMMYFUNCTION("""COMPUTED_VALUE"""),"")</f>
        <v/>
      </c>
      <c r="I101" s="472" t="str">
        <f ca="1">IFERROR(__xludf.DUMMYFUNCTION("""COMPUTED_VALUE"""),"")</f>
        <v/>
      </c>
      <c r="J101" s="472" t="str">
        <f ca="1">IFERROR(__xludf.DUMMYFUNCTION("""COMPUTED_VALUE"""),"")</f>
        <v/>
      </c>
    </row>
    <row r="102" spans="1:10" ht="15.75">
      <c r="A102" s="472" t="str">
        <f ca="1">IFERROR(__xludf.DUMMYFUNCTION("""COMPUTED_VALUE"""),"")</f>
        <v/>
      </c>
      <c r="B102" s="472" t="str">
        <f ca="1">IFERROR(__xludf.DUMMYFUNCTION("""COMPUTED_VALUE"""),"")</f>
        <v/>
      </c>
      <c r="C102" s="472" t="str">
        <f ca="1">IFERROR(__xludf.DUMMYFUNCTION("""COMPUTED_VALUE"""),"")</f>
        <v/>
      </c>
      <c r="D102" s="472" t="str">
        <f ca="1">IFERROR(__xludf.DUMMYFUNCTION("""COMPUTED_VALUE"""),"")</f>
        <v/>
      </c>
      <c r="E102" s="472" t="str">
        <f ca="1">IFERROR(__xludf.DUMMYFUNCTION("""COMPUTED_VALUE"""),"")</f>
        <v/>
      </c>
      <c r="F102" s="472" t="str">
        <f ca="1">IFERROR(__xludf.DUMMYFUNCTION("""COMPUTED_VALUE"""),"")</f>
        <v/>
      </c>
      <c r="G102" s="472" t="str">
        <f ca="1">IFERROR(__xludf.DUMMYFUNCTION("""COMPUTED_VALUE"""),"")</f>
        <v/>
      </c>
      <c r="H102" s="472" t="str">
        <f ca="1">IFERROR(__xludf.DUMMYFUNCTION("""COMPUTED_VALUE"""),"")</f>
        <v/>
      </c>
      <c r="I102" s="472" t="str">
        <f ca="1">IFERROR(__xludf.DUMMYFUNCTION("""COMPUTED_VALUE"""),"")</f>
        <v/>
      </c>
      <c r="J102" s="472" t="str">
        <f ca="1">IFERROR(__xludf.DUMMYFUNCTION("""COMPUTED_VALUE"""),"")</f>
        <v/>
      </c>
    </row>
    <row r="103" spans="1:10" ht="15.75">
      <c r="A103" s="472" t="str">
        <f ca="1">IFERROR(__xludf.DUMMYFUNCTION("""COMPUTED_VALUE"""),"")</f>
        <v/>
      </c>
      <c r="B103" s="472" t="str">
        <f ca="1">IFERROR(__xludf.DUMMYFUNCTION("""COMPUTED_VALUE"""),"")</f>
        <v/>
      </c>
      <c r="C103" s="472" t="str">
        <f ca="1">IFERROR(__xludf.DUMMYFUNCTION("""COMPUTED_VALUE"""),"")</f>
        <v/>
      </c>
      <c r="D103" s="472" t="str">
        <f ca="1">IFERROR(__xludf.DUMMYFUNCTION("""COMPUTED_VALUE"""),"")</f>
        <v/>
      </c>
      <c r="E103" s="472" t="str">
        <f ca="1">IFERROR(__xludf.DUMMYFUNCTION("""COMPUTED_VALUE"""),"")</f>
        <v/>
      </c>
      <c r="F103" s="472" t="str">
        <f ca="1">IFERROR(__xludf.DUMMYFUNCTION("""COMPUTED_VALUE"""),"")</f>
        <v/>
      </c>
      <c r="G103" s="472" t="str">
        <f ca="1">IFERROR(__xludf.DUMMYFUNCTION("""COMPUTED_VALUE"""),"")</f>
        <v/>
      </c>
      <c r="H103" s="472" t="str">
        <f ca="1">IFERROR(__xludf.DUMMYFUNCTION("""COMPUTED_VALUE"""),"")</f>
        <v/>
      </c>
      <c r="I103" s="472" t="str">
        <f ca="1">IFERROR(__xludf.DUMMYFUNCTION("""COMPUTED_VALUE"""),"")</f>
        <v/>
      </c>
      <c r="J103" s="472" t="str">
        <f ca="1">IFERROR(__xludf.DUMMYFUNCTION("""COMPUTED_VALUE"""),"")</f>
        <v/>
      </c>
    </row>
    <row r="104" spans="1:10" ht="15.75">
      <c r="A104" s="472" t="str">
        <f ca="1">IFERROR(__xludf.DUMMYFUNCTION("""COMPUTED_VALUE"""),"")</f>
        <v/>
      </c>
      <c r="B104" s="472" t="str">
        <f ca="1">IFERROR(__xludf.DUMMYFUNCTION("""COMPUTED_VALUE"""),"")</f>
        <v/>
      </c>
      <c r="C104" s="472" t="str">
        <f ca="1">IFERROR(__xludf.DUMMYFUNCTION("""COMPUTED_VALUE"""),"")</f>
        <v/>
      </c>
      <c r="D104" s="472" t="str">
        <f ca="1">IFERROR(__xludf.DUMMYFUNCTION("""COMPUTED_VALUE"""),"")</f>
        <v/>
      </c>
      <c r="E104" s="472" t="str">
        <f ca="1">IFERROR(__xludf.DUMMYFUNCTION("""COMPUTED_VALUE"""),"")</f>
        <v/>
      </c>
      <c r="F104" s="472" t="str">
        <f ca="1">IFERROR(__xludf.DUMMYFUNCTION("""COMPUTED_VALUE"""),"")</f>
        <v/>
      </c>
      <c r="G104" s="472" t="str">
        <f ca="1">IFERROR(__xludf.DUMMYFUNCTION("""COMPUTED_VALUE"""),"")</f>
        <v/>
      </c>
      <c r="H104" s="472" t="str">
        <f ca="1">IFERROR(__xludf.DUMMYFUNCTION("""COMPUTED_VALUE"""),"")</f>
        <v/>
      </c>
      <c r="I104" s="472" t="str">
        <f ca="1">IFERROR(__xludf.DUMMYFUNCTION("""COMPUTED_VALUE"""),"")</f>
        <v/>
      </c>
      <c r="J104" s="472" t="str">
        <f ca="1">IFERROR(__xludf.DUMMYFUNCTION("""COMPUTED_VALUE"""),"")</f>
        <v/>
      </c>
    </row>
    <row r="105" spans="1:10" ht="15.75">
      <c r="A105" s="472" t="str">
        <f ca="1">IFERROR(__xludf.DUMMYFUNCTION("""COMPUTED_VALUE"""),"")</f>
        <v/>
      </c>
      <c r="B105" s="472" t="str">
        <f ca="1">IFERROR(__xludf.DUMMYFUNCTION("""COMPUTED_VALUE"""),"")</f>
        <v/>
      </c>
      <c r="C105" s="472" t="str">
        <f ca="1">IFERROR(__xludf.DUMMYFUNCTION("""COMPUTED_VALUE"""),"")</f>
        <v/>
      </c>
      <c r="D105" s="472" t="str">
        <f ca="1">IFERROR(__xludf.DUMMYFUNCTION("""COMPUTED_VALUE"""),"")</f>
        <v/>
      </c>
      <c r="E105" s="472" t="str">
        <f ca="1">IFERROR(__xludf.DUMMYFUNCTION("""COMPUTED_VALUE"""),"")</f>
        <v/>
      </c>
      <c r="F105" s="472" t="str">
        <f ca="1">IFERROR(__xludf.DUMMYFUNCTION("""COMPUTED_VALUE"""),"")</f>
        <v/>
      </c>
      <c r="G105" s="472" t="str">
        <f ca="1">IFERROR(__xludf.DUMMYFUNCTION("""COMPUTED_VALUE"""),"")</f>
        <v/>
      </c>
      <c r="H105" s="472" t="str">
        <f ca="1">IFERROR(__xludf.DUMMYFUNCTION("""COMPUTED_VALUE"""),"")</f>
        <v/>
      </c>
      <c r="I105" s="472" t="str">
        <f ca="1">IFERROR(__xludf.DUMMYFUNCTION("""COMPUTED_VALUE"""),"")</f>
        <v/>
      </c>
      <c r="J105" s="472" t="str">
        <f ca="1">IFERROR(__xludf.DUMMYFUNCTION("""COMPUTED_VALUE"""),"")</f>
        <v/>
      </c>
    </row>
    <row r="106" spans="1:10" ht="15.75">
      <c r="A106" s="472" t="str">
        <f ca="1">IFERROR(__xludf.DUMMYFUNCTION("""COMPUTED_VALUE"""),"")</f>
        <v/>
      </c>
      <c r="B106" s="472" t="str">
        <f ca="1">IFERROR(__xludf.DUMMYFUNCTION("""COMPUTED_VALUE"""),"")</f>
        <v/>
      </c>
      <c r="C106" s="472" t="str">
        <f ca="1">IFERROR(__xludf.DUMMYFUNCTION("""COMPUTED_VALUE"""),"")</f>
        <v/>
      </c>
      <c r="D106" s="472" t="str">
        <f ca="1">IFERROR(__xludf.DUMMYFUNCTION("""COMPUTED_VALUE"""),"")</f>
        <v/>
      </c>
      <c r="E106" s="472" t="str">
        <f ca="1">IFERROR(__xludf.DUMMYFUNCTION("""COMPUTED_VALUE"""),"")</f>
        <v/>
      </c>
      <c r="F106" s="472" t="str">
        <f ca="1">IFERROR(__xludf.DUMMYFUNCTION("""COMPUTED_VALUE"""),"")</f>
        <v/>
      </c>
      <c r="G106" s="472" t="str">
        <f ca="1">IFERROR(__xludf.DUMMYFUNCTION("""COMPUTED_VALUE"""),"")</f>
        <v/>
      </c>
      <c r="H106" s="472" t="str">
        <f ca="1">IFERROR(__xludf.DUMMYFUNCTION("""COMPUTED_VALUE"""),"")</f>
        <v/>
      </c>
      <c r="I106" s="472" t="str">
        <f ca="1">IFERROR(__xludf.DUMMYFUNCTION("""COMPUTED_VALUE"""),"")</f>
        <v/>
      </c>
      <c r="J106" s="472" t="str">
        <f ca="1">IFERROR(__xludf.DUMMYFUNCTION("""COMPUTED_VALUE"""),"")</f>
        <v/>
      </c>
    </row>
    <row r="107" spans="1:10" ht="15.75">
      <c r="A107" s="472" t="str">
        <f ca="1">IFERROR(__xludf.DUMMYFUNCTION("""COMPUTED_VALUE"""),"")</f>
        <v/>
      </c>
      <c r="B107" s="472" t="str">
        <f ca="1">IFERROR(__xludf.DUMMYFUNCTION("""COMPUTED_VALUE"""),"")</f>
        <v/>
      </c>
      <c r="C107" s="472" t="str">
        <f ca="1">IFERROR(__xludf.DUMMYFUNCTION("""COMPUTED_VALUE"""),"")</f>
        <v/>
      </c>
      <c r="D107" s="472" t="str">
        <f ca="1">IFERROR(__xludf.DUMMYFUNCTION("""COMPUTED_VALUE"""),"")</f>
        <v/>
      </c>
      <c r="E107" s="472" t="str">
        <f ca="1">IFERROR(__xludf.DUMMYFUNCTION("""COMPUTED_VALUE"""),"")</f>
        <v/>
      </c>
      <c r="F107" s="472" t="str">
        <f ca="1">IFERROR(__xludf.DUMMYFUNCTION("""COMPUTED_VALUE"""),"")</f>
        <v/>
      </c>
      <c r="G107" s="472" t="str">
        <f ca="1">IFERROR(__xludf.DUMMYFUNCTION("""COMPUTED_VALUE"""),"")</f>
        <v/>
      </c>
      <c r="H107" s="472" t="str">
        <f ca="1">IFERROR(__xludf.DUMMYFUNCTION("""COMPUTED_VALUE"""),"")</f>
        <v/>
      </c>
      <c r="I107" s="472" t="str">
        <f ca="1">IFERROR(__xludf.DUMMYFUNCTION("""COMPUTED_VALUE"""),"")</f>
        <v/>
      </c>
      <c r="J107" s="472" t="str">
        <f ca="1">IFERROR(__xludf.DUMMYFUNCTION("""COMPUTED_VALUE"""),"")</f>
        <v/>
      </c>
    </row>
    <row r="108" spans="1:10" ht="15.75">
      <c r="A108" s="472" t="str">
        <f ca="1">IFERROR(__xludf.DUMMYFUNCTION("""COMPUTED_VALUE"""),"")</f>
        <v/>
      </c>
      <c r="B108" s="472" t="str">
        <f ca="1">IFERROR(__xludf.DUMMYFUNCTION("""COMPUTED_VALUE"""),"")</f>
        <v/>
      </c>
      <c r="C108" s="472" t="str">
        <f ca="1">IFERROR(__xludf.DUMMYFUNCTION("""COMPUTED_VALUE"""),"")</f>
        <v/>
      </c>
      <c r="D108" s="472" t="str">
        <f ca="1">IFERROR(__xludf.DUMMYFUNCTION("""COMPUTED_VALUE"""),"")</f>
        <v/>
      </c>
      <c r="E108" s="472" t="str">
        <f ca="1">IFERROR(__xludf.DUMMYFUNCTION("""COMPUTED_VALUE"""),"")</f>
        <v/>
      </c>
      <c r="F108" s="472" t="str">
        <f ca="1">IFERROR(__xludf.DUMMYFUNCTION("""COMPUTED_VALUE"""),"")</f>
        <v/>
      </c>
      <c r="G108" s="472" t="str">
        <f ca="1">IFERROR(__xludf.DUMMYFUNCTION("""COMPUTED_VALUE"""),"")</f>
        <v/>
      </c>
      <c r="H108" s="472" t="str">
        <f ca="1">IFERROR(__xludf.DUMMYFUNCTION("""COMPUTED_VALUE"""),"")</f>
        <v/>
      </c>
      <c r="I108" s="472" t="str">
        <f ca="1">IFERROR(__xludf.DUMMYFUNCTION("""COMPUTED_VALUE"""),"")</f>
        <v/>
      </c>
      <c r="J108" s="472" t="str">
        <f ca="1">IFERROR(__xludf.DUMMYFUNCTION("""COMPUTED_VALUE"""),"")</f>
        <v/>
      </c>
    </row>
    <row r="109" spans="1:10" ht="15.75">
      <c r="A109" s="472" t="str">
        <f ca="1">IFERROR(__xludf.DUMMYFUNCTION("""COMPUTED_VALUE"""),"")</f>
        <v/>
      </c>
      <c r="B109" s="472" t="str">
        <f ca="1">IFERROR(__xludf.DUMMYFUNCTION("""COMPUTED_VALUE"""),"")</f>
        <v/>
      </c>
      <c r="C109" s="472" t="str">
        <f ca="1">IFERROR(__xludf.DUMMYFUNCTION("""COMPUTED_VALUE"""),"")</f>
        <v/>
      </c>
      <c r="D109" s="472" t="str">
        <f ca="1">IFERROR(__xludf.DUMMYFUNCTION("""COMPUTED_VALUE"""),"")</f>
        <v/>
      </c>
      <c r="E109" s="472" t="str">
        <f ca="1">IFERROR(__xludf.DUMMYFUNCTION("""COMPUTED_VALUE"""),"")</f>
        <v/>
      </c>
      <c r="F109" s="472" t="str">
        <f ca="1">IFERROR(__xludf.DUMMYFUNCTION("""COMPUTED_VALUE"""),"")</f>
        <v/>
      </c>
      <c r="G109" s="472" t="str">
        <f ca="1">IFERROR(__xludf.DUMMYFUNCTION("""COMPUTED_VALUE"""),"")</f>
        <v/>
      </c>
      <c r="H109" s="472" t="str">
        <f ca="1">IFERROR(__xludf.DUMMYFUNCTION("""COMPUTED_VALUE"""),"")</f>
        <v/>
      </c>
      <c r="I109" s="472" t="str">
        <f ca="1">IFERROR(__xludf.DUMMYFUNCTION("""COMPUTED_VALUE"""),"")</f>
        <v/>
      </c>
      <c r="J109" s="472" t="str">
        <f ca="1">IFERROR(__xludf.DUMMYFUNCTION("""COMPUTED_VALUE"""),"")</f>
        <v/>
      </c>
    </row>
    <row r="110" spans="1:10" ht="15.75">
      <c r="A110" s="472" t="str">
        <f ca="1">IFERROR(__xludf.DUMMYFUNCTION("""COMPUTED_VALUE"""),"")</f>
        <v/>
      </c>
      <c r="B110" s="472" t="str">
        <f ca="1">IFERROR(__xludf.DUMMYFUNCTION("""COMPUTED_VALUE"""),"")</f>
        <v/>
      </c>
      <c r="C110" s="472" t="str">
        <f ca="1">IFERROR(__xludf.DUMMYFUNCTION("""COMPUTED_VALUE"""),"")</f>
        <v/>
      </c>
      <c r="D110" s="472" t="str">
        <f ca="1">IFERROR(__xludf.DUMMYFUNCTION("""COMPUTED_VALUE"""),"")</f>
        <v/>
      </c>
      <c r="E110" s="472" t="str">
        <f ca="1">IFERROR(__xludf.DUMMYFUNCTION("""COMPUTED_VALUE"""),"")</f>
        <v/>
      </c>
      <c r="F110" s="472" t="str">
        <f ca="1">IFERROR(__xludf.DUMMYFUNCTION("""COMPUTED_VALUE"""),"")</f>
        <v/>
      </c>
      <c r="G110" s="472" t="str">
        <f ca="1">IFERROR(__xludf.DUMMYFUNCTION("""COMPUTED_VALUE"""),"")</f>
        <v/>
      </c>
      <c r="H110" s="472" t="str">
        <f ca="1">IFERROR(__xludf.DUMMYFUNCTION("""COMPUTED_VALUE"""),"")</f>
        <v/>
      </c>
      <c r="I110" s="472" t="str">
        <f ca="1">IFERROR(__xludf.DUMMYFUNCTION("""COMPUTED_VALUE"""),"")</f>
        <v/>
      </c>
      <c r="J110" s="472" t="str">
        <f ca="1">IFERROR(__xludf.DUMMYFUNCTION("""COMPUTED_VALUE"""),"")</f>
        <v/>
      </c>
    </row>
    <row r="111" spans="1:10" ht="15.75">
      <c r="A111" s="472" t="str">
        <f ca="1">IFERROR(__xludf.DUMMYFUNCTION("""COMPUTED_VALUE"""),"")</f>
        <v/>
      </c>
      <c r="B111" s="472" t="str">
        <f ca="1">IFERROR(__xludf.DUMMYFUNCTION("""COMPUTED_VALUE"""),"")</f>
        <v/>
      </c>
      <c r="C111" s="472" t="str">
        <f ca="1">IFERROR(__xludf.DUMMYFUNCTION("""COMPUTED_VALUE"""),"")</f>
        <v/>
      </c>
      <c r="D111" s="472" t="str">
        <f ca="1">IFERROR(__xludf.DUMMYFUNCTION("""COMPUTED_VALUE"""),"")</f>
        <v/>
      </c>
      <c r="E111" s="472" t="str">
        <f ca="1">IFERROR(__xludf.DUMMYFUNCTION("""COMPUTED_VALUE"""),"")</f>
        <v/>
      </c>
      <c r="F111" s="472" t="str">
        <f ca="1">IFERROR(__xludf.DUMMYFUNCTION("""COMPUTED_VALUE"""),"")</f>
        <v/>
      </c>
      <c r="G111" s="472" t="str">
        <f ca="1">IFERROR(__xludf.DUMMYFUNCTION("""COMPUTED_VALUE"""),"")</f>
        <v/>
      </c>
      <c r="H111" s="472" t="str">
        <f ca="1">IFERROR(__xludf.DUMMYFUNCTION("""COMPUTED_VALUE"""),"")</f>
        <v/>
      </c>
      <c r="I111" s="472" t="str">
        <f ca="1">IFERROR(__xludf.DUMMYFUNCTION("""COMPUTED_VALUE"""),"")</f>
        <v/>
      </c>
      <c r="J111" s="472" t="str">
        <f ca="1">IFERROR(__xludf.DUMMYFUNCTION("""COMPUTED_VALUE"""),"")</f>
        <v/>
      </c>
    </row>
    <row r="112" spans="1:10" ht="15.75">
      <c r="A112" s="472" t="str">
        <f ca="1">IFERROR(__xludf.DUMMYFUNCTION("""COMPUTED_VALUE"""),"")</f>
        <v/>
      </c>
      <c r="B112" s="472" t="str">
        <f ca="1">IFERROR(__xludf.DUMMYFUNCTION("""COMPUTED_VALUE"""),"")</f>
        <v/>
      </c>
      <c r="C112" s="472" t="str">
        <f ca="1">IFERROR(__xludf.DUMMYFUNCTION("""COMPUTED_VALUE"""),"")</f>
        <v/>
      </c>
      <c r="D112" s="472" t="str">
        <f ca="1">IFERROR(__xludf.DUMMYFUNCTION("""COMPUTED_VALUE"""),"")</f>
        <v/>
      </c>
      <c r="E112" s="472" t="str">
        <f ca="1">IFERROR(__xludf.DUMMYFUNCTION("""COMPUTED_VALUE"""),"")</f>
        <v/>
      </c>
      <c r="F112" s="472" t="str">
        <f ca="1">IFERROR(__xludf.DUMMYFUNCTION("""COMPUTED_VALUE"""),"")</f>
        <v/>
      </c>
      <c r="G112" s="472" t="str">
        <f ca="1">IFERROR(__xludf.DUMMYFUNCTION("""COMPUTED_VALUE"""),"")</f>
        <v/>
      </c>
      <c r="H112" s="472" t="str">
        <f ca="1">IFERROR(__xludf.DUMMYFUNCTION("""COMPUTED_VALUE"""),"")</f>
        <v/>
      </c>
      <c r="I112" s="472" t="str">
        <f ca="1">IFERROR(__xludf.DUMMYFUNCTION("""COMPUTED_VALUE"""),"")</f>
        <v/>
      </c>
      <c r="J112" s="472" t="str">
        <f ca="1">IFERROR(__xludf.DUMMYFUNCTION("""COMPUTED_VALUE"""),"")</f>
        <v/>
      </c>
    </row>
    <row r="113" spans="1:10" ht="15.75">
      <c r="A113" s="472" t="str">
        <f ca="1">IFERROR(__xludf.DUMMYFUNCTION("""COMPUTED_VALUE"""),"")</f>
        <v/>
      </c>
      <c r="B113" s="472" t="str">
        <f ca="1">IFERROR(__xludf.DUMMYFUNCTION("""COMPUTED_VALUE"""),"")</f>
        <v/>
      </c>
      <c r="C113" s="472" t="str">
        <f ca="1">IFERROR(__xludf.DUMMYFUNCTION("""COMPUTED_VALUE"""),"")</f>
        <v/>
      </c>
      <c r="D113" s="472" t="str">
        <f ca="1">IFERROR(__xludf.DUMMYFUNCTION("""COMPUTED_VALUE"""),"")</f>
        <v/>
      </c>
      <c r="E113" s="472" t="str">
        <f ca="1">IFERROR(__xludf.DUMMYFUNCTION("""COMPUTED_VALUE"""),"")</f>
        <v/>
      </c>
      <c r="F113" s="472" t="str">
        <f ca="1">IFERROR(__xludf.DUMMYFUNCTION("""COMPUTED_VALUE"""),"")</f>
        <v/>
      </c>
      <c r="G113" s="472" t="str">
        <f ca="1">IFERROR(__xludf.DUMMYFUNCTION("""COMPUTED_VALUE"""),"")</f>
        <v/>
      </c>
      <c r="H113" s="472" t="str">
        <f ca="1">IFERROR(__xludf.DUMMYFUNCTION("""COMPUTED_VALUE"""),"")</f>
        <v/>
      </c>
      <c r="I113" s="472" t="str">
        <f ca="1">IFERROR(__xludf.DUMMYFUNCTION("""COMPUTED_VALUE"""),"")</f>
        <v/>
      </c>
      <c r="J113" s="472" t="str">
        <f ca="1">IFERROR(__xludf.DUMMYFUNCTION("""COMPUTED_VALUE"""),"")</f>
        <v/>
      </c>
    </row>
    <row r="114" spans="1:10" ht="15.75">
      <c r="A114" s="472" t="str">
        <f ca="1">IFERROR(__xludf.DUMMYFUNCTION("""COMPUTED_VALUE"""),"")</f>
        <v/>
      </c>
      <c r="B114" s="472" t="str">
        <f ca="1">IFERROR(__xludf.DUMMYFUNCTION("""COMPUTED_VALUE"""),"")</f>
        <v/>
      </c>
      <c r="C114" s="472" t="str">
        <f ca="1">IFERROR(__xludf.DUMMYFUNCTION("""COMPUTED_VALUE"""),"")</f>
        <v/>
      </c>
      <c r="D114" s="472" t="str">
        <f ca="1">IFERROR(__xludf.DUMMYFUNCTION("""COMPUTED_VALUE"""),"")</f>
        <v/>
      </c>
      <c r="E114" s="472" t="str">
        <f ca="1">IFERROR(__xludf.DUMMYFUNCTION("""COMPUTED_VALUE"""),"")</f>
        <v/>
      </c>
      <c r="F114" s="472" t="str">
        <f ca="1">IFERROR(__xludf.DUMMYFUNCTION("""COMPUTED_VALUE"""),"")</f>
        <v/>
      </c>
      <c r="G114" s="472" t="str">
        <f ca="1">IFERROR(__xludf.DUMMYFUNCTION("""COMPUTED_VALUE"""),"")</f>
        <v/>
      </c>
      <c r="H114" s="472" t="str">
        <f ca="1">IFERROR(__xludf.DUMMYFUNCTION("""COMPUTED_VALUE"""),"")</f>
        <v/>
      </c>
      <c r="I114" s="472" t="str">
        <f ca="1">IFERROR(__xludf.DUMMYFUNCTION("""COMPUTED_VALUE"""),"")</f>
        <v/>
      </c>
      <c r="J114" s="472" t="str">
        <f ca="1">IFERROR(__xludf.DUMMYFUNCTION("""COMPUTED_VALUE"""),"")</f>
        <v/>
      </c>
    </row>
    <row r="115" spans="1:10" ht="15.75">
      <c r="A115" s="472" t="str">
        <f ca="1">IFERROR(__xludf.DUMMYFUNCTION("""COMPUTED_VALUE"""),"")</f>
        <v/>
      </c>
      <c r="B115" s="472" t="str">
        <f ca="1">IFERROR(__xludf.DUMMYFUNCTION("""COMPUTED_VALUE"""),"")</f>
        <v/>
      </c>
      <c r="C115" s="472" t="str">
        <f ca="1">IFERROR(__xludf.DUMMYFUNCTION("""COMPUTED_VALUE"""),"")</f>
        <v/>
      </c>
      <c r="D115" s="472" t="str">
        <f ca="1">IFERROR(__xludf.DUMMYFUNCTION("""COMPUTED_VALUE"""),"")</f>
        <v/>
      </c>
      <c r="E115" s="472" t="str">
        <f ca="1">IFERROR(__xludf.DUMMYFUNCTION("""COMPUTED_VALUE"""),"")</f>
        <v/>
      </c>
      <c r="F115" s="472" t="str">
        <f ca="1">IFERROR(__xludf.DUMMYFUNCTION("""COMPUTED_VALUE"""),"")</f>
        <v/>
      </c>
      <c r="G115" s="472" t="str">
        <f ca="1">IFERROR(__xludf.DUMMYFUNCTION("""COMPUTED_VALUE"""),"")</f>
        <v/>
      </c>
      <c r="H115" s="472" t="str">
        <f ca="1">IFERROR(__xludf.DUMMYFUNCTION("""COMPUTED_VALUE"""),"")</f>
        <v/>
      </c>
      <c r="I115" s="472" t="str">
        <f ca="1">IFERROR(__xludf.DUMMYFUNCTION("""COMPUTED_VALUE"""),"")</f>
        <v/>
      </c>
      <c r="J115" s="472" t="str">
        <f ca="1">IFERROR(__xludf.DUMMYFUNCTION("""COMPUTED_VALUE"""),"")</f>
        <v/>
      </c>
    </row>
    <row r="116" spans="1:10" ht="15.75">
      <c r="A116" s="472" t="str">
        <f ca="1">IFERROR(__xludf.DUMMYFUNCTION("""COMPUTED_VALUE"""),"")</f>
        <v/>
      </c>
      <c r="B116" s="472" t="str">
        <f ca="1">IFERROR(__xludf.DUMMYFUNCTION("""COMPUTED_VALUE"""),"")</f>
        <v/>
      </c>
      <c r="C116" s="472" t="str">
        <f ca="1">IFERROR(__xludf.DUMMYFUNCTION("""COMPUTED_VALUE"""),"")</f>
        <v/>
      </c>
      <c r="D116" s="472" t="str">
        <f ca="1">IFERROR(__xludf.DUMMYFUNCTION("""COMPUTED_VALUE"""),"")</f>
        <v/>
      </c>
      <c r="E116" s="472" t="str">
        <f ca="1">IFERROR(__xludf.DUMMYFUNCTION("""COMPUTED_VALUE"""),"")</f>
        <v/>
      </c>
      <c r="F116" s="472" t="str">
        <f ca="1">IFERROR(__xludf.DUMMYFUNCTION("""COMPUTED_VALUE"""),"")</f>
        <v/>
      </c>
      <c r="G116" s="472" t="str">
        <f ca="1">IFERROR(__xludf.DUMMYFUNCTION("""COMPUTED_VALUE"""),"")</f>
        <v/>
      </c>
      <c r="H116" s="472" t="str">
        <f ca="1">IFERROR(__xludf.DUMMYFUNCTION("""COMPUTED_VALUE"""),"")</f>
        <v/>
      </c>
      <c r="I116" s="472" t="str">
        <f ca="1">IFERROR(__xludf.DUMMYFUNCTION("""COMPUTED_VALUE"""),"")</f>
        <v/>
      </c>
      <c r="J116" s="472" t="str">
        <f ca="1">IFERROR(__xludf.DUMMYFUNCTION("""COMPUTED_VALUE"""),"")</f>
        <v/>
      </c>
    </row>
    <row r="117" spans="1:10" ht="15.75">
      <c r="A117" s="472" t="str">
        <f ca="1">IFERROR(__xludf.DUMMYFUNCTION("""COMPUTED_VALUE"""),"")</f>
        <v/>
      </c>
      <c r="B117" s="472" t="str">
        <f ca="1">IFERROR(__xludf.DUMMYFUNCTION("""COMPUTED_VALUE"""),"")</f>
        <v/>
      </c>
      <c r="C117" s="472" t="str">
        <f ca="1">IFERROR(__xludf.DUMMYFUNCTION("""COMPUTED_VALUE"""),"")</f>
        <v/>
      </c>
      <c r="D117" s="472" t="str">
        <f ca="1">IFERROR(__xludf.DUMMYFUNCTION("""COMPUTED_VALUE"""),"")</f>
        <v/>
      </c>
      <c r="E117" s="472" t="str">
        <f ca="1">IFERROR(__xludf.DUMMYFUNCTION("""COMPUTED_VALUE"""),"")</f>
        <v/>
      </c>
      <c r="F117" s="472" t="str">
        <f ca="1">IFERROR(__xludf.DUMMYFUNCTION("""COMPUTED_VALUE"""),"")</f>
        <v/>
      </c>
      <c r="G117" s="472" t="str">
        <f ca="1">IFERROR(__xludf.DUMMYFUNCTION("""COMPUTED_VALUE"""),"")</f>
        <v/>
      </c>
      <c r="H117" s="472" t="str">
        <f ca="1">IFERROR(__xludf.DUMMYFUNCTION("""COMPUTED_VALUE"""),"")</f>
        <v/>
      </c>
      <c r="I117" s="472" t="str">
        <f ca="1">IFERROR(__xludf.DUMMYFUNCTION("""COMPUTED_VALUE"""),"")</f>
        <v/>
      </c>
      <c r="J117" s="472" t="str">
        <f ca="1">IFERROR(__xludf.DUMMYFUNCTION("""COMPUTED_VALUE"""),"")</f>
        <v/>
      </c>
    </row>
    <row r="118" spans="1:10" ht="15.75">
      <c r="A118" s="472" t="str">
        <f ca="1">IFERROR(__xludf.DUMMYFUNCTION("""COMPUTED_VALUE"""),"")</f>
        <v/>
      </c>
      <c r="B118" s="472" t="str">
        <f ca="1">IFERROR(__xludf.DUMMYFUNCTION("""COMPUTED_VALUE"""),"")</f>
        <v/>
      </c>
      <c r="C118" s="472" t="str">
        <f ca="1">IFERROR(__xludf.DUMMYFUNCTION("""COMPUTED_VALUE"""),"")</f>
        <v/>
      </c>
      <c r="D118" s="472" t="str">
        <f ca="1">IFERROR(__xludf.DUMMYFUNCTION("""COMPUTED_VALUE"""),"")</f>
        <v/>
      </c>
      <c r="E118" s="472" t="str">
        <f ca="1">IFERROR(__xludf.DUMMYFUNCTION("""COMPUTED_VALUE"""),"")</f>
        <v/>
      </c>
      <c r="F118" s="472" t="str">
        <f ca="1">IFERROR(__xludf.DUMMYFUNCTION("""COMPUTED_VALUE"""),"")</f>
        <v/>
      </c>
      <c r="G118" s="472" t="str">
        <f ca="1">IFERROR(__xludf.DUMMYFUNCTION("""COMPUTED_VALUE"""),"")</f>
        <v/>
      </c>
      <c r="H118" s="472" t="str">
        <f ca="1">IFERROR(__xludf.DUMMYFUNCTION("""COMPUTED_VALUE"""),"")</f>
        <v/>
      </c>
      <c r="I118" s="472" t="str">
        <f ca="1">IFERROR(__xludf.DUMMYFUNCTION("""COMPUTED_VALUE"""),"")</f>
        <v/>
      </c>
      <c r="J118" s="472" t="str">
        <f ca="1">IFERROR(__xludf.DUMMYFUNCTION("""COMPUTED_VALUE"""),"")</f>
        <v/>
      </c>
    </row>
    <row r="119" spans="1:10" ht="15.75">
      <c r="A119" s="472" t="str">
        <f ca="1">IFERROR(__xludf.DUMMYFUNCTION("""COMPUTED_VALUE"""),"")</f>
        <v/>
      </c>
      <c r="B119" s="472" t="str">
        <f ca="1">IFERROR(__xludf.DUMMYFUNCTION("""COMPUTED_VALUE"""),"")</f>
        <v/>
      </c>
      <c r="C119" s="472" t="str">
        <f ca="1">IFERROR(__xludf.DUMMYFUNCTION("""COMPUTED_VALUE"""),"")</f>
        <v/>
      </c>
      <c r="D119" s="472" t="str">
        <f ca="1">IFERROR(__xludf.DUMMYFUNCTION("""COMPUTED_VALUE"""),"")</f>
        <v/>
      </c>
      <c r="E119" s="472" t="str">
        <f ca="1">IFERROR(__xludf.DUMMYFUNCTION("""COMPUTED_VALUE"""),"")</f>
        <v/>
      </c>
      <c r="F119" s="472" t="str">
        <f ca="1">IFERROR(__xludf.DUMMYFUNCTION("""COMPUTED_VALUE"""),"")</f>
        <v/>
      </c>
      <c r="G119" s="472" t="str">
        <f ca="1">IFERROR(__xludf.DUMMYFUNCTION("""COMPUTED_VALUE"""),"")</f>
        <v/>
      </c>
      <c r="H119" s="472" t="str">
        <f ca="1">IFERROR(__xludf.DUMMYFUNCTION("""COMPUTED_VALUE"""),"")</f>
        <v/>
      </c>
      <c r="I119" s="472" t="str">
        <f ca="1">IFERROR(__xludf.DUMMYFUNCTION("""COMPUTED_VALUE"""),"")</f>
        <v/>
      </c>
      <c r="J119" s="472" t="str">
        <f ca="1">IFERROR(__xludf.DUMMYFUNCTION("""COMPUTED_VALUE"""),"")</f>
        <v/>
      </c>
    </row>
    <row r="120" spans="1:10" ht="15.75">
      <c r="A120" s="472" t="str">
        <f ca="1">IFERROR(__xludf.DUMMYFUNCTION("""COMPUTED_VALUE"""),"")</f>
        <v/>
      </c>
      <c r="B120" s="472" t="str">
        <f ca="1">IFERROR(__xludf.DUMMYFUNCTION("""COMPUTED_VALUE"""),"")</f>
        <v/>
      </c>
      <c r="C120" s="472" t="str">
        <f ca="1">IFERROR(__xludf.DUMMYFUNCTION("""COMPUTED_VALUE"""),"")</f>
        <v/>
      </c>
      <c r="D120" s="472" t="str">
        <f ca="1">IFERROR(__xludf.DUMMYFUNCTION("""COMPUTED_VALUE"""),"")</f>
        <v/>
      </c>
      <c r="E120" s="472" t="str">
        <f ca="1">IFERROR(__xludf.DUMMYFUNCTION("""COMPUTED_VALUE"""),"")</f>
        <v/>
      </c>
      <c r="F120" s="472" t="str">
        <f ca="1">IFERROR(__xludf.DUMMYFUNCTION("""COMPUTED_VALUE"""),"")</f>
        <v/>
      </c>
      <c r="G120" s="472" t="str">
        <f ca="1">IFERROR(__xludf.DUMMYFUNCTION("""COMPUTED_VALUE"""),"")</f>
        <v/>
      </c>
      <c r="H120" s="472" t="str">
        <f ca="1">IFERROR(__xludf.DUMMYFUNCTION("""COMPUTED_VALUE"""),"")</f>
        <v/>
      </c>
      <c r="I120" s="472" t="str">
        <f ca="1">IFERROR(__xludf.DUMMYFUNCTION("""COMPUTED_VALUE"""),"")</f>
        <v/>
      </c>
      <c r="J120" s="472" t="str">
        <f ca="1">IFERROR(__xludf.DUMMYFUNCTION("""COMPUTED_VALUE"""),"")</f>
        <v/>
      </c>
    </row>
    <row r="121" spans="1:10" ht="15.75">
      <c r="A121" s="472" t="str">
        <f ca="1">IFERROR(__xludf.DUMMYFUNCTION("""COMPUTED_VALUE"""),"")</f>
        <v/>
      </c>
      <c r="B121" s="472" t="str">
        <f ca="1">IFERROR(__xludf.DUMMYFUNCTION("""COMPUTED_VALUE"""),"")</f>
        <v/>
      </c>
      <c r="C121" s="472" t="str">
        <f ca="1">IFERROR(__xludf.DUMMYFUNCTION("""COMPUTED_VALUE"""),"")</f>
        <v/>
      </c>
      <c r="D121" s="472" t="str">
        <f ca="1">IFERROR(__xludf.DUMMYFUNCTION("""COMPUTED_VALUE"""),"")</f>
        <v/>
      </c>
      <c r="E121" s="472" t="str">
        <f ca="1">IFERROR(__xludf.DUMMYFUNCTION("""COMPUTED_VALUE"""),"")</f>
        <v/>
      </c>
      <c r="F121" s="472" t="str">
        <f ca="1">IFERROR(__xludf.DUMMYFUNCTION("""COMPUTED_VALUE"""),"")</f>
        <v/>
      </c>
      <c r="G121" s="472" t="str">
        <f ca="1">IFERROR(__xludf.DUMMYFUNCTION("""COMPUTED_VALUE"""),"")</f>
        <v/>
      </c>
      <c r="H121" s="472" t="str">
        <f ca="1">IFERROR(__xludf.DUMMYFUNCTION("""COMPUTED_VALUE"""),"")</f>
        <v/>
      </c>
      <c r="I121" s="472" t="str">
        <f ca="1">IFERROR(__xludf.DUMMYFUNCTION("""COMPUTED_VALUE"""),"")</f>
        <v/>
      </c>
      <c r="J121" s="472" t="str">
        <f ca="1">IFERROR(__xludf.DUMMYFUNCTION("""COMPUTED_VALUE"""),"")</f>
        <v/>
      </c>
    </row>
    <row r="122" spans="1:10" ht="15.75">
      <c r="A122" s="472" t="str">
        <f ca="1">IFERROR(__xludf.DUMMYFUNCTION("""COMPUTED_VALUE"""),"")</f>
        <v/>
      </c>
      <c r="B122" s="472" t="str">
        <f ca="1">IFERROR(__xludf.DUMMYFUNCTION("""COMPUTED_VALUE"""),"")</f>
        <v/>
      </c>
      <c r="C122" s="472" t="str">
        <f ca="1">IFERROR(__xludf.DUMMYFUNCTION("""COMPUTED_VALUE"""),"")</f>
        <v/>
      </c>
      <c r="D122" s="472" t="str">
        <f ca="1">IFERROR(__xludf.DUMMYFUNCTION("""COMPUTED_VALUE"""),"")</f>
        <v/>
      </c>
      <c r="E122" s="472" t="str">
        <f ca="1">IFERROR(__xludf.DUMMYFUNCTION("""COMPUTED_VALUE"""),"")</f>
        <v/>
      </c>
      <c r="F122" s="472" t="str">
        <f ca="1">IFERROR(__xludf.DUMMYFUNCTION("""COMPUTED_VALUE"""),"")</f>
        <v/>
      </c>
      <c r="G122" s="472" t="str">
        <f ca="1">IFERROR(__xludf.DUMMYFUNCTION("""COMPUTED_VALUE"""),"")</f>
        <v/>
      </c>
      <c r="H122" s="472" t="str">
        <f ca="1">IFERROR(__xludf.DUMMYFUNCTION("""COMPUTED_VALUE"""),"")</f>
        <v/>
      </c>
      <c r="I122" s="472" t="str">
        <f ca="1">IFERROR(__xludf.DUMMYFUNCTION("""COMPUTED_VALUE"""),"")</f>
        <v/>
      </c>
      <c r="J122" s="472" t="str">
        <f ca="1">IFERROR(__xludf.DUMMYFUNCTION("""COMPUTED_VALUE"""),"")</f>
        <v/>
      </c>
    </row>
    <row r="123" spans="1:10" ht="15.75">
      <c r="A123" s="472" t="str">
        <f ca="1">IFERROR(__xludf.DUMMYFUNCTION("""COMPUTED_VALUE"""),"")</f>
        <v/>
      </c>
      <c r="B123" s="472" t="str">
        <f ca="1">IFERROR(__xludf.DUMMYFUNCTION("""COMPUTED_VALUE"""),"")</f>
        <v/>
      </c>
      <c r="C123" s="472" t="str">
        <f ca="1">IFERROR(__xludf.DUMMYFUNCTION("""COMPUTED_VALUE"""),"")</f>
        <v/>
      </c>
      <c r="D123" s="472" t="str">
        <f ca="1">IFERROR(__xludf.DUMMYFUNCTION("""COMPUTED_VALUE"""),"")</f>
        <v/>
      </c>
      <c r="E123" s="472" t="str">
        <f ca="1">IFERROR(__xludf.DUMMYFUNCTION("""COMPUTED_VALUE"""),"")</f>
        <v/>
      </c>
      <c r="F123" s="472" t="str">
        <f ca="1">IFERROR(__xludf.DUMMYFUNCTION("""COMPUTED_VALUE"""),"")</f>
        <v/>
      </c>
      <c r="G123" s="472" t="str">
        <f ca="1">IFERROR(__xludf.DUMMYFUNCTION("""COMPUTED_VALUE"""),"")</f>
        <v/>
      </c>
      <c r="H123" s="472" t="str">
        <f ca="1">IFERROR(__xludf.DUMMYFUNCTION("""COMPUTED_VALUE"""),"")</f>
        <v/>
      </c>
      <c r="I123" s="472" t="str">
        <f ca="1">IFERROR(__xludf.DUMMYFUNCTION("""COMPUTED_VALUE"""),"")</f>
        <v/>
      </c>
      <c r="J123" s="472" t="str">
        <f ca="1">IFERROR(__xludf.DUMMYFUNCTION("""COMPUTED_VALUE"""),"")</f>
        <v/>
      </c>
    </row>
    <row r="124" spans="1:10" ht="15.75">
      <c r="A124" s="472" t="str">
        <f ca="1">IFERROR(__xludf.DUMMYFUNCTION("""COMPUTED_VALUE"""),"")</f>
        <v/>
      </c>
      <c r="B124" s="472" t="str">
        <f ca="1">IFERROR(__xludf.DUMMYFUNCTION("""COMPUTED_VALUE"""),"")</f>
        <v/>
      </c>
      <c r="C124" s="472" t="str">
        <f ca="1">IFERROR(__xludf.DUMMYFUNCTION("""COMPUTED_VALUE"""),"")</f>
        <v/>
      </c>
      <c r="D124" s="472" t="str">
        <f ca="1">IFERROR(__xludf.DUMMYFUNCTION("""COMPUTED_VALUE"""),"")</f>
        <v/>
      </c>
      <c r="E124" s="472" t="str">
        <f ca="1">IFERROR(__xludf.DUMMYFUNCTION("""COMPUTED_VALUE"""),"")</f>
        <v/>
      </c>
      <c r="F124" s="472" t="str">
        <f ca="1">IFERROR(__xludf.DUMMYFUNCTION("""COMPUTED_VALUE"""),"")</f>
        <v/>
      </c>
      <c r="G124" s="472" t="str">
        <f ca="1">IFERROR(__xludf.DUMMYFUNCTION("""COMPUTED_VALUE"""),"")</f>
        <v/>
      </c>
      <c r="H124" s="472" t="str">
        <f ca="1">IFERROR(__xludf.DUMMYFUNCTION("""COMPUTED_VALUE"""),"")</f>
        <v/>
      </c>
      <c r="I124" s="472" t="str">
        <f ca="1">IFERROR(__xludf.DUMMYFUNCTION("""COMPUTED_VALUE"""),"")</f>
        <v/>
      </c>
      <c r="J124" s="472" t="str">
        <f ca="1">IFERROR(__xludf.DUMMYFUNCTION("""COMPUTED_VALUE"""),"")</f>
        <v/>
      </c>
    </row>
    <row r="125" spans="1:10" ht="15.75">
      <c r="A125" s="472" t="str">
        <f ca="1">IFERROR(__xludf.DUMMYFUNCTION("""COMPUTED_VALUE"""),"")</f>
        <v/>
      </c>
      <c r="B125" s="472" t="str">
        <f ca="1">IFERROR(__xludf.DUMMYFUNCTION("""COMPUTED_VALUE"""),"")</f>
        <v/>
      </c>
      <c r="C125" s="472" t="str">
        <f ca="1">IFERROR(__xludf.DUMMYFUNCTION("""COMPUTED_VALUE"""),"")</f>
        <v/>
      </c>
      <c r="D125" s="472" t="str">
        <f ca="1">IFERROR(__xludf.DUMMYFUNCTION("""COMPUTED_VALUE"""),"")</f>
        <v/>
      </c>
      <c r="E125" s="472" t="str">
        <f ca="1">IFERROR(__xludf.DUMMYFUNCTION("""COMPUTED_VALUE"""),"")</f>
        <v/>
      </c>
      <c r="F125" s="472" t="str">
        <f ca="1">IFERROR(__xludf.DUMMYFUNCTION("""COMPUTED_VALUE"""),"")</f>
        <v/>
      </c>
      <c r="G125" s="472" t="str">
        <f ca="1">IFERROR(__xludf.DUMMYFUNCTION("""COMPUTED_VALUE"""),"")</f>
        <v/>
      </c>
      <c r="H125" s="472" t="str">
        <f ca="1">IFERROR(__xludf.DUMMYFUNCTION("""COMPUTED_VALUE"""),"")</f>
        <v/>
      </c>
      <c r="I125" s="472" t="str">
        <f ca="1">IFERROR(__xludf.DUMMYFUNCTION("""COMPUTED_VALUE"""),"")</f>
        <v/>
      </c>
      <c r="J125" s="472" t="str">
        <f ca="1">IFERROR(__xludf.DUMMYFUNCTION("""COMPUTED_VALUE"""),"")</f>
        <v/>
      </c>
    </row>
    <row r="126" spans="1:10" ht="15.75">
      <c r="A126" s="472" t="str">
        <f ca="1">IFERROR(__xludf.DUMMYFUNCTION("""COMPUTED_VALUE"""),"")</f>
        <v/>
      </c>
      <c r="B126" s="472" t="str">
        <f ca="1">IFERROR(__xludf.DUMMYFUNCTION("""COMPUTED_VALUE"""),"")</f>
        <v/>
      </c>
      <c r="C126" s="472" t="str">
        <f ca="1">IFERROR(__xludf.DUMMYFUNCTION("""COMPUTED_VALUE"""),"")</f>
        <v/>
      </c>
      <c r="D126" s="472" t="str">
        <f ca="1">IFERROR(__xludf.DUMMYFUNCTION("""COMPUTED_VALUE"""),"")</f>
        <v/>
      </c>
      <c r="E126" s="472" t="str">
        <f ca="1">IFERROR(__xludf.DUMMYFUNCTION("""COMPUTED_VALUE"""),"")</f>
        <v/>
      </c>
      <c r="F126" s="472" t="str">
        <f ca="1">IFERROR(__xludf.DUMMYFUNCTION("""COMPUTED_VALUE"""),"")</f>
        <v/>
      </c>
      <c r="G126" s="472" t="str">
        <f ca="1">IFERROR(__xludf.DUMMYFUNCTION("""COMPUTED_VALUE"""),"")</f>
        <v/>
      </c>
      <c r="H126" s="472" t="str">
        <f ca="1">IFERROR(__xludf.DUMMYFUNCTION("""COMPUTED_VALUE"""),"")</f>
        <v/>
      </c>
      <c r="I126" s="472" t="str">
        <f ca="1">IFERROR(__xludf.DUMMYFUNCTION("""COMPUTED_VALUE"""),"")</f>
        <v/>
      </c>
      <c r="J126" s="472" t="str">
        <f ca="1">IFERROR(__xludf.DUMMYFUNCTION("""COMPUTED_VALUE"""),"")</f>
        <v/>
      </c>
    </row>
    <row r="127" spans="1:10" ht="15.75">
      <c r="A127" s="472" t="str">
        <f ca="1">IFERROR(__xludf.DUMMYFUNCTION("""COMPUTED_VALUE"""),"")</f>
        <v/>
      </c>
      <c r="B127" s="472" t="str">
        <f ca="1">IFERROR(__xludf.DUMMYFUNCTION("""COMPUTED_VALUE"""),"")</f>
        <v/>
      </c>
      <c r="C127" s="472" t="str">
        <f ca="1">IFERROR(__xludf.DUMMYFUNCTION("""COMPUTED_VALUE"""),"")</f>
        <v/>
      </c>
      <c r="D127" s="472" t="str">
        <f ca="1">IFERROR(__xludf.DUMMYFUNCTION("""COMPUTED_VALUE"""),"")</f>
        <v/>
      </c>
      <c r="E127" s="472" t="str">
        <f ca="1">IFERROR(__xludf.DUMMYFUNCTION("""COMPUTED_VALUE"""),"")</f>
        <v/>
      </c>
      <c r="F127" s="472" t="str">
        <f ca="1">IFERROR(__xludf.DUMMYFUNCTION("""COMPUTED_VALUE"""),"")</f>
        <v/>
      </c>
      <c r="G127" s="472" t="str">
        <f ca="1">IFERROR(__xludf.DUMMYFUNCTION("""COMPUTED_VALUE"""),"")</f>
        <v/>
      </c>
      <c r="H127" s="472" t="str">
        <f ca="1">IFERROR(__xludf.DUMMYFUNCTION("""COMPUTED_VALUE"""),"")</f>
        <v/>
      </c>
      <c r="I127" s="472" t="str">
        <f ca="1">IFERROR(__xludf.DUMMYFUNCTION("""COMPUTED_VALUE"""),"")</f>
        <v/>
      </c>
      <c r="J127" s="472" t="str">
        <f ca="1">IFERROR(__xludf.DUMMYFUNCTION("""COMPUTED_VALUE"""),"")</f>
        <v/>
      </c>
    </row>
    <row r="128" spans="1:10" ht="15.75">
      <c r="A128" s="472" t="str">
        <f ca="1">IFERROR(__xludf.DUMMYFUNCTION("""COMPUTED_VALUE"""),"")</f>
        <v/>
      </c>
      <c r="B128" s="472" t="str">
        <f ca="1">IFERROR(__xludf.DUMMYFUNCTION("""COMPUTED_VALUE"""),"")</f>
        <v/>
      </c>
      <c r="C128" s="472" t="str">
        <f ca="1">IFERROR(__xludf.DUMMYFUNCTION("""COMPUTED_VALUE"""),"")</f>
        <v/>
      </c>
      <c r="D128" s="472" t="str">
        <f ca="1">IFERROR(__xludf.DUMMYFUNCTION("""COMPUTED_VALUE"""),"")</f>
        <v/>
      </c>
      <c r="E128" s="472" t="str">
        <f ca="1">IFERROR(__xludf.DUMMYFUNCTION("""COMPUTED_VALUE"""),"")</f>
        <v/>
      </c>
      <c r="F128" s="472" t="str">
        <f ca="1">IFERROR(__xludf.DUMMYFUNCTION("""COMPUTED_VALUE"""),"")</f>
        <v/>
      </c>
      <c r="G128" s="472" t="str">
        <f ca="1">IFERROR(__xludf.DUMMYFUNCTION("""COMPUTED_VALUE"""),"")</f>
        <v/>
      </c>
      <c r="H128" s="472" t="str">
        <f ca="1">IFERROR(__xludf.DUMMYFUNCTION("""COMPUTED_VALUE"""),"")</f>
        <v/>
      </c>
      <c r="I128" s="472" t="str">
        <f ca="1">IFERROR(__xludf.DUMMYFUNCTION("""COMPUTED_VALUE"""),"")</f>
        <v/>
      </c>
      <c r="J128" s="472" t="str">
        <f ca="1">IFERROR(__xludf.DUMMYFUNCTION("""COMPUTED_VALUE"""),"")</f>
        <v/>
      </c>
    </row>
    <row r="129" spans="1:10" ht="15.75">
      <c r="A129" s="472" t="str">
        <f ca="1">IFERROR(__xludf.DUMMYFUNCTION("""COMPUTED_VALUE"""),"")</f>
        <v/>
      </c>
      <c r="B129" s="472" t="str">
        <f ca="1">IFERROR(__xludf.DUMMYFUNCTION("""COMPUTED_VALUE"""),"")</f>
        <v/>
      </c>
      <c r="C129" s="472" t="str">
        <f ca="1">IFERROR(__xludf.DUMMYFUNCTION("""COMPUTED_VALUE"""),"")</f>
        <v/>
      </c>
      <c r="D129" s="472" t="str">
        <f ca="1">IFERROR(__xludf.DUMMYFUNCTION("""COMPUTED_VALUE"""),"")</f>
        <v/>
      </c>
      <c r="E129" s="472" t="str">
        <f ca="1">IFERROR(__xludf.DUMMYFUNCTION("""COMPUTED_VALUE"""),"")</f>
        <v/>
      </c>
      <c r="F129" s="472" t="str">
        <f ca="1">IFERROR(__xludf.DUMMYFUNCTION("""COMPUTED_VALUE"""),"")</f>
        <v/>
      </c>
      <c r="G129" s="472" t="str">
        <f ca="1">IFERROR(__xludf.DUMMYFUNCTION("""COMPUTED_VALUE"""),"")</f>
        <v/>
      </c>
      <c r="H129" s="472" t="str">
        <f ca="1">IFERROR(__xludf.DUMMYFUNCTION("""COMPUTED_VALUE"""),"")</f>
        <v/>
      </c>
      <c r="I129" s="472" t="str">
        <f ca="1">IFERROR(__xludf.DUMMYFUNCTION("""COMPUTED_VALUE"""),"")</f>
        <v/>
      </c>
      <c r="J129" s="472" t="str">
        <f ca="1">IFERROR(__xludf.DUMMYFUNCTION("""COMPUTED_VALUE"""),"")</f>
        <v/>
      </c>
    </row>
    <row r="130" spans="1:10" ht="15.75">
      <c r="A130" s="472" t="str">
        <f ca="1">IFERROR(__xludf.DUMMYFUNCTION("""COMPUTED_VALUE"""),"")</f>
        <v/>
      </c>
      <c r="B130" s="472" t="str">
        <f ca="1">IFERROR(__xludf.DUMMYFUNCTION("""COMPUTED_VALUE"""),"")</f>
        <v/>
      </c>
      <c r="C130" s="472" t="str">
        <f ca="1">IFERROR(__xludf.DUMMYFUNCTION("""COMPUTED_VALUE"""),"")</f>
        <v/>
      </c>
      <c r="D130" s="472" t="str">
        <f ca="1">IFERROR(__xludf.DUMMYFUNCTION("""COMPUTED_VALUE"""),"")</f>
        <v/>
      </c>
      <c r="E130" s="472" t="str">
        <f ca="1">IFERROR(__xludf.DUMMYFUNCTION("""COMPUTED_VALUE"""),"")</f>
        <v/>
      </c>
      <c r="F130" s="472" t="str">
        <f ca="1">IFERROR(__xludf.DUMMYFUNCTION("""COMPUTED_VALUE"""),"")</f>
        <v/>
      </c>
      <c r="G130" s="472" t="str">
        <f ca="1">IFERROR(__xludf.DUMMYFUNCTION("""COMPUTED_VALUE"""),"")</f>
        <v/>
      </c>
      <c r="H130" s="472" t="str">
        <f ca="1">IFERROR(__xludf.DUMMYFUNCTION("""COMPUTED_VALUE"""),"")</f>
        <v/>
      </c>
      <c r="I130" s="472" t="str">
        <f ca="1">IFERROR(__xludf.DUMMYFUNCTION("""COMPUTED_VALUE"""),"")</f>
        <v/>
      </c>
      <c r="J130" s="472" t="str">
        <f ca="1">IFERROR(__xludf.DUMMYFUNCTION("""COMPUTED_VALUE"""),"")</f>
        <v/>
      </c>
    </row>
    <row r="131" spans="1:10" ht="15.75">
      <c r="A131" s="472" t="str">
        <f ca="1">IFERROR(__xludf.DUMMYFUNCTION("""COMPUTED_VALUE"""),"")</f>
        <v/>
      </c>
      <c r="B131" s="472" t="str">
        <f ca="1">IFERROR(__xludf.DUMMYFUNCTION("""COMPUTED_VALUE"""),"")</f>
        <v/>
      </c>
      <c r="C131" s="472" t="str">
        <f ca="1">IFERROR(__xludf.DUMMYFUNCTION("""COMPUTED_VALUE"""),"")</f>
        <v/>
      </c>
      <c r="D131" s="472" t="str">
        <f ca="1">IFERROR(__xludf.DUMMYFUNCTION("""COMPUTED_VALUE"""),"")</f>
        <v/>
      </c>
      <c r="E131" s="472" t="str">
        <f ca="1">IFERROR(__xludf.DUMMYFUNCTION("""COMPUTED_VALUE"""),"")</f>
        <v/>
      </c>
      <c r="F131" s="472" t="str">
        <f ca="1">IFERROR(__xludf.DUMMYFUNCTION("""COMPUTED_VALUE"""),"")</f>
        <v/>
      </c>
      <c r="G131" s="472" t="str">
        <f ca="1">IFERROR(__xludf.DUMMYFUNCTION("""COMPUTED_VALUE"""),"")</f>
        <v/>
      </c>
      <c r="H131" s="472" t="str">
        <f ca="1">IFERROR(__xludf.DUMMYFUNCTION("""COMPUTED_VALUE"""),"")</f>
        <v/>
      </c>
      <c r="I131" s="472" t="str">
        <f ca="1">IFERROR(__xludf.DUMMYFUNCTION("""COMPUTED_VALUE"""),"")</f>
        <v/>
      </c>
      <c r="J131" s="472" t="str">
        <f ca="1">IFERROR(__xludf.DUMMYFUNCTION("""COMPUTED_VALUE"""),"")</f>
        <v/>
      </c>
    </row>
    <row r="132" spans="1:10" ht="15.75">
      <c r="A132" s="472" t="str">
        <f ca="1">IFERROR(__xludf.DUMMYFUNCTION("""COMPUTED_VALUE"""),"")</f>
        <v/>
      </c>
      <c r="B132" s="472" t="str">
        <f ca="1">IFERROR(__xludf.DUMMYFUNCTION("""COMPUTED_VALUE"""),"")</f>
        <v/>
      </c>
      <c r="C132" s="472" t="str">
        <f ca="1">IFERROR(__xludf.DUMMYFUNCTION("""COMPUTED_VALUE"""),"")</f>
        <v/>
      </c>
      <c r="D132" s="472" t="str">
        <f ca="1">IFERROR(__xludf.DUMMYFUNCTION("""COMPUTED_VALUE"""),"")</f>
        <v/>
      </c>
      <c r="E132" s="472" t="str">
        <f ca="1">IFERROR(__xludf.DUMMYFUNCTION("""COMPUTED_VALUE"""),"")</f>
        <v/>
      </c>
      <c r="F132" s="472" t="str">
        <f ca="1">IFERROR(__xludf.DUMMYFUNCTION("""COMPUTED_VALUE"""),"")</f>
        <v/>
      </c>
      <c r="G132" s="472" t="str">
        <f ca="1">IFERROR(__xludf.DUMMYFUNCTION("""COMPUTED_VALUE"""),"")</f>
        <v/>
      </c>
      <c r="H132" s="472" t="str">
        <f ca="1">IFERROR(__xludf.DUMMYFUNCTION("""COMPUTED_VALUE"""),"")</f>
        <v/>
      </c>
      <c r="I132" s="472" t="str">
        <f ca="1">IFERROR(__xludf.DUMMYFUNCTION("""COMPUTED_VALUE"""),"")</f>
        <v/>
      </c>
      <c r="J132" s="472" t="str">
        <f ca="1">IFERROR(__xludf.DUMMYFUNCTION("""COMPUTED_VALUE"""),"")</f>
        <v/>
      </c>
    </row>
    <row r="133" spans="1:10" ht="15.75">
      <c r="A133" s="472" t="str">
        <f ca="1">IFERROR(__xludf.DUMMYFUNCTION("""COMPUTED_VALUE"""),"")</f>
        <v/>
      </c>
      <c r="B133" s="472" t="str">
        <f ca="1">IFERROR(__xludf.DUMMYFUNCTION("""COMPUTED_VALUE"""),"")</f>
        <v/>
      </c>
      <c r="C133" s="472" t="str">
        <f ca="1">IFERROR(__xludf.DUMMYFUNCTION("""COMPUTED_VALUE"""),"")</f>
        <v/>
      </c>
      <c r="D133" s="472" t="str">
        <f ca="1">IFERROR(__xludf.DUMMYFUNCTION("""COMPUTED_VALUE"""),"")</f>
        <v/>
      </c>
      <c r="E133" s="472" t="str">
        <f ca="1">IFERROR(__xludf.DUMMYFUNCTION("""COMPUTED_VALUE"""),"")</f>
        <v/>
      </c>
      <c r="F133" s="472" t="str">
        <f ca="1">IFERROR(__xludf.DUMMYFUNCTION("""COMPUTED_VALUE"""),"")</f>
        <v/>
      </c>
      <c r="G133" s="472" t="str">
        <f ca="1">IFERROR(__xludf.DUMMYFUNCTION("""COMPUTED_VALUE"""),"")</f>
        <v/>
      </c>
      <c r="H133" s="472" t="str">
        <f ca="1">IFERROR(__xludf.DUMMYFUNCTION("""COMPUTED_VALUE"""),"")</f>
        <v/>
      </c>
      <c r="I133" s="472" t="str">
        <f ca="1">IFERROR(__xludf.DUMMYFUNCTION("""COMPUTED_VALUE"""),"")</f>
        <v/>
      </c>
      <c r="J133" s="472" t="str">
        <f ca="1">IFERROR(__xludf.DUMMYFUNCTION("""COMPUTED_VALUE"""),"")</f>
        <v/>
      </c>
    </row>
    <row r="134" spans="1:10" ht="15.75">
      <c r="A134" s="472" t="str">
        <f ca="1">IFERROR(__xludf.DUMMYFUNCTION("""COMPUTED_VALUE"""),"")</f>
        <v/>
      </c>
      <c r="B134" s="472" t="str">
        <f ca="1">IFERROR(__xludf.DUMMYFUNCTION("""COMPUTED_VALUE"""),"")</f>
        <v/>
      </c>
      <c r="C134" s="472" t="str">
        <f ca="1">IFERROR(__xludf.DUMMYFUNCTION("""COMPUTED_VALUE"""),"")</f>
        <v/>
      </c>
      <c r="D134" s="472" t="str">
        <f ca="1">IFERROR(__xludf.DUMMYFUNCTION("""COMPUTED_VALUE"""),"")</f>
        <v/>
      </c>
      <c r="E134" s="472" t="str">
        <f ca="1">IFERROR(__xludf.DUMMYFUNCTION("""COMPUTED_VALUE"""),"")</f>
        <v/>
      </c>
      <c r="F134" s="472" t="str">
        <f ca="1">IFERROR(__xludf.DUMMYFUNCTION("""COMPUTED_VALUE"""),"")</f>
        <v/>
      </c>
      <c r="G134" s="472" t="str">
        <f ca="1">IFERROR(__xludf.DUMMYFUNCTION("""COMPUTED_VALUE"""),"")</f>
        <v/>
      </c>
      <c r="H134" s="472" t="str">
        <f ca="1">IFERROR(__xludf.DUMMYFUNCTION("""COMPUTED_VALUE"""),"")</f>
        <v/>
      </c>
      <c r="I134" s="472" t="str">
        <f ca="1">IFERROR(__xludf.DUMMYFUNCTION("""COMPUTED_VALUE"""),"")</f>
        <v/>
      </c>
      <c r="J134" s="472" t="str">
        <f ca="1">IFERROR(__xludf.DUMMYFUNCTION("""COMPUTED_VALUE"""),"")</f>
        <v/>
      </c>
    </row>
    <row r="135" spans="1:10" ht="15.75">
      <c r="A135" s="472" t="str">
        <f ca="1">IFERROR(__xludf.DUMMYFUNCTION("""COMPUTED_VALUE"""),"")</f>
        <v/>
      </c>
      <c r="B135" s="472" t="str">
        <f ca="1">IFERROR(__xludf.DUMMYFUNCTION("""COMPUTED_VALUE"""),"")</f>
        <v/>
      </c>
      <c r="C135" s="472" t="str">
        <f ca="1">IFERROR(__xludf.DUMMYFUNCTION("""COMPUTED_VALUE"""),"")</f>
        <v/>
      </c>
      <c r="D135" s="472" t="str">
        <f ca="1">IFERROR(__xludf.DUMMYFUNCTION("""COMPUTED_VALUE"""),"")</f>
        <v/>
      </c>
      <c r="E135" s="472" t="str">
        <f ca="1">IFERROR(__xludf.DUMMYFUNCTION("""COMPUTED_VALUE"""),"")</f>
        <v/>
      </c>
      <c r="F135" s="472" t="str">
        <f ca="1">IFERROR(__xludf.DUMMYFUNCTION("""COMPUTED_VALUE"""),"")</f>
        <v/>
      </c>
      <c r="G135" s="472" t="str">
        <f ca="1">IFERROR(__xludf.DUMMYFUNCTION("""COMPUTED_VALUE"""),"")</f>
        <v/>
      </c>
      <c r="H135" s="472" t="str">
        <f ca="1">IFERROR(__xludf.DUMMYFUNCTION("""COMPUTED_VALUE"""),"")</f>
        <v/>
      </c>
      <c r="I135" s="472" t="str">
        <f ca="1">IFERROR(__xludf.DUMMYFUNCTION("""COMPUTED_VALUE"""),"")</f>
        <v/>
      </c>
      <c r="J135" s="472" t="str">
        <f ca="1">IFERROR(__xludf.DUMMYFUNCTION("""COMPUTED_VALUE"""),"")</f>
        <v/>
      </c>
    </row>
    <row r="136" spans="1:10" ht="15.75">
      <c r="A136" s="472" t="str">
        <f ca="1">IFERROR(__xludf.DUMMYFUNCTION("""COMPUTED_VALUE"""),"")</f>
        <v/>
      </c>
      <c r="B136" s="472" t="str">
        <f ca="1">IFERROR(__xludf.DUMMYFUNCTION("""COMPUTED_VALUE"""),"")</f>
        <v/>
      </c>
      <c r="C136" s="472" t="str">
        <f ca="1">IFERROR(__xludf.DUMMYFUNCTION("""COMPUTED_VALUE"""),"")</f>
        <v/>
      </c>
      <c r="D136" s="472" t="str">
        <f ca="1">IFERROR(__xludf.DUMMYFUNCTION("""COMPUTED_VALUE"""),"")</f>
        <v/>
      </c>
      <c r="E136" s="472" t="str">
        <f ca="1">IFERROR(__xludf.DUMMYFUNCTION("""COMPUTED_VALUE"""),"")</f>
        <v/>
      </c>
      <c r="F136" s="472" t="str">
        <f ca="1">IFERROR(__xludf.DUMMYFUNCTION("""COMPUTED_VALUE"""),"")</f>
        <v/>
      </c>
      <c r="G136" s="472" t="str">
        <f ca="1">IFERROR(__xludf.DUMMYFUNCTION("""COMPUTED_VALUE"""),"")</f>
        <v/>
      </c>
      <c r="H136" s="472" t="str">
        <f ca="1">IFERROR(__xludf.DUMMYFUNCTION("""COMPUTED_VALUE"""),"")</f>
        <v/>
      </c>
      <c r="I136" s="472" t="str">
        <f ca="1">IFERROR(__xludf.DUMMYFUNCTION("""COMPUTED_VALUE"""),"")</f>
        <v/>
      </c>
      <c r="J136" s="472" t="str">
        <f ca="1">IFERROR(__xludf.DUMMYFUNCTION("""COMPUTED_VALUE"""),"")</f>
        <v/>
      </c>
    </row>
    <row r="137" spans="1:10" ht="15.75">
      <c r="A137" s="472" t="str">
        <f ca="1">IFERROR(__xludf.DUMMYFUNCTION("""COMPUTED_VALUE"""),"")</f>
        <v/>
      </c>
      <c r="B137" s="472" t="str">
        <f ca="1">IFERROR(__xludf.DUMMYFUNCTION("""COMPUTED_VALUE"""),"")</f>
        <v/>
      </c>
      <c r="C137" s="472" t="str">
        <f ca="1">IFERROR(__xludf.DUMMYFUNCTION("""COMPUTED_VALUE"""),"")</f>
        <v/>
      </c>
      <c r="D137" s="472" t="str">
        <f ca="1">IFERROR(__xludf.DUMMYFUNCTION("""COMPUTED_VALUE"""),"")</f>
        <v/>
      </c>
      <c r="E137" s="472" t="str">
        <f ca="1">IFERROR(__xludf.DUMMYFUNCTION("""COMPUTED_VALUE"""),"")</f>
        <v/>
      </c>
      <c r="F137" s="472" t="str">
        <f ca="1">IFERROR(__xludf.DUMMYFUNCTION("""COMPUTED_VALUE"""),"")</f>
        <v/>
      </c>
      <c r="G137" s="472" t="str">
        <f ca="1">IFERROR(__xludf.DUMMYFUNCTION("""COMPUTED_VALUE"""),"")</f>
        <v/>
      </c>
      <c r="H137" s="472" t="str">
        <f ca="1">IFERROR(__xludf.DUMMYFUNCTION("""COMPUTED_VALUE"""),"")</f>
        <v/>
      </c>
      <c r="I137" s="472" t="str">
        <f ca="1">IFERROR(__xludf.DUMMYFUNCTION("""COMPUTED_VALUE"""),"")</f>
        <v/>
      </c>
      <c r="J137" s="472" t="str">
        <f ca="1">IFERROR(__xludf.DUMMYFUNCTION("""COMPUTED_VALUE"""),"")</f>
        <v/>
      </c>
    </row>
    <row r="138" spans="1:10" ht="15.75">
      <c r="A138" s="472" t="str">
        <f ca="1">IFERROR(__xludf.DUMMYFUNCTION("""COMPUTED_VALUE"""),"")</f>
        <v/>
      </c>
      <c r="B138" s="472" t="str">
        <f ca="1">IFERROR(__xludf.DUMMYFUNCTION("""COMPUTED_VALUE"""),"")</f>
        <v/>
      </c>
      <c r="C138" s="472" t="str">
        <f ca="1">IFERROR(__xludf.DUMMYFUNCTION("""COMPUTED_VALUE"""),"")</f>
        <v/>
      </c>
      <c r="D138" s="472" t="str">
        <f ca="1">IFERROR(__xludf.DUMMYFUNCTION("""COMPUTED_VALUE"""),"")</f>
        <v/>
      </c>
      <c r="E138" s="472" t="str">
        <f ca="1">IFERROR(__xludf.DUMMYFUNCTION("""COMPUTED_VALUE"""),"")</f>
        <v/>
      </c>
      <c r="F138" s="472" t="str">
        <f ca="1">IFERROR(__xludf.DUMMYFUNCTION("""COMPUTED_VALUE"""),"")</f>
        <v/>
      </c>
      <c r="G138" s="472" t="str">
        <f ca="1">IFERROR(__xludf.DUMMYFUNCTION("""COMPUTED_VALUE"""),"")</f>
        <v/>
      </c>
      <c r="H138" s="472" t="str">
        <f ca="1">IFERROR(__xludf.DUMMYFUNCTION("""COMPUTED_VALUE"""),"")</f>
        <v/>
      </c>
      <c r="I138" s="472" t="str">
        <f ca="1">IFERROR(__xludf.DUMMYFUNCTION("""COMPUTED_VALUE"""),"")</f>
        <v/>
      </c>
      <c r="J138" s="472" t="str">
        <f ca="1">IFERROR(__xludf.DUMMYFUNCTION("""COMPUTED_VALUE"""),"")</f>
        <v/>
      </c>
    </row>
    <row r="139" spans="1:10" ht="15.75">
      <c r="A139" s="472" t="str">
        <f ca="1">IFERROR(__xludf.DUMMYFUNCTION("""COMPUTED_VALUE"""),"")</f>
        <v/>
      </c>
      <c r="B139" s="472" t="str">
        <f ca="1">IFERROR(__xludf.DUMMYFUNCTION("""COMPUTED_VALUE"""),"")</f>
        <v/>
      </c>
      <c r="C139" s="472" t="str">
        <f ca="1">IFERROR(__xludf.DUMMYFUNCTION("""COMPUTED_VALUE"""),"")</f>
        <v/>
      </c>
      <c r="D139" s="472" t="str">
        <f ca="1">IFERROR(__xludf.DUMMYFUNCTION("""COMPUTED_VALUE"""),"")</f>
        <v/>
      </c>
      <c r="E139" s="472" t="str">
        <f ca="1">IFERROR(__xludf.DUMMYFUNCTION("""COMPUTED_VALUE"""),"")</f>
        <v/>
      </c>
      <c r="F139" s="472" t="str">
        <f ca="1">IFERROR(__xludf.DUMMYFUNCTION("""COMPUTED_VALUE"""),"")</f>
        <v/>
      </c>
      <c r="G139" s="472" t="str">
        <f ca="1">IFERROR(__xludf.DUMMYFUNCTION("""COMPUTED_VALUE"""),"")</f>
        <v/>
      </c>
      <c r="H139" s="472" t="str">
        <f ca="1">IFERROR(__xludf.DUMMYFUNCTION("""COMPUTED_VALUE"""),"")</f>
        <v/>
      </c>
      <c r="I139" s="472" t="str">
        <f ca="1">IFERROR(__xludf.DUMMYFUNCTION("""COMPUTED_VALUE"""),"")</f>
        <v/>
      </c>
      <c r="J139" s="472" t="str">
        <f ca="1">IFERROR(__xludf.DUMMYFUNCTION("""COMPUTED_VALUE"""),"")</f>
        <v/>
      </c>
    </row>
    <row r="140" spans="1:10" ht="15.75">
      <c r="A140" s="472" t="str">
        <f ca="1">IFERROR(__xludf.DUMMYFUNCTION("""COMPUTED_VALUE"""),"")</f>
        <v/>
      </c>
      <c r="B140" s="472" t="str">
        <f ca="1">IFERROR(__xludf.DUMMYFUNCTION("""COMPUTED_VALUE"""),"")</f>
        <v/>
      </c>
      <c r="C140" s="472" t="str">
        <f ca="1">IFERROR(__xludf.DUMMYFUNCTION("""COMPUTED_VALUE"""),"")</f>
        <v/>
      </c>
      <c r="D140" s="472" t="str">
        <f ca="1">IFERROR(__xludf.DUMMYFUNCTION("""COMPUTED_VALUE"""),"")</f>
        <v/>
      </c>
      <c r="E140" s="472" t="str">
        <f ca="1">IFERROR(__xludf.DUMMYFUNCTION("""COMPUTED_VALUE"""),"")</f>
        <v/>
      </c>
      <c r="F140" s="472" t="str">
        <f ca="1">IFERROR(__xludf.DUMMYFUNCTION("""COMPUTED_VALUE"""),"")</f>
        <v/>
      </c>
      <c r="G140" s="472" t="str">
        <f ca="1">IFERROR(__xludf.DUMMYFUNCTION("""COMPUTED_VALUE"""),"")</f>
        <v/>
      </c>
      <c r="H140" s="472" t="str">
        <f ca="1">IFERROR(__xludf.DUMMYFUNCTION("""COMPUTED_VALUE"""),"")</f>
        <v/>
      </c>
      <c r="I140" s="472" t="str">
        <f ca="1">IFERROR(__xludf.DUMMYFUNCTION("""COMPUTED_VALUE"""),"")</f>
        <v/>
      </c>
      <c r="J140" s="472" t="str">
        <f ca="1">IFERROR(__xludf.DUMMYFUNCTION("""COMPUTED_VALUE"""),"")</f>
        <v/>
      </c>
    </row>
    <row r="141" spans="1:10" ht="15.75">
      <c r="A141" s="472" t="str">
        <f ca="1">IFERROR(__xludf.DUMMYFUNCTION("""COMPUTED_VALUE"""),"")</f>
        <v/>
      </c>
      <c r="B141" s="472" t="str">
        <f ca="1">IFERROR(__xludf.DUMMYFUNCTION("""COMPUTED_VALUE"""),"")</f>
        <v/>
      </c>
      <c r="C141" s="472" t="str">
        <f ca="1">IFERROR(__xludf.DUMMYFUNCTION("""COMPUTED_VALUE"""),"")</f>
        <v/>
      </c>
      <c r="D141" s="472" t="str">
        <f ca="1">IFERROR(__xludf.DUMMYFUNCTION("""COMPUTED_VALUE"""),"")</f>
        <v/>
      </c>
      <c r="E141" s="472" t="str">
        <f ca="1">IFERROR(__xludf.DUMMYFUNCTION("""COMPUTED_VALUE"""),"")</f>
        <v/>
      </c>
      <c r="F141" s="472" t="str">
        <f ca="1">IFERROR(__xludf.DUMMYFUNCTION("""COMPUTED_VALUE"""),"")</f>
        <v/>
      </c>
      <c r="G141" s="472" t="str">
        <f ca="1">IFERROR(__xludf.DUMMYFUNCTION("""COMPUTED_VALUE"""),"")</f>
        <v/>
      </c>
      <c r="H141" s="472" t="str">
        <f ca="1">IFERROR(__xludf.DUMMYFUNCTION("""COMPUTED_VALUE"""),"")</f>
        <v/>
      </c>
      <c r="I141" s="472" t="str">
        <f ca="1">IFERROR(__xludf.DUMMYFUNCTION("""COMPUTED_VALUE"""),"")</f>
        <v/>
      </c>
      <c r="J141" s="472" t="str">
        <f ca="1">IFERROR(__xludf.DUMMYFUNCTION("""COMPUTED_VALUE"""),"")</f>
        <v/>
      </c>
    </row>
    <row r="142" spans="1:10" ht="15.75">
      <c r="A142" s="472" t="str">
        <f ca="1">IFERROR(__xludf.DUMMYFUNCTION("""COMPUTED_VALUE"""),"")</f>
        <v/>
      </c>
      <c r="B142" s="472" t="str">
        <f ca="1">IFERROR(__xludf.DUMMYFUNCTION("""COMPUTED_VALUE"""),"")</f>
        <v/>
      </c>
      <c r="C142" s="472" t="str">
        <f ca="1">IFERROR(__xludf.DUMMYFUNCTION("""COMPUTED_VALUE"""),"")</f>
        <v/>
      </c>
      <c r="D142" s="472" t="str">
        <f ca="1">IFERROR(__xludf.DUMMYFUNCTION("""COMPUTED_VALUE"""),"")</f>
        <v/>
      </c>
      <c r="E142" s="472" t="str">
        <f ca="1">IFERROR(__xludf.DUMMYFUNCTION("""COMPUTED_VALUE"""),"")</f>
        <v/>
      </c>
      <c r="F142" s="472" t="str">
        <f ca="1">IFERROR(__xludf.DUMMYFUNCTION("""COMPUTED_VALUE"""),"")</f>
        <v/>
      </c>
      <c r="G142" s="472" t="str">
        <f ca="1">IFERROR(__xludf.DUMMYFUNCTION("""COMPUTED_VALUE"""),"")</f>
        <v/>
      </c>
      <c r="H142" s="472" t="str">
        <f ca="1">IFERROR(__xludf.DUMMYFUNCTION("""COMPUTED_VALUE"""),"")</f>
        <v/>
      </c>
      <c r="I142" s="472" t="str">
        <f ca="1">IFERROR(__xludf.DUMMYFUNCTION("""COMPUTED_VALUE"""),"")</f>
        <v/>
      </c>
      <c r="J142" s="472" t="str">
        <f ca="1">IFERROR(__xludf.DUMMYFUNCTION("""COMPUTED_VALUE"""),"")</f>
        <v/>
      </c>
    </row>
    <row r="143" spans="1:10" ht="15.75">
      <c r="A143" s="472" t="str">
        <f ca="1">IFERROR(__xludf.DUMMYFUNCTION("""COMPUTED_VALUE"""),"")</f>
        <v/>
      </c>
      <c r="B143" s="472" t="str">
        <f ca="1">IFERROR(__xludf.DUMMYFUNCTION("""COMPUTED_VALUE"""),"")</f>
        <v/>
      </c>
      <c r="C143" s="472" t="str">
        <f ca="1">IFERROR(__xludf.DUMMYFUNCTION("""COMPUTED_VALUE"""),"")</f>
        <v/>
      </c>
      <c r="D143" s="472" t="str">
        <f ca="1">IFERROR(__xludf.DUMMYFUNCTION("""COMPUTED_VALUE"""),"")</f>
        <v/>
      </c>
      <c r="E143" s="472" t="str">
        <f ca="1">IFERROR(__xludf.DUMMYFUNCTION("""COMPUTED_VALUE"""),"")</f>
        <v/>
      </c>
      <c r="F143" s="472" t="str">
        <f ca="1">IFERROR(__xludf.DUMMYFUNCTION("""COMPUTED_VALUE"""),"")</f>
        <v/>
      </c>
      <c r="G143" s="472" t="str">
        <f ca="1">IFERROR(__xludf.DUMMYFUNCTION("""COMPUTED_VALUE"""),"")</f>
        <v/>
      </c>
      <c r="H143" s="472" t="str">
        <f ca="1">IFERROR(__xludf.DUMMYFUNCTION("""COMPUTED_VALUE"""),"")</f>
        <v/>
      </c>
      <c r="I143" s="472" t="str">
        <f ca="1">IFERROR(__xludf.DUMMYFUNCTION("""COMPUTED_VALUE"""),"")</f>
        <v/>
      </c>
      <c r="J143" s="472" t="str">
        <f ca="1">IFERROR(__xludf.DUMMYFUNCTION("""COMPUTED_VALUE"""),"")</f>
        <v/>
      </c>
    </row>
    <row r="144" spans="1:10" ht="15.75">
      <c r="A144" s="472" t="str">
        <f ca="1">IFERROR(__xludf.DUMMYFUNCTION("""COMPUTED_VALUE"""),"")</f>
        <v/>
      </c>
      <c r="B144" s="472" t="str">
        <f ca="1">IFERROR(__xludf.DUMMYFUNCTION("""COMPUTED_VALUE"""),"")</f>
        <v/>
      </c>
      <c r="C144" s="472" t="str">
        <f ca="1">IFERROR(__xludf.DUMMYFUNCTION("""COMPUTED_VALUE"""),"")</f>
        <v/>
      </c>
      <c r="D144" s="472" t="str">
        <f ca="1">IFERROR(__xludf.DUMMYFUNCTION("""COMPUTED_VALUE"""),"")</f>
        <v/>
      </c>
      <c r="E144" s="472" t="str">
        <f ca="1">IFERROR(__xludf.DUMMYFUNCTION("""COMPUTED_VALUE"""),"")</f>
        <v/>
      </c>
      <c r="F144" s="472" t="str">
        <f ca="1">IFERROR(__xludf.DUMMYFUNCTION("""COMPUTED_VALUE"""),"")</f>
        <v/>
      </c>
      <c r="G144" s="472" t="str">
        <f ca="1">IFERROR(__xludf.DUMMYFUNCTION("""COMPUTED_VALUE"""),"")</f>
        <v/>
      </c>
      <c r="H144" s="472" t="str">
        <f ca="1">IFERROR(__xludf.DUMMYFUNCTION("""COMPUTED_VALUE"""),"")</f>
        <v/>
      </c>
      <c r="I144" s="472" t="str">
        <f ca="1">IFERROR(__xludf.DUMMYFUNCTION("""COMPUTED_VALUE"""),"")</f>
        <v/>
      </c>
      <c r="J144" s="472" t="str">
        <f ca="1">IFERROR(__xludf.DUMMYFUNCTION("""COMPUTED_VALUE"""),"")</f>
        <v/>
      </c>
    </row>
    <row r="145" spans="1:10" ht="15.75">
      <c r="A145" s="472" t="str">
        <f ca="1">IFERROR(__xludf.DUMMYFUNCTION("""COMPUTED_VALUE"""),"")</f>
        <v/>
      </c>
      <c r="B145" s="472" t="str">
        <f ca="1">IFERROR(__xludf.DUMMYFUNCTION("""COMPUTED_VALUE"""),"")</f>
        <v/>
      </c>
      <c r="C145" s="472" t="str">
        <f ca="1">IFERROR(__xludf.DUMMYFUNCTION("""COMPUTED_VALUE"""),"")</f>
        <v/>
      </c>
      <c r="D145" s="472" t="str">
        <f ca="1">IFERROR(__xludf.DUMMYFUNCTION("""COMPUTED_VALUE"""),"")</f>
        <v/>
      </c>
      <c r="E145" s="472" t="str">
        <f ca="1">IFERROR(__xludf.DUMMYFUNCTION("""COMPUTED_VALUE"""),"")</f>
        <v/>
      </c>
      <c r="F145" s="472" t="str">
        <f ca="1">IFERROR(__xludf.DUMMYFUNCTION("""COMPUTED_VALUE"""),"")</f>
        <v/>
      </c>
      <c r="G145" s="472" t="str">
        <f ca="1">IFERROR(__xludf.DUMMYFUNCTION("""COMPUTED_VALUE"""),"")</f>
        <v/>
      </c>
      <c r="H145" s="472" t="str">
        <f ca="1">IFERROR(__xludf.DUMMYFUNCTION("""COMPUTED_VALUE"""),"")</f>
        <v/>
      </c>
      <c r="I145" s="472" t="str">
        <f ca="1">IFERROR(__xludf.DUMMYFUNCTION("""COMPUTED_VALUE"""),"")</f>
        <v/>
      </c>
      <c r="J145" s="472" t="str">
        <f ca="1">IFERROR(__xludf.DUMMYFUNCTION("""COMPUTED_VALUE"""),"")</f>
        <v/>
      </c>
    </row>
    <row r="146" spans="1:10" ht="15.75">
      <c r="A146" s="472" t="str">
        <f ca="1">IFERROR(__xludf.DUMMYFUNCTION("""COMPUTED_VALUE"""),"")</f>
        <v/>
      </c>
      <c r="B146" s="472" t="str">
        <f ca="1">IFERROR(__xludf.DUMMYFUNCTION("""COMPUTED_VALUE"""),"")</f>
        <v/>
      </c>
      <c r="C146" s="472" t="str">
        <f ca="1">IFERROR(__xludf.DUMMYFUNCTION("""COMPUTED_VALUE"""),"")</f>
        <v/>
      </c>
      <c r="D146" s="472" t="str">
        <f ca="1">IFERROR(__xludf.DUMMYFUNCTION("""COMPUTED_VALUE"""),"")</f>
        <v/>
      </c>
      <c r="E146" s="472" t="str">
        <f ca="1">IFERROR(__xludf.DUMMYFUNCTION("""COMPUTED_VALUE"""),"")</f>
        <v/>
      </c>
      <c r="F146" s="472" t="str">
        <f ca="1">IFERROR(__xludf.DUMMYFUNCTION("""COMPUTED_VALUE"""),"")</f>
        <v/>
      </c>
      <c r="G146" s="472" t="str">
        <f ca="1">IFERROR(__xludf.DUMMYFUNCTION("""COMPUTED_VALUE"""),"")</f>
        <v/>
      </c>
      <c r="H146" s="472" t="str">
        <f ca="1">IFERROR(__xludf.DUMMYFUNCTION("""COMPUTED_VALUE"""),"")</f>
        <v/>
      </c>
      <c r="I146" s="472" t="str">
        <f ca="1">IFERROR(__xludf.DUMMYFUNCTION("""COMPUTED_VALUE"""),"")</f>
        <v/>
      </c>
      <c r="J146" s="472" t="str">
        <f ca="1">IFERROR(__xludf.DUMMYFUNCTION("""COMPUTED_VALUE"""),"")</f>
        <v/>
      </c>
    </row>
    <row r="147" spans="1:10" ht="15.75">
      <c r="A147" s="472" t="str">
        <f ca="1">IFERROR(__xludf.DUMMYFUNCTION("""COMPUTED_VALUE"""),"")</f>
        <v/>
      </c>
      <c r="B147" s="472" t="str">
        <f ca="1">IFERROR(__xludf.DUMMYFUNCTION("""COMPUTED_VALUE"""),"")</f>
        <v/>
      </c>
      <c r="C147" s="472" t="str">
        <f ca="1">IFERROR(__xludf.DUMMYFUNCTION("""COMPUTED_VALUE"""),"")</f>
        <v/>
      </c>
      <c r="D147" s="472" t="str">
        <f ca="1">IFERROR(__xludf.DUMMYFUNCTION("""COMPUTED_VALUE"""),"")</f>
        <v/>
      </c>
      <c r="E147" s="472" t="str">
        <f ca="1">IFERROR(__xludf.DUMMYFUNCTION("""COMPUTED_VALUE"""),"")</f>
        <v/>
      </c>
      <c r="F147" s="472" t="str">
        <f ca="1">IFERROR(__xludf.DUMMYFUNCTION("""COMPUTED_VALUE"""),"")</f>
        <v/>
      </c>
      <c r="G147" s="472" t="str">
        <f ca="1">IFERROR(__xludf.DUMMYFUNCTION("""COMPUTED_VALUE"""),"")</f>
        <v/>
      </c>
      <c r="H147" s="472" t="str">
        <f ca="1">IFERROR(__xludf.DUMMYFUNCTION("""COMPUTED_VALUE"""),"")</f>
        <v/>
      </c>
      <c r="I147" s="472" t="str">
        <f ca="1">IFERROR(__xludf.DUMMYFUNCTION("""COMPUTED_VALUE"""),"")</f>
        <v/>
      </c>
      <c r="J147" s="472" t="str">
        <f ca="1">IFERROR(__xludf.DUMMYFUNCTION("""COMPUTED_VALUE"""),"")</f>
        <v/>
      </c>
    </row>
    <row r="148" spans="1:10" ht="15.75">
      <c r="A148" s="472" t="str">
        <f ca="1">IFERROR(__xludf.DUMMYFUNCTION("""COMPUTED_VALUE"""),"")</f>
        <v/>
      </c>
      <c r="B148" s="472" t="str">
        <f ca="1">IFERROR(__xludf.DUMMYFUNCTION("""COMPUTED_VALUE"""),"")</f>
        <v/>
      </c>
      <c r="C148" s="472" t="str">
        <f ca="1">IFERROR(__xludf.DUMMYFUNCTION("""COMPUTED_VALUE"""),"")</f>
        <v/>
      </c>
      <c r="D148" s="472" t="str">
        <f ca="1">IFERROR(__xludf.DUMMYFUNCTION("""COMPUTED_VALUE"""),"")</f>
        <v/>
      </c>
      <c r="E148" s="472" t="str">
        <f ca="1">IFERROR(__xludf.DUMMYFUNCTION("""COMPUTED_VALUE"""),"")</f>
        <v/>
      </c>
      <c r="F148" s="472" t="str">
        <f ca="1">IFERROR(__xludf.DUMMYFUNCTION("""COMPUTED_VALUE"""),"")</f>
        <v/>
      </c>
      <c r="G148" s="472" t="str">
        <f ca="1">IFERROR(__xludf.DUMMYFUNCTION("""COMPUTED_VALUE"""),"")</f>
        <v/>
      </c>
      <c r="H148" s="472" t="str">
        <f ca="1">IFERROR(__xludf.DUMMYFUNCTION("""COMPUTED_VALUE"""),"")</f>
        <v/>
      </c>
      <c r="I148" s="472" t="str">
        <f ca="1">IFERROR(__xludf.DUMMYFUNCTION("""COMPUTED_VALUE"""),"")</f>
        <v/>
      </c>
      <c r="J148" s="472" t="str">
        <f ca="1">IFERROR(__xludf.DUMMYFUNCTION("""COMPUTED_VALUE"""),"")</f>
        <v/>
      </c>
    </row>
    <row r="149" spans="1:10" ht="15.75">
      <c r="A149" s="472" t="str">
        <f ca="1">IFERROR(__xludf.DUMMYFUNCTION("""COMPUTED_VALUE"""),"")</f>
        <v/>
      </c>
      <c r="B149" s="472" t="str">
        <f ca="1">IFERROR(__xludf.DUMMYFUNCTION("""COMPUTED_VALUE"""),"")</f>
        <v/>
      </c>
      <c r="C149" s="472" t="str">
        <f ca="1">IFERROR(__xludf.DUMMYFUNCTION("""COMPUTED_VALUE"""),"")</f>
        <v/>
      </c>
      <c r="D149" s="472" t="str">
        <f ca="1">IFERROR(__xludf.DUMMYFUNCTION("""COMPUTED_VALUE"""),"")</f>
        <v/>
      </c>
      <c r="E149" s="472" t="str">
        <f ca="1">IFERROR(__xludf.DUMMYFUNCTION("""COMPUTED_VALUE"""),"")</f>
        <v/>
      </c>
      <c r="F149" s="472" t="str">
        <f ca="1">IFERROR(__xludf.DUMMYFUNCTION("""COMPUTED_VALUE"""),"")</f>
        <v/>
      </c>
      <c r="G149" s="472" t="str">
        <f ca="1">IFERROR(__xludf.DUMMYFUNCTION("""COMPUTED_VALUE"""),"")</f>
        <v/>
      </c>
      <c r="H149" s="472" t="str">
        <f ca="1">IFERROR(__xludf.DUMMYFUNCTION("""COMPUTED_VALUE"""),"")</f>
        <v/>
      </c>
      <c r="I149" s="472" t="str">
        <f ca="1">IFERROR(__xludf.DUMMYFUNCTION("""COMPUTED_VALUE"""),"")</f>
        <v/>
      </c>
      <c r="J149" s="472" t="str">
        <f ca="1">IFERROR(__xludf.DUMMYFUNCTION("""COMPUTED_VALUE"""),"")</f>
        <v/>
      </c>
    </row>
    <row r="150" spans="1:10" ht="15.75">
      <c r="A150" s="472" t="str">
        <f ca="1">IFERROR(__xludf.DUMMYFUNCTION("""COMPUTED_VALUE"""),"")</f>
        <v/>
      </c>
      <c r="B150" s="472" t="str">
        <f ca="1">IFERROR(__xludf.DUMMYFUNCTION("""COMPUTED_VALUE"""),"")</f>
        <v/>
      </c>
      <c r="C150" s="472" t="str">
        <f ca="1">IFERROR(__xludf.DUMMYFUNCTION("""COMPUTED_VALUE"""),"")</f>
        <v/>
      </c>
      <c r="D150" s="472" t="str">
        <f ca="1">IFERROR(__xludf.DUMMYFUNCTION("""COMPUTED_VALUE"""),"")</f>
        <v/>
      </c>
      <c r="E150" s="472" t="str">
        <f ca="1">IFERROR(__xludf.DUMMYFUNCTION("""COMPUTED_VALUE"""),"")</f>
        <v/>
      </c>
      <c r="F150" s="472" t="str">
        <f ca="1">IFERROR(__xludf.DUMMYFUNCTION("""COMPUTED_VALUE"""),"")</f>
        <v/>
      </c>
      <c r="G150" s="472" t="str">
        <f ca="1">IFERROR(__xludf.DUMMYFUNCTION("""COMPUTED_VALUE"""),"")</f>
        <v/>
      </c>
      <c r="H150" s="472" t="str">
        <f ca="1">IFERROR(__xludf.DUMMYFUNCTION("""COMPUTED_VALUE"""),"")</f>
        <v/>
      </c>
      <c r="I150" s="472" t="str">
        <f ca="1">IFERROR(__xludf.DUMMYFUNCTION("""COMPUTED_VALUE"""),"")</f>
        <v/>
      </c>
      <c r="J150" s="472" t="str">
        <f ca="1">IFERROR(__xludf.DUMMYFUNCTION("""COMPUTED_VALUE"""),"")</f>
        <v/>
      </c>
    </row>
    <row r="151" spans="1:10" ht="15.75">
      <c r="A151" s="472" t="str">
        <f ca="1">IFERROR(__xludf.DUMMYFUNCTION("""COMPUTED_VALUE"""),"")</f>
        <v/>
      </c>
      <c r="B151" s="472" t="str">
        <f ca="1">IFERROR(__xludf.DUMMYFUNCTION("""COMPUTED_VALUE"""),"")</f>
        <v/>
      </c>
      <c r="C151" s="472" t="str">
        <f ca="1">IFERROR(__xludf.DUMMYFUNCTION("""COMPUTED_VALUE"""),"")</f>
        <v/>
      </c>
      <c r="D151" s="472" t="str">
        <f ca="1">IFERROR(__xludf.DUMMYFUNCTION("""COMPUTED_VALUE"""),"")</f>
        <v/>
      </c>
      <c r="E151" s="472" t="str">
        <f ca="1">IFERROR(__xludf.DUMMYFUNCTION("""COMPUTED_VALUE"""),"")</f>
        <v/>
      </c>
      <c r="F151" s="472" t="str">
        <f ca="1">IFERROR(__xludf.DUMMYFUNCTION("""COMPUTED_VALUE"""),"")</f>
        <v/>
      </c>
      <c r="G151" s="472" t="str">
        <f ca="1">IFERROR(__xludf.DUMMYFUNCTION("""COMPUTED_VALUE"""),"")</f>
        <v/>
      </c>
      <c r="H151" s="472" t="str">
        <f ca="1">IFERROR(__xludf.DUMMYFUNCTION("""COMPUTED_VALUE"""),"")</f>
        <v/>
      </c>
      <c r="I151" s="472" t="str">
        <f ca="1">IFERROR(__xludf.DUMMYFUNCTION("""COMPUTED_VALUE"""),"")</f>
        <v/>
      </c>
      <c r="J151" s="472" t="str">
        <f ca="1">IFERROR(__xludf.DUMMYFUNCTION("""COMPUTED_VALUE"""),"")</f>
        <v/>
      </c>
    </row>
    <row r="152" spans="1:10" ht="15.75">
      <c r="A152" s="472" t="str">
        <f ca="1">IFERROR(__xludf.DUMMYFUNCTION("""COMPUTED_VALUE"""),"")</f>
        <v/>
      </c>
      <c r="B152" s="472" t="str">
        <f ca="1">IFERROR(__xludf.DUMMYFUNCTION("""COMPUTED_VALUE"""),"")</f>
        <v/>
      </c>
      <c r="C152" s="472" t="str">
        <f ca="1">IFERROR(__xludf.DUMMYFUNCTION("""COMPUTED_VALUE"""),"")</f>
        <v/>
      </c>
      <c r="D152" s="472" t="str">
        <f ca="1">IFERROR(__xludf.DUMMYFUNCTION("""COMPUTED_VALUE"""),"")</f>
        <v/>
      </c>
      <c r="E152" s="472" t="str">
        <f ca="1">IFERROR(__xludf.DUMMYFUNCTION("""COMPUTED_VALUE"""),"")</f>
        <v/>
      </c>
      <c r="F152" s="472" t="str">
        <f ca="1">IFERROR(__xludf.DUMMYFUNCTION("""COMPUTED_VALUE"""),"")</f>
        <v/>
      </c>
      <c r="G152" s="472" t="str">
        <f ca="1">IFERROR(__xludf.DUMMYFUNCTION("""COMPUTED_VALUE"""),"")</f>
        <v/>
      </c>
      <c r="H152" s="472" t="str">
        <f ca="1">IFERROR(__xludf.DUMMYFUNCTION("""COMPUTED_VALUE"""),"")</f>
        <v/>
      </c>
      <c r="I152" s="472" t="str">
        <f ca="1">IFERROR(__xludf.DUMMYFUNCTION("""COMPUTED_VALUE"""),"")</f>
        <v/>
      </c>
      <c r="J152" s="472" t="str">
        <f ca="1">IFERROR(__xludf.DUMMYFUNCTION("""COMPUTED_VALUE"""),"")</f>
        <v/>
      </c>
    </row>
    <row r="153" spans="1:10" ht="15.75">
      <c r="A153" s="472" t="str">
        <f ca="1">IFERROR(__xludf.DUMMYFUNCTION("""COMPUTED_VALUE"""),"")</f>
        <v/>
      </c>
      <c r="B153" s="472" t="str">
        <f ca="1">IFERROR(__xludf.DUMMYFUNCTION("""COMPUTED_VALUE"""),"")</f>
        <v/>
      </c>
      <c r="C153" s="472" t="str">
        <f ca="1">IFERROR(__xludf.DUMMYFUNCTION("""COMPUTED_VALUE"""),"")</f>
        <v/>
      </c>
      <c r="D153" s="472" t="str">
        <f ca="1">IFERROR(__xludf.DUMMYFUNCTION("""COMPUTED_VALUE"""),"")</f>
        <v/>
      </c>
      <c r="E153" s="472" t="str">
        <f ca="1">IFERROR(__xludf.DUMMYFUNCTION("""COMPUTED_VALUE"""),"")</f>
        <v/>
      </c>
      <c r="F153" s="472" t="str">
        <f ca="1">IFERROR(__xludf.DUMMYFUNCTION("""COMPUTED_VALUE"""),"")</f>
        <v/>
      </c>
      <c r="G153" s="472" t="str">
        <f ca="1">IFERROR(__xludf.DUMMYFUNCTION("""COMPUTED_VALUE"""),"")</f>
        <v/>
      </c>
      <c r="H153" s="472" t="str">
        <f ca="1">IFERROR(__xludf.DUMMYFUNCTION("""COMPUTED_VALUE"""),"")</f>
        <v/>
      </c>
      <c r="I153" s="472" t="str">
        <f ca="1">IFERROR(__xludf.DUMMYFUNCTION("""COMPUTED_VALUE"""),"")</f>
        <v/>
      </c>
      <c r="J153" s="472" t="str">
        <f ca="1">IFERROR(__xludf.DUMMYFUNCTION("""COMPUTED_VALUE"""),"")</f>
        <v/>
      </c>
    </row>
    <row r="154" spans="1:10" ht="15.75">
      <c r="A154" s="472" t="str">
        <f ca="1">IFERROR(__xludf.DUMMYFUNCTION("""COMPUTED_VALUE"""),"")</f>
        <v/>
      </c>
      <c r="B154" s="472" t="str">
        <f ca="1">IFERROR(__xludf.DUMMYFUNCTION("""COMPUTED_VALUE"""),"")</f>
        <v/>
      </c>
      <c r="C154" s="472" t="str">
        <f ca="1">IFERROR(__xludf.DUMMYFUNCTION("""COMPUTED_VALUE"""),"")</f>
        <v/>
      </c>
      <c r="D154" s="472" t="str">
        <f ca="1">IFERROR(__xludf.DUMMYFUNCTION("""COMPUTED_VALUE"""),"")</f>
        <v/>
      </c>
      <c r="E154" s="472" t="str">
        <f ca="1">IFERROR(__xludf.DUMMYFUNCTION("""COMPUTED_VALUE"""),"")</f>
        <v/>
      </c>
      <c r="F154" s="472" t="str">
        <f ca="1">IFERROR(__xludf.DUMMYFUNCTION("""COMPUTED_VALUE"""),"")</f>
        <v/>
      </c>
      <c r="G154" s="472" t="str">
        <f ca="1">IFERROR(__xludf.DUMMYFUNCTION("""COMPUTED_VALUE"""),"")</f>
        <v/>
      </c>
      <c r="H154" s="472" t="str">
        <f ca="1">IFERROR(__xludf.DUMMYFUNCTION("""COMPUTED_VALUE"""),"")</f>
        <v/>
      </c>
      <c r="I154" s="472" t="str">
        <f ca="1">IFERROR(__xludf.DUMMYFUNCTION("""COMPUTED_VALUE"""),"")</f>
        <v/>
      </c>
      <c r="J154" s="472" t="str">
        <f ca="1">IFERROR(__xludf.DUMMYFUNCTION("""COMPUTED_VALUE"""),"")</f>
        <v/>
      </c>
    </row>
    <row r="155" spans="1:10" ht="15.75">
      <c r="A155" s="472" t="str">
        <f ca="1">IFERROR(__xludf.DUMMYFUNCTION("""COMPUTED_VALUE"""),"")</f>
        <v/>
      </c>
      <c r="B155" s="472" t="str">
        <f ca="1">IFERROR(__xludf.DUMMYFUNCTION("""COMPUTED_VALUE"""),"")</f>
        <v/>
      </c>
      <c r="C155" s="472" t="str">
        <f ca="1">IFERROR(__xludf.DUMMYFUNCTION("""COMPUTED_VALUE"""),"")</f>
        <v/>
      </c>
      <c r="D155" s="472" t="str">
        <f ca="1">IFERROR(__xludf.DUMMYFUNCTION("""COMPUTED_VALUE"""),"")</f>
        <v/>
      </c>
      <c r="E155" s="472" t="str">
        <f ca="1">IFERROR(__xludf.DUMMYFUNCTION("""COMPUTED_VALUE"""),"")</f>
        <v/>
      </c>
      <c r="F155" s="472" t="str">
        <f ca="1">IFERROR(__xludf.DUMMYFUNCTION("""COMPUTED_VALUE"""),"")</f>
        <v/>
      </c>
      <c r="G155" s="472" t="str">
        <f ca="1">IFERROR(__xludf.DUMMYFUNCTION("""COMPUTED_VALUE"""),"")</f>
        <v/>
      </c>
      <c r="H155" s="472" t="str">
        <f ca="1">IFERROR(__xludf.DUMMYFUNCTION("""COMPUTED_VALUE"""),"")</f>
        <v/>
      </c>
      <c r="I155" s="472" t="str">
        <f ca="1">IFERROR(__xludf.DUMMYFUNCTION("""COMPUTED_VALUE"""),"")</f>
        <v/>
      </c>
      <c r="J155" s="472" t="str">
        <f ca="1">IFERROR(__xludf.DUMMYFUNCTION("""COMPUTED_VALUE"""),"")</f>
        <v/>
      </c>
    </row>
    <row r="156" spans="1:10" ht="15.75">
      <c r="A156" s="472" t="str">
        <f ca="1">IFERROR(__xludf.DUMMYFUNCTION("""COMPUTED_VALUE"""),"")</f>
        <v/>
      </c>
      <c r="B156" s="472" t="str">
        <f ca="1">IFERROR(__xludf.DUMMYFUNCTION("""COMPUTED_VALUE"""),"")</f>
        <v/>
      </c>
      <c r="C156" s="472" t="str">
        <f ca="1">IFERROR(__xludf.DUMMYFUNCTION("""COMPUTED_VALUE"""),"")</f>
        <v/>
      </c>
      <c r="D156" s="472" t="str">
        <f ca="1">IFERROR(__xludf.DUMMYFUNCTION("""COMPUTED_VALUE"""),"")</f>
        <v/>
      </c>
      <c r="E156" s="472" t="str">
        <f ca="1">IFERROR(__xludf.DUMMYFUNCTION("""COMPUTED_VALUE"""),"")</f>
        <v/>
      </c>
      <c r="F156" s="472" t="str">
        <f ca="1">IFERROR(__xludf.DUMMYFUNCTION("""COMPUTED_VALUE"""),"")</f>
        <v/>
      </c>
      <c r="G156" s="472" t="str">
        <f ca="1">IFERROR(__xludf.DUMMYFUNCTION("""COMPUTED_VALUE"""),"")</f>
        <v/>
      </c>
      <c r="H156" s="472" t="str">
        <f ca="1">IFERROR(__xludf.DUMMYFUNCTION("""COMPUTED_VALUE"""),"")</f>
        <v/>
      </c>
      <c r="I156" s="472" t="str">
        <f ca="1">IFERROR(__xludf.DUMMYFUNCTION("""COMPUTED_VALUE"""),"")</f>
        <v/>
      </c>
      <c r="J156" s="472" t="str">
        <f ca="1">IFERROR(__xludf.DUMMYFUNCTION("""COMPUTED_VALUE"""),"")</f>
        <v/>
      </c>
    </row>
    <row r="157" spans="1:10" ht="15.75">
      <c r="A157" s="472" t="str">
        <f ca="1">IFERROR(__xludf.DUMMYFUNCTION("""COMPUTED_VALUE"""),"")</f>
        <v/>
      </c>
      <c r="B157" s="472" t="str">
        <f ca="1">IFERROR(__xludf.DUMMYFUNCTION("""COMPUTED_VALUE"""),"")</f>
        <v/>
      </c>
      <c r="C157" s="472" t="str">
        <f ca="1">IFERROR(__xludf.DUMMYFUNCTION("""COMPUTED_VALUE"""),"")</f>
        <v/>
      </c>
      <c r="D157" s="472" t="str">
        <f ca="1">IFERROR(__xludf.DUMMYFUNCTION("""COMPUTED_VALUE"""),"")</f>
        <v/>
      </c>
      <c r="E157" s="472" t="str">
        <f ca="1">IFERROR(__xludf.DUMMYFUNCTION("""COMPUTED_VALUE"""),"")</f>
        <v/>
      </c>
      <c r="F157" s="472" t="str">
        <f ca="1">IFERROR(__xludf.DUMMYFUNCTION("""COMPUTED_VALUE"""),"")</f>
        <v/>
      </c>
      <c r="G157" s="472" t="str">
        <f ca="1">IFERROR(__xludf.DUMMYFUNCTION("""COMPUTED_VALUE"""),"")</f>
        <v/>
      </c>
      <c r="H157" s="472" t="str">
        <f ca="1">IFERROR(__xludf.DUMMYFUNCTION("""COMPUTED_VALUE"""),"")</f>
        <v/>
      </c>
      <c r="I157" s="472" t="str">
        <f ca="1">IFERROR(__xludf.DUMMYFUNCTION("""COMPUTED_VALUE"""),"")</f>
        <v/>
      </c>
      <c r="J157" s="472" t="str">
        <f ca="1">IFERROR(__xludf.DUMMYFUNCTION("""COMPUTED_VALUE"""),"")</f>
        <v/>
      </c>
    </row>
    <row r="158" spans="1:10" ht="15.75">
      <c r="A158" s="472" t="str">
        <f ca="1">IFERROR(__xludf.DUMMYFUNCTION("""COMPUTED_VALUE"""),"")</f>
        <v/>
      </c>
      <c r="B158" s="472" t="str">
        <f ca="1">IFERROR(__xludf.DUMMYFUNCTION("""COMPUTED_VALUE"""),"")</f>
        <v/>
      </c>
      <c r="C158" s="472" t="str">
        <f ca="1">IFERROR(__xludf.DUMMYFUNCTION("""COMPUTED_VALUE"""),"")</f>
        <v/>
      </c>
      <c r="D158" s="472" t="str">
        <f ca="1">IFERROR(__xludf.DUMMYFUNCTION("""COMPUTED_VALUE"""),"")</f>
        <v/>
      </c>
      <c r="E158" s="472" t="str">
        <f ca="1">IFERROR(__xludf.DUMMYFUNCTION("""COMPUTED_VALUE"""),"")</f>
        <v/>
      </c>
      <c r="F158" s="472" t="str">
        <f ca="1">IFERROR(__xludf.DUMMYFUNCTION("""COMPUTED_VALUE"""),"")</f>
        <v/>
      </c>
      <c r="G158" s="472" t="str">
        <f ca="1">IFERROR(__xludf.DUMMYFUNCTION("""COMPUTED_VALUE"""),"")</f>
        <v/>
      </c>
      <c r="H158" s="472" t="str">
        <f ca="1">IFERROR(__xludf.DUMMYFUNCTION("""COMPUTED_VALUE"""),"")</f>
        <v/>
      </c>
      <c r="I158" s="472" t="str">
        <f ca="1">IFERROR(__xludf.DUMMYFUNCTION("""COMPUTED_VALUE"""),"")</f>
        <v/>
      </c>
      <c r="J158" s="472" t="str">
        <f ca="1">IFERROR(__xludf.DUMMYFUNCTION("""COMPUTED_VALUE"""),"")</f>
        <v/>
      </c>
    </row>
    <row r="159" spans="1:10" ht="15.75">
      <c r="A159" s="472" t="str">
        <f ca="1">IFERROR(__xludf.DUMMYFUNCTION("""COMPUTED_VALUE"""),"")</f>
        <v/>
      </c>
      <c r="B159" s="472" t="str">
        <f ca="1">IFERROR(__xludf.DUMMYFUNCTION("""COMPUTED_VALUE"""),"")</f>
        <v/>
      </c>
      <c r="C159" s="472" t="str">
        <f ca="1">IFERROR(__xludf.DUMMYFUNCTION("""COMPUTED_VALUE"""),"")</f>
        <v/>
      </c>
      <c r="D159" s="472" t="str">
        <f ca="1">IFERROR(__xludf.DUMMYFUNCTION("""COMPUTED_VALUE"""),"")</f>
        <v/>
      </c>
      <c r="E159" s="472" t="str">
        <f ca="1">IFERROR(__xludf.DUMMYFUNCTION("""COMPUTED_VALUE"""),"")</f>
        <v/>
      </c>
      <c r="F159" s="472" t="str">
        <f ca="1">IFERROR(__xludf.DUMMYFUNCTION("""COMPUTED_VALUE"""),"")</f>
        <v/>
      </c>
      <c r="G159" s="472" t="str">
        <f ca="1">IFERROR(__xludf.DUMMYFUNCTION("""COMPUTED_VALUE"""),"")</f>
        <v/>
      </c>
      <c r="H159" s="472" t="str">
        <f ca="1">IFERROR(__xludf.DUMMYFUNCTION("""COMPUTED_VALUE"""),"")</f>
        <v/>
      </c>
      <c r="I159" s="472" t="str">
        <f ca="1">IFERROR(__xludf.DUMMYFUNCTION("""COMPUTED_VALUE"""),"")</f>
        <v/>
      </c>
      <c r="J159" s="472" t="str">
        <f ca="1">IFERROR(__xludf.DUMMYFUNCTION("""COMPUTED_VALUE"""),"")</f>
        <v/>
      </c>
    </row>
    <row r="160" spans="1:10" ht="15.75">
      <c r="A160" s="472" t="str">
        <f ca="1">IFERROR(__xludf.DUMMYFUNCTION("""COMPUTED_VALUE"""),"")</f>
        <v/>
      </c>
      <c r="B160" s="472" t="str">
        <f ca="1">IFERROR(__xludf.DUMMYFUNCTION("""COMPUTED_VALUE"""),"")</f>
        <v/>
      </c>
      <c r="C160" s="472" t="str">
        <f ca="1">IFERROR(__xludf.DUMMYFUNCTION("""COMPUTED_VALUE"""),"")</f>
        <v/>
      </c>
      <c r="D160" s="472" t="str">
        <f ca="1">IFERROR(__xludf.DUMMYFUNCTION("""COMPUTED_VALUE"""),"")</f>
        <v/>
      </c>
      <c r="E160" s="472" t="str">
        <f ca="1">IFERROR(__xludf.DUMMYFUNCTION("""COMPUTED_VALUE"""),"")</f>
        <v/>
      </c>
      <c r="F160" s="472" t="str">
        <f ca="1">IFERROR(__xludf.DUMMYFUNCTION("""COMPUTED_VALUE"""),"")</f>
        <v/>
      </c>
      <c r="G160" s="472" t="str">
        <f ca="1">IFERROR(__xludf.DUMMYFUNCTION("""COMPUTED_VALUE"""),"")</f>
        <v/>
      </c>
      <c r="H160" s="472" t="str">
        <f ca="1">IFERROR(__xludf.DUMMYFUNCTION("""COMPUTED_VALUE"""),"")</f>
        <v/>
      </c>
      <c r="I160" s="472" t="str">
        <f ca="1">IFERROR(__xludf.DUMMYFUNCTION("""COMPUTED_VALUE"""),"")</f>
        <v/>
      </c>
      <c r="J160" s="472" t="str">
        <f ca="1">IFERROR(__xludf.DUMMYFUNCTION("""COMPUTED_VALUE"""),"")</f>
        <v/>
      </c>
    </row>
    <row r="161" spans="1:10" ht="15.75">
      <c r="A161" s="472" t="str">
        <f ca="1">IFERROR(__xludf.DUMMYFUNCTION("""COMPUTED_VALUE"""),"")</f>
        <v/>
      </c>
      <c r="B161" s="472" t="str">
        <f ca="1">IFERROR(__xludf.DUMMYFUNCTION("""COMPUTED_VALUE"""),"")</f>
        <v/>
      </c>
      <c r="C161" s="472" t="str">
        <f ca="1">IFERROR(__xludf.DUMMYFUNCTION("""COMPUTED_VALUE"""),"")</f>
        <v/>
      </c>
      <c r="D161" s="472" t="str">
        <f ca="1">IFERROR(__xludf.DUMMYFUNCTION("""COMPUTED_VALUE"""),"")</f>
        <v/>
      </c>
      <c r="E161" s="472" t="str">
        <f ca="1">IFERROR(__xludf.DUMMYFUNCTION("""COMPUTED_VALUE"""),"")</f>
        <v/>
      </c>
      <c r="F161" s="472" t="str">
        <f ca="1">IFERROR(__xludf.DUMMYFUNCTION("""COMPUTED_VALUE"""),"")</f>
        <v/>
      </c>
      <c r="G161" s="472" t="str">
        <f ca="1">IFERROR(__xludf.DUMMYFUNCTION("""COMPUTED_VALUE"""),"")</f>
        <v/>
      </c>
      <c r="H161" s="472" t="str">
        <f ca="1">IFERROR(__xludf.DUMMYFUNCTION("""COMPUTED_VALUE"""),"")</f>
        <v/>
      </c>
      <c r="I161" s="472" t="str">
        <f ca="1">IFERROR(__xludf.DUMMYFUNCTION("""COMPUTED_VALUE"""),"")</f>
        <v/>
      </c>
      <c r="J161" s="472" t="str">
        <f ca="1">IFERROR(__xludf.DUMMYFUNCTION("""COMPUTED_VALUE"""),"")</f>
        <v/>
      </c>
    </row>
    <row r="162" spans="1:10" ht="15.75">
      <c r="A162" s="472" t="str">
        <f ca="1">IFERROR(__xludf.DUMMYFUNCTION("""COMPUTED_VALUE"""),"")</f>
        <v/>
      </c>
      <c r="B162" s="472" t="str">
        <f ca="1">IFERROR(__xludf.DUMMYFUNCTION("""COMPUTED_VALUE"""),"")</f>
        <v/>
      </c>
      <c r="C162" s="472" t="str">
        <f ca="1">IFERROR(__xludf.DUMMYFUNCTION("""COMPUTED_VALUE"""),"")</f>
        <v/>
      </c>
      <c r="D162" s="472" t="str">
        <f ca="1">IFERROR(__xludf.DUMMYFUNCTION("""COMPUTED_VALUE"""),"")</f>
        <v/>
      </c>
      <c r="E162" s="472" t="str">
        <f ca="1">IFERROR(__xludf.DUMMYFUNCTION("""COMPUTED_VALUE"""),"")</f>
        <v/>
      </c>
      <c r="F162" s="472" t="str">
        <f ca="1">IFERROR(__xludf.DUMMYFUNCTION("""COMPUTED_VALUE"""),"")</f>
        <v/>
      </c>
      <c r="G162" s="472" t="str">
        <f ca="1">IFERROR(__xludf.DUMMYFUNCTION("""COMPUTED_VALUE"""),"")</f>
        <v/>
      </c>
      <c r="H162" s="472" t="str">
        <f ca="1">IFERROR(__xludf.DUMMYFUNCTION("""COMPUTED_VALUE"""),"")</f>
        <v/>
      </c>
      <c r="I162" s="472" t="str">
        <f ca="1">IFERROR(__xludf.DUMMYFUNCTION("""COMPUTED_VALUE"""),"")</f>
        <v/>
      </c>
      <c r="J162" s="472" t="str">
        <f ca="1">IFERROR(__xludf.DUMMYFUNCTION("""COMPUTED_VALUE"""),"")</f>
        <v/>
      </c>
    </row>
    <row r="163" spans="1:10" ht="15.75">
      <c r="A163" s="472" t="str">
        <f ca="1">IFERROR(__xludf.DUMMYFUNCTION("""COMPUTED_VALUE"""),"")</f>
        <v/>
      </c>
      <c r="B163" s="472" t="str">
        <f ca="1">IFERROR(__xludf.DUMMYFUNCTION("""COMPUTED_VALUE"""),"")</f>
        <v/>
      </c>
      <c r="C163" s="472" t="str">
        <f ca="1">IFERROR(__xludf.DUMMYFUNCTION("""COMPUTED_VALUE"""),"")</f>
        <v/>
      </c>
      <c r="D163" s="472" t="str">
        <f ca="1">IFERROR(__xludf.DUMMYFUNCTION("""COMPUTED_VALUE"""),"")</f>
        <v/>
      </c>
      <c r="E163" s="472" t="str">
        <f ca="1">IFERROR(__xludf.DUMMYFUNCTION("""COMPUTED_VALUE"""),"")</f>
        <v/>
      </c>
      <c r="F163" s="472" t="str">
        <f ca="1">IFERROR(__xludf.DUMMYFUNCTION("""COMPUTED_VALUE"""),"")</f>
        <v/>
      </c>
      <c r="G163" s="472" t="str">
        <f ca="1">IFERROR(__xludf.DUMMYFUNCTION("""COMPUTED_VALUE"""),"")</f>
        <v/>
      </c>
      <c r="H163" s="472" t="str">
        <f ca="1">IFERROR(__xludf.DUMMYFUNCTION("""COMPUTED_VALUE"""),"")</f>
        <v/>
      </c>
      <c r="I163" s="472" t="str">
        <f ca="1">IFERROR(__xludf.DUMMYFUNCTION("""COMPUTED_VALUE"""),"")</f>
        <v/>
      </c>
      <c r="J163" s="472" t="str">
        <f ca="1">IFERROR(__xludf.DUMMYFUNCTION("""COMPUTED_VALUE"""),"")</f>
        <v/>
      </c>
    </row>
    <row r="164" spans="1:10" ht="15.75">
      <c r="A164" s="472" t="str">
        <f ca="1">IFERROR(__xludf.DUMMYFUNCTION("""COMPUTED_VALUE"""),"")</f>
        <v/>
      </c>
      <c r="B164" s="472" t="str">
        <f ca="1">IFERROR(__xludf.DUMMYFUNCTION("""COMPUTED_VALUE"""),"")</f>
        <v/>
      </c>
      <c r="C164" s="472" t="str">
        <f ca="1">IFERROR(__xludf.DUMMYFUNCTION("""COMPUTED_VALUE"""),"")</f>
        <v/>
      </c>
      <c r="D164" s="472" t="str">
        <f ca="1">IFERROR(__xludf.DUMMYFUNCTION("""COMPUTED_VALUE"""),"")</f>
        <v/>
      </c>
      <c r="E164" s="472" t="str">
        <f ca="1">IFERROR(__xludf.DUMMYFUNCTION("""COMPUTED_VALUE"""),"")</f>
        <v/>
      </c>
      <c r="F164" s="472" t="str">
        <f ca="1">IFERROR(__xludf.DUMMYFUNCTION("""COMPUTED_VALUE"""),"")</f>
        <v/>
      </c>
      <c r="G164" s="472" t="str">
        <f ca="1">IFERROR(__xludf.DUMMYFUNCTION("""COMPUTED_VALUE"""),"")</f>
        <v/>
      </c>
      <c r="H164" s="472" t="str">
        <f ca="1">IFERROR(__xludf.DUMMYFUNCTION("""COMPUTED_VALUE"""),"")</f>
        <v/>
      </c>
      <c r="I164" s="472" t="str">
        <f ca="1">IFERROR(__xludf.DUMMYFUNCTION("""COMPUTED_VALUE"""),"")</f>
        <v/>
      </c>
      <c r="J164" s="472" t="str">
        <f ca="1">IFERROR(__xludf.DUMMYFUNCTION("""COMPUTED_VALUE"""),"")</f>
        <v/>
      </c>
    </row>
    <row r="165" spans="1:10" ht="15.75">
      <c r="A165" s="472" t="str">
        <f ca="1">IFERROR(__xludf.DUMMYFUNCTION("""COMPUTED_VALUE"""),"")</f>
        <v/>
      </c>
      <c r="B165" s="472" t="str">
        <f ca="1">IFERROR(__xludf.DUMMYFUNCTION("""COMPUTED_VALUE"""),"")</f>
        <v/>
      </c>
      <c r="C165" s="472" t="str">
        <f ca="1">IFERROR(__xludf.DUMMYFUNCTION("""COMPUTED_VALUE"""),"")</f>
        <v/>
      </c>
      <c r="D165" s="472" t="str">
        <f ca="1">IFERROR(__xludf.DUMMYFUNCTION("""COMPUTED_VALUE"""),"")</f>
        <v/>
      </c>
      <c r="E165" s="472" t="str">
        <f ca="1">IFERROR(__xludf.DUMMYFUNCTION("""COMPUTED_VALUE"""),"")</f>
        <v/>
      </c>
      <c r="F165" s="472" t="str">
        <f ca="1">IFERROR(__xludf.DUMMYFUNCTION("""COMPUTED_VALUE"""),"")</f>
        <v/>
      </c>
      <c r="G165" s="472" t="str">
        <f ca="1">IFERROR(__xludf.DUMMYFUNCTION("""COMPUTED_VALUE"""),"")</f>
        <v/>
      </c>
      <c r="H165" s="472" t="str">
        <f ca="1">IFERROR(__xludf.DUMMYFUNCTION("""COMPUTED_VALUE"""),"")</f>
        <v/>
      </c>
      <c r="I165" s="472" t="str">
        <f ca="1">IFERROR(__xludf.DUMMYFUNCTION("""COMPUTED_VALUE"""),"")</f>
        <v/>
      </c>
      <c r="J165" s="472" t="str">
        <f ca="1">IFERROR(__xludf.DUMMYFUNCTION("""COMPUTED_VALUE"""),"")</f>
        <v/>
      </c>
    </row>
    <row r="166" spans="1:10" ht="15.75">
      <c r="A166" s="472" t="str">
        <f ca="1">IFERROR(__xludf.DUMMYFUNCTION("""COMPUTED_VALUE"""),"")</f>
        <v/>
      </c>
      <c r="B166" s="472" t="str">
        <f ca="1">IFERROR(__xludf.DUMMYFUNCTION("""COMPUTED_VALUE"""),"")</f>
        <v/>
      </c>
      <c r="C166" s="472" t="str">
        <f ca="1">IFERROR(__xludf.DUMMYFUNCTION("""COMPUTED_VALUE"""),"")</f>
        <v/>
      </c>
      <c r="D166" s="472" t="str">
        <f ca="1">IFERROR(__xludf.DUMMYFUNCTION("""COMPUTED_VALUE"""),"")</f>
        <v/>
      </c>
      <c r="E166" s="472" t="str">
        <f ca="1">IFERROR(__xludf.DUMMYFUNCTION("""COMPUTED_VALUE"""),"")</f>
        <v/>
      </c>
      <c r="F166" s="472" t="str">
        <f ca="1">IFERROR(__xludf.DUMMYFUNCTION("""COMPUTED_VALUE"""),"")</f>
        <v/>
      </c>
      <c r="G166" s="472" t="str">
        <f ca="1">IFERROR(__xludf.DUMMYFUNCTION("""COMPUTED_VALUE"""),"")</f>
        <v/>
      </c>
      <c r="H166" s="472" t="str">
        <f ca="1">IFERROR(__xludf.DUMMYFUNCTION("""COMPUTED_VALUE"""),"")</f>
        <v/>
      </c>
      <c r="I166" s="472" t="str">
        <f ca="1">IFERROR(__xludf.DUMMYFUNCTION("""COMPUTED_VALUE"""),"")</f>
        <v/>
      </c>
      <c r="J166" s="472" t="str">
        <f ca="1">IFERROR(__xludf.DUMMYFUNCTION("""COMPUTED_VALUE"""),"")</f>
        <v/>
      </c>
    </row>
    <row r="167" spans="1:10" ht="15.75">
      <c r="A167" s="472" t="str">
        <f ca="1">IFERROR(__xludf.DUMMYFUNCTION("""COMPUTED_VALUE"""),"")</f>
        <v/>
      </c>
      <c r="B167" s="472" t="str">
        <f ca="1">IFERROR(__xludf.DUMMYFUNCTION("""COMPUTED_VALUE"""),"")</f>
        <v/>
      </c>
      <c r="C167" s="472" t="str">
        <f ca="1">IFERROR(__xludf.DUMMYFUNCTION("""COMPUTED_VALUE"""),"")</f>
        <v/>
      </c>
      <c r="D167" s="472" t="str">
        <f ca="1">IFERROR(__xludf.DUMMYFUNCTION("""COMPUTED_VALUE"""),"")</f>
        <v/>
      </c>
      <c r="E167" s="472" t="str">
        <f ca="1">IFERROR(__xludf.DUMMYFUNCTION("""COMPUTED_VALUE"""),"")</f>
        <v/>
      </c>
      <c r="F167" s="472" t="str">
        <f ca="1">IFERROR(__xludf.DUMMYFUNCTION("""COMPUTED_VALUE"""),"")</f>
        <v/>
      </c>
      <c r="G167" s="472" t="str">
        <f ca="1">IFERROR(__xludf.DUMMYFUNCTION("""COMPUTED_VALUE"""),"")</f>
        <v/>
      </c>
      <c r="H167" s="472" t="str">
        <f ca="1">IFERROR(__xludf.DUMMYFUNCTION("""COMPUTED_VALUE"""),"")</f>
        <v/>
      </c>
      <c r="I167" s="472" t="str">
        <f ca="1">IFERROR(__xludf.DUMMYFUNCTION("""COMPUTED_VALUE"""),"")</f>
        <v/>
      </c>
      <c r="J167" s="472" t="str">
        <f ca="1">IFERROR(__xludf.DUMMYFUNCTION("""COMPUTED_VALUE"""),"")</f>
        <v/>
      </c>
    </row>
    <row r="168" spans="1:10" ht="15.75">
      <c r="A168" s="472" t="str">
        <f ca="1">IFERROR(__xludf.DUMMYFUNCTION("""COMPUTED_VALUE"""),"")</f>
        <v/>
      </c>
      <c r="B168" s="472" t="str">
        <f ca="1">IFERROR(__xludf.DUMMYFUNCTION("""COMPUTED_VALUE"""),"")</f>
        <v/>
      </c>
      <c r="C168" s="472" t="str">
        <f ca="1">IFERROR(__xludf.DUMMYFUNCTION("""COMPUTED_VALUE"""),"")</f>
        <v/>
      </c>
      <c r="D168" s="472" t="str">
        <f ca="1">IFERROR(__xludf.DUMMYFUNCTION("""COMPUTED_VALUE"""),"")</f>
        <v/>
      </c>
      <c r="E168" s="472" t="str">
        <f ca="1">IFERROR(__xludf.DUMMYFUNCTION("""COMPUTED_VALUE"""),"")</f>
        <v/>
      </c>
      <c r="F168" s="472" t="str">
        <f ca="1">IFERROR(__xludf.DUMMYFUNCTION("""COMPUTED_VALUE"""),"")</f>
        <v/>
      </c>
      <c r="G168" s="472" t="str">
        <f ca="1">IFERROR(__xludf.DUMMYFUNCTION("""COMPUTED_VALUE"""),"")</f>
        <v/>
      </c>
      <c r="H168" s="472" t="str">
        <f ca="1">IFERROR(__xludf.DUMMYFUNCTION("""COMPUTED_VALUE"""),"")</f>
        <v/>
      </c>
      <c r="I168" s="472" t="str">
        <f ca="1">IFERROR(__xludf.DUMMYFUNCTION("""COMPUTED_VALUE"""),"")</f>
        <v/>
      </c>
      <c r="J168" s="472" t="str">
        <f ca="1">IFERROR(__xludf.DUMMYFUNCTION("""COMPUTED_VALUE"""),"")</f>
        <v/>
      </c>
    </row>
    <row r="169" spans="1:10" ht="15.75">
      <c r="A169" s="472" t="str">
        <f ca="1">IFERROR(__xludf.DUMMYFUNCTION("""COMPUTED_VALUE"""),"")</f>
        <v/>
      </c>
      <c r="B169" s="472" t="str">
        <f ca="1">IFERROR(__xludf.DUMMYFUNCTION("""COMPUTED_VALUE"""),"")</f>
        <v/>
      </c>
      <c r="C169" s="472" t="str">
        <f ca="1">IFERROR(__xludf.DUMMYFUNCTION("""COMPUTED_VALUE"""),"")</f>
        <v/>
      </c>
      <c r="D169" s="472" t="str">
        <f ca="1">IFERROR(__xludf.DUMMYFUNCTION("""COMPUTED_VALUE"""),"")</f>
        <v/>
      </c>
      <c r="E169" s="472" t="str">
        <f ca="1">IFERROR(__xludf.DUMMYFUNCTION("""COMPUTED_VALUE"""),"")</f>
        <v/>
      </c>
      <c r="F169" s="472" t="str">
        <f ca="1">IFERROR(__xludf.DUMMYFUNCTION("""COMPUTED_VALUE"""),"")</f>
        <v/>
      </c>
      <c r="G169" s="472" t="str">
        <f ca="1">IFERROR(__xludf.DUMMYFUNCTION("""COMPUTED_VALUE"""),"")</f>
        <v/>
      </c>
      <c r="H169" s="472" t="str">
        <f ca="1">IFERROR(__xludf.DUMMYFUNCTION("""COMPUTED_VALUE"""),"")</f>
        <v/>
      </c>
      <c r="I169" s="472" t="str">
        <f ca="1">IFERROR(__xludf.DUMMYFUNCTION("""COMPUTED_VALUE"""),"")</f>
        <v/>
      </c>
      <c r="J169" s="472" t="str">
        <f ca="1">IFERROR(__xludf.DUMMYFUNCTION("""COMPUTED_VALUE"""),"")</f>
        <v/>
      </c>
    </row>
    <row r="170" spans="1:10" ht="15.75">
      <c r="A170" s="472" t="str">
        <f ca="1">IFERROR(__xludf.DUMMYFUNCTION("""COMPUTED_VALUE"""),"")</f>
        <v/>
      </c>
      <c r="B170" s="472" t="str">
        <f ca="1">IFERROR(__xludf.DUMMYFUNCTION("""COMPUTED_VALUE"""),"")</f>
        <v/>
      </c>
      <c r="C170" s="472" t="str">
        <f ca="1">IFERROR(__xludf.DUMMYFUNCTION("""COMPUTED_VALUE"""),"")</f>
        <v/>
      </c>
      <c r="D170" s="472" t="str">
        <f ca="1">IFERROR(__xludf.DUMMYFUNCTION("""COMPUTED_VALUE"""),"")</f>
        <v/>
      </c>
      <c r="E170" s="472" t="str">
        <f ca="1">IFERROR(__xludf.DUMMYFUNCTION("""COMPUTED_VALUE"""),"")</f>
        <v/>
      </c>
      <c r="F170" s="472" t="str">
        <f ca="1">IFERROR(__xludf.DUMMYFUNCTION("""COMPUTED_VALUE"""),"")</f>
        <v/>
      </c>
      <c r="G170" s="472" t="str">
        <f ca="1">IFERROR(__xludf.DUMMYFUNCTION("""COMPUTED_VALUE"""),"")</f>
        <v/>
      </c>
      <c r="H170" s="472" t="str">
        <f ca="1">IFERROR(__xludf.DUMMYFUNCTION("""COMPUTED_VALUE"""),"")</f>
        <v/>
      </c>
      <c r="I170" s="472" t="str">
        <f ca="1">IFERROR(__xludf.DUMMYFUNCTION("""COMPUTED_VALUE"""),"")</f>
        <v/>
      </c>
      <c r="J170" s="472" t="str">
        <f ca="1">IFERROR(__xludf.DUMMYFUNCTION("""COMPUTED_VALUE"""),"")</f>
        <v/>
      </c>
    </row>
    <row r="171" spans="1:10" ht="15.75">
      <c r="A171" s="472" t="str">
        <f ca="1">IFERROR(__xludf.DUMMYFUNCTION("""COMPUTED_VALUE"""),"")</f>
        <v/>
      </c>
      <c r="B171" s="472" t="str">
        <f ca="1">IFERROR(__xludf.DUMMYFUNCTION("""COMPUTED_VALUE"""),"")</f>
        <v/>
      </c>
      <c r="C171" s="472" t="str">
        <f ca="1">IFERROR(__xludf.DUMMYFUNCTION("""COMPUTED_VALUE"""),"")</f>
        <v/>
      </c>
      <c r="D171" s="472" t="str">
        <f ca="1">IFERROR(__xludf.DUMMYFUNCTION("""COMPUTED_VALUE"""),"")</f>
        <v/>
      </c>
      <c r="E171" s="472" t="str">
        <f ca="1">IFERROR(__xludf.DUMMYFUNCTION("""COMPUTED_VALUE"""),"")</f>
        <v/>
      </c>
      <c r="F171" s="472" t="str">
        <f ca="1">IFERROR(__xludf.DUMMYFUNCTION("""COMPUTED_VALUE"""),"")</f>
        <v/>
      </c>
      <c r="G171" s="472" t="str">
        <f ca="1">IFERROR(__xludf.DUMMYFUNCTION("""COMPUTED_VALUE"""),"")</f>
        <v/>
      </c>
      <c r="H171" s="472" t="str">
        <f ca="1">IFERROR(__xludf.DUMMYFUNCTION("""COMPUTED_VALUE"""),"")</f>
        <v/>
      </c>
      <c r="I171" s="472" t="str">
        <f ca="1">IFERROR(__xludf.DUMMYFUNCTION("""COMPUTED_VALUE"""),"")</f>
        <v/>
      </c>
      <c r="J171" s="472" t="str">
        <f ca="1">IFERROR(__xludf.DUMMYFUNCTION("""COMPUTED_VALUE"""),"")</f>
        <v/>
      </c>
    </row>
    <row r="172" spans="1:10" ht="15.75">
      <c r="A172" s="472" t="str">
        <f ca="1">IFERROR(__xludf.DUMMYFUNCTION("""COMPUTED_VALUE"""),"")</f>
        <v/>
      </c>
      <c r="B172" s="472" t="str">
        <f ca="1">IFERROR(__xludf.DUMMYFUNCTION("""COMPUTED_VALUE"""),"")</f>
        <v/>
      </c>
      <c r="C172" s="472" t="str">
        <f ca="1">IFERROR(__xludf.DUMMYFUNCTION("""COMPUTED_VALUE"""),"")</f>
        <v/>
      </c>
      <c r="D172" s="472" t="str">
        <f ca="1">IFERROR(__xludf.DUMMYFUNCTION("""COMPUTED_VALUE"""),"")</f>
        <v/>
      </c>
      <c r="E172" s="472" t="str">
        <f ca="1">IFERROR(__xludf.DUMMYFUNCTION("""COMPUTED_VALUE"""),"")</f>
        <v/>
      </c>
      <c r="F172" s="472" t="str">
        <f ca="1">IFERROR(__xludf.DUMMYFUNCTION("""COMPUTED_VALUE"""),"")</f>
        <v/>
      </c>
      <c r="G172" s="472" t="str">
        <f ca="1">IFERROR(__xludf.DUMMYFUNCTION("""COMPUTED_VALUE"""),"")</f>
        <v/>
      </c>
      <c r="H172" s="472" t="str">
        <f ca="1">IFERROR(__xludf.DUMMYFUNCTION("""COMPUTED_VALUE"""),"")</f>
        <v/>
      </c>
      <c r="I172" s="472" t="str">
        <f ca="1">IFERROR(__xludf.DUMMYFUNCTION("""COMPUTED_VALUE"""),"")</f>
        <v/>
      </c>
      <c r="J172" s="472" t="str">
        <f ca="1">IFERROR(__xludf.DUMMYFUNCTION("""COMPUTED_VALUE"""),"")</f>
        <v/>
      </c>
    </row>
    <row r="173" spans="1:10" ht="15.75">
      <c r="A173" s="472" t="str">
        <f ca="1">IFERROR(__xludf.DUMMYFUNCTION("""COMPUTED_VALUE"""),"")</f>
        <v/>
      </c>
      <c r="B173" s="472" t="str">
        <f ca="1">IFERROR(__xludf.DUMMYFUNCTION("""COMPUTED_VALUE"""),"")</f>
        <v/>
      </c>
      <c r="C173" s="472" t="str">
        <f ca="1">IFERROR(__xludf.DUMMYFUNCTION("""COMPUTED_VALUE"""),"")</f>
        <v/>
      </c>
      <c r="D173" s="472" t="str">
        <f ca="1">IFERROR(__xludf.DUMMYFUNCTION("""COMPUTED_VALUE"""),"")</f>
        <v/>
      </c>
      <c r="E173" s="472" t="str">
        <f ca="1">IFERROR(__xludf.DUMMYFUNCTION("""COMPUTED_VALUE"""),"")</f>
        <v/>
      </c>
      <c r="F173" s="472" t="str">
        <f ca="1">IFERROR(__xludf.DUMMYFUNCTION("""COMPUTED_VALUE"""),"")</f>
        <v/>
      </c>
      <c r="G173" s="472" t="str">
        <f ca="1">IFERROR(__xludf.DUMMYFUNCTION("""COMPUTED_VALUE"""),"")</f>
        <v/>
      </c>
      <c r="H173" s="472" t="str">
        <f ca="1">IFERROR(__xludf.DUMMYFUNCTION("""COMPUTED_VALUE"""),"")</f>
        <v/>
      </c>
      <c r="I173" s="472" t="str">
        <f ca="1">IFERROR(__xludf.DUMMYFUNCTION("""COMPUTED_VALUE"""),"")</f>
        <v/>
      </c>
      <c r="J173" s="472" t="str">
        <f ca="1">IFERROR(__xludf.DUMMYFUNCTION("""COMPUTED_VALUE"""),"")</f>
        <v/>
      </c>
    </row>
    <row r="174" spans="1:10" ht="15.75">
      <c r="A174" s="472" t="str">
        <f ca="1">IFERROR(__xludf.DUMMYFUNCTION("""COMPUTED_VALUE"""),"")</f>
        <v/>
      </c>
      <c r="B174" s="472" t="str">
        <f ca="1">IFERROR(__xludf.DUMMYFUNCTION("""COMPUTED_VALUE"""),"")</f>
        <v/>
      </c>
      <c r="C174" s="472" t="str">
        <f ca="1">IFERROR(__xludf.DUMMYFUNCTION("""COMPUTED_VALUE"""),"")</f>
        <v/>
      </c>
      <c r="D174" s="472" t="str">
        <f ca="1">IFERROR(__xludf.DUMMYFUNCTION("""COMPUTED_VALUE"""),"")</f>
        <v/>
      </c>
      <c r="E174" s="472" t="str">
        <f ca="1">IFERROR(__xludf.DUMMYFUNCTION("""COMPUTED_VALUE"""),"")</f>
        <v/>
      </c>
      <c r="F174" s="472" t="str">
        <f ca="1">IFERROR(__xludf.DUMMYFUNCTION("""COMPUTED_VALUE"""),"")</f>
        <v/>
      </c>
      <c r="G174" s="472" t="str">
        <f ca="1">IFERROR(__xludf.DUMMYFUNCTION("""COMPUTED_VALUE"""),"")</f>
        <v/>
      </c>
      <c r="H174" s="472" t="str">
        <f ca="1">IFERROR(__xludf.DUMMYFUNCTION("""COMPUTED_VALUE"""),"")</f>
        <v/>
      </c>
      <c r="I174" s="472" t="str">
        <f ca="1">IFERROR(__xludf.DUMMYFUNCTION("""COMPUTED_VALUE"""),"")</f>
        <v/>
      </c>
      <c r="J174" s="472" t="str">
        <f ca="1">IFERROR(__xludf.DUMMYFUNCTION("""COMPUTED_VALUE"""),"")</f>
        <v/>
      </c>
    </row>
    <row r="175" spans="1:10" ht="15.75">
      <c r="A175" s="472" t="str">
        <f ca="1">IFERROR(__xludf.DUMMYFUNCTION("""COMPUTED_VALUE"""),"")</f>
        <v/>
      </c>
      <c r="B175" s="472" t="str">
        <f ca="1">IFERROR(__xludf.DUMMYFUNCTION("""COMPUTED_VALUE"""),"")</f>
        <v/>
      </c>
      <c r="C175" s="472" t="str">
        <f ca="1">IFERROR(__xludf.DUMMYFUNCTION("""COMPUTED_VALUE"""),"")</f>
        <v/>
      </c>
      <c r="D175" s="472" t="str">
        <f ca="1">IFERROR(__xludf.DUMMYFUNCTION("""COMPUTED_VALUE"""),"")</f>
        <v/>
      </c>
      <c r="E175" s="472" t="str">
        <f ca="1">IFERROR(__xludf.DUMMYFUNCTION("""COMPUTED_VALUE"""),"")</f>
        <v/>
      </c>
      <c r="F175" s="472" t="str">
        <f ca="1">IFERROR(__xludf.DUMMYFUNCTION("""COMPUTED_VALUE"""),"")</f>
        <v/>
      </c>
      <c r="G175" s="472" t="str">
        <f ca="1">IFERROR(__xludf.DUMMYFUNCTION("""COMPUTED_VALUE"""),"")</f>
        <v/>
      </c>
      <c r="H175" s="472" t="str">
        <f ca="1">IFERROR(__xludf.DUMMYFUNCTION("""COMPUTED_VALUE"""),"")</f>
        <v/>
      </c>
      <c r="I175" s="472" t="str">
        <f ca="1">IFERROR(__xludf.DUMMYFUNCTION("""COMPUTED_VALUE"""),"")</f>
        <v/>
      </c>
      <c r="J175" s="472" t="str">
        <f ca="1">IFERROR(__xludf.DUMMYFUNCTION("""COMPUTED_VALUE"""),"")</f>
        <v/>
      </c>
    </row>
    <row r="176" spans="1:10" ht="15.75">
      <c r="A176" s="472" t="str">
        <f ca="1">IFERROR(__xludf.DUMMYFUNCTION("""COMPUTED_VALUE"""),"")</f>
        <v/>
      </c>
      <c r="B176" s="472" t="str">
        <f ca="1">IFERROR(__xludf.DUMMYFUNCTION("""COMPUTED_VALUE"""),"")</f>
        <v/>
      </c>
      <c r="C176" s="472" t="str">
        <f ca="1">IFERROR(__xludf.DUMMYFUNCTION("""COMPUTED_VALUE"""),"")</f>
        <v/>
      </c>
      <c r="D176" s="472" t="str">
        <f ca="1">IFERROR(__xludf.DUMMYFUNCTION("""COMPUTED_VALUE"""),"")</f>
        <v/>
      </c>
      <c r="E176" s="472" t="str">
        <f ca="1">IFERROR(__xludf.DUMMYFUNCTION("""COMPUTED_VALUE"""),"")</f>
        <v/>
      </c>
      <c r="F176" s="472" t="str">
        <f ca="1">IFERROR(__xludf.DUMMYFUNCTION("""COMPUTED_VALUE"""),"")</f>
        <v/>
      </c>
      <c r="G176" s="472" t="str">
        <f ca="1">IFERROR(__xludf.DUMMYFUNCTION("""COMPUTED_VALUE"""),"")</f>
        <v/>
      </c>
      <c r="H176" s="472" t="str">
        <f ca="1">IFERROR(__xludf.DUMMYFUNCTION("""COMPUTED_VALUE"""),"")</f>
        <v/>
      </c>
      <c r="I176" s="472" t="str">
        <f ca="1">IFERROR(__xludf.DUMMYFUNCTION("""COMPUTED_VALUE"""),"")</f>
        <v/>
      </c>
      <c r="J176" s="472" t="str">
        <f ca="1">IFERROR(__xludf.DUMMYFUNCTION("""COMPUTED_VALUE"""),"")</f>
        <v/>
      </c>
    </row>
    <row r="177" spans="1:10" ht="15.75">
      <c r="A177" s="472" t="str">
        <f ca="1">IFERROR(__xludf.DUMMYFUNCTION("""COMPUTED_VALUE"""),"")</f>
        <v/>
      </c>
      <c r="B177" s="472" t="str">
        <f ca="1">IFERROR(__xludf.DUMMYFUNCTION("""COMPUTED_VALUE"""),"")</f>
        <v/>
      </c>
      <c r="C177" s="472" t="str">
        <f ca="1">IFERROR(__xludf.DUMMYFUNCTION("""COMPUTED_VALUE"""),"")</f>
        <v/>
      </c>
      <c r="D177" s="472" t="str">
        <f ca="1">IFERROR(__xludf.DUMMYFUNCTION("""COMPUTED_VALUE"""),"")</f>
        <v/>
      </c>
      <c r="E177" s="472" t="str">
        <f ca="1">IFERROR(__xludf.DUMMYFUNCTION("""COMPUTED_VALUE"""),"")</f>
        <v/>
      </c>
      <c r="F177" s="472" t="str">
        <f ca="1">IFERROR(__xludf.DUMMYFUNCTION("""COMPUTED_VALUE"""),"")</f>
        <v/>
      </c>
      <c r="G177" s="472" t="str">
        <f ca="1">IFERROR(__xludf.DUMMYFUNCTION("""COMPUTED_VALUE"""),"")</f>
        <v/>
      </c>
      <c r="H177" s="472" t="str">
        <f ca="1">IFERROR(__xludf.DUMMYFUNCTION("""COMPUTED_VALUE"""),"")</f>
        <v/>
      </c>
      <c r="I177" s="472" t="str">
        <f ca="1">IFERROR(__xludf.DUMMYFUNCTION("""COMPUTED_VALUE"""),"")</f>
        <v/>
      </c>
      <c r="J177" s="472" t="str">
        <f ca="1">IFERROR(__xludf.DUMMYFUNCTION("""COMPUTED_VALUE"""),"")</f>
        <v/>
      </c>
    </row>
    <row r="178" spans="1:10" ht="15.75">
      <c r="A178" s="472" t="str">
        <f ca="1">IFERROR(__xludf.DUMMYFUNCTION("""COMPUTED_VALUE"""),"")</f>
        <v/>
      </c>
      <c r="B178" s="472" t="str">
        <f ca="1">IFERROR(__xludf.DUMMYFUNCTION("""COMPUTED_VALUE"""),"")</f>
        <v/>
      </c>
      <c r="C178" s="472" t="str">
        <f ca="1">IFERROR(__xludf.DUMMYFUNCTION("""COMPUTED_VALUE"""),"")</f>
        <v/>
      </c>
      <c r="D178" s="472" t="str">
        <f ca="1">IFERROR(__xludf.DUMMYFUNCTION("""COMPUTED_VALUE"""),"")</f>
        <v/>
      </c>
      <c r="E178" s="472" t="str">
        <f ca="1">IFERROR(__xludf.DUMMYFUNCTION("""COMPUTED_VALUE"""),"")</f>
        <v/>
      </c>
      <c r="F178" s="472" t="str">
        <f ca="1">IFERROR(__xludf.DUMMYFUNCTION("""COMPUTED_VALUE"""),"")</f>
        <v/>
      </c>
      <c r="G178" s="472" t="str">
        <f ca="1">IFERROR(__xludf.DUMMYFUNCTION("""COMPUTED_VALUE"""),"")</f>
        <v/>
      </c>
      <c r="H178" s="472" t="str">
        <f ca="1">IFERROR(__xludf.DUMMYFUNCTION("""COMPUTED_VALUE"""),"")</f>
        <v/>
      </c>
      <c r="I178" s="472" t="str">
        <f ca="1">IFERROR(__xludf.DUMMYFUNCTION("""COMPUTED_VALUE"""),"")</f>
        <v/>
      </c>
      <c r="J178" s="472" t="str">
        <f ca="1">IFERROR(__xludf.DUMMYFUNCTION("""COMPUTED_VALUE"""),"")</f>
        <v/>
      </c>
    </row>
    <row r="179" spans="1:10" ht="15.75">
      <c r="A179" s="472" t="str">
        <f ca="1">IFERROR(__xludf.DUMMYFUNCTION("""COMPUTED_VALUE"""),"")</f>
        <v/>
      </c>
      <c r="B179" s="472" t="str">
        <f ca="1">IFERROR(__xludf.DUMMYFUNCTION("""COMPUTED_VALUE"""),"")</f>
        <v/>
      </c>
      <c r="C179" s="472" t="str">
        <f ca="1">IFERROR(__xludf.DUMMYFUNCTION("""COMPUTED_VALUE"""),"")</f>
        <v/>
      </c>
      <c r="D179" s="472" t="str">
        <f ca="1">IFERROR(__xludf.DUMMYFUNCTION("""COMPUTED_VALUE"""),"")</f>
        <v/>
      </c>
      <c r="E179" s="472" t="str">
        <f ca="1">IFERROR(__xludf.DUMMYFUNCTION("""COMPUTED_VALUE"""),"")</f>
        <v/>
      </c>
      <c r="F179" s="472" t="str">
        <f ca="1">IFERROR(__xludf.DUMMYFUNCTION("""COMPUTED_VALUE"""),"")</f>
        <v/>
      </c>
      <c r="G179" s="472" t="str">
        <f ca="1">IFERROR(__xludf.DUMMYFUNCTION("""COMPUTED_VALUE"""),"")</f>
        <v/>
      </c>
      <c r="H179" s="472" t="str">
        <f ca="1">IFERROR(__xludf.DUMMYFUNCTION("""COMPUTED_VALUE"""),"")</f>
        <v/>
      </c>
      <c r="I179" s="472" t="str">
        <f ca="1">IFERROR(__xludf.DUMMYFUNCTION("""COMPUTED_VALUE"""),"")</f>
        <v/>
      </c>
      <c r="J179" s="472" t="str">
        <f ca="1">IFERROR(__xludf.DUMMYFUNCTION("""COMPUTED_VALUE"""),"")</f>
        <v/>
      </c>
    </row>
    <row r="180" spans="1:10" ht="15.75">
      <c r="A180" s="472" t="str">
        <f ca="1">IFERROR(__xludf.DUMMYFUNCTION("""COMPUTED_VALUE"""),"")</f>
        <v/>
      </c>
      <c r="B180" s="472" t="str">
        <f ca="1">IFERROR(__xludf.DUMMYFUNCTION("""COMPUTED_VALUE"""),"")</f>
        <v/>
      </c>
      <c r="C180" s="472" t="str">
        <f ca="1">IFERROR(__xludf.DUMMYFUNCTION("""COMPUTED_VALUE"""),"")</f>
        <v/>
      </c>
      <c r="D180" s="472" t="str">
        <f ca="1">IFERROR(__xludf.DUMMYFUNCTION("""COMPUTED_VALUE"""),"")</f>
        <v/>
      </c>
      <c r="E180" s="472" t="str">
        <f ca="1">IFERROR(__xludf.DUMMYFUNCTION("""COMPUTED_VALUE"""),"")</f>
        <v/>
      </c>
      <c r="F180" s="472" t="str">
        <f ca="1">IFERROR(__xludf.DUMMYFUNCTION("""COMPUTED_VALUE"""),"")</f>
        <v/>
      </c>
      <c r="G180" s="472" t="str">
        <f ca="1">IFERROR(__xludf.DUMMYFUNCTION("""COMPUTED_VALUE"""),"")</f>
        <v/>
      </c>
      <c r="H180" s="472" t="str">
        <f ca="1">IFERROR(__xludf.DUMMYFUNCTION("""COMPUTED_VALUE"""),"")</f>
        <v/>
      </c>
      <c r="I180" s="472" t="str">
        <f ca="1">IFERROR(__xludf.DUMMYFUNCTION("""COMPUTED_VALUE"""),"")</f>
        <v/>
      </c>
      <c r="J180" s="472" t="str">
        <f ca="1">IFERROR(__xludf.DUMMYFUNCTION("""COMPUTED_VALUE"""),"")</f>
        <v/>
      </c>
    </row>
    <row r="181" spans="1:10" ht="15.75">
      <c r="A181" s="472" t="str">
        <f ca="1">IFERROR(__xludf.DUMMYFUNCTION("""COMPUTED_VALUE"""),"")</f>
        <v/>
      </c>
      <c r="B181" s="472" t="str">
        <f ca="1">IFERROR(__xludf.DUMMYFUNCTION("""COMPUTED_VALUE"""),"")</f>
        <v/>
      </c>
      <c r="C181" s="472" t="str">
        <f ca="1">IFERROR(__xludf.DUMMYFUNCTION("""COMPUTED_VALUE"""),"")</f>
        <v/>
      </c>
      <c r="D181" s="472" t="str">
        <f ca="1">IFERROR(__xludf.DUMMYFUNCTION("""COMPUTED_VALUE"""),"")</f>
        <v/>
      </c>
      <c r="E181" s="472" t="str">
        <f ca="1">IFERROR(__xludf.DUMMYFUNCTION("""COMPUTED_VALUE"""),"")</f>
        <v/>
      </c>
      <c r="F181" s="472" t="str">
        <f ca="1">IFERROR(__xludf.DUMMYFUNCTION("""COMPUTED_VALUE"""),"")</f>
        <v/>
      </c>
      <c r="G181" s="472" t="str">
        <f ca="1">IFERROR(__xludf.DUMMYFUNCTION("""COMPUTED_VALUE"""),"")</f>
        <v/>
      </c>
      <c r="H181" s="472" t="str">
        <f ca="1">IFERROR(__xludf.DUMMYFUNCTION("""COMPUTED_VALUE"""),"")</f>
        <v/>
      </c>
      <c r="I181" s="472" t="str">
        <f ca="1">IFERROR(__xludf.DUMMYFUNCTION("""COMPUTED_VALUE"""),"")</f>
        <v/>
      </c>
      <c r="J181" s="472" t="str">
        <f ca="1">IFERROR(__xludf.DUMMYFUNCTION("""COMPUTED_VALUE"""),"")</f>
        <v/>
      </c>
    </row>
    <row r="182" spans="1:10" ht="15.75">
      <c r="A182" s="472" t="str">
        <f ca="1">IFERROR(__xludf.DUMMYFUNCTION("""COMPUTED_VALUE"""),"")</f>
        <v/>
      </c>
      <c r="B182" s="472" t="str">
        <f ca="1">IFERROR(__xludf.DUMMYFUNCTION("""COMPUTED_VALUE"""),"")</f>
        <v/>
      </c>
      <c r="C182" s="472" t="str">
        <f ca="1">IFERROR(__xludf.DUMMYFUNCTION("""COMPUTED_VALUE"""),"")</f>
        <v/>
      </c>
      <c r="D182" s="472" t="str">
        <f ca="1">IFERROR(__xludf.DUMMYFUNCTION("""COMPUTED_VALUE"""),"")</f>
        <v/>
      </c>
      <c r="E182" s="472" t="str">
        <f ca="1">IFERROR(__xludf.DUMMYFUNCTION("""COMPUTED_VALUE"""),"")</f>
        <v/>
      </c>
      <c r="F182" s="472" t="str">
        <f ca="1">IFERROR(__xludf.DUMMYFUNCTION("""COMPUTED_VALUE"""),"")</f>
        <v/>
      </c>
      <c r="G182" s="472" t="str">
        <f ca="1">IFERROR(__xludf.DUMMYFUNCTION("""COMPUTED_VALUE"""),"")</f>
        <v/>
      </c>
      <c r="H182" s="472" t="str">
        <f ca="1">IFERROR(__xludf.DUMMYFUNCTION("""COMPUTED_VALUE"""),"")</f>
        <v/>
      </c>
      <c r="I182" s="472" t="str">
        <f ca="1">IFERROR(__xludf.DUMMYFUNCTION("""COMPUTED_VALUE"""),"")</f>
        <v/>
      </c>
      <c r="J182" s="472" t="str">
        <f ca="1">IFERROR(__xludf.DUMMYFUNCTION("""COMPUTED_VALUE"""),"")</f>
        <v/>
      </c>
    </row>
    <row r="183" spans="1:10" ht="15.75">
      <c r="A183" s="472" t="str">
        <f ca="1">IFERROR(__xludf.DUMMYFUNCTION("""COMPUTED_VALUE"""),"")</f>
        <v/>
      </c>
      <c r="B183" s="472" t="str">
        <f ca="1">IFERROR(__xludf.DUMMYFUNCTION("""COMPUTED_VALUE"""),"")</f>
        <v/>
      </c>
      <c r="C183" s="472" t="str">
        <f ca="1">IFERROR(__xludf.DUMMYFUNCTION("""COMPUTED_VALUE"""),"")</f>
        <v/>
      </c>
      <c r="D183" s="472" t="str">
        <f ca="1">IFERROR(__xludf.DUMMYFUNCTION("""COMPUTED_VALUE"""),"")</f>
        <v/>
      </c>
      <c r="E183" s="472" t="str">
        <f ca="1">IFERROR(__xludf.DUMMYFUNCTION("""COMPUTED_VALUE"""),"")</f>
        <v/>
      </c>
      <c r="F183" s="472" t="str">
        <f ca="1">IFERROR(__xludf.DUMMYFUNCTION("""COMPUTED_VALUE"""),"")</f>
        <v/>
      </c>
      <c r="G183" s="472" t="str">
        <f ca="1">IFERROR(__xludf.DUMMYFUNCTION("""COMPUTED_VALUE"""),"")</f>
        <v/>
      </c>
      <c r="H183" s="472" t="str">
        <f ca="1">IFERROR(__xludf.DUMMYFUNCTION("""COMPUTED_VALUE"""),"")</f>
        <v/>
      </c>
      <c r="I183" s="472" t="str">
        <f ca="1">IFERROR(__xludf.DUMMYFUNCTION("""COMPUTED_VALUE"""),"")</f>
        <v/>
      </c>
      <c r="J183" s="472" t="str">
        <f ca="1">IFERROR(__xludf.DUMMYFUNCTION("""COMPUTED_VALUE"""),"")</f>
        <v/>
      </c>
    </row>
    <row r="184" spans="1:10" ht="15.75">
      <c r="A184" s="472" t="str">
        <f ca="1">IFERROR(__xludf.DUMMYFUNCTION("""COMPUTED_VALUE"""),"")</f>
        <v/>
      </c>
      <c r="B184" s="472" t="str">
        <f ca="1">IFERROR(__xludf.DUMMYFUNCTION("""COMPUTED_VALUE"""),"")</f>
        <v/>
      </c>
      <c r="C184" s="472" t="str">
        <f ca="1">IFERROR(__xludf.DUMMYFUNCTION("""COMPUTED_VALUE"""),"")</f>
        <v/>
      </c>
      <c r="D184" s="472" t="str">
        <f ca="1">IFERROR(__xludf.DUMMYFUNCTION("""COMPUTED_VALUE"""),"")</f>
        <v/>
      </c>
      <c r="E184" s="472" t="str">
        <f ca="1">IFERROR(__xludf.DUMMYFUNCTION("""COMPUTED_VALUE"""),"")</f>
        <v/>
      </c>
      <c r="F184" s="472" t="str">
        <f ca="1">IFERROR(__xludf.DUMMYFUNCTION("""COMPUTED_VALUE"""),"")</f>
        <v/>
      </c>
      <c r="G184" s="472" t="str">
        <f ca="1">IFERROR(__xludf.DUMMYFUNCTION("""COMPUTED_VALUE"""),"")</f>
        <v/>
      </c>
      <c r="H184" s="472" t="str">
        <f ca="1">IFERROR(__xludf.DUMMYFUNCTION("""COMPUTED_VALUE"""),"")</f>
        <v/>
      </c>
      <c r="I184" s="472" t="str">
        <f ca="1">IFERROR(__xludf.DUMMYFUNCTION("""COMPUTED_VALUE"""),"")</f>
        <v/>
      </c>
      <c r="J184" s="472" t="str">
        <f ca="1">IFERROR(__xludf.DUMMYFUNCTION("""COMPUTED_VALUE"""),"")</f>
        <v/>
      </c>
    </row>
    <row r="185" spans="1:10" ht="15.75">
      <c r="A185" s="472" t="str">
        <f ca="1">IFERROR(__xludf.DUMMYFUNCTION("""COMPUTED_VALUE"""),"")</f>
        <v/>
      </c>
      <c r="B185" s="472" t="str">
        <f ca="1">IFERROR(__xludf.DUMMYFUNCTION("""COMPUTED_VALUE"""),"")</f>
        <v/>
      </c>
      <c r="C185" s="472" t="str">
        <f ca="1">IFERROR(__xludf.DUMMYFUNCTION("""COMPUTED_VALUE"""),"")</f>
        <v/>
      </c>
      <c r="D185" s="472" t="str">
        <f ca="1">IFERROR(__xludf.DUMMYFUNCTION("""COMPUTED_VALUE"""),"")</f>
        <v/>
      </c>
      <c r="E185" s="472" t="str">
        <f ca="1">IFERROR(__xludf.DUMMYFUNCTION("""COMPUTED_VALUE"""),"")</f>
        <v/>
      </c>
      <c r="F185" s="472" t="str">
        <f ca="1">IFERROR(__xludf.DUMMYFUNCTION("""COMPUTED_VALUE"""),"")</f>
        <v/>
      </c>
      <c r="G185" s="472" t="str">
        <f ca="1">IFERROR(__xludf.DUMMYFUNCTION("""COMPUTED_VALUE"""),"")</f>
        <v/>
      </c>
      <c r="H185" s="472" t="str">
        <f ca="1">IFERROR(__xludf.DUMMYFUNCTION("""COMPUTED_VALUE"""),"")</f>
        <v/>
      </c>
      <c r="I185" s="472" t="str">
        <f ca="1">IFERROR(__xludf.DUMMYFUNCTION("""COMPUTED_VALUE"""),"")</f>
        <v/>
      </c>
      <c r="J185" s="472" t="str">
        <f ca="1">IFERROR(__xludf.DUMMYFUNCTION("""COMPUTED_VALUE"""),"")</f>
        <v/>
      </c>
    </row>
    <row r="186" spans="1:10" ht="15.75">
      <c r="A186" s="472" t="str">
        <f ca="1">IFERROR(__xludf.DUMMYFUNCTION("""COMPUTED_VALUE"""),"")</f>
        <v/>
      </c>
      <c r="B186" s="472" t="str">
        <f ca="1">IFERROR(__xludf.DUMMYFUNCTION("""COMPUTED_VALUE"""),"")</f>
        <v/>
      </c>
      <c r="C186" s="472" t="str">
        <f ca="1">IFERROR(__xludf.DUMMYFUNCTION("""COMPUTED_VALUE"""),"")</f>
        <v/>
      </c>
      <c r="D186" s="472" t="str">
        <f ca="1">IFERROR(__xludf.DUMMYFUNCTION("""COMPUTED_VALUE"""),"")</f>
        <v/>
      </c>
      <c r="E186" s="472" t="str">
        <f ca="1">IFERROR(__xludf.DUMMYFUNCTION("""COMPUTED_VALUE"""),"")</f>
        <v/>
      </c>
      <c r="F186" s="472" t="str">
        <f ca="1">IFERROR(__xludf.DUMMYFUNCTION("""COMPUTED_VALUE"""),"")</f>
        <v/>
      </c>
      <c r="G186" s="472" t="str">
        <f ca="1">IFERROR(__xludf.DUMMYFUNCTION("""COMPUTED_VALUE"""),"")</f>
        <v/>
      </c>
      <c r="H186" s="472" t="str">
        <f ca="1">IFERROR(__xludf.DUMMYFUNCTION("""COMPUTED_VALUE"""),"")</f>
        <v/>
      </c>
      <c r="I186" s="472" t="str">
        <f ca="1">IFERROR(__xludf.DUMMYFUNCTION("""COMPUTED_VALUE"""),"")</f>
        <v/>
      </c>
      <c r="J186" s="472" t="str">
        <f ca="1">IFERROR(__xludf.DUMMYFUNCTION("""COMPUTED_VALUE"""),"")</f>
        <v/>
      </c>
    </row>
    <row r="187" spans="1:10" ht="15.75">
      <c r="A187" s="472" t="str">
        <f ca="1">IFERROR(__xludf.DUMMYFUNCTION("""COMPUTED_VALUE"""),"")</f>
        <v/>
      </c>
      <c r="B187" s="472" t="str">
        <f ca="1">IFERROR(__xludf.DUMMYFUNCTION("""COMPUTED_VALUE"""),"")</f>
        <v/>
      </c>
      <c r="C187" s="472" t="str">
        <f ca="1">IFERROR(__xludf.DUMMYFUNCTION("""COMPUTED_VALUE"""),"")</f>
        <v/>
      </c>
      <c r="D187" s="472" t="str">
        <f ca="1">IFERROR(__xludf.DUMMYFUNCTION("""COMPUTED_VALUE"""),"")</f>
        <v/>
      </c>
      <c r="E187" s="472" t="str">
        <f ca="1">IFERROR(__xludf.DUMMYFUNCTION("""COMPUTED_VALUE"""),"")</f>
        <v/>
      </c>
      <c r="F187" s="472" t="str">
        <f ca="1">IFERROR(__xludf.DUMMYFUNCTION("""COMPUTED_VALUE"""),"")</f>
        <v/>
      </c>
      <c r="G187" s="472" t="str">
        <f ca="1">IFERROR(__xludf.DUMMYFUNCTION("""COMPUTED_VALUE"""),"")</f>
        <v/>
      </c>
      <c r="H187" s="472" t="str">
        <f ca="1">IFERROR(__xludf.DUMMYFUNCTION("""COMPUTED_VALUE"""),"")</f>
        <v/>
      </c>
      <c r="I187" s="472" t="str">
        <f ca="1">IFERROR(__xludf.DUMMYFUNCTION("""COMPUTED_VALUE"""),"")</f>
        <v/>
      </c>
      <c r="J187" s="472" t="str">
        <f ca="1">IFERROR(__xludf.DUMMYFUNCTION("""COMPUTED_VALUE"""),"")</f>
        <v/>
      </c>
    </row>
    <row r="188" spans="1:10" ht="15.75">
      <c r="A188" s="472" t="str">
        <f ca="1">IFERROR(__xludf.DUMMYFUNCTION("""COMPUTED_VALUE"""),"")</f>
        <v/>
      </c>
      <c r="B188" s="472" t="str">
        <f ca="1">IFERROR(__xludf.DUMMYFUNCTION("""COMPUTED_VALUE"""),"")</f>
        <v/>
      </c>
      <c r="C188" s="472" t="str">
        <f ca="1">IFERROR(__xludf.DUMMYFUNCTION("""COMPUTED_VALUE"""),"")</f>
        <v/>
      </c>
      <c r="D188" s="472" t="str">
        <f ca="1">IFERROR(__xludf.DUMMYFUNCTION("""COMPUTED_VALUE"""),"")</f>
        <v/>
      </c>
      <c r="E188" s="472" t="str">
        <f ca="1">IFERROR(__xludf.DUMMYFUNCTION("""COMPUTED_VALUE"""),"")</f>
        <v/>
      </c>
      <c r="F188" s="472" t="str">
        <f ca="1">IFERROR(__xludf.DUMMYFUNCTION("""COMPUTED_VALUE"""),"")</f>
        <v/>
      </c>
      <c r="G188" s="472" t="str">
        <f ca="1">IFERROR(__xludf.DUMMYFUNCTION("""COMPUTED_VALUE"""),"")</f>
        <v/>
      </c>
      <c r="H188" s="472" t="str">
        <f ca="1">IFERROR(__xludf.DUMMYFUNCTION("""COMPUTED_VALUE"""),"")</f>
        <v/>
      </c>
      <c r="I188" s="472" t="str">
        <f ca="1">IFERROR(__xludf.DUMMYFUNCTION("""COMPUTED_VALUE"""),"")</f>
        <v/>
      </c>
      <c r="J188" s="472" t="str">
        <f ca="1">IFERROR(__xludf.DUMMYFUNCTION("""COMPUTED_VALUE"""),"")</f>
        <v/>
      </c>
    </row>
    <row r="189" spans="1:10" ht="15.75">
      <c r="A189" s="472" t="str">
        <f ca="1">IFERROR(__xludf.DUMMYFUNCTION("""COMPUTED_VALUE"""),"")</f>
        <v/>
      </c>
      <c r="B189" s="472" t="str">
        <f ca="1">IFERROR(__xludf.DUMMYFUNCTION("""COMPUTED_VALUE"""),"")</f>
        <v/>
      </c>
      <c r="C189" s="472" t="str">
        <f ca="1">IFERROR(__xludf.DUMMYFUNCTION("""COMPUTED_VALUE"""),"")</f>
        <v/>
      </c>
      <c r="D189" s="472" t="str">
        <f ca="1">IFERROR(__xludf.DUMMYFUNCTION("""COMPUTED_VALUE"""),"")</f>
        <v/>
      </c>
      <c r="E189" s="472" t="str">
        <f ca="1">IFERROR(__xludf.DUMMYFUNCTION("""COMPUTED_VALUE"""),"")</f>
        <v/>
      </c>
      <c r="F189" s="472" t="str">
        <f ca="1">IFERROR(__xludf.DUMMYFUNCTION("""COMPUTED_VALUE"""),"")</f>
        <v/>
      </c>
      <c r="G189" s="472" t="str">
        <f ca="1">IFERROR(__xludf.DUMMYFUNCTION("""COMPUTED_VALUE"""),"")</f>
        <v/>
      </c>
      <c r="H189" s="472" t="str">
        <f ca="1">IFERROR(__xludf.DUMMYFUNCTION("""COMPUTED_VALUE"""),"")</f>
        <v/>
      </c>
      <c r="I189" s="472" t="str">
        <f ca="1">IFERROR(__xludf.DUMMYFUNCTION("""COMPUTED_VALUE"""),"")</f>
        <v/>
      </c>
      <c r="J189" s="472" t="str">
        <f ca="1">IFERROR(__xludf.DUMMYFUNCTION("""COMPUTED_VALUE"""),"")</f>
        <v/>
      </c>
    </row>
    <row r="190" spans="1:10" ht="15.75">
      <c r="A190" s="472" t="str">
        <f ca="1">IFERROR(__xludf.DUMMYFUNCTION("""COMPUTED_VALUE"""),"")</f>
        <v/>
      </c>
      <c r="B190" s="472" t="str">
        <f ca="1">IFERROR(__xludf.DUMMYFUNCTION("""COMPUTED_VALUE"""),"")</f>
        <v/>
      </c>
      <c r="C190" s="472" t="str">
        <f ca="1">IFERROR(__xludf.DUMMYFUNCTION("""COMPUTED_VALUE"""),"")</f>
        <v/>
      </c>
      <c r="D190" s="472" t="str">
        <f ca="1">IFERROR(__xludf.DUMMYFUNCTION("""COMPUTED_VALUE"""),"")</f>
        <v/>
      </c>
      <c r="E190" s="472" t="str">
        <f ca="1">IFERROR(__xludf.DUMMYFUNCTION("""COMPUTED_VALUE"""),"")</f>
        <v/>
      </c>
      <c r="F190" s="472" t="str">
        <f ca="1">IFERROR(__xludf.DUMMYFUNCTION("""COMPUTED_VALUE"""),"")</f>
        <v/>
      </c>
      <c r="G190" s="472" t="str">
        <f ca="1">IFERROR(__xludf.DUMMYFUNCTION("""COMPUTED_VALUE"""),"")</f>
        <v/>
      </c>
      <c r="H190" s="472" t="str">
        <f ca="1">IFERROR(__xludf.DUMMYFUNCTION("""COMPUTED_VALUE"""),"")</f>
        <v/>
      </c>
      <c r="I190" s="472" t="str">
        <f ca="1">IFERROR(__xludf.DUMMYFUNCTION("""COMPUTED_VALUE"""),"")</f>
        <v/>
      </c>
      <c r="J190" s="472" t="str">
        <f ca="1">IFERROR(__xludf.DUMMYFUNCTION("""COMPUTED_VALUE"""),"")</f>
        <v/>
      </c>
    </row>
    <row r="191" spans="1:10" ht="15.75">
      <c r="A191" s="472" t="str">
        <f ca="1">IFERROR(__xludf.DUMMYFUNCTION("""COMPUTED_VALUE"""),"")</f>
        <v/>
      </c>
      <c r="B191" s="472" t="str">
        <f ca="1">IFERROR(__xludf.DUMMYFUNCTION("""COMPUTED_VALUE"""),"")</f>
        <v/>
      </c>
      <c r="C191" s="472" t="str">
        <f ca="1">IFERROR(__xludf.DUMMYFUNCTION("""COMPUTED_VALUE"""),"")</f>
        <v/>
      </c>
      <c r="D191" s="472" t="str">
        <f ca="1">IFERROR(__xludf.DUMMYFUNCTION("""COMPUTED_VALUE"""),"")</f>
        <v/>
      </c>
      <c r="E191" s="472" t="str">
        <f ca="1">IFERROR(__xludf.DUMMYFUNCTION("""COMPUTED_VALUE"""),"")</f>
        <v/>
      </c>
      <c r="F191" s="472" t="str">
        <f ca="1">IFERROR(__xludf.DUMMYFUNCTION("""COMPUTED_VALUE"""),"")</f>
        <v/>
      </c>
      <c r="G191" s="472" t="str">
        <f ca="1">IFERROR(__xludf.DUMMYFUNCTION("""COMPUTED_VALUE"""),"")</f>
        <v/>
      </c>
      <c r="H191" s="472" t="str">
        <f ca="1">IFERROR(__xludf.DUMMYFUNCTION("""COMPUTED_VALUE"""),"")</f>
        <v/>
      </c>
      <c r="I191" s="472" t="str">
        <f ca="1">IFERROR(__xludf.DUMMYFUNCTION("""COMPUTED_VALUE"""),"")</f>
        <v/>
      </c>
      <c r="J191" s="472" t="str">
        <f ca="1">IFERROR(__xludf.DUMMYFUNCTION("""COMPUTED_VALUE"""),"")</f>
        <v/>
      </c>
    </row>
    <row r="192" spans="1:10" ht="15.75">
      <c r="A192" s="472" t="str">
        <f ca="1">IFERROR(__xludf.DUMMYFUNCTION("""COMPUTED_VALUE"""),"")</f>
        <v/>
      </c>
      <c r="B192" s="472" t="str">
        <f ca="1">IFERROR(__xludf.DUMMYFUNCTION("""COMPUTED_VALUE"""),"")</f>
        <v/>
      </c>
      <c r="C192" s="472" t="str">
        <f ca="1">IFERROR(__xludf.DUMMYFUNCTION("""COMPUTED_VALUE"""),"")</f>
        <v/>
      </c>
      <c r="D192" s="472" t="str">
        <f ca="1">IFERROR(__xludf.DUMMYFUNCTION("""COMPUTED_VALUE"""),"")</f>
        <v/>
      </c>
      <c r="E192" s="472" t="str">
        <f ca="1">IFERROR(__xludf.DUMMYFUNCTION("""COMPUTED_VALUE"""),"")</f>
        <v/>
      </c>
      <c r="F192" s="472" t="str">
        <f ca="1">IFERROR(__xludf.DUMMYFUNCTION("""COMPUTED_VALUE"""),"")</f>
        <v/>
      </c>
      <c r="G192" s="472" t="str">
        <f ca="1">IFERROR(__xludf.DUMMYFUNCTION("""COMPUTED_VALUE"""),"")</f>
        <v/>
      </c>
      <c r="H192" s="472" t="str">
        <f ca="1">IFERROR(__xludf.DUMMYFUNCTION("""COMPUTED_VALUE"""),"")</f>
        <v/>
      </c>
      <c r="I192" s="472" t="str">
        <f ca="1">IFERROR(__xludf.DUMMYFUNCTION("""COMPUTED_VALUE"""),"")</f>
        <v/>
      </c>
      <c r="J192" s="472" t="str">
        <f ca="1">IFERROR(__xludf.DUMMYFUNCTION("""COMPUTED_VALUE"""),"")</f>
        <v/>
      </c>
    </row>
    <row r="193" spans="1:10" ht="15.75">
      <c r="A193" s="472" t="str">
        <f ca="1">IFERROR(__xludf.DUMMYFUNCTION("""COMPUTED_VALUE"""),"")</f>
        <v/>
      </c>
      <c r="B193" s="472" t="str">
        <f ca="1">IFERROR(__xludf.DUMMYFUNCTION("""COMPUTED_VALUE"""),"")</f>
        <v/>
      </c>
      <c r="C193" s="472" t="str">
        <f ca="1">IFERROR(__xludf.DUMMYFUNCTION("""COMPUTED_VALUE"""),"")</f>
        <v/>
      </c>
      <c r="D193" s="472" t="str">
        <f ca="1">IFERROR(__xludf.DUMMYFUNCTION("""COMPUTED_VALUE"""),"")</f>
        <v/>
      </c>
      <c r="E193" s="472" t="str">
        <f ca="1">IFERROR(__xludf.DUMMYFUNCTION("""COMPUTED_VALUE"""),"")</f>
        <v/>
      </c>
      <c r="F193" s="472" t="str">
        <f ca="1">IFERROR(__xludf.DUMMYFUNCTION("""COMPUTED_VALUE"""),"")</f>
        <v/>
      </c>
      <c r="G193" s="472" t="str">
        <f ca="1">IFERROR(__xludf.DUMMYFUNCTION("""COMPUTED_VALUE"""),"")</f>
        <v/>
      </c>
      <c r="H193" s="472" t="str">
        <f ca="1">IFERROR(__xludf.DUMMYFUNCTION("""COMPUTED_VALUE"""),"")</f>
        <v/>
      </c>
      <c r="I193" s="472" t="str">
        <f ca="1">IFERROR(__xludf.DUMMYFUNCTION("""COMPUTED_VALUE"""),"")</f>
        <v/>
      </c>
      <c r="J193" s="472" t="str">
        <f ca="1">IFERROR(__xludf.DUMMYFUNCTION("""COMPUTED_VALUE"""),"")</f>
        <v/>
      </c>
    </row>
    <row r="194" spans="1:10" ht="15.75">
      <c r="A194" s="472" t="str">
        <f ca="1">IFERROR(__xludf.DUMMYFUNCTION("""COMPUTED_VALUE"""),"")</f>
        <v/>
      </c>
      <c r="B194" s="472" t="str">
        <f ca="1">IFERROR(__xludf.DUMMYFUNCTION("""COMPUTED_VALUE"""),"")</f>
        <v/>
      </c>
      <c r="C194" s="472" t="str">
        <f ca="1">IFERROR(__xludf.DUMMYFUNCTION("""COMPUTED_VALUE"""),"")</f>
        <v/>
      </c>
      <c r="D194" s="472" t="str">
        <f ca="1">IFERROR(__xludf.DUMMYFUNCTION("""COMPUTED_VALUE"""),"")</f>
        <v/>
      </c>
      <c r="E194" s="472" t="str">
        <f ca="1">IFERROR(__xludf.DUMMYFUNCTION("""COMPUTED_VALUE"""),"")</f>
        <v/>
      </c>
      <c r="F194" s="472" t="str">
        <f ca="1">IFERROR(__xludf.DUMMYFUNCTION("""COMPUTED_VALUE"""),"")</f>
        <v/>
      </c>
      <c r="G194" s="472" t="str">
        <f ca="1">IFERROR(__xludf.DUMMYFUNCTION("""COMPUTED_VALUE"""),"")</f>
        <v/>
      </c>
      <c r="H194" s="472" t="str">
        <f ca="1">IFERROR(__xludf.DUMMYFUNCTION("""COMPUTED_VALUE"""),"")</f>
        <v/>
      </c>
      <c r="I194" s="472" t="str">
        <f ca="1">IFERROR(__xludf.DUMMYFUNCTION("""COMPUTED_VALUE"""),"")</f>
        <v/>
      </c>
      <c r="J194" s="472" t="str">
        <f ca="1">IFERROR(__xludf.DUMMYFUNCTION("""COMPUTED_VALUE"""),"")</f>
        <v/>
      </c>
    </row>
    <row r="195" spans="1:10" ht="15.75">
      <c r="A195" s="472" t="str">
        <f ca="1">IFERROR(__xludf.DUMMYFUNCTION("""COMPUTED_VALUE"""),"")</f>
        <v/>
      </c>
      <c r="B195" s="472" t="str">
        <f ca="1">IFERROR(__xludf.DUMMYFUNCTION("""COMPUTED_VALUE"""),"")</f>
        <v/>
      </c>
      <c r="C195" s="472" t="str">
        <f ca="1">IFERROR(__xludf.DUMMYFUNCTION("""COMPUTED_VALUE"""),"")</f>
        <v/>
      </c>
      <c r="D195" s="472" t="str">
        <f ca="1">IFERROR(__xludf.DUMMYFUNCTION("""COMPUTED_VALUE"""),"")</f>
        <v/>
      </c>
      <c r="E195" s="472" t="str">
        <f ca="1">IFERROR(__xludf.DUMMYFUNCTION("""COMPUTED_VALUE"""),"")</f>
        <v/>
      </c>
      <c r="F195" s="472" t="str">
        <f ca="1">IFERROR(__xludf.DUMMYFUNCTION("""COMPUTED_VALUE"""),"")</f>
        <v/>
      </c>
      <c r="G195" s="472" t="str">
        <f ca="1">IFERROR(__xludf.DUMMYFUNCTION("""COMPUTED_VALUE"""),"")</f>
        <v/>
      </c>
      <c r="H195" s="472" t="str">
        <f ca="1">IFERROR(__xludf.DUMMYFUNCTION("""COMPUTED_VALUE"""),"")</f>
        <v/>
      </c>
      <c r="I195" s="472" t="str">
        <f ca="1">IFERROR(__xludf.DUMMYFUNCTION("""COMPUTED_VALUE"""),"")</f>
        <v/>
      </c>
      <c r="J195" s="472" t="str">
        <f ca="1">IFERROR(__xludf.DUMMYFUNCTION("""COMPUTED_VALUE"""),"")</f>
        <v/>
      </c>
    </row>
    <row r="196" spans="1:10" ht="15.75">
      <c r="A196" s="472" t="str">
        <f ca="1">IFERROR(__xludf.DUMMYFUNCTION("""COMPUTED_VALUE"""),"")</f>
        <v/>
      </c>
      <c r="B196" s="472" t="str">
        <f ca="1">IFERROR(__xludf.DUMMYFUNCTION("""COMPUTED_VALUE"""),"")</f>
        <v/>
      </c>
      <c r="C196" s="472" t="str">
        <f ca="1">IFERROR(__xludf.DUMMYFUNCTION("""COMPUTED_VALUE"""),"")</f>
        <v/>
      </c>
      <c r="D196" s="472" t="str">
        <f ca="1">IFERROR(__xludf.DUMMYFUNCTION("""COMPUTED_VALUE"""),"")</f>
        <v/>
      </c>
      <c r="E196" s="472" t="str">
        <f ca="1">IFERROR(__xludf.DUMMYFUNCTION("""COMPUTED_VALUE"""),"")</f>
        <v/>
      </c>
      <c r="F196" s="472" t="str">
        <f ca="1">IFERROR(__xludf.DUMMYFUNCTION("""COMPUTED_VALUE"""),"")</f>
        <v/>
      </c>
      <c r="G196" s="472" t="str">
        <f ca="1">IFERROR(__xludf.DUMMYFUNCTION("""COMPUTED_VALUE"""),"")</f>
        <v/>
      </c>
      <c r="H196" s="472" t="str">
        <f ca="1">IFERROR(__xludf.DUMMYFUNCTION("""COMPUTED_VALUE"""),"")</f>
        <v/>
      </c>
      <c r="I196" s="472" t="str">
        <f ca="1">IFERROR(__xludf.DUMMYFUNCTION("""COMPUTED_VALUE"""),"")</f>
        <v/>
      </c>
      <c r="J196" s="472" t="str">
        <f ca="1">IFERROR(__xludf.DUMMYFUNCTION("""COMPUTED_VALUE"""),"")</f>
        <v/>
      </c>
    </row>
    <row r="197" spans="1:10" ht="15.75">
      <c r="A197" s="472" t="str">
        <f ca="1">IFERROR(__xludf.DUMMYFUNCTION("""COMPUTED_VALUE"""),"")</f>
        <v/>
      </c>
      <c r="B197" s="472" t="str">
        <f ca="1">IFERROR(__xludf.DUMMYFUNCTION("""COMPUTED_VALUE"""),"")</f>
        <v/>
      </c>
      <c r="C197" s="472" t="str">
        <f ca="1">IFERROR(__xludf.DUMMYFUNCTION("""COMPUTED_VALUE"""),"")</f>
        <v/>
      </c>
      <c r="D197" s="472" t="str">
        <f ca="1">IFERROR(__xludf.DUMMYFUNCTION("""COMPUTED_VALUE"""),"")</f>
        <v/>
      </c>
      <c r="E197" s="472" t="str">
        <f ca="1">IFERROR(__xludf.DUMMYFUNCTION("""COMPUTED_VALUE"""),"")</f>
        <v/>
      </c>
      <c r="F197" s="472" t="str">
        <f ca="1">IFERROR(__xludf.DUMMYFUNCTION("""COMPUTED_VALUE"""),"")</f>
        <v/>
      </c>
      <c r="G197" s="472" t="str">
        <f ca="1">IFERROR(__xludf.DUMMYFUNCTION("""COMPUTED_VALUE"""),"")</f>
        <v/>
      </c>
      <c r="H197" s="472" t="str">
        <f ca="1">IFERROR(__xludf.DUMMYFUNCTION("""COMPUTED_VALUE"""),"")</f>
        <v/>
      </c>
      <c r="I197" s="472" t="str">
        <f ca="1">IFERROR(__xludf.DUMMYFUNCTION("""COMPUTED_VALUE"""),"")</f>
        <v/>
      </c>
      <c r="J197" s="472" t="str">
        <f ca="1">IFERROR(__xludf.DUMMYFUNCTION("""COMPUTED_VALUE"""),"")</f>
        <v/>
      </c>
    </row>
    <row r="198" spans="1:10" ht="15.75">
      <c r="A198" s="472" t="str">
        <f ca="1">IFERROR(__xludf.DUMMYFUNCTION("""COMPUTED_VALUE"""),"")</f>
        <v/>
      </c>
      <c r="B198" s="472" t="str">
        <f ca="1">IFERROR(__xludf.DUMMYFUNCTION("""COMPUTED_VALUE"""),"")</f>
        <v/>
      </c>
      <c r="C198" s="472" t="str">
        <f ca="1">IFERROR(__xludf.DUMMYFUNCTION("""COMPUTED_VALUE"""),"")</f>
        <v/>
      </c>
      <c r="D198" s="472" t="str">
        <f ca="1">IFERROR(__xludf.DUMMYFUNCTION("""COMPUTED_VALUE"""),"")</f>
        <v/>
      </c>
      <c r="E198" s="472" t="str">
        <f ca="1">IFERROR(__xludf.DUMMYFUNCTION("""COMPUTED_VALUE"""),"")</f>
        <v/>
      </c>
      <c r="F198" s="472" t="str">
        <f ca="1">IFERROR(__xludf.DUMMYFUNCTION("""COMPUTED_VALUE"""),"")</f>
        <v/>
      </c>
      <c r="G198" s="472" t="str">
        <f ca="1">IFERROR(__xludf.DUMMYFUNCTION("""COMPUTED_VALUE"""),"")</f>
        <v/>
      </c>
      <c r="H198" s="472" t="str">
        <f ca="1">IFERROR(__xludf.DUMMYFUNCTION("""COMPUTED_VALUE"""),"")</f>
        <v/>
      </c>
      <c r="I198" s="472" t="str">
        <f ca="1">IFERROR(__xludf.DUMMYFUNCTION("""COMPUTED_VALUE"""),"")</f>
        <v/>
      </c>
      <c r="J198" s="472" t="str">
        <f ca="1">IFERROR(__xludf.DUMMYFUNCTION("""COMPUTED_VALUE"""),"")</f>
        <v/>
      </c>
    </row>
    <row r="199" spans="1:10" ht="15.75">
      <c r="A199" s="472" t="str">
        <f ca="1">IFERROR(__xludf.DUMMYFUNCTION("""COMPUTED_VALUE"""),"")</f>
        <v/>
      </c>
      <c r="B199" s="472" t="str">
        <f ca="1">IFERROR(__xludf.DUMMYFUNCTION("""COMPUTED_VALUE"""),"")</f>
        <v/>
      </c>
      <c r="C199" s="472" t="str">
        <f ca="1">IFERROR(__xludf.DUMMYFUNCTION("""COMPUTED_VALUE"""),"")</f>
        <v/>
      </c>
      <c r="D199" s="472" t="str">
        <f ca="1">IFERROR(__xludf.DUMMYFUNCTION("""COMPUTED_VALUE"""),"")</f>
        <v/>
      </c>
      <c r="E199" s="472" t="str">
        <f ca="1">IFERROR(__xludf.DUMMYFUNCTION("""COMPUTED_VALUE"""),"")</f>
        <v/>
      </c>
      <c r="F199" s="472" t="str">
        <f ca="1">IFERROR(__xludf.DUMMYFUNCTION("""COMPUTED_VALUE"""),"")</f>
        <v/>
      </c>
      <c r="G199" s="472" t="str">
        <f ca="1">IFERROR(__xludf.DUMMYFUNCTION("""COMPUTED_VALUE"""),"")</f>
        <v/>
      </c>
      <c r="H199" s="472" t="str">
        <f ca="1">IFERROR(__xludf.DUMMYFUNCTION("""COMPUTED_VALUE"""),"")</f>
        <v/>
      </c>
      <c r="I199" s="472" t="str">
        <f ca="1">IFERROR(__xludf.DUMMYFUNCTION("""COMPUTED_VALUE"""),"")</f>
        <v/>
      </c>
      <c r="J199" s="472" t="str">
        <f ca="1">IFERROR(__xludf.DUMMYFUNCTION("""COMPUTED_VALUE"""),"")</f>
        <v/>
      </c>
    </row>
    <row r="200" spans="1:10" ht="15.75">
      <c r="A200" s="472" t="str">
        <f ca="1">IFERROR(__xludf.DUMMYFUNCTION("""COMPUTED_VALUE"""),"")</f>
        <v/>
      </c>
      <c r="B200" s="472" t="str">
        <f ca="1">IFERROR(__xludf.DUMMYFUNCTION("""COMPUTED_VALUE"""),"")</f>
        <v/>
      </c>
      <c r="C200" s="472" t="str">
        <f ca="1">IFERROR(__xludf.DUMMYFUNCTION("""COMPUTED_VALUE"""),"")</f>
        <v/>
      </c>
      <c r="D200" s="472" t="str">
        <f ca="1">IFERROR(__xludf.DUMMYFUNCTION("""COMPUTED_VALUE"""),"")</f>
        <v/>
      </c>
      <c r="E200" s="472" t="str">
        <f ca="1">IFERROR(__xludf.DUMMYFUNCTION("""COMPUTED_VALUE"""),"")</f>
        <v/>
      </c>
      <c r="F200" s="472" t="str">
        <f ca="1">IFERROR(__xludf.DUMMYFUNCTION("""COMPUTED_VALUE"""),"")</f>
        <v/>
      </c>
      <c r="G200" s="472" t="str">
        <f ca="1">IFERROR(__xludf.DUMMYFUNCTION("""COMPUTED_VALUE"""),"")</f>
        <v/>
      </c>
      <c r="H200" s="472" t="str">
        <f ca="1">IFERROR(__xludf.DUMMYFUNCTION("""COMPUTED_VALUE"""),"")</f>
        <v/>
      </c>
      <c r="I200" s="472" t="str">
        <f ca="1">IFERROR(__xludf.DUMMYFUNCTION("""COMPUTED_VALUE"""),"")</f>
        <v/>
      </c>
      <c r="J200" s="472" t="str">
        <f ca="1">IFERROR(__xludf.DUMMYFUNCTION("""COMPUTED_VALUE"""),"")</f>
        <v/>
      </c>
    </row>
    <row r="201" spans="1:10" ht="15.75">
      <c r="A201" s="472" t="str">
        <f ca="1">IFERROR(__xludf.DUMMYFUNCTION("""COMPUTED_VALUE"""),"")</f>
        <v/>
      </c>
      <c r="B201" s="472" t="str">
        <f ca="1">IFERROR(__xludf.DUMMYFUNCTION("""COMPUTED_VALUE"""),"")</f>
        <v/>
      </c>
      <c r="C201" s="472" t="str">
        <f ca="1">IFERROR(__xludf.DUMMYFUNCTION("""COMPUTED_VALUE"""),"")</f>
        <v/>
      </c>
      <c r="D201" s="472" t="str">
        <f ca="1">IFERROR(__xludf.DUMMYFUNCTION("""COMPUTED_VALUE"""),"")</f>
        <v/>
      </c>
      <c r="E201" s="472" t="str">
        <f ca="1">IFERROR(__xludf.DUMMYFUNCTION("""COMPUTED_VALUE"""),"")</f>
        <v/>
      </c>
      <c r="F201" s="472" t="str">
        <f ca="1">IFERROR(__xludf.DUMMYFUNCTION("""COMPUTED_VALUE"""),"")</f>
        <v/>
      </c>
      <c r="G201" s="472" t="str">
        <f ca="1">IFERROR(__xludf.DUMMYFUNCTION("""COMPUTED_VALUE"""),"")</f>
        <v/>
      </c>
      <c r="H201" s="472" t="str">
        <f ca="1">IFERROR(__xludf.DUMMYFUNCTION("""COMPUTED_VALUE"""),"")</f>
        <v/>
      </c>
      <c r="I201" s="472" t="str">
        <f ca="1">IFERROR(__xludf.DUMMYFUNCTION("""COMPUTED_VALUE"""),"")</f>
        <v/>
      </c>
      <c r="J201" s="472" t="str">
        <f ca="1">IFERROR(__xludf.DUMMYFUNCTION("""COMPUTED_VALUE"""),"")</f>
        <v/>
      </c>
    </row>
    <row r="202" spans="1:10" ht="15.75">
      <c r="A202" s="472" t="str">
        <f ca="1">IFERROR(__xludf.DUMMYFUNCTION("""COMPUTED_VALUE"""),"")</f>
        <v/>
      </c>
      <c r="B202" s="472" t="str">
        <f ca="1">IFERROR(__xludf.DUMMYFUNCTION("""COMPUTED_VALUE"""),"")</f>
        <v/>
      </c>
      <c r="C202" s="472" t="str">
        <f ca="1">IFERROR(__xludf.DUMMYFUNCTION("""COMPUTED_VALUE"""),"")</f>
        <v/>
      </c>
      <c r="D202" s="472" t="str">
        <f ca="1">IFERROR(__xludf.DUMMYFUNCTION("""COMPUTED_VALUE"""),"")</f>
        <v/>
      </c>
      <c r="E202" s="472" t="str">
        <f ca="1">IFERROR(__xludf.DUMMYFUNCTION("""COMPUTED_VALUE"""),"")</f>
        <v/>
      </c>
      <c r="F202" s="472" t="str">
        <f ca="1">IFERROR(__xludf.DUMMYFUNCTION("""COMPUTED_VALUE"""),"")</f>
        <v/>
      </c>
      <c r="G202" s="472" t="str">
        <f ca="1">IFERROR(__xludf.DUMMYFUNCTION("""COMPUTED_VALUE"""),"")</f>
        <v/>
      </c>
      <c r="H202" s="472" t="str">
        <f ca="1">IFERROR(__xludf.DUMMYFUNCTION("""COMPUTED_VALUE"""),"")</f>
        <v/>
      </c>
      <c r="I202" s="472" t="str">
        <f ca="1">IFERROR(__xludf.DUMMYFUNCTION("""COMPUTED_VALUE"""),"")</f>
        <v/>
      </c>
      <c r="J202" s="472" t="str">
        <f ca="1">IFERROR(__xludf.DUMMYFUNCTION("""COMPUTED_VALUE"""),"")</f>
        <v/>
      </c>
    </row>
    <row r="203" spans="1:10" ht="15.75">
      <c r="A203" s="472" t="str">
        <f ca="1">IFERROR(__xludf.DUMMYFUNCTION("""COMPUTED_VALUE"""),"")</f>
        <v/>
      </c>
      <c r="B203" s="472" t="str">
        <f ca="1">IFERROR(__xludf.DUMMYFUNCTION("""COMPUTED_VALUE"""),"")</f>
        <v/>
      </c>
      <c r="C203" s="472" t="str">
        <f ca="1">IFERROR(__xludf.DUMMYFUNCTION("""COMPUTED_VALUE"""),"")</f>
        <v/>
      </c>
      <c r="D203" s="472" t="str">
        <f ca="1">IFERROR(__xludf.DUMMYFUNCTION("""COMPUTED_VALUE"""),"")</f>
        <v/>
      </c>
      <c r="E203" s="472" t="str">
        <f ca="1">IFERROR(__xludf.DUMMYFUNCTION("""COMPUTED_VALUE"""),"")</f>
        <v/>
      </c>
      <c r="F203" s="472" t="str">
        <f ca="1">IFERROR(__xludf.DUMMYFUNCTION("""COMPUTED_VALUE"""),"")</f>
        <v/>
      </c>
      <c r="G203" s="472" t="str">
        <f ca="1">IFERROR(__xludf.DUMMYFUNCTION("""COMPUTED_VALUE"""),"")</f>
        <v/>
      </c>
      <c r="H203" s="472" t="str">
        <f ca="1">IFERROR(__xludf.DUMMYFUNCTION("""COMPUTED_VALUE"""),"")</f>
        <v/>
      </c>
      <c r="I203" s="472" t="str">
        <f ca="1">IFERROR(__xludf.DUMMYFUNCTION("""COMPUTED_VALUE"""),"")</f>
        <v/>
      </c>
      <c r="J203" s="472" t="str">
        <f ca="1">IFERROR(__xludf.DUMMYFUNCTION("""COMPUTED_VALUE"""),"")</f>
        <v/>
      </c>
    </row>
    <row r="204" spans="1:10" ht="15.75">
      <c r="A204" s="472" t="str">
        <f ca="1">IFERROR(__xludf.DUMMYFUNCTION("""COMPUTED_VALUE"""),"")</f>
        <v/>
      </c>
      <c r="B204" s="472" t="str">
        <f ca="1">IFERROR(__xludf.DUMMYFUNCTION("""COMPUTED_VALUE"""),"")</f>
        <v/>
      </c>
      <c r="C204" s="472" t="str">
        <f ca="1">IFERROR(__xludf.DUMMYFUNCTION("""COMPUTED_VALUE"""),"")</f>
        <v/>
      </c>
      <c r="D204" s="472" t="str">
        <f ca="1">IFERROR(__xludf.DUMMYFUNCTION("""COMPUTED_VALUE"""),"")</f>
        <v/>
      </c>
      <c r="E204" s="472" t="str">
        <f ca="1">IFERROR(__xludf.DUMMYFUNCTION("""COMPUTED_VALUE"""),"")</f>
        <v/>
      </c>
      <c r="F204" s="472" t="str">
        <f ca="1">IFERROR(__xludf.DUMMYFUNCTION("""COMPUTED_VALUE"""),"")</f>
        <v/>
      </c>
      <c r="G204" s="472" t="str">
        <f ca="1">IFERROR(__xludf.DUMMYFUNCTION("""COMPUTED_VALUE"""),"")</f>
        <v/>
      </c>
      <c r="H204" s="472" t="str">
        <f ca="1">IFERROR(__xludf.DUMMYFUNCTION("""COMPUTED_VALUE"""),"")</f>
        <v/>
      </c>
      <c r="I204" s="472" t="str">
        <f ca="1">IFERROR(__xludf.DUMMYFUNCTION("""COMPUTED_VALUE"""),"")</f>
        <v/>
      </c>
      <c r="J204" s="472" t="str">
        <f ca="1">IFERROR(__xludf.DUMMYFUNCTION("""COMPUTED_VALUE"""),"")</f>
        <v/>
      </c>
    </row>
    <row r="205" spans="1:10" ht="15.75">
      <c r="A205" s="472" t="str">
        <f ca="1">IFERROR(__xludf.DUMMYFUNCTION("""COMPUTED_VALUE"""),"")</f>
        <v/>
      </c>
      <c r="B205" s="472" t="str">
        <f ca="1">IFERROR(__xludf.DUMMYFUNCTION("""COMPUTED_VALUE"""),"")</f>
        <v/>
      </c>
      <c r="C205" s="472" t="str">
        <f ca="1">IFERROR(__xludf.DUMMYFUNCTION("""COMPUTED_VALUE"""),"")</f>
        <v/>
      </c>
      <c r="D205" s="472" t="str">
        <f ca="1">IFERROR(__xludf.DUMMYFUNCTION("""COMPUTED_VALUE"""),"")</f>
        <v/>
      </c>
      <c r="E205" s="472" t="str">
        <f ca="1">IFERROR(__xludf.DUMMYFUNCTION("""COMPUTED_VALUE"""),"")</f>
        <v/>
      </c>
      <c r="F205" s="472" t="str">
        <f ca="1">IFERROR(__xludf.DUMMYFUNCTION("""COMPUTED_VALUE"""),"")</f>
        <v/>
      </c>
      <c r="G205" s="472" t="str">
        <f ca="1">IFERROR(__xludf.DUMMYFUNCTION("""COMPUTED_VALUE"""),"")</f>
        <v/>
      </c>
      <c r="H205" s="472" t="str">
        <f ca="1">IFERROR(__xludf.DUMMYFUNCTION("""COMPUTED_VALUE"""),"")</f>
        <v/>
      </c>
      <c r="I205" s="472" t="str">
        <f ca="1">IFERROR(__xludf.DUMMYFUNCTION("""COMPUTED_VALUE"""),"")</f>
        <v/>
      </c>
      <c r="J205" s="472" t="str">
        <f ca="1">IFERROR(__xludf.DUMMYFUNCTION("""COMPUTED_VALUE"""),"")</f>
        <v/>
      </c>
    </row>
    <row r="206" spans="1:10" ht="15.75">
      <c r="A206" s="472" t="str">
        <f ca="1">IFERROR(__xludf.DUMMYFUNCTION("""COMPUTED_VALUE"""),"")</f>
        <v/>
      </c>
      <c r="B206" s="472" t="str">
        <f ca="1">IFERROR(__xludf.DUMMYFUNCTION("""COMPUTED_VALUE"""),"")</f>
        <v/>
      </c>
      <c r="C206" s="472" t="str">
        <f ca="1">IFERROR(__xludf.DUMMYFUNCTION("""COMPUTED_VALUE"""),"")</f>
        <v/>
      </c>
      <c r="D206" s="472" t="str">
        <f ca="1">IFERROR(__xludf.DUMMYFUNCTION("""COMPUTED_VALUE"""),"")</f>
        <v/>
      </c>
      <c r="E206" s="472" t="str">
        <f ca="1">IFERROR(__xludf.DUMMYFUNCTION("""COMPUTED_VALUE"""),"")</f>
        <v/>
      </c>
      <c r="F206" s="472" t="str">
        <f ca="1">IFERROR(__xludf.DUMMYFUNCTION("""COMPUTED_VALUE"""),"")</f>
        <v/>
      </c>
      <c r="G206" s="472" t="str">
        <f ca="1">IFERROR(__xludf.DUMMYFUNCTION("""COMPUTED_VALUE"""),"")</f>
        <v/>
      </c>
      <c r="H206" s="472" t="str">
        <f ca="1">IFERROR(__xludf.DUMMYFUNCTION("""COMPUTED_VALUE"""),"")</f>
        <v/>
      </c>
      <c r="I206" s="472" t="str">
        <f ca="1">IFERROR(__xludf.DUMMYFUNCTION("""COMPUTED_VALUE"""),"")</f>
        <v/>
      </c>
      <c r="J206" s="472" t="str">
        <f ca="1">IFERROR(__xludf.DUMMYFUNCTION("""COMPUTED_VALUE"""),"")</f>
        <v/>
      </c>
    </row>
    <row r="207" spans="1:10" ht="15.75">
      <c r="A207" s="472" t="str">
        <f ca="1">IFERROR(__xludf.DUMMYFUNCTION("""COMPUTED_VALUE"""),"")</f>
        <v/>
      </c>
      <c r="B207" s="472" t="str">
        <f ca="1">IFERROR(__xludf.DUMMYFUNCTION("""COMPUTED_VALUE"""),"")</f>
        <v/>
      </c>
      <c r="C207" s="472" t="str">
        <f ca="1">IFERROR(__xludf.DUMMYFUNCTION("""COMPUTED_VALUE"""),"")</f>
        <v/>
      </c>
      <c r="D207" s="472" t="str">
        <f ca="1">IFERROR(__xludf.DUMMYFUNCTION("""COMPUTED_VALUE"""),"")</f>
        <v/>
      </c>
      <c r="E207" s="472" t="str">
        <f ca="1">IFERROR(__xludf.DUMMYFUNCTION("""COMPUTED_VALUE"""),"")</f>
        <v/>
      </c>
      <c r="F207" s="472" t="str">
        <f ca="1">IFERROR(__xludf.DUMMYFUNCTION("""COMPUTED_VALUE"""),"")</f>
        <v/>
      </c>
      <c r="G207" s="472" t="str">
        <f ca="1">IFERROR(__xludf.DUMMYFUNCTION("""COMPUTED_VALUE"""),"")</f>
        <v/>
      </c>
      <c r="H207" s="472" t="str">
        <f ca="1">IFERROR(__xludf.DUMMYFUNCTION("""COMPUTED_VALUE"""),"")</f>
        <v/>
      </c>
      <c r="I207" s="472" t="str">
        <f ca="1">IFERROR(__xludf.DUMMYFUNCTION("""COMPUTED_VALUE"""),"")</f>
        <v/>
      </c>
      <c r="J207" s="472" t="str">
        <f ca="1">IFERROR(__xludf.DUMMYFUNCTION("""COMPUTED_VALUE"""),"")</f>
        <v/>
      </c>
    </row>
    <row r="208" spans="1:10" ht="15.75">
      <c r="A208" s="472" t="str">
        <f ca="1">IFERROR(__xludf.DUMMYFUNCTION("""COMPUTED_VALUE"""),"")</f>
        <v/>
      </c>
      <c r="B208" s="472" t="str">
        <f ca="1">IFERROR(__xludf.DUMMYFUNCTION("""COMPUTED_VALUE"""),"")</f>
        <v/>
      </c>
      <c r="C208" s="472" t="str">
        <f ca="1">IFERROR(__xludf.DUMMYFUNCTION("""COMPUTED_VALUE"""),"")</f>
        <v/>
      </c>
      <c r="D208" s="472" t="str">
        <f ca="1">IFERROR(__xludf.DUMMYFUNCTION("""COMPUTED_VALUE"""),"")</f>
        <v/>
      </c>
      <c r="E208" s="472" t="str">
        <f ca="1">IFERROR(__xludf.DUMMYFUNCTION("""COMPUTED_VALUE"""),"")</f>
        <v/>
      </c>
      <c r="F208" s="472" t="str">
        <f ca="1">IFERROR(__xludf.DUMMYFUNCTION("""COMPUTED_VALUE"""),"")</f>
        <v/>
      </c>
      <c r="G208" s="472" t="str">
        <f ca="1">IFERROR(__xludf.DUMMYFUNCTION("""COMPUTED_VALUE"""),"")</f>
        <v/>
      </c>
      <c r="H208" s="472" t="str">
        <f ca="1">IFERROR(__xludf.DUMMYFUNCTION("""COMPUTED_VALUE"""),"")</f>
        <v/>
      </c>
      <c r="I208" s="472" t="str">
        <f ca="1">IFERROR(__xludf.DUMMYFUNCTION("""COMPUTED_VALUE"""),"")</f>
        <v/>
      </c>
      <c r="J208" s="472" t="str">
        <f ca="1">IFERROR(__xludf.DUMMYFUNCTION("""COMPUTED_VALUE"""),"")</f>
        <v/>
      </c>
    </row>
    <row r="209" spans="1:10" ht="15.75">
      <c r="A209" s="472" t="str">
        <f ca="1">IFERROR(__xludf.DUMMYFUNCTION("""COMPUTED_VALUE"""),"")</f>
        <v/>
      </c>
      <c r="B209" s="472" t="str">
        <f ca="1">IFERROR(__xludf.DUMMYFUNCTION("""COMPUTED_VALUE"""),"")</f>
        <v/>
      </c>
      <c r="C209" s="472" t="str">
        <f ca="1">IFERROR(__xludf.DUMMYFUNCTION("""COMPUTED_VALUE"""),"")</f>
        <v/>
      </c>
      <c r="D209" s="472" t="str">
        <f ca="1">IFERROR(__xludf.DUMMYFUNCTION("""COMPUTED_VALUE"""),"")</f>
        <v/>
      </c>
      <c r="E209" s="472" t="str">
        <f ca="1">IFERROR(__xludf.DUMMYFUNCTION("""COMPUTED_VALUE"""),"")</f>
        <v/>
      </c>
      <c r="F209" s="472" t="str">
        <f ca="1">IFERROR(__xludf.DUMMYFUNCTION("""COMPUTED_VALUE"""),"")</f>
        <v/>
      </c>
      <c r="G209" s="472" t="str">
        <f ca="1">IFERROR(__xludf.DUMMYFUNCTION("""COMPUTED_VALUE"""),"")</f>
        <v/>
      </c>
      <c r="H209" s="472" t="str">
        <f ca="1">IFERROR(__xludf.DUMMYFUNCTION("""COMPUTED_VALUE"""),"")</f>
        <v/>
      </c>
      <c r="I209" s="472" t="str">
        <f ca="1">IFERROR(__xludf.DUMMYFUNCTION("""COMPUTED_VALUE"""),"")</f>
        <v/>
      </c>
      <c r="J209" s="472" t="str">
        <f ca="1">IFERROR(__xludf.DUMMYFUNCTION("""COMPUTED_VALUE"""),"")</f>
        <v/>
      </c>
    </row>
    <row r="210" spans="1:10" ht="15.75">
      <c r="A210" s="472" t="str">
        <f ca="1">IFERROR(__xludf.DUMMYFUNCTION("""COMPUTED_VALUE"""),"")</f>
        <v/>
      </c>
      <c r="B210" s="472" t="str">
        <f ca="1">IFERROR(__xludf.DUMMYFUNCTION("""COMPUTED_VALUE"""),"")</f>
        <v/>
      </c>
      <c r="C210" s="472" t="str">
        <f ca="1">IFERROR(__xludf.DUMMYFUNCTION("""COMPUTED_VALUE"""),"")</f>
        <v/>
      </c>
      <c r="D210" s="472" t="str">
        <f ca="1">IFERROR(__xludf.DUMMYFUNCTION("""COMPUTED_VALUE"""),"")</f>
        <v/>
      </c>
      <c r="E210" s="472" t="str">
        <f ca="1">IFERROR(__xludf.DUMMYFUNCTION("""COMPUTED_VALUE"""),"")</f>
        <v/>
      </c>
      <c r="F210" s="472" t="str">
        <f ca="1">IFERROR(__xludf.DUMMYFUNCTION("""COMPUTED_VALUE"""),"")</f>
        <v/>
      </c>
      <c r="G210" s="472" t="str">
        <f ca="1">IFERROR(__xludf.DUMMYFUNCTION("""COMPUTED_VALUE"""),"")</f>
        <v/>
      </c>
      <c r="H210" s="472" t="str">
        <f ca="1">IFERROR(__xludf.DUMMYFUNCTION("""COMPUTED_VALUE"""),"")</f>
        <v/>
      </c>
      <c r="I210" s="472" t="str">
        <f ca="1">IFERROR(__xludf.DUMMYFUNCTION("""COMPUTED_VALUE"""),"")</f>
        <v/>
      </c>
      <c r="J210" s="472" t="str">
        <f ca="1">IFERROR(__xludf.DUMMYFUNCTION("""COMPUTED_VALUE"""),"")</f>
        <v/>
      </c>
    </row>
    <row r="211" spans="1:10" ht="15.75">
      <c r="A211" s="472" t="str">
        <f ca="1">IFERROR(__xludf.DUMMYFUNCTION("""COMPUTED_VALUE"""),"")</f>
        <v/>
      </c>
      <c r="B211" s="472" t="str">
        <f ca="1">IFERROR(__xludf.DUMMYFUNCTION("""COMPUTED_VALUE"""),"")</f>
        <v/>
      </c>
      <c r="C211" s="472" t="str">
        <f ca="1">IFERROR(__xludf.DUMMYFUNCTION("""COMPUTED_VALUE"""),"")</f>
        <v/>
      </c>
      <c r="D211" s="472" t="str">
        <f ca="1">IFERROR(__xludf.DUMMYFUNCTION("""COMPUTED_VALUE"""),"")</f>
        <v/>
      </c>
      <c r="E211" s="472" t="str">
        <f ca="1">IFERROR(__xludf.DUMMYFUNCTION("""COMPUTED_VALUE"""),"")</f>
        <v/>
      </c>
      <c r="F211" s="472" t="str">
        <f ca="1">IFERROR(__xludf.DUMMYFUNCTION("""COMPUTED_VALUE"""),"")</f>
        <v/>
      </c>
      <c r="G211" s="472" t="str">
        <f ca="1">IFERROR(__xludf.DUMMYFUNCTION("""COMPUTED_VALUE"""),"")</f>
        <v/>
      </c>
      <c r="H211" s="472" t="str">
        <f ca="1">IFERROR(__xludf.DUMMYFUNCTION("""COMPUTED_VALUE"""),"")</f>
        <v/>
      </c>
      <c r="I211" s="472" t="str">
        <f ca="1">IFERROR(__xludf.DUMMYFUNCTION("""COMPUTED_VALUE"""),"")</f>
        <v/>
      </c>
      <c r="J211" s="472" t="str">
        <f ca="1">IFERROR(__xludf.DUMMYFUNCTION("""COMPUTED_VALUE"""),"")</f>
        <v/>
      </c>
    </row>
    <row r="212" spans="1:10" ht="15.75">
      <c r="A212" s="472" t="str">
        <f ca="1">IFERROR(__xludf.DUMMYFUNCTION("""COMPUTED_VALUE"""),"")</f>
        <v/>
      </c>
      <c r="B212" s="472" t="str">
        <f ca="1">IFERROR(__xludf.DUMMYFUNCTION("""COMPUTED_VALUE"""),"")</f>
        <v/>
      </c>
      <c r="C212" s="472" t="str">
        <f ca="1">IFERROR(__xludf.DUMMYFUNCTION("""COMPUTED_VALUE"""),"")</f>
        <v/>
      </c>
      <c r="D212" s="472" t="str">
        <f ca="1">IFERROR(__xludf.DUMMYFUNCTION("""COMPUTED_VALUE"""),"")</f>
        <v/>
      </c>
      <c r="E212" s="472" t="str">
        <f ca="1">IFERROR(__xludf.DUMMYFUNCTION("""COMPUTED_VALUE"""),"")</f>
        <v/>
      </c>
      <c r="F212" s="472" t="str">
        <f ca="1">IFERROR(__xludf.DUMMYFUNCTION("""COMPUTED_VALUE"""),"")</f>
        <v/>
      </c>
      <c r="G212" s="472" t="str">
        <f ca="1">IFERROR(__xludf.DUMMYFUNCTION("""COMPUTED_VALUE"""),"")</f>
        <v/>
      </c>
      <c r="H212" s="472" t="str">
        <f ca="1">IFERROR(__xludf.DUMMYFUNCTION("""COMPUTED_VALUE"""),"")</f>
        <v/>
      </c>
      <c r="I212" s="472" t="str">
        <f ca="1">IFERROR(__xludf.DUMMYFUNCTION("""COMPUTED_VALUE"""),"")</f>
        <v/>
      </c>
      <c r="J212" s="472" t="str">
        <f ca="1">IFERROR(__xludf.DUMMYFUNCTION("""COMPUTED_VALUE"""),"")</f>
        <v/>
      </c>
    </row>
    <row r="213" spans="1:10" ht="15.75">
      <c r="A213" s="472" t="str">
        <f ca="1">IFERROR(__xludf.DUMMYFUNCTION("""COMPUTED_VALUE"""),"")</f>
        <v/>
      </c>
      <c r="B213" s="472" t="str">
        <f ca="1">IFERROR(__xludf.DUMMYFUNCTION("""COMPUTED_VALUE"""),"")</f>
        <v/>
      </c>
      <c r="C213" s="472" t="str">
        <f ca="1">IFERROR(__xludf.DUMMYFUNCTION("""COMPUTED_VALUE"""),"")</f>
        <v/>
      </c>
      <c r="D213" s="472" t="str">
        <f ca="1">IFERROR(__xludf.DUMMYFUNCTION("""COMPUTED_VALUE"""),"")</f>
        <v/>
      </c>
      <c r="E213" s="472" t="str">
        <f ca="1">IFERROR(__xludf.DUMMYFUNCTION("""COMPUTED_VALUE"""),"")</f>
        <v/>
      </c>
      <c r="F213" s="472" t="str">
        <f ca="1">IFERROR(__xludf.DUMMYFUNCTION("""COMPUTED_VALUE"""),"")</f>
        <v/>
      </c>
      <c r="G213" s="472" t="str">
        <f ca="1">IFERROR(__xludf.DUMMYFUNCTION("""COMPUTED_VALUE"""),"")</f>
        <v/>
      </c>
      <c r="H213" s="472" t="str">
        <f ca="1">IFERROR(__xludf.DUMMYFUNCTION("""COMPUTED_VALUE"""),"")</f>
        <v/>
      </c>
      <c r="I213" s="472" t="str">
        <f ca="1">IFERROR(__xludf.DUMMYFUNCTION("""COMPUTED_VALUE"""),"")</f>
        <v/>
      </c>
      <c r="J213" s="472" t="str">
        <f ca="1">IFERROR(__xludf.DUMMYFUNCTION("""COMPUTED_VALUE"""),"")</f>
        <v/>
      </c>
    </row>
    <row r="214" spans="1:10" ht="15.75">
      <c r="A214" s="472" t="str">
        <f ca="1">IFERROR(__xludf.DUMMYFUNCTION("""COMPUTED_VALUE"""),"")</f>
        <v/>
      </c>
      <c r="B214" s="472" t="str">
        <f ca="1">IFERROR(__xludf.DUMMYFUNCTION("""COMPUTED_VALUE"""),"")</f>
        <v/>
      </c>
      <c r="C214" s="472" t="str">
        <f ca="1">IFERROR(__xludf.DUMMYFUNCTION("""COMPUTED_VALUE"""),"")</f>
        <v/>
      </c>
      <c r="D214" s="472" t="str">
        <f ca="1">IFERROR(__xludf.DUMMYFUNCTION("""COMPUTED_VALUE"""),"")</f>
        <v/>
      </c>
      <c r="E214" s="472" t="str">
        <f ca="1">IFERROR(__xludf.DUMMYFUNCTION("""COMPUTED_VALUE"""),"")</f>
        <v/>
      </c>
      <c r="F214" s="472" t="str">
        <f ca="1">IFERROR(__xludf.DUMMYFUNCTION("""COMPUTED_VALUE"""),"")</f>
        <v/>
      </c>
      <c r="G214" s="472" t="str">
        <f ca="1">IFERROR(__xludf.DUMMYFUNCTION("""COMPUTED_VALUE"""),"")</f>
        <v/>
      </c>
      <c r="H214" s="472" t="str">
        <f ca="1">IFERROR(__xludf.DUMMYFUNCTION("""COMPUTED_VALUE"""),"")</f>
        <v/>
      </c>
      <c r="I214" s="472" t="str">
        <f ca="1">IFERROR(__xludf.DUMMYFUNCTION("""COMPUTED_VALUE"""),"")</f>
        <v/>
      </c>
      <c r="J214" s="472" t="str">
        <f ca="1">IFERROR(__xludf.DUMMYFUNCTION("""COMPUTED_VALUE"""),"")</f>
        <v/>
      </c>
    </row>
    <row r="215" spans="1:10" ht="15.75">
      <c r="A215" s="472" t="str">
        <f ca="1">IFERROR(__xludf.DUMMYFUNCTION("""COMPUTED_VALUE"""),"")</f>
        <v/>
      </c>
      <c r="B215" s="472" t="str">
        <f ca="1">IFERROR(__xludf.DUMMYFUNCTION("""COMPUTED_VALUE"""),"")</f>
        <v/>
      </c>
      <c r="C215" s="472" t="str">
        <f ca="1">IFERROR(__xludf.DUMMYFUNCTION("""COMPUTED_VALUE"""),"")</f>
        <v/>
      </c>
      <c r="D215" s="472" t="str">
        <f ca="1">IFERROR(__xludf.DUMMYFUNCTION("""COMPUTED_VALUE"""),"")</f>
        <v/>
      </c>
      <c r="E215" s="472" t="str">
        <f ca="1">IFERROR(__xludf.DUMMYFUNCTION("""COMPUTED_VALUE"""),"")</f>
        <v/>
      </c>
      <c r="F215" s="472" t="str">
        <f ca="1">IFERROR(__xludf.DUMMYFUNCTION("""COMPUTED_VALUE"""),"")</f>
        <v/>
      </c>
      <c r="G215" s="472" t="str">
        <f ca="1">IFERROR(__xludf.DUMMYFUNCTION("""COMPUTED_VALUE"""),"")</f>
        <v/>
      </c>
      <c r="H215" s="472" t="str">
        <f ca="1">IFERROR(__xludf.DUMMYFUNCTION("""COMPUTED_VALUE"""),"")</f>
        <v/>
      </c>
      <c r="I215" s="472" t="str">
        <f ca="1">IFERROR(__xludf.DUMMYFUNCTION("""COMPUTED_VALUE"""),"")</f>
        <v/>
      </c>
      <c r="J215" s="472" t="str">
        <f ca="1">IFERROR(__xludf.DUMMYFUNCTION("""COMPUTED_VALUE"""),"")</f>
        <v/>
      </c>
    </row>
    <row r="216" spans="1:10" ht="15.75">
      <c r="A216" s="472" t="str">
        <f ca="1">IFERROR(__xludf.DUMMYFUNCTION("""COMPUTED_VALUE"""),"")</f>
        <v/>
      </c>
      <c r="B216" s="472" t="str">
        <f ca="1">IFERROR(__xludf.DUMMYFUNCTION("""COMPUTED_VALUE"""),"")</f>
        <v/>
      </c>
      <c r="C216" s="472" t="str">
        <f ca="1">IFERROR(__xludf.DUMMYFUNCTION("""COMPUTED_VALUE"""),"")</f>
        <v/>
      </c>
      <c r="D216" s="472" t="str">
        <f ca="1">IFERROR(__xludf.DUMMYFUNCTION("""COMPUTED_VALUE"""),"")</f>
        <v/>
      </c>
      <c r="E216" s="472" t="str">
        <f ca="1">IFERROR(__xludf.DUMMYFUNCTION("""COMPUTED_VALUE"""),"")</f>
        <v/>
      </c>
      <c r="F216" s="472" t="str">
        <f ca="1">IFERROR(__xludf.DUMMYFUNCTION("""COMPUTED_VALUE"""),"")</f>
        <v/>
      </c>
      <c r="G216" s="472" t="str">
        <f ca="1">IFERROR(__xludf.DUMMYFUNCTION("""COMPUTED_VALUE"""),"")</f>
        <v/>
      </c>
      <c r="H216" s="472" t="str">
        <f ca="1">IFERROR(__xludf.DUMMYFUNCTION("""COMPUTED_VALUE"""),"")</f>
        <v/>
      </c>
      <c r="I216" s="472" t="str">
        <f ca="1">IFERROR(__xludf.DUMMYFUNCTION("""COMPUTED_VALUE"""),"")</f>
        <v/>
      </c>
      <c r="J216" s="472" t="str">
        <f ca="1">IFERROR(__xludf.DUMMYFUNCTION("""COMPUTED_VALUE"""),"")</f>
        <v/>
      </c>
    </row>
    <row r="217" spans="1:10" ht="15.75">
      <c r="A217" s="472" t="str">
        <f ca="1">IFERROR(__xludf.DUMMYFUNCTION("""COMPUTED_VALUE"""),"")</f>
        <v/>
      </c>
      <c r="B217" s="472" t="str">
        <f ca="1">IFERROR(__xludf.DUMMYFUNCTION("""COMPUTED_VALUE"""),"")</f>
        <v/>
      </c>
      <c r="C217" s="472" t="str">
        <f ca="1">IFERROR(__xludf.DUMMYFUNCTION("""COMPUTED_VALUE"""),"")</f>
        <v/>
      </c>
      <c r="D217" s="472" t="str">
        <f ca="1">IFERROR(__xludf.DUMMYFUNCTION("""COMPUTED_VALUE"""),"")</f>
        <v/>
      </c>
      <c r="E217" s="472" t="str">
        <f ca="1">IFERROR(__xludf.DUMMYFUNCTION("""COMPUTED_VALUE"""),"")</f>
        <v/>
      </c>
      <c r="F217" s="472" t="str">
        <f ca="1">IFERROR(__xludf.DUMMYFUNCTION("""COMPUTED_VALUE"""),"")</f>
        <v/>
      </c>
      <c r="G217" s="472" t="str">
        <f ca="1">IFERROR(__xludf.DUMMYFUNCTION("""COMPUTED_VALUE"""),"")</f>
        <v/>
      </c>
      <c r="H217" s="472" t="str">
        <f ca="1">IFERROR(__xludf.DUMMYFUNCTION("""COMPUTED_VALUE"""),"")</f>
        <v/>
      </c>
      <c r="I217" s="472" t="str">
        <f ca="1">IFERROR(__xludf.DUMMYFUNCTION("""COMPUTED_VALUE"""),"")</f>
        <v/>
      </c>
      <c r="J217" s="472" t="str">
        <f ca="1">IFERROR(__xludf.DUMMYFUNCTION("""COMPUTED_VALUE"""),"")</f>
        <v/>
      </c>
    </row>
    <row r="218" spans="1:10" ht="15.75">
      <c r="A218" s="472" t="str">
        <f ca="1">IFERROR(__xludf.DUMMYFUNCTION("""COMPUTED_VALUE"""),"")</f>
        <v/>
      </c>
      <c r="B218" s="472" t="str">
        <f ca="1">IFERROR(__xludf.DUMMYFUNCTION("""COMPUTED_VALUE"""),"")</f>
        <v/>
      </c>
      <c r="C218" s="472" t="str">
        <f ca="1">IFERROR(__xludf.DUMMYFUNCTION("""COMPUTED_VALUE"""),"")</f>
        <v/>
      </c>
      <c r="D218" s="472" t="str">
        <f ca="1">IFERROR(__xludf.DUMMYFUNCTION("""COMPUTED_VALUE"""),"")</f>
        <v/>
      </c>
      <c r="E218" s="472" t="str">
        <f ca="1">IFERROR(__xludf.DUMMYFUNCTION("""COMPUTED_VALUE"""),"")</f>
        <v/>
      </c>
      <c r="F218" s="472" t="str">
        <f ca="1">IFERROR(__xludf.DUMMYFUNCTION("""COMPUTED_VALUE"""),"")</f>
        <v/>
      </c>
      <c r="G218" s="472" t="str">
        <f ca="1">IFERROR(__xludf.DUMMYFUNCTION("""COMPUTED_VALUE"""),"")</f>
        <v/>
      </c>
      <c r="H218" s="472" t="str">
        <f ca="1">IFERROR(__xludf.DUMMYFUNCTION("""COMPUTED_VALUE"""),"")</f>
        <v/>
      </c>
      <c r="I218" s="472" t="str">
        <f ca="1">IFERROR(__xludf.DUMMYFUNCTION("""COMPUTED_VALUE"""),"")</f>
        <v/>
      </c>
      <c r="J218" s="472" t="str">
        <f ca="1">IFERROR(__xludf.DUMMYFUNCTION("""COMPUTED_VALUE"""),"")</f>
        <v/>
      </c>
    </row>
    <row r="219" spans="1:10" ht="15.75">
      <c r="A219" s="472" t="str">
        <f ca="1">IFERROR(__xludf.DUMMYFUNCTION("""COMPUTED_VALUE"""),"")</f>
        <v/>
      </c>
      <c r="B219" s="472" t="str">
        <f ca="1">IFERROR(__xludf.DUMMYFUNCTION("""COMPUTED_VALUE"""),"")</f>
        <v/>
      </c>
      <c r="C219" s="472" t="str">
        <f ca="1">IFERROR(__xludf.DUMMYFUNCTION("""COMPUTED_VALUE"""),"")</f>
        <v/>
      </c>
      <c r="D219" s="472" t="str">
        <f ca="1">IFERROR(__xludf.DUMMYFUNCTION("""COMPUTED_VALUE"""),"")</f>
        <v/>
      </c>
      <c r="E219" s="472" t="str">
        <f ca="1">IFERROR(__xludf.DUMMYFUNCTION("""COMPUTED_VALUE"""),"")</f>
        <v/>
      </c>
      <c r="F219" s="472" t="str">
        <f ca="1">IFERROR(__xludf.DUMMYFUNCTION("""COMPUTED_VALUE"""),"")</f>
        <v/>
      </c>
      <c r="G219" s="472" t="str">
        <f ca="1">IFERROR(__xludf.DUMMYFUNCTION("""COMPUTED_VALUE"""),"")</f>
        <v/>
      </c>
      <c r="H219" s="472" t="str">
        <f ca="1">IFERROR(__xludf.DUMMYFUNCTION("""COMPUTED_VALUE"""),"")</f>
        <v/>
      </c>
      <c r="I219" s="472" t="str">
        <f ca="1">IFERROR(__xludf.DUMMYFUNCTION("""COMPUTED_VALUE"""),"")</f>
        <v/>
      </c>
      <c r="J219" s="472" t="str">
        <f ca="1">IFERROR(__xludf.DUMMYFUNCTION("""COMPUTED_VALUE"""),"")</f>
        <v/>
      </c>
    </row>
    <row r="220" spans="1:10" ht="15.75">
      <c r="A220" s="472" t="str">
        <f ca="1">IFERROR(__xludf.DUMMYFUNCTION("""COMPUTED_VALUE"""),"")</f>
        <v/>
      </c>
      <c r="B220" s="472" t="str">
        <f ca="1">IFERROR(__xludf.DUMMYFUNCTION("""COMPUTED_VALUE"""),"")</f>
        <v/>
      </c>
      <c r="C220" s="472" t="str">
        <f ca="1">IFERROR(__xludf.DUMMYFUNCTION("""COMPUTED_VALUE"""),"")</f>
        <v/>
      </c>
      <c r="D220" s="472" t="str">
        <f ca="1">IFERROR(__xludf.DUMMYFUNCTION("""COMPUTED_VALUE"""),"")</f>
        <v/>
      </c>
      <c r="E220" s="472" t="str">
        <f ca="1">IFERROR(__xludf.DUMMYFUNCTION("""COMPUTED_VALUE"""),"")</f>
        <v/>
      </c>
      <c r="F220" s="472" t="str">
        <f ca="1">IFERROR(__xludf.DUMMYFUNCTION("""COMPUTED_VALUE"""),"")</f>
        <v/>
      </c>
      <c r="G220" s="472" t="str">
        <f ca="1">IFERROR(__xludf.DUMMYFUNCTION("""COMPUTED_VALUE"""),"")</f>
        <v/>
      </c>
      <c r="H220" s="472" t="str">
        <f ca="1">IFERROR(__xludf.DUMMYFUNCTION("""COMPUTED_VALUE"""),"")</f>
        <v/>
      </c>
      <c r="I220" s="472" t="str">
        <f ca="1">IFERROR(__xludf.DUMMYFUNCTION("""COMPUTED_VALUE"""),"")</f>
        <v/>
      </c>
      <c r="J220" s="472" t="str">
        <f ca="1">IFERROR(__xludf.DUMMYFUNCTION("""COMPUTED_VALUE"""),"")</f>
        <v/>
      </c>
    </row>
    <row r="221" spans="1:10" ht="15.75">
      <c r="A221" s="472" t="str">
        <f ca="1">IFERROR(__xludf.DUMMYFUNCTION("""COMPUTED_VALUE"""),"")</f>
        <v/>
      </c>
      <c r="B221" s="472" t="str">
        <f ca="1">IFERROR(__xludf.DUMMYFUNCTION("""COMPUTED_VALUE"""),"")</f>
        <v/>
      </c>
      <c r="C221" s="472" t="str">
        <f ca="1">IFERROR(__xludf.DUMMYFUNCTION("""COMPUTED_VALUE"""),"")</f>
        <v/>
      </c>
      <c r="D221" s="472" t="str">
        <f ca="1">IFERROR(__xludf.DUMMYFUNCTION("""COMPUTED_VALUE"""),"")</f>
        <v/>
      </c>
      <c r="E221" s="472" t="str">
        <f ca="1">IFERROR(__xludf.DUMMYFUNCTION("""COMPUTED_VALUE"""),"")</f>
        <v/>
      </c>
      <c r="F221" s="472" t="str">
        <f ca="1">IFERROR(__xludf.DUMMYFUNCTION("""COMPUTED_VALUE"""),"")</f>
        <v/>
      </c>
      <c r="G221" s="472" t="str">
        <f ca="1">IFERROR(__xludf.DUMMYFUNCTION("""COMPUTED_VALUE"""),"")</f>
        <v/>
      </c>
      <c r="H221" s="472" t="str">
        <f ca="1">IFERROR(__xludf.DUMMYFUNCTION("""COMPUTED_VALUE"""),"")</f>
        <v/>
      </c>
      <c r="I221" s="472" t="str">
        <f ca="1">IFERROR(__xludf.DUMMYFUNCTION("""COMPUTED_VALUE"""),"")</f>
        <v/>
      </c>
      <c r="J221" s="472" t="str">
        <f ca="1">IFERROR(__xludf.DUMMYFUNCTION("""COMPUTED_VALUE"""),"")</f>
        <v/>
      </c>
    </row>
    <row r="222" spans="1:10" ht="15.75">
      <c r="A222" s="472" t="str">
        <f ca="1">IFERROR(__xludf.DUMMYFUNCTION("""COMPUTED_VALUE"""),"")</f>
        <v/>
      </c>
      <c r="B222" s="472" t="str">
        <f ca="1">IFERROR(__xludf.DUMMYFUNCTION("""COMPUTED_VALUE"""),"")</f>
        <v/>
      </c>
      <c r="C222" s="472" t="str">
        <f ca="1">IFERROR(__xludf.DUMMYFUNCTION("""COMPUTED_VALUE"""),"")</f>
        <v/>
      </c>
      <c r="D222" s="472" t="str">
        <f ca="1">IFERROR(__xludf.DUMMYFUNCTION("""COMPUTED_VALUE"""),"")</f>
        <v/>
      </c>
      <c r="E222" s="472" t="str">
        <f ca="1">IFERROR(__xludf.DUMMYFUNCTION("""COMPUTED_VALUE"""),"")</f>
        <v/>
      </c>
      <c r="F222" s="472" t="str">
        <f ca="1">IFERROR(__xludf.DUMMYFUNCTION("""COMPUTED_VALUE"""),"")</f>
        <v/>
      </c>
      <c r="G222" s="472" t="str">
        <f ca="1">IFERROR(__xludf.DUMMYFUNCTION("""COMPUTED_VALUE"""),"")</f>
        <v/>
      </c>
      <c r="H222" s="472" t="str">
        <f ca="1">IFERROR(__xludf.DUMMYFUNCTION("""COMPUTED_VALUE"""),"")</f>
        <v/>
      </c>
      <c r="I222" s="472" t="str">
        <f ca="1">IFERROR(__xludf.DUMMYFUNCTION("""COMPUTED_VALUE"""),"")</f>
        <v/>
      </c>
      <c r="J222" s="472" t="str">
        <f ca="1">IFERROR(__xludf.DUMMYFUNCTION("""COMPUTED_VALUE"""),"")</f>
        <v/>
      </c>
    </row>
    <row r="223" spans="1:10" ht="15.75">
      <c r="A223" s="472" t="str">
        <f ca="1">IFERROR(__xludf.DUMMYFUNCTION("""COMPUTED_VALUE"""),"")</f>
        <v/>
      </c>
      <c r="B223" s="472" t="str">
        <f ca="1">IFERROR(__xludf.DUMMYFUNCTION("""COMPUTED_VALUE"""),"")</f>
        <v/>
      </c>
      <c r="C223" s="472" t="str">
        <f ca="1">IFERROR(__xludf.DUMMYFUNCTION("""COMPUTED_VALUE"""),"")</f>
        <v/>
      </c>
      <c r="D223" s="472" t="str">
        <f ca="1">IFERROR(__xludf.DUMMYFUNCTION("""COMPUTED_VALUE"""),"")</f>
        <v/>
      </c>
      <c r="E223" s="472" t="str">
        <f ca="1">IFERROR(__xludf.DUMMYFUNCTION("""COMPUTED_VALUE"""),"")</f>
        <v/>
      </c>
      <c r="F223" s="472" t="str">
        <f ca="1">IFERROR(__xludf.DUMMYFUNCTION("""COMPUTED_VALUE"""),"")</f>
        <v/>
      </c>
      <c r="G223" s="472" t="str">
        <f ca="1">IFERROR(__xludf.DUMMYFUNCTION("""COMPUTED_VALUE"""),"")</f>
        <v/>
      </c>
      <c r="H223" s="472" t="str">
        <f ca="1">IFERROR(__xludf.DUMMYFUNCTION("""COMPUTED_VALUE"""),"")</f>
        <v/>
      </c>
      <c r="I223" s="472" t="str">
        <f ca="1">IFERROR(__xludf.DUMMYFUNCTION("""COMPUTED_VALUE"""),"")</f>
        <v/>
      </c>
      <c r="J223" s="472" t="str">
        <f ca="1">IFERROR(__xludf.DUMMYFUNCTION("""COMPUTED_VALUE"""),"")</f>
        <v/>
      </c>
    </row>
    <row r="224" spans="1:10" ht="15.75">
      <c r="A224" s="472" t="str">
        <f ca="1">IFERROR(__xludf.DUMMYFUNCTION("""COMPUTED_VALUE"""),"")</f>
        <v/>
      </c>
      <c r="B224" s="472" t="str">
        <f ca="1">IFERROR(__xludf.DUMMYFUNCTION("""COMPUTED_VALUE"""),"")</f>
        <v/>
      </c>
      <c r="C224" s="472" t="str">
        <f ca="1">IFERROR(__xludf.DUMMYFUNCTION("""COMPUTED_VALUE"""),"")</f>
        <v/>
      </c>
      <c r="D224" s="472" t="str">
        <f ca="1">IFERROR(__xludf.DUMMYFUNCTION("""COMPUTED_VALUE"""),"")</f>
        <v/>
      </c>
      <c r="E224" s="472" t="str">
        <f ca="1">IFERROR(__xludf.DUMMYFUNCTION("""COMPUTED_VALUE"""),"")</f>
        <v/>
      </c>
      <c r="F224" s="472" t="str">
        <f ca="1">IFERROR(__xludf.DUMMYFUNCTION("""COMPUTED_VALUE"""),"")</f>
        <v/>
      </c>
      <c r="G224" s="472" t="str">
        <f ca="1">IFERROR(__xludf.DUMMYFUNCTION("""COMPUTED_VALUE"""),"")</f>
        <v/>
      </c>
      <c r="H224" s="472" t="str">
        <f ca="1">IFERROR(__xludf.DUMMYFUNCTION("""COMPUTED_VALUE"""),"")</f>
        <v/>
      </c>
      <c r="I224" s="472" t="str">
        <f ca="1">IFERROR(__xludf.DUMMYFUNCTION("""COMPUTED_VALUE"""),"")</f>
        <v/>
      </c>
      <c r="J224" s="472" t="str">
        <f ca="1">IFERROR(__xludf.DUMMYFUNCTION("""COMPUTED_VALUE"""),"")</f>
        <v/>
      </c>
    </row>
    <row r="225" spans="1:10" ht="15.75">
      <c r="A225" s="472" t="str">
        <f ca="1">IFERROR(__xludf.DUMMYFUNCTION("""COMPUTED_VALUE"""),"")</f>
        <v/>
      </c>
      <c r="B225" s="472" t="str">
        <f ca="1">IFERROR(__xludf.DUMMYFUNCTION("""COMPUTED_VALUE"""),"")</f>
        <v/>
      </c>
      <c r="C225" s="472" t="str">
        <f ca="1">IFERROR(__xludf.DUMMYFUNCTION("""COMPUTED_VALUE"""),"")</f>
        <v/>
      </c>
      <c r="D225" s="472" t="str">
        <f ca="1">IFERROR(__xludf.DUMMYFUNCTION("""COMPUTED_VALUE"""),"")</f>
        <v/>
      </c>
      <c r="E225" s="472" t="str">
        <f ca="1">IFERROR(__xludf.DUMMYFUNCTION("""COMPUTED_VALUE"""),"")</f>
        <v/>
      </c>
      <c r="F225" s="472" t="str">
        <f ca="1">IFERROR(__xludf.DUMMYFUNCTION("""COMPUTED_VALUE"""),"")</f>
        <v/>
      </c>
      <c r="G225" s="472" t="str">
        <f ca="1">IFERROR(__xludf.DUMMYFUNCTION("""COMPUTED_VALUE"""),"")</f>
        <v/>
      </c>
      <c r="H225" s="472" t="str">
        <f ca="1">IFERROR(__xludf.DUMMYFUNCTION("""COMPUTED_VALUE"""),"")</f>
        <v/>
      </c>
      <c r="I225" s="472" t="str">
        <f ca="1">IFERROR(__xludf.DUMMYFUNCTION("""COMPUTED_VALUE"""),"")</f>
        <v/>
      </c>
      <c r="J225" s="472" t="str">
        <f ca="1">IFERROR(__xludf.DUMMYFUNCTION("""COMPUTED_VALUE"""),"")</f>
        <v/>
      </c>
    </row>
    <row r="226" spans="1:10" ht="15.75">
      <c r="A226" s="472" t="str">
        <f ca="1">IFERROR(__xludf.DUMMYFUNCTION("""COMPUTED_VALUE"""),"")</f>
        <v/>
      </c>
      <c r="B226" s="472" t="str">
        <f ca="1">IFERROR(__xludf.DUMMYFUNCTION("""COMPUTED_VALUE"""),"")</f>
        <v/>
      </c>
      <c r="C226" s="472" t="str">
        <f ca="1">IFERROR(__xludf.DUMMYFUNCTION("""COMPUTED_VALUE"""),"")</f>
        <v/>
      </c>
      <c r="D226" s="472" t="str">
        <f ca="1">IFERROR(__xludf.DUMMYFUNCTION("""COMPUTED_VALUE"""),"")</f>
        <v/>
      </c>
      <c r="E226" s="472" t="str">
        <f ca="1">IFERROR(__xludf.DUMMYFUNCTION("""COMPUTED_VALUE"""),"")</f>
        <v/>
      </c>
      <c r="F226" s="472" t="str">
        <f ca="1">IFERROR(__xludf.DUMMYFUNCTION("""COMPUTED_VALUE"""),"")</f>
        <v/>
      </c>
      <c r="G226" s="472" t="str">
        <f ca="1">IFERROR(__xludf.DUMMYFUNCTION("""COMPUTED_VALUE"""),"")</f>
        <v/>
      </c>
      <c r="H226" s="472" t="str">
        <f ca="1">IFERROR(__xludf.DUMMYFUNCTION("""COMPUTED_VALUE"""),"")</f>
        <v/>
      </c>
      <c r="I226" s="472" t="str">
        <f ca="1">IFERROR(__xludf.DUMMYFUNCTION("""COMPUTED_VALUE"""),"")</f>
        <v/>
      </c>
      <c r="J226" s="472" t="str">
        <f ca="1">IFERROR(__xludf.DUMMYFUNCTION("""COMPUTED_VALUE"""),"")</f>
        <v/>
      </c>
    </row>
    <row r="227" spans="1:10" ht="15.75">
      <c r="A227" s="472" t="str">
        <f ca="1">IFERROR(__xludf.DUMMYFUNCTION("""COMPUTED_VALUE"""),"")</f>
        <v/>
      </c>
      <c r="B227" s="472" t="str">
        <f ca="1">IFERROR(__xludf.DUMMYFUNCTION("""COMPUTED_VALUE"""),"")</f>
        <v/>
      </c>
      <c r="C227" s="472" t="str">
        <f ca="1">IFERROR(__xludf.DUMMYFUNCTION("""COMPUTED_VALUE"""),"")</f>
        <v/>
      </c>
      <c r="D227" s="472" t="str">
        <f ca="1">IFERROR(__xludf.DUMMYFUNCTION("""COMPUTED_VALUE"""),"")</f>
        <v/>
      </c>
      <c r="E227" s="472" t="str">
        <f ca="1">IFERROR(__xludf.DUMMYFUNCTION("""COMPUTED_VALUE"""),"")</f>
        <v/>
      </c>
      <c r="F227" s="472" t="str">
        <f ca="1">IFERROR(__xludf.DUMMYFUNCTION("""COMPUTED_VALUE"""),"")</f>
        <v/>
      </c>
      <c r="G227" s="472" t="str">
        <f ca="1">IFERROR(__xludf.DUMMYFUNCTION("""COMPUTED_VALUE"""),"")</f>
        <v/>
      </c>
      <c r="H227" s="472" t="str">
        <f ca="1">IFERROR(__xludf.DUMMYFUNCTION("""COMPUTED_VALUE"""),"")</f>
        <v/>
      </c>
      <c r="I227" s="472" t="str">
        <f ca="1">IFERROR(__xludf.DUMMYFUNCTION("""COMPUTED_VALUE"""),"")</f>
        <v/>
      </c>
      <c r="J227" s="472" t="str">
        <f ca="1">IFERROR(__xludf.DUMMYFUNCTION("""COMPUTED_VALUE"""),"")</f>
        <v/>
      </c>
    </row>
    <row r="228" spans="1:10" ht="15.75">
      <c r="A228" s="472" t="str">
        <f ca="1">IFERROR(__xludf.DUMMYFUNCTION("""COMPUTED_VALUE"""),"")</f>
        <v/>
      </c>
      <c r="B228" s="472" t="str">
        <f ca="1">IFERROR(__xludf.DUMMYFUNCTION("""COMPUTED_VALUE"""),"")</f>
        <v/>
      </c>
      <c r="C228" s="472" t="str">
        <f ca="1">IFERROR(__xludf.DUMMYFUNCTION("""COMPUTED_VALUE"""),"")</f>
        <v/>
      </c>
      <c r="D228" s="472" t="str">
        <f ca="1">IFERROR(__xludf.DUMMYFUNCTION("""COMPUTED_VALUE"""),"")</f>
        <v/>
      </c>
      <c r="E228" s="472" t="str">
        <f ca="1">IFERROR(__xludf.DUMMYFUNCTION("""COMPUTED_VALUE"""),"")</f>
        <v/>
      </c>
      <c r="F228" s="472" t="str">
        <f ca="1">IFERROR(__xludf.DUMMYFUNCTION("""COMPUTED_VALUE"""),"")</f>
        <v/>
      </c>
      <c r="G228" s="472" t="str">
        <f ca="1">IFERROR(__xludf.DUMMYFUNCTION("""COMPUTED_VALUE"""),"")</f>
        <v/>
      </c>
      <c r="H228" s="472" t="str">
        <f ca="1">IFERROR(__xludf.DUMMYFUNCTION("""COMPUTED_VALUE"""),"")</f>
        <v/>
      </c>
      <c r="I228" s="472" t="str">
        <f ca="1">IFERROR(__xludf.DUMMYFUNCTION("""COMPUTED_VALUE"""),"")</f>
        <v/>
      </c>
      <c r="J228" s="472" t="str">
        <f ca="1">IFERROR(__xludf.DUMMYFUNCTION("""COMPUTED_VALUE"""),"")</f>
        <v/>
      </c>
    </row>
    <row r="229" spans="1:10" ht="15.75">
      <c r="A229" s="472" t="str">
        <f ca="1">IFERROR(__xludf.DUMMYFUNCTION("""COMPUTED_VALUE"""),"")</f>
        <v/>
      </c>
      <c r="B229" s="472" t="str">
        <f ca="1">IFERROR(__xludf.DUMMYFUNCTION("""COMPUTED_VALUE"""),"")</f>
        <v/>
      </c>
      <c r="C229" s="472" t="str">
        <f ca="1">IFERROR(__xludf.DUMMYFUNCTION("""COMPUTED_VALUE"""),"")</f>
        <v/>
      </c>
      <c r="D229" s="472" t="str">
        <f ca="1">IFERROR(__xludf.DUMMYFUNCTION("""COMPUTED_VALUE"""),"")</f>
        <v/>
      </c>
      <c r="E229" s="472" t="str">
        <f ca="1">IFERROR(__xludf.DUMMYFUNCTION("""COMPUTED_VALUE"""),"")</f>
        <v/>
      </c>
      <c r="F229" s="472" t="str">
        <f ca="1">IFERROR(__xludf.DUMMYFUNCTION("""COMPUTED_VALUE"""),"")</f>
        <v/>
      </c>
      <c r="G229" s="472" t="str">
        <f ca="1">IFERROR(__xludf.DUMMYFUNCTION("""COMPUTED_VALUE"""),"")</f>
        <v/>
      </c>
      <c r="H229" s="472" t="str">
        <f ca="1">IFERROR(__xludf.DUMMYFUNCTION("""COMPUTED_VALUE"""),"")</f>
        <v/>
      </c>
      <c r="I229" s="472" t="str">
        <f ca="1">IFERROR(__xludf.DUMMYFUNCTION("""COMPUTED_VALUE"""),"")</f>
        <v/>
      </c>
      <c r="J229" s="472" t="str">
        <f ca="1">IFERROR(__xludf.DUMMYFUNCTION("""COMPUTED_VALUE"""),"")</f>
        <v/>
      </c>
    </row>
    <row r="230" spans="1:10" ht="15.75">
      <c r="A230" s="472" t="str">
        <f ca="1">IFERROR(__xludf.DUMMYFUNCTION("""COMPUTED_VALUE"""),"")</f>
        <v/>
      </c>
      <c r="B230" s="472" t="str">
        <f ca="1">IFERROR(__xludf.DUMMYFUNCTION("""COMPUTED_VALUE"""),"")</f>
        <v/>
      </c>
      <c r="C230" s="472" t="str">
        <f ca="1">IFERROR(__xludf.DUMMYFUNCTION("""COMPUTED_VALUE"""),"")</f>
        <v/>
      </c>
      <c r="D230" s="472" t="str">
        <f ca="1">IFERROR(__xludf.DUMMYFUNCTION("""COMPUTED_VALUE"""),"")</f>
        <v/>
      </c>
      <c r="E230" s="472" t="str">
        <f ca="1">IFERROR(__xludf.DUMMYFUNCTION("""COMPUTED_VALUE"""),"")</f>
        <v/>
      </c>
      <c r="F230" s="472" t="str">
        <f ca="1">IFERROR(__xludf.DUMMYFUNCTION("""COMPUTED_VALUE"""),"")</f>
        <v/>
      </c>
      <c r="G230" s="472" t="str">
        <f ca="1">IFERROR(__xludf.DUMMYFUNCTION("""COMPUTED_VALUE"""),"")</f>
        <v/>
      </c>
      <c r="H230" s="472" t="str">
        <f ca="1">IFERROR(__xludf.DUMMYFUNCTION("""COMPUTED_VALUE"""),"")</f>
        <v/>
      </c>
      <c r="I230" s="472" t="str">
        <f ca="1">IFERROR(__xludf.DUMMYFUNCTION("""COMPUTED_VALUE"""),"")</f>
        <v/>
      </c>
      <c r="J230" s="472" t="str">
        <f ca="1">IFERROR(__xludf.DUMMYFUNCTION("""COMPUTED_VALUE"""),"")</f>
        <v/>
      </c>
    </row>
    <row r="231" spans="1:10" ht="15.75">
      <c r="A231" s="472" t="str">
        <f ca="1">IFERROR(__xludf.DUMMYFUNCTION("""COMPUTED_VALUE"""),"")</f>
        <v/>
      </c>
      <c r="B231" s="472" t="str">
        <f ca="1">IFERROR(__xludf.DUMMYFUNCTION("""COMPUTED_VALUE"""),"")</f>
        <v/>
      </c>
      <c r="C231" s="472" t="str">
        <f ca="1">IFERROR(__xludf.DUMMYFUNCTION("""COMPUTED_VALUE"""),"")</f>
        <v/>
      </c>
      <c r="D231" s="472" t="str">
        <f ca="1">IFERROR(__xludf.DUMMYFUNCTION("""COMPUTED_VALUE"""),"")</f>
        <v/>
      </c>
      <c r="E231" s="472" t="str">
        <f ca="1">IFERROR(__xludf.DUMMYFUNCTION("""COMPUTED_VALUE"""),"")</f>
        <v/>
      </c>
      <c r="F231" s="472" t="str">
        <f ca="1">IFERROR(__xludf.DUMMYFUNCTION("""COMPUTED_VALUE"""),"")</f>
        <v/>
      </c>
      <c r="G231" s="472" t="str">
        <f ca="1">IFERROR(__xludf.DUMMYFUNCTION("""COMPUTED_VALUE"""),"")</f>
        <v/>
      </c>
      <c r="H231" s="472" t="str">
        <f ca="1">IFERROR(__xludf.DUMMYFUNCTION("""COMPUTED_VALUE"""),"")</f>
        <v/>
      </c>
      <c r="I231" s="472" t="str">
        <f ca="1">IFERROR(__xludf.DUMMYFUNCTION("""COMPUTED_VALUE"""),"")</f>
        <v/>
      </c>
      <c r="J231" s="472" t="str">
        <f ca="1">IFERROR(__xludf.DUMMYFUNCTION("""COMPUTED_VALUE"""),"")</f>
        <v/>
      </c>
    </row>
    <row r="232" spans="1:10" ht="15.75">
      <c r="A232" s="472" t="str">
        <f ca="1">IFERROR(__xludf.DUMMYFUNCTION("""COMPUTED_VALUE"""),"")</f>
        <v/>
      </c>
      <c r="B232" s="472" t="str">
        <f ca="1">IFERROR(__xludf.DUMMYFUNCTION("""COMPUTED_VALUE"""),"")</f>
        <v/>
      </c>
      <c r="C232" s="472" t="str">
        <f ca="1">IFERROR(__xludf.DUMMYFUNCTION("""COMPUTED_VALUE"""),"")</f>
        <v/>
      </c>
      <c r="D232" s="472" t="str">
        <f ca="1">IFERROR(__xludf.DUMMYFUNCTION("""COMPUTED_VALUE"""),"")</f>
        <v/>
      </c>
      <c r="E232" s="472" t="str">
        <f ca="1">IFERROR(__xludf.DUMMYFUNCTION("""COMPUTED_VALUE"""),"")</f>
        <v/>
      </c>
      <c r="F232" s="472" t="str">
        <f ca="1">IFERROR(__xludf.DUMMYFUNCTION("""COMPUTED_VALUE"""),"")</f>
        <v/>
      </c>
      <c r="G232" s="472" t="str">
        <f ca="1">IFERROR(__xludf.DUMMYFUNCTION("""COMPUTED_VALUE"""),"")</f>
        <v/>
      </c>
      <c r="H232" s="472" t="str">
        <f ca="1">IFERROR(__xludf.DUMMYFUNCTION("""COMPUTED_VALUE"""),"")</f>
        <v/>
      </c>
      <c r="I232" s="472" t="str">
        <f ca="1">IFERROR(__xludf.DUMMYFUNCTION("""COMPUTED_VALUE"""),"")</f>
        <v/>
      </c>
      <c r="J232" s="472" t="str">
        <f ca="1">IFERROR(__xludf.DUMMYFUNCTION("""COMPUTED_VALUE"""),"")</f>
        <v/>
      </c>
    </row>
    <row r="233" spans="1:10" ht="15.75">
      <c r="A233" s="472" t="str">
        <f ca="1">IFERROR(__xludf.DUMMYFUNCTION("""COMPUTED_VALUE"""),"")</f>
        <v/>
      </c>
      <c r="B233" s="472" t="str">
        <f ca="1">IFERROR(__xludf.DUMMYFUNCTION("""COMPUTED_VALUE"""),"")</f>
        <v/>
      </c>
      <c r="C233" s="472" t="str">
        <f ca="1">IFERROR(__xludf.DUMMYFUNCTION("""COMPUTED_VALUE"""),"")</f>
        <v/>
      </c>
      <c r="D233" s="472" t="str">
        <f ca="1">IFERROR(__xludf.DUMMYFUNCTION("""COMPUTED_VALUE"""),"")</f>
        <v/>
      </c>
      <c r="E233" s="472" t="str">
        <f ca="1">IFERROR(__xludf.DUMMYFUNCTION("""COMPUTED_VALUE"""),"")</f>
        <v/>
      </c>
      <c r="F233" s="472" t="str">
        <f ca="1">IFERROR(__xludf.DUMMYFUNCTION("""COMPUTED_VALUE"""),"")</f>
        <v/>
      </c>
      <c r="G233" s="472" t="str">
        <f ca="1">IFERROR(__xludf.DUMMYFUNCTION("""COMPUTED_VALUE"""),"")</f>
        <v/>
      </c>
      <c r="H233" s="472" t="str">
        <f ca="1">IFERROR(__xludf.DUMMYFUNCTION("""COMPUTED_VALUE"""),"")</f>
        <v/>
      </c>
      <c r="I233" s="472" t="str">
        <f ca="1">IFERROR(__xludf.DUMMYFUNCTION("""COMPUTED_VALUE"""),"")</f>
        <v/>
      </c>
      <c r="J233" s="472" t="str">
        <f ca="1">IFERROR(__xludf.DUMMYFUNCTION("""COMPUTED_VALUE"""),"")</f>
        <v/>
      </c>
    </row>
    <row r="234" spans="1:10" ht="15.75">
      <c r="A234" s="472" t="str">
        <f ca="1">IFERROR(__xludf.DUMMYFUNCTION("""COMPUTED_VALUE"""),"")</f>
        <v/>
      </c>
      <c r="B234" s="472" t="str">
        <f ca="1">IFERROR(__xludf.DUMMYFUNCTION("""COMPUTED_VALUE"""),"")</f>
        <v/>
      </c>
      <c r="C234" s="472" t="str">
        <f ca="1">IFERROR(__xludf.DUMMYFUNCTION("""COMPUTED_VALUE"""),"")</f>
        <v/>
      </c>
      <c r="D234" s="472" t="str">
        <f ca="1">IFERROR(__xludf.DUMMYFUNCTION("""COMPUTED_VALUE"""),"")</f>
        <v/>
      </c>
      <c r="E234" s="472" t="str">
        <f ca="1">IFERROR(__xludf.DUMMYFUNCTION("""COMPUTED_VALUE"""),"")</f>
        <v/>
      </c>
      <c r="F234" s="472" t="str">
        <f ca="1">IFERROR(__xludf.DUMMYFUNCTION("""COMPUTED_VALUE"""),"")</f>
        <v/>
      </c>
      <c r="G234" s="472" t="str">
        <f ca="1">IFERROR(__xludf.DUMMYFUNCTION("""COMPUTED_VALUE"""),"")</f>
        <v/>
      </c>
      <c r="H234" s="472" t="str">
        <f ca="1">IFERROR(__xludf.DUMMYFUNCTION("""COMPUTED_VALUE"""),"")</f>
        <v/>
      </c>
      <c r="I234" s="472" t="str">
        <f ca="1">IFERROR(__xludf.DUMMYFUNCTION("""COMPUTED_VALUE"""),"")</f>
        <v/>
      </c>
      <c r="J234" s="472" t="str">
        <f ca="1">IFERROR(__xludf.DUMMYFUNCTION("""COMPUTED_VALUE"""),"")</f>
        <v/>
      </c>
    </row>
    <row r="235" spans="1:10" ht="15.75">
      <c r="A235" s="472" t="str">
        <f ca="1">IFERROR(__xludf.DUMMYFUNCTION("""COMPUTED_VALUE"""),"")</f>
        <v/>
      </c>
      <c r="B235" s="472" t="str">
        <f ca="1">IFERROR(__xludf.DUMMYFUNCTION("""COMPUTED_VALUE"""),"")</f>
        <v/>
      </c>
      <c r="C235" s="472" t="str">
        <f ca="1">IFERROR(__xludf.DUMMYFUNCTION("""COMPUTED_VALUE"""),"")</f>
        <v/>
      </c>
      <c r="D235" s="472" t="str">
        <f ca="1">IFERROR(__xludf.DUMMYFUNCTION("""COMPUTED_VALUE"""),"")</f>
        <v/>
      </c>
      <c r="E235" s="472" t="str">
        <f ca="1">IFERROR(__xludf.DUMMYFUNCTION("""COMPUTED_VALUE"""),"")</f>
        <v/>
      </c>
      <c r="F235" s="472" t="str">
        <f ca="1">IFERROR(__xludf.DUMMYFUNCTION("""COMPUTED_VALUE"""),"")</f>
        <v/>
      </c>
      <c r="G235" s="472" t="str">
        <f ca="1">IFERROR(__xludf.DUMMYFUNCTION("""COMPUTED_VALUE"""),"")</f>
        <v/>
      </c>
      <c r="H235" s="472" t="str">
        <f ca="1">IFERROR(__xludf.DUMMYFUNCTION("""COMPUTED_VALUE"""),"")</f>
        <v/>
      </c>
      <c r="I235" s="472" t="str">
        <f ca="1">IFERROR(__xludf.DUMMYFUNCTION("""COMPUTED_VALUE"""),"")</f>
        <v/>
      </c>
      <c r="J235" s="472" t="str">
        <f ca="1">IFERROR(__xludf.DUMMYFUNCTION("""COMPUTED_VALUE"""),"")</f>
        <v/>
      </c>
    </row>
    <row r="236" spans="1:10" ht="15.75">
      <c r="A236" s="472" t="str">
        <f ca="1">IFERROR(__xludf.DUMMYFUNCTION("""COMPUTED_VALUE"""),"")</f>
        <v/>
      </c>
      <c r="B236" s="472" t="str">
        <f ca="1">IFERROR(__xludf.DUMMYFUNCTION("""COMPUTED_VALUE"""),"")</f>
        <v/>
      </c>
      <c r="C236" s="472" t="str">
        <f ca="1">IFERROR(__xludf.DUMMYFUNCTION("""COMPUTED_VALUE"""),"")</f>
        <v/>
      </c>
      <c r="D236" s="472" t="str">
        <f ca="1">IFERROR(__xludf.DUMMYFUNCTION("""COMPUTED_VALUE"""),"")</f>
        <v/>
      </c>
      <c r="E236" s="472" t="str">
        <f ca="1">IFERROR(__xludf.DUMMYFUNCTION("""COMPUTED_VALUE"""),"")</f>
        <v/>
      </c>
      <c r="F236" s="472" t="str">
        <f ca="1">IFERROR(__xludf.DUMMYFUNCTION("""COMPUTED_VALUE"""),"")</f>
        <v/>
      </c>
      <c r="G236" s="472" t="str">
        <f ca="1">IFERROR(__xludf.DUMMYFUNCTION("""COMPUTED_VALUE"""),"")</f>
        <v/>
      </c>
      <c r="H236" s="472" t="str">
        <f ca="1">IFERROR(__xludf.DUMMYFUNCTION("""COMPUTED_VALUE"""),"")</f>
        <v/>
      </c>
      <c r="I236" s="472" t="str">
        <f ca="1">IFERROR(__xludf.DUMMYFUNCTION("""COMPUTED_VALUE"""),"")</f>
        <v/>
      </c>
      <c r="J236" s="472" t="str">
        <f ca="1">IFERROR(__xludf.DUMMYFUNCTION("""COMPUTED_VALUE"""),"")</f>
        <v/>
      </c>
    </row>
    <row r="237" spans="1:10" ht="15.75">
      <c r="A237" s="472" t="str">
        <f ca="1">IFERROR(__xludf.DUMMYFUNCTION("""COMPUTED_VALUE"""),"")</f>
        <v/>
      </c>
      <c r="B237" s="472" t="str">
        <f ca="1">IFERROR(__xludf.DUMMYFUNCTION("""COMPUTED_VALUE"""),"")</f>
        <v/>
      </c>
      <c r="C237" s="472" t="str">
        <f ca="1">IFERROR(__xludf.DUMMYFUNCTION("""COMPUTED_VALUE"""),"")</f>
        <v/>
      </c>
      <c r="D237" s="472" t="str">
        <f ca="1">IFERROR(__xludf.DUMMYFUNCTION("""COMPUTED_VALUE"""),"")</f>
        <v/>
      </c>
      <c r="E237" s="472" t="str">
        <f ca="1">IFERROR(__xludf.DUMMYFUNCTION("""COMPUTED_VALUE"""),"")</f>
        <v/>
      </c>
      <c r="F237" s="472" t="str">
        <f ca="1">IFERROR(__xludf.DUMMYFUNCTION("""COMPUTED_VALUE"""),"")</f>
        <v/>
      </c>
      <c r="G237" s="472" t="str">
        <f ca="1">IFERROR(__xludf.DUMMYFUNCTION("""COMPUTED_VALUE"""),"")</f>
        <v/>
      </c>
      <c r="H237" s="472" t="str">
        <f ca="1">IFERROR(__xludf.DUMMYFUNCTION("""COMPUTED_VALUE"""),"")</f>
        <v/>
      </c>
      <c r="I237" s="472" t="str">
        <f ca="1">IFERROR(__xludf.DUMMYFUNCTION("""COMPUTED_VALUE"""),"")</f>
        <v/>
      </c>
      <c r="J237" s="472" t="str">
        <f ca="1">IFERROR(__xludf.DUMMYFUNCTION("""COMPUTED_VALUE"""),"")</f>
        <v/>
      </c>
    </row>
    <row r="238" spans="1:10" ht="15.75">
      <c r="A238" s="472" t="str">
        <f ca="1">IFERROR(__xludf.DUMMYFUNCTION("""COMPUTED_VALUE"""),"")</f>
        <v/>
      </c>
      <c r="B238" s="472" t="str">
        <f ca="1">IFERROR(__xludf.DUMMYFUNCTION("""COMPUTED_VALUE"""),"")</f>
        <v/>
      </c>
      <c r="C238" s="472" t="str">
        <f ca="1">IFERROR(__xludf.DUMMYFUNCTION("""COMPUTED_VALUE"""),"")</f>
        <v/>
      </c>
      <c r="D238" s="472" t="str">
        <f ca="1">IFERROR(__xludf.DUMMYFUNCTION("""COMPUTED_VALUE"""),"")</f>
        <v/>
      </c>
      <c r="E238" s="472" t="str">
        <f ca="1">IFERROR(__xludf.DUMMYFUNCTION("""COMPUTED_VALUE"""),"")</f>
        <v/>
      </c>
      <c r="F238" s="472" t="str">
        <f ca="1">IFERROR(__xludf.DUMMYFUNCTION("""COMPUTED_VALUE"""),"")</f>
        <v/>
      </c>
      <c r="G238" s="472" t="str">
        <f ca="1">IFERROR(__xludf.DUMMYFUNCTION("""COMPUTED_VALUE"""),"")</f>
        <v/>
      </c>
      <c r="H238" s="472" t="str">
        <f ca="1">IFERROR(__xludf.DUMMYFUNCTION("""COMPUTED_VALUE"""),"")</f>
        <v/>
      </c>
      <c r="I238" s="472" t="str">
        <f ca="1">IFERROR(__xludf.DUMMYFUNCTION("""COMPUTED_VALUE"""),"")</f>
        <v/>
      </c>
      <c r="J238" s="472" t="str">
        <f ca="1">IFERROR(__xludf.DUMMYFUNCTION("""COMPUTED_VALUE"""),"")</f>
        <v/>
      </c>
    </row>
    <row r="239" spans="1:10" ht="15.75">
      <c r="A239" s="472" t="str">
        <f ca="1">IFERROR(__xludf.DUMMYFUNCTION("""COMPUTED_VALUE"""),"")</f>
        <v/>
      </c>
      <c r="B239" s="472" t="str">
        <f ca="1">IFERROR(__xludf.DUMMYFUNCTION("""COMPUTED_VALUE"""),"")</f>
        <v/>
      </c>
      <c r="C239" s="472" t="str">
        <f ca="1">IFERROR(__xludf.DUMMYFUNCTION("""COMPUTED_VALUE"""),"")</f>
        <v/>
      </c>
      <c r="D239" s="472" t="str">
        <f ca="1">IFERROR(__xludf.DUMMYFUNCTION("""COMPUTED_VALUE"""),"")</f>
        <v/>
      </c>
      <c r="E239" s="472" t="str">
        <f ca="1">IFERROR(__xludf.DUMMYFUNCTION("""COMPUTED_VALUE"""),"")</f>
        <v/>
      </c>
      <c r="F239" s="472" t="str">
        <f ca="1">IFERROR(__xludf.DUMMYFUNCTION("""COMPUTED_VALUE"""),"")</f>
        <v/>
      </c>
      <c r="G239" s="472" t="str">
        <f ca="1">IFERROR(__xludf.DUMMYFUNCTION("""COMPUTED_VALUE"""),"")</f>
        <v/>
      </c>
      <c r="H239" s="472" t="str">
        <f ca="1">IFERROR(__xludf.DUMMYFUNCTION("""COMPUTED_VALUE"""),"")</f>
        <v/>
      </c>
      <c r="I239" s="472" t="str">
        <f ca="1">IFERROR(__xludf.DUMMYFUNCTION("""COMPUTED_VALUE"""),"")</f>
        <v/>
      </c>
      <c r="J239" s="472" t="str">
        <f ca="1">IFERROR(__xludf.DUMMYFUNCTION("""COMPUTED_VALUE"""),"")</f>
        <v/>
      </c>
    </row>
    <row r="240" spans="1:10" ht="15.75">
      <c r="A240" s="472" t="str">
        <f ca="1">IFERROR(__xludf.DUMMYFUNCTION("""COMPUTED_VALUE"""),"")</f>
        <v/>
      </c>
      <c r="B240" s="472" t="str">
        <f ca="1">IFERROR(__xludf.DUMMYFUNCTION("""COMPUTED_VALUE"""),"")</f>
        <v/>
      </c>
      <c r="C240" s="472" t="str">
        <f ca="1">IFERROR(__xludf.DUMMYFUNCTION("""COMPUTED_VALUE"""),"")</f>
        <v/>
      </c>
      <c r="D240" s="472" t="str">
        <f ca="1">IFERROR(__xludf.DUMMYFUNCTION("""COMPUTED_VALUE"""),"")</f>
        <v/>
      </c>
      <c r="E240" s="472" t="str">
        <f ca="1">IFERROR(__xludf.DUMMYFUNCTION("""COMPUTED_VALUE"""),"")</f>
        <v/>
      </c>
      <c r="F240" s="472" t="str">
        <f ca="1">IFERROR(__xludf.DUMMYFUNCTION("""COMPUTED_VALUE"""),"")</f>
        <v/>
      </c>
      <c r="G240" s="472" t="str">
        <f ca="1">IFERROR(__xludf.DUMMYFUNCTION("""COMPUTED_VALUE"""),"")</f>
        <v/>
      </c>
      <c r="H240" s="472" t="str">
        <f ca="1">IFERROR(__xludf.DUMMYFUNCTION("""COMPUTED_VALUE"""),"")</f>
        <v/>
      </c>
      <c r="I240" s="472" t="str">
        <f ca="1">IFERROR(__xludf.DUMMYFUNCTION("""COMPUTED_VALUE"""),"")</f>
        <v/>
      </c>
      <c r="J240" s="472" t="str">
        <f ca="1">IFERROR(__xludf.DUMMYFUNCTION("""COMPUTED_VALUE"""),"")</f>
        <v/>
      </c>
    </row>
    <row r="241" spans="1:10" ht="15.75">
      <c r="A241" s="472" t="str">
        <f ca="1">IFERROR(__xludf.DUMMYFUNCTION("""COMPUTED_VALUE"""),"")</f>
        <v/>
      </c>
      <c r="B241" s="472" t="str">
        <f ca="1">IFERROR(__xludf.DUMMYFUNCTION("""COMPUTED_VALUE"""),"")</f>
        <v/>
      </c>
      <c r="C241" s="472" t="str">
        <f ca="1">IFERROR(__xludf.DUMMYFUNCTION("""COMPUTED_VALUE"""),"")</f>
        <v/>
      </c>
      <c r="D241" s="472" t="str">
        <f ca="1">IFERROR(__xludf.DUMMYFUNCTION("""COMPUTED_VALUE"""),"")</f>
        <v/>
      </c>
      <c r="E241" s="472" t="str">
        <f ca="1">IFERROR(__xludf.DUMMYFUNCTION("""COMPUTED_VALUE"""),"")</f>
        <v/>
      </c>
      <c r="F241" s="472" t="str">
        <f ca="1">IFERROR(__xludf.DUMMYFUNCTION("""COMPUTED_VALUE"""),"")</f>
        <v/>
      </c>
      <c r="G241" s="472" t="str">
        <f ca="1">IFERROR(__xludf.DUMMYFUNCTION("""COMPUTED_VALUE"""),"")</f>
        <v/>
      </c>
      <c r="H241" s="472" t="str">
        <f ca="1">IFERROR(__xludf.DUMMYFUNCTION("""COMPUTED_VALUE"""),"")</f>
        <v/>
      </c>
      <c r="I241" s="472" t="str">
        <f ca="1">IFERROR(__xludf.DUMMYFUNCTION("""COMPUTED_VALUE"""),"")</f>
        <v/>
      </c>
      <c r="J241" s="472" t="str">
        <f ca="1">IFERROR(__xludf.DUMMYFUNCTION("""COMPUTED_VALUE"""),"")</f>
        <v/>
      </c>
    </row>
    <row r="242" spans="1:10" ht="15.75">
      <c r="A242" s="472" t="str">
        <f ca="1">IFERROR(__xludf.DUMMYFUNCTION("""COMPUTED_VALUE"""),"")</f>
        <v/>
      </c>
      <c r="B242" s="472" t="str">
        <f ca="1">IFERROR(__xludf.DUMMYFUNCTION("""COMPUTED_VALUE"""),"")</f>
        <v/>
      </c>
      <c r="C242" s="472" t="str">
        <f ca="1">IFERROR(__xludf.DUMMYFUNCTION("""COMPUTED_VALUE"""),"")</f>
        <v/>
      </c>
      <c r="D242" s="472" t="str">
        <f ca="1">IFERROR(__xludf.DUMMYFUNCTION("""COMPUTED_VALUE"""),"")</f>
        <v/>
      </c>
      <c r="E242" s="472" t="str">
        <f ca="1">IFERROR(__xludf.DUMMYFUNCTION("""COMPUTED_VALUE"""),"")</f>
        <v/>
      </c>
      <c r="F242" s="472" t="str">
        <f ca="1">IFERROR(__xludf.DUMMYFUNCTION("""COMPUTED_VALUE"""),"")</f>
        <v/>
      </c>
      <c r="G242" s="472" t="str">
        <f ca="1">IFERROR(__xludf.DUMMYFUNCTION("""COMPUTED_VALUE"""),"")</f>
        <v/>
      </c>
      <c r="H242" s="472" t="str">
        <f ca="1">IFERROR(__xludf.DUMMYFUNCTION("""COMPUTED_VALUE"""),"")</f>
        <v/>
      </c>
      <c r="I242" s="472" t="str">
        <f ca="1">IFERROR(__xludf.DUMMYFUNCTION("""COMPUTED_VALUE"""),"")</f>
        <v/>
      </c>
      <c r="J242" s="472" t="str">
        <f ca="1">IFERROR(__xludf.DUMMYFUNCTION("""COMPUTED_VALUE"""),"")</f>
        <v/>
      </c>
    </row>
    <row r="243" spans="1:10" ht="15.75">
      <c r="A243" s="472" t="str">
        <f ca="1">IFERROR(__xludf.DUMMYFUNCTION("""COMPUTED_VALUE"""),"")</f>
        <v/>
      </c>
      <c r="B243" s="472" t="str">
        <f ca="1">IFERROR(__xludf.DUMMYFUNCTION("""COMPUTED_VALUE"""),"")</f>
        <v/>
      </c>
      <c r="C243" s="472" t="str">
        <f ca="1">IFERROR(__xludf.DUMMYFUNCTION("""COMPUTED_VALUE"""),"")</f>
        <v/>
      </c>
      <c r="D243" s="472" t="str">
        <f ca="1">IFERROR(__xludf.DUMMYFUNCTION("""COMPUTED_VALUE"""),"")</f>
        <v/>
      </c>
      <c r="E243" s="472" t="str">
        <f ca="1">IFERROR(__xludf.DUMMYFUNCTION("""COMPUTED_VALUE"""),"")</f>
        <v/>
      </c>
      <c r="F243" s="472" t="str">
        <f ca="1">IFERROR(__xludf.DUMMYFUNCTION("""COMPUTED_VALUE"""),"")</f>
        <v/>
      </c>
      <c r="G243" s="472" t="str">
        <f ca="1">IFERROR(__xludf.DUMMYFUNCTION("""COMPUTED_VALUE"""),"")</f>
        <v/>
      </c>
      <c r="H243" s="472" t="str">
        <f ca="1">IFERROR(__xludf.DUMMYFUNCTION("""COMPUTED_VALUE"""),"")</f>
        <v/>
      </c>
      <c r="I243" s="472" t="str">
        <f ca="1">IFERROR(__xludf.DUMMYFUNCTION("""COMPUTED_VALUE"""),"")</f>
        <v/>
      </c>
      <c r="J243" s="472" t="str">
        <f ca="1">IFERROR(__xludf.DUMMYFUNCTION("""COMPUTED_VALUE"""),"")</f>
        <v/>
      </c>
    </row>
    <row r="244" spans="1:10" ht="15.75">
      <c r="A244" s="472" t="str">
        <f ca="1">IFERROR(__xludf.DUMMYFUNCTION("""COMPUTED_VALUE"""),"")</f>
        <v/>
      </c>
      <c r="B244" s="472" t="str">
        <f ca="1">IFERROR(__xludf.DUMMYFUNCTION("""COMPUTED_VALUE"""),"")</f>
        <v/>
      </c>
      <c r="C244" s="472" t="str">
        <f ca="1">IFERROR(__xludf.DUMMYFUNCTION("""COMPUTED_VALUE"""),"")</f>
        <v/>
      </c>
      <c r="D244" s="472" t="str">
        <f ca="1">IFERROR(__xludf.DUMMYFUNCTION("""COMPUTED_VALUE"""),"")</f>
        <v/>
      </c>
      <c r="E244" s="472" t="str">
        <f ca="1">IFERROR(__xludf.DUMMYFUNCTION("""COMPUTED_VALUE"""),"")</f>
        <v/>
      </c>
      <c r="F244" s="472" t="str">
        <f ca="1">IFERROR(__xludf.DUMMYFUNCTION("""COMPUTED_VALUE"""),"")</f>
        <v/>
      </c>
      <c r="G244" s="472" t="str">
        <f ca="1">IFERROR(__xludf.DUMMYFUNCTION("""COMPUTED_VALUE"""),"")</f>
        <v/>
      </c>
      <c r="H244" s="472" t="str">
        <f ca="1">IFERROR(__xludf.DUMMYFUNCTION("""COMPUTED_VALUE"""),"")</f>
        <v/>
      </c>
      <c r="I244" s="472" t="str">
        <f ca="1">IFERROR(__xludf.DUMMYFUNCTION("""COMPUTED_VALUE"""),"")</f>
        <v/>
      </c>
      <c r="J244" s="472" t="str">
        <f ca="1">IFERROR(__xludf.DUMMYFUNCTION("""COMPUTED_VALUE"""),"")</f>
        <v/>
      </c>
    </row>
    <row r="245" spans="1:10" ht="15.75">
      <c r="A245" s="472" t="str">
        <f ca="1">IFERROR(__xludf.DUMMYFUNCTION("""COMPUTED_VALUE"""),"")</f>
        <v/>
      </c>
      <c r="B245" s="472" t="str">
        <f ca="1">IFERROR(__xludf.DUMMYFUNCTION("""COMPUTED_VALUE"""),"")</f>
        <v/>
      </c>
      <c r="C245" s="472" t="str">
        <f ca="1">IFERROR(__xludf.DUMMYFUNCTION("""COMPUTED_VALUE"""),"")</f>
        <v/>
      </c>
      <c r="D245" s="472" t="str">
        <f ca="1">IFERROR(__xludf.DUMMYFUNCTION("""COMPUTED_VALUE"""),"")</f>
        <v/>
      </c>
      <c r="E245" s="472" t="str">
        <f ca="1">IFERROR(__xludf.DUMMYFUNCTION("""COMPUTED_VALUE"""),"")</f>
        <v/>
      </c>
      <c r="F245" s="472" t="str">
        <f ca="1">IFERROR(__xludf.DUMMYFUNCTION("""COMPUTED_VALUE"""),"")</f>
        <v/>
      </c>
      <c r="G245" s="472" t="str">
        <f ca="1">IFERROR(__xludf.DUMMYFUNCTION("""COMPUTED_VALUE"""),"")</f>
        <v/>
      </c>
      <c r="H245" s="472" t="str">
        <f ca="1">IFERROR(__xludf.DUMMYFUNCTION("""COMPUTED_VALUE"""),"")</f>
        <v/>
      </c>
      <c r="I245" s="472" t="str">
        <f ca="1">IFERROR(__xludf.DUMMYFUNCTION("""COMPUTED_VALUE"""),"")</f>
        <v/>
      </c>
      <c r="J245" s="472" t="str">
        <f ca="1">IFERROR(__xludf.DUMMYFUNCTION("""COMPUTED_VALUE"""),"")</f>
        <v/>
      </c>
    </row>
    <row r="246" spans="1:10" ht="15.75">
      <c r="A246" s="472" t="str">
        <f ca="1">IFERROR(__xludf.DUMMYFUNCTION("""COMPUTED_VALUE"""),"")</f>
        <v/>
      </c>
      <c r="B246" s="472" t="str">
        <f ca="1">IFERROR(__xludf.DUMMYFUNCTION("""COMPUTED_VALUE"""),"")</f>
        <v/>
      </c>
      <c r="C246" s="472" t="str">
        <f ca="1">IFERROR(__xludf.DUMMYFUNCTION("""COMPUTED_VALUE"""),"")</f>
        <v/>
      </c>
      <c r="D246" s="472" t="str">
        <f ca="1">IFERROR(__xludf.DUMMYFUNCTION("""COMPUTED_VALUE"""),"")</f>
        <v/>
      </c>
      <c r="E246" s="472" t="str">
        <f ca="1">IFERROR(__xludf.DUMMYFUNCTION("""COMPUTED_VALUE"""),"")</f>
        <v/>
      </c>
      <c r="F246" s="472" t="str">
        <f ca="1">IFERROR(__xludf.DUMMYFUNCTION("""COMPUTED_VALUE"""),"")</f>
        <v/>
      </c>
      <c r="G246" s="472" t="str">
        <f ca="1">IFERROR(__xludf.DUMMYFUNCTION("""COMPUTED_VALUE"""),"")</f>
        <v/>
      </c>
      <c r="H246" s="472" t="str">
        <f ca="1">IFERROR(__xludf.DUMMYFUNCTION("""COMPUTED_VALUE"""),"")</f>
        <v/>
      </c>
      <c r="I246" s="472" t="str">
        <f ca="1">IFERROR(__xludf.DUMMYFUNCTION("""COMPUTED_VALUE"""),"")</f>
        <v/>
      </c>
      <c r="J246" s="472" t="str">
        <f ca="1">IFERROR(__xludf.DUMMYFUNCTION("""COMPUTED_VALUE"""),"")</f>
        <v/>
      </c>
    </row>
    <row r="247" spans="1:10" ht="15.75">
      <c r="A247" s="472" t="str">
        <f ca="1">IFERROR(__xludf.DUMMYFUNCTION("""COMPUTED_VALUE"""),"")</f>
        <v/>
      </c>
      <c r="B247" s="472" t="str">
        <f ca="1">IFERROR(__xludf.DUMMYFUNCTION("""COMPUTED_VALUE"""),"")</f>
        <v/>
      </c>
      <c r="C247" s="472" t="str">
        <f ca="1">IFERROR(__xludf.DUMMYFUNCTION("""COMPUTED_VALUE"""),"")</f>
        <v/>
      </c>
      <c r="D247" s="472" t="str">
        <f ca="1">IFERROR(__xludf.DUMMYFUNCTION("""COMPUTED_VALUE"""),"")</f>
        <v/>
      </c>
      <c r="E247" s="472" t="str">
        <f ca="1">IFERROR(__xludf.DUMMYFUNCTION("""COMPUTED_VALUE"""),"")</f>
        <v/>
      </c>
      <c r="F247" s="472" t="str">
        <f ca="1">IFERROR(__xludf.DUMMYFUNCTION("""COMPUTED_VALUE"""),"")</f>
        <v/>
      </c>
      <c r="G247" s="472" t="str">
        <f ca="1">IFERROR(__xludf.DUMMYFUNCTION("""COMPUTED_VALUE"""),"")</f>
        <v/>
      </c>
      <c r="H247" s="472" t="str">
        <f ca="1">IFERROR(__xludf.DUMMYFUNCTION("""COMPUTED_VALUE"""),"")</f>
        <v/>
      </c>
      <c r="I247" s="472" t="str">
        <f ca="1">IFERROR(__xludf.DUMMYFUNCTION("""COMPUTED_VALUE"""),"")</f>
        <v/>
      </c>
      <c r="J247" s="472" t="str">
        <f ca="1">IFERROR(__xludf.DUMMYFUNCTION("""COMPUTED_VALUE"""),"")</f>
        <v/>
      </c>
    </row>
    <row r="248" spans="1:10" ht="15.75">
      <c r="A248" s="472" t="str">
        <f ca="1">IFERROR(__xludf.DUMMYFUNCTION("""COMPUTED_VALUE"""),"")</f>
        <v/>
      </c>
      <c r="B248" s="472" t="str">
        <f ca="1">IFERROR(__xludf.DUMMYFUNCTION("""COMPUTED_VALUE"""),"")</f>
        <v/>
      </c>
      <c r="C248" s="472" t="str">
        <f ca="1">IFERROR(__xludf.DUMMYFUNCTION("""COMPUTED_VALUE"""),"")</f>
        <v/>
      </c>
      <c r="D248" s="472" t="str">
        <f ca="1">IFERROR(__xludf.DUMMYFUNCTION("""COMPUTED_VALUE"""),"")</f>
        <v/>
      </c>
      <c r="E248" s="472" t="str">
        <f ca="1">IFERROR(__xludf.DUMMYFUNCTION("""COMPUTED_VALUE"""),"")</f>
        <v/>
      </c>
      <c r="F248" s="472" t="str">
        <f ca="1">IFERROR(__xludf.DUMMYFUNCTION("""COMPUTED_VALUE"""),"")</f>
        <v/>
      </c>
      <c r="G248" s="472" t="str">
        <f ca="1">IFERROR(__xludf.DUMMYFUNCTION("""COMPUTED_VALUE"""),"")</f>
        <v/>
      </c>
      <c r="H248" s="472" t="str">
        <f ca="1">IFERROR(__xludf.DUMMYFUNCTION("""COMPUTED_VALUE"""),"")</f>
        <v/>
      </c>
      <c r="I248" s="472" t="str">
        <f ca="1">IFERROR(__xludf.DUMMYFUNCTION("""COMPUTED_VALUE"""),"")</f>
        <v/>
      </c>
      <c r="J248" s="472" t="str">
        <f ca="1">IFERROR(__xludf.DUMMYFUNCTION("""COMPUTED_VALUE"""),"")</f>
        <v/>
      </c>
    </row>
    <row r="249" spans="1:10" ht="15.75">
      <c r="A249" s="472" t="str">
        <f ca="1">IFERROR(__xludf.DUMMYFUNCTION("""COMPUTED_VALUE"""),"")</f>
        <v/>
      </c>
      <c r="B249" s="472" t="str">
        <f ca="1">IFERROR(__xludf.DUMMYFUNCTION("""COMPUTED_VALUE"""),"")</f>
        <v/>
      </c>
      <c r="C249" s="472" t="str">
        <f ca="1">IFERROR(__xludf.DUMMYFUNCTION("""COMPUTED_VALUE"""),"")</f>
        <v/>
      </c>
      <c r="D249" s="472" t="str">
        <f ca="1">IFERROR(__xludf.DUMMYFUNCTION("""COMPUTED_VALUE"""),"")</f>
        <v/>
      </c>
      <c r="E249" s="472" t="str">
        <f ca="1">IFERROR(__xludf.DUMMYFUNCTION("""COMPUTED_VALUE"""),"")</f>
        <v/>
      </c>
      <c r="F249" s="472" t="str">
        <f ca="1">IFERROR(__xludf.DUMMYFUNCTION("""COMPUTED_VALUE"""),"")</f>
        <v/>
      </c>
      <c r="G249" s="472" t="str">
        <f ca="1">IFERROR(__xludf.DUMMYFUNCTION("""COMPUTED_VALUE"""),"")</f>
        <v/>
      </c>
      <c r="H249" s="472" t="str">
        <f ca="1">IFERROR(__xludf.DUMMYFUNCTION("""COMPUTED_VALUE"""),"")</f>
        <v/>
      </c>
      <c r="I249" s="472" t="str">
        <f ca="1">IFERROR(__xludf.DUMMYFUNCTION("""COMPUTED_VALUE"""),"")</f>
        <v/>
      </c>
      <c r="J249" s="472" t="str">
        <f ca="1">IFERROR(__xludf.DUMMYFUNCTION("""COMPUTED_VALUE"""),"")</f>
        <v/>
      </c>
    </row>
    <row r="250" spans="1:10" ht="15.75">
      <c r="A250" s="472" t="str">
        <f ca="1">IFERROR(__xludf.DUMMYFUNCTION("""COMPUTED_VALUE"""),"")</f>
        <v/>
      </c>
      <c r="B250" s="472" t="str">
        <f ca="1">IFERROR(__xludf.DUMMYFUNCTION("""COMPUTED_VALUE"""),"")</f>
        <v/>
      </c>
      <c r="C250" s="472" t="str">
        <f ca="1">IFERROR(__xludf.DUMMYFUNCTION("""COMPUTED_VALUE"""),"")</f>
        <v/>
      </c>
      <c r="D250" s="472" t="str">
        <f ca="1">IFERROR(__xludf.DUMMYFUNCTION("""COMPUTED_VALUE"""),"")</f>
        <v/>
      </c>
      <c r="E250" s="472" t="str">
        <f ca="1">IFERROR(__xludf.DUMMYFUNCTION("""COMPUTED_VALUE"""),"")</f>
        <v/>
      </c>
      <c r="F250" s="472" t="str">
        <f ca="1">IFERROR(__xludf.DUMMYFUNCTION("""COMPUTED_VALUE"""),"")</f>
        <v/>
      </c>
      <c r="G250" s="472" t="str">
        <f ca="1">IFERROR(__xludf.DUMMYFUNCTION("""COMPUTED_VALUE"""),"")</f>
        <v/>
      </c>
      <c r="H250" s="472" t="str">
        <f ca="1">IFERROR(__xludf.DUMMYFUNCTION("""COMPUTED_VALUE"""),"")</f>
        <v/>
      </c>
      <c r="I250" s="472" t="str">
        <f ca="1">IFERROR(__xludf.DUMMYFUNCTION("""COMPUTED_VALUE"""),"")</f>
        <v/>
      </c>
      <c r="J250" s="472" t="str">
        <f ca="1">IFERROR(__xludf.DUMMYFUNCTION("""COMPUTED_VALUE"""),"")</f>
        <v/>
      </c>
    </row>
    <row r="251" spans="1:10" ht="15.75">
      <c r="A251" s="472" t="str">
        <f ca="1">IFERROR(__xludf.DUMMYFUNCTION("""COMPUTED_VALUE"""),"")</f>
        <v/>
      </c>
      <c r="B251" s="472" t="str">
        <f ca="1">IFERROR(__xludf.DUMMYFUNCTION("""COMPUTED_VALUE"""),"")</f>
        <v/>
      </c>
      <c r="C251" s="472" t="str">
        <f ca="1">IFERROR(__xludf.DUMMYFUNCTION("""COMPUTED_VALUE"""),"")</f>
        <v/>
      </c>
      <c r="D251" s="472" t="str">
        <f ca="1">IFERROR(__xludf.DUMMYFUNCTION("""COMPUTED_VALUE"""),"")</f>
        <v/>
      </c>
      <c r="E251" s="472" t="str">
        <f ca="1">IFERROR(__xludf.DUMMYFUNCTION("""COMPUTED_VALUE"""),"")</f>
        <v/>
      </c>
      <c r="F251" s="472" t="str">
        <f ca="1">IFERROR(__xludf.DUMMYFUNCTION("""COMPUTED_VALUE"""),"")</f>
        <v/>
      </c>
      <c r="G251" s="472" t="str">
        <f ca="1">IFERROR(__xludf.DUMMYFUNCTION("""COMPUTED_VALUE"""),"")</f>
        <v/>
      </c>
      <c r="H251" s="472" t="str">
        <f ca="1">IFERROR(__xludf.DUMMYFUNCTION("""COMPUTED_VALUE"""),"")</f>
        <v/>
      </c>
      <c r="I251" s="472" t="str">
        <f ca="1">IFERROR(__xludf.DUMMYFUNCTION("""COMPUTED_VALUE"""),"")</f>
        <v/>
      </c>
      <c r="J251" s="472" t="str">
        <f ca="1">IFERROR(__xludf.DUMMYFUNCTION("""COMPUTED_VALUE"""),"")</f>
        <v/>
      </c>
    </row>
    <row r="252" spans="1:10" ht="15.75">
      <c r="A252" s="472" t="str">
        <f ca="1">IFERROR(__xludf.DUMMYFUNCTION("""COMPUTED_VALUE"""),"")</f>
        <v/>
      </c>
      <c r="B252" s="472" t="str">
        <f ca="1">IFERROR(__xludf.DUMMYFUNCTION("""COMPUTED_VALUE"""),"")</f>
        <v/>
      </c>
      <c r="C252" s="472" t="str">
        <f ca="1">IFERROR(__xludf.DUMMYFUNCTION("""COMPUTED_VALUE"""),"")</f>
        <v/>
      </c>
      <c r="D252" s="472" t="str">
        <f ca="1">IFERROR(__xludf.DUMMYFUNCTION("""COMPUTED_VALUE"""),"")</f>
        <v/>
      </c>
      <c r="E252" s="472" t="str">
        <f ca="1">IFERROR(__xludf.DUMMYFUNCTION("""COMPUTED_VALUE"""),"")</f>
        <v/>
      </c>
      <c r="F252" s="472" t="str">
        <f ca="1">IFERROR(__xludf.DUMMYFUNCTION("""COMPUTED_VALUE"""),"")</f>
        <v/>
      </c>
      <c r="G252" s="472" t="str">
        <f ca="1">IFERROR(__xludf.DUMMYFUNCTION("""COMPUTED_VALUE"""),"")</f>
        <v/>
      </c>
      <c r="H252" s="472" t="str">
        <f ca="1">IFERROR(__xludf.DUMMYFUNCTION("""COMPUTED_VALUE"""),"")</f>
        <v/>
      </c>
      <c r="I252" s="472" t="str">
        <f ca="1">IFERROR(__xludf.DUMMYFUNCTION("""COMPUTED_VALUE"""),"")</f>
        <v/>
      </c>
      <c r="J252" s="472" t="str">
        <f ca="1">IFERROR(__xludf.DUMMYFUNCTION("""COMPUTED_VALUE"""),"")</f>
        <v/>
      </c>
    </row>
    <row r="253" spans="1:10" ht="15.75">
      <c r="A253" s="472" t="str">
        <f ca="1">IFERROR(__xludf.DUMMYFUNCTION("""COMPUTED_VALUE"""),"")</f>
        <v/>
      </c>
      <c r="B253" s="472" t="str">
        <f ca="1">IFERROR(__xludf.DUMMYFUNCTION("""COMPUTED_VALUE"""),"")</f>
        <v/>
      </c>
      <c r="C253" s="472" t="str">
        <f ca="1">IFERROR(__xludf.DUMMYFUNCTION("""COMPUTED_VALUE"""),"")</f>
        <v/>
      </c>
      <c r="D253" s="472" t="str">
        <f ca="1">IFERROR(__xludf.DUMMYFUNCTION("""COMPUTED_VALUE"""),"")</f>
        <v/>
      </c>
      <c r="E253" s="472" t="str">
        <f ca="1">IFERROR(__xludf.DUMMYFUNCTION("""COMPUTED_VALUE"""),"")</f>
        <v/>
      </c>
      <c r="F253" s="472" t="str">
        <f ca="1">IFERROR(__xludf.DUMMYFUNCTION("""COMPUTED_VALUE"""),"")</f>
        <v/>
      </c>
      <c r="G253" s="472" t="str">
        <f ca="1">IFERROR(__xludf.DUMMYFUNCTION("""COMPUTED_VALUE"""),"")</f>
        <v/>
      </c>
      <c r="H253" s="472" t="str">
        <f ca="1">IFERROR(__xludf.DUMMYFUNCTION("""COMPUTED_VALUE"""),"")</f>
        <v/>
      </c>
      <c r="I253" s="472" t="str">
        <f ca="1">IFERROR(__xludf.DUMMYFUNCTION("""COMPUTED_VALUE"""),"")</f>
        <v/>
      </c>
      <c r="J253" s="472" t="str">
        <f ca="1">IFERROR(__xludf.DUMMYFUNCTION("""COMPUTED_VALUE"""),"")</f>
        <v/>
      </c>
    </row>
    <row r="254" spans="1:10" ht="15.75">
      <c r="A254" s="472" t="str">
        <f ca="1">IFERROR(__xludf.DUMMYFUNCTION("""COMPUTED_VALUE"""),"")</f>
        <v/>
      </c>
      <c r="B254" s="472" t="str">
        <f ca="1">IFERROR(__xludf.DUMMYFUNCTION("""COMPUTED_VALUE"""),"")</f>
        <v/>
      </c>
      <c r="C254" s="472" t="str">
        <f ca="1">IFERROR(__xludf.DUMMYFUNCTION("""COMPUTED_VALUE"""),"")</f>
        <v/>
      </c>
      <c r="D254" s="472" t="str">
        <f ca="1">IFERROR(__xludf.DUMMYFUNCTION("""COMPUTED_VALUE"""),"")</f>
        <v/>
      </c>
      <c r="E254" s="472" t="str">
        <f ca="1">IFERROR(__xludf.DUMMYFUNCTION("""COMPUTED_VALUE"""),"")</f>
        <v/>
      </c>
      <c r="F254" s="472" t="str">
        <f ca="1">IFERROR(__xludf.DUMMYFUNCTION("""COMPUTED_VALUE"""),"")</f>
        <v/>
      </c>
      <c r="G254" s="472" t="str">
        <f ca="1">IFERROR(__xludf.DUMMYFUNCTION("""COMPUTED_VALUE"""),"")</f>
        <v/>
      </c>
      <c r="H254" s="472" t="str">
        <f ca="1">IFERROR(__xludf.DUMMYFUNCTION("""COMPUTED_VALUE"""),"")</f>
        <v/>
      </c>
      <c r="I254" s="472" t="str">
        <f ca="1">IFERROR(__xludf.DUMMYFUNCTION("""COMPUTED_VALUE"""),"")</f>
        <v/>
      </c>
      <c r="J254" s="472" t="str">
        <f ca="1">IFERROR(__xludf.DUMMYFUNCTION("""COMPUTED_VALUE"""),"")</f>
        <v/>
      </c>
    </row>
    <row r="255" spans="1:10" ht="15.75">
      <c r="A255" s="472" t="str">
        <f ca="1">IFERROR(__xludf.DUMMYFUNCTION("""COMPUTED_VALUE"""),"")</f>
        <v/>
      </c>
      <c r="B255" s="472" t="str">
        <f ca="1">IFERROR(__xludf.DUMMYFUNCTION("""COMPUTED_VALUE"""),"")</f>
        <v/>
      </c>
      <c r="C255" s="472" t="str">
        <f ca="1">IFERROR(__xludf.DUMMYFUNCTION("""COMPUTED_VALUE"""),"")</f>
        <v/>
      </c>
      <c r="D255" s="472" t="str">
        <f ca="1">IFERROR(__xludf.DUMMYFUNCTION("""COMPUTED_VALUE"""),"")</f>
        <v/>
      </c>
      <c r="E255" s="472" t="str">
        <f ca="1">IFERROR(__xludf.DUMMYFUNCTION("""COMPUTED_VALUE"""),"")</f>
        <v/>
      </c>
      <c r="F255" s="472" t="str">
        <f ca="1">IFERROR(__xludf.DUMMYFUNCTION("""COMPUTED_VALUE"""),"")</f>
        <v/>
      </c>
      <c r="G255" s="472" t="str">
        <f ca="1">IFERROR(__xludf.DUMMYFUNCTION("""COMPUTED_VALUE"""),"")</f>
        <v/>
      </c>
      <c r="H255" s="472" t="str">
        <f ca="1">IFERROR(__xludf.DUMMYFUNCTION("""COMPUTED_VALUE"""),"")</f>
        <v/>
      </c>
      <c r="I255" s="472" t="str">
        <f ca="1">IFERROR(__xludf.DUMMYFUNCTION("""COMPUTED_VALUE"""),"")</f>
        <v/>
      </c>
      <c r="J255" s="472" t="str">
        <f ca="1">IFERROR(__xludf.DUMMYFUNCTION("""COMPUTED_VALUE"""),"")</f>
        <v/>
      </c>
    </row>
    <row r="256" spans="1:10" ht="15.75">
      <c r="A256" s="472" t="str">
        <f ca="1">IFERROR(__xludf.DUMMYFUNCTION("""COMPUTED_VALUE"""),"")</f>
        <v/>
      </c>
      <c r="B256" s="472" t="str">
        <f ca="1">IFERROR(__xludf.DUMMYFUNCTION("""COMPUTED_VALUE"""),"")</f>
        <v/>
      </c>
      <c r="C256" s="472" t="str">
        <f ca="1">IFERROR(__xludf.DUMMYFUNCTION("""COMPUTED_VALUE"""),"")</f>
        <v/>
      </c>
      <c r="D256" s="472" t="str">
        <f ca="1">IFERROR(__xludf.DUMMYFUNCTION("""COMPUTED_VALUE"""),"")</f>
        <v/>
      </c>
      <c r="E256" s="472" t="str">
        <f ca="1">IFERROR(__xludf.DUMMYFUNCTION("""COMPUTED_VALUE"""),"")</f>
        <v/>
      </c>
      <c r="F256" s="472" t="str">
        <f ca="1">IFERROR(__xludf.DUMMYFUNCTION("""COMPUTED_VALUE"""),"")</f>
        <v/>
      </c>
      <c r="G256" s="472" t="str">
        <f ca="1">IFERROR(__xludf.DUMMYFUNCTION("""COMPUTED_VALUE"""),"")</f>
        <v/>
      </c>
      <c r="H256" s="472" t="str">
        <f ca="1">IFERROR(__xludf.DUMMYFUNCTION("""COMPUTED_VALUE"""),"")</f>
        <v/>
      </c>
      <c r="I256" s="472" t="str">
        <f ca="1">IFERROR(__xludf.DUMMYFUNCTION("""COMPUTED_VALUE"""),"")</f>
        <v/>
      </c>
      <c r="J256" s="472" t="str">
        <f ca="1">IFERROR(__xludf.DUMMYFUNCTION("""COMPUTED_VALUE"""),"")</f>
        <v/>
      </c>
    </row>
    <row r="257" spans="1:10" ht="15.75">
      <c r="A257" s="472" t="str">
        <f ca="1">IFERROR(__xludf.DUMMYFUNCTION("""COMPUTED_VALUE"""),"")</f>
        <v/>
      </c>
      <c r="B257" s="472" t="str">
        <f ca="1">IFERROR(__xludf.DUMMYFUNCTION("""COMPUTED_VALUE"""),"")</f>
        <v/>
      </c>
      <c r="C257" s="472" t="str">
        <f ca="1">IFERROR(__xludf.DUMMYFUNCTION("""COMPUTED_VALUE"""),"")</f>
        <v/>
      </c>
      <c r="D257" s="472" t="str">
        <f ca="1">IFERROR(__xludf.DUMMYFUNCTION("""COMPUTED_VALUE"""),"")</f>
        <v/>
      </c>
      <c r="E257" s="472" t="str">
        <f ca="1">IFERROR(__xludf.DUMMYFUNCTION("""COMPUTED_VALUE"""),"")</f>
        <v/>
      </c>
      <c r="F257" s="472" t="str">
        <f ca="1">IFERROR(__xludf.DUMMYFUNCTION("""COMPUTED_VALUE"""),"")</f>
        <v/>
      </c>
      <c r="G257" s="472" t="str">
        <f ca="1">IFERROR(__xludf.DUMMYFUNCTION("""COMPUTED_VALUE"""),"")</f>
        <v/>
      </c>
      <c r="H257" s="472" t="str">
        <f ca="1">IFERROR(__xludf.DUMMYFUNCTION("""COMPUTED_VALUE"""),"")</f>
        <v/>
      </c>
      <c r="I257" s="472" t="str">
        <f ca="1">IFERROR(__xludf.DUMMYFUNCTION("""COMPUTED_VALUE"""),"")</f>
        <v/>
      </c>
      <c r="J257" s="472" t="str">
        <f ca="1">IFERROR(__xludf.DUMMYFUNCTION("""COMPUTED_VALUE"""),"")</f>
        <v/>
      </c>
    </row>
    <row r="258" spans="1:10" ht="15.75">
      <c r="A258" s="472" t="str">
        <f ca="1">IFERROR(__xludf.DUMMYFUNCTION("""COMPUTED_VALUE"""),"")</f>
        <v/>
      </c>
      <c r="B258" s="472" t="str">
        <f ca="1">IFERROR(__xludf.DUMMYFUNCTION("""COMPUTED_VALUE"""),"")</f>
        <v/>
      </c>
      <c r="C258" s="472" t="str">
        <f ca="1">IFERROR(__xludf.DUMMYFUNCTION("""COMPUTED_VALUE"""),"")</f>
        <v/>
      </c>
      <c r="D258" s="472" t="str">
        <f ca="1">IFERROR(__xludf.DUMMYFUNCTION("""COMPUTED_VALUE"""),"")</f>
        <v/>
      </c>
      <c r="E258" s="472" t="str">
        <f ca="1">IFERROR(__xludf.DUMMYFUNCTION("""COMPUTED_VALUE"""),"")</f>
        <v/>
      </c>
      <c r="F258" s="472" t="str">
        <f ca="1">IFERROR(__xludf.DUMMYFUNCTION("""COMPUTED_VALUE"""),"")</f>
        <v/>
      </c>
      <c r="G258" s="472" t="str">
        <f ca="1">IFERROR(__xludf.DUMMYFUNCTION("""COMPUTED_VALUE"""),"")</f>
        <v/>
      </c>
      <c r="H258" s="472" t="str">
        <f ca="1">IFERROR(__xludf.DUMMYFUNCTION("""COMPUTED_VALUE"""),"")</f>
        <v/>
      </c>
      <c r="I258" s="472" t="str">
        <f ca="1">IFERROR(__xludf.DUMMYFUNCTION("""COMPUTED_VALUE"""),"")</f>
        <v/>
      </c>
      <c r="J258" s="472" t="str">
        <f ca="1">IFERROR(__xludf.DUMMYFUNCTION("""COMPUTED_VALUE"""),"")</f>
        <v/>
      </c>
    </row>
    <row r="259" spans="1:10" ht="15.75">
      <c r="A259" s="472" t="str">
        <f ca="1">IFERROR(__xludf.DUMMYFUNCTION("""COMPUTED_VALUE"""),"")</f>
        <v/>
      </c>
      <c r="B259" s="472" t="str">
        <f ca="1">IFERROR(__xludf.DUMMYFUNCTION("""COMPUTED_VALUE"""),"")</f>
        <v/>
      </c>
      <c r="C259" s="472" t="str">
        <f ca="1">IFERROR(__xludf.DUMMYFUNCTION("""COMPUTED_VALUE"""),"")</f>
        <v/>
      </c>
      <c r="D259" s="472" t="str">
        <f ca="1">IFERROR(__xludf.DUMMYFUNCTION("""COMPUTED_VALUE"""),"")</f>
        <v/>
      </c>
      <c r="E259" s="472" t="str">
        <f ca="1">IFERROR(__xludf.DUMMYFUNCTION("""COMPUTED_VALUE"""),"")</f>
        <v/>
      </c>
      <c r="F259" s="472" t="str">
        <f ca="1">IFERROR(__xludf.DUMMYFUNCTION("""COMPUTED_VALUE"""),"")</f>
        <v/>
      </c>
      <c r="G259" s="472" t="str">
        <f ca="1">IFERROR(__xludf.DUMMYFUNCTION("""COMPUTED_VALUE"""),"")</f>
        <v/>
      </c>
      <c r="H259" s="472" t="str">
        <f ca="1">IFERROR(__xludf.DUMMYFUNCTION("""COMPUTED_VALUE"""),"")</f>
        <v/>
      </c>
      <c r="I259" s="472" t="str">
        <f ca="1">IFERROR(__xludf.DUMMYFUNCTION("""COMPUTED_VALUE"""),"")</f>
        <v/>
      </c>
      <c r="J259" s="472" t="str">
        <f ca="1">IFERROR(__xludf.DUMMYFUNCTION("""COMPUTED_VALUE"""),"")</f>
        <v/>
      </c>
    </row>
    <row r="260" spans="1:10" ht="15.75">
      <c r="A260" s="472" t="str">
        <f ca="1">IFERROR(__xludf.DUMMYFUNCTION("""COMPUTED_VALUE"""),"")</f>
        <v/>
      </c>
      <c r="B260" s="472" t="str">
        <f ca="1">IFERROR(__xludf.DUMMYFUNCTION("""COMPUTED_VALUE"""),"")</f>
        <v/>
      </c>
      <c r="C260" s="472" t="str">
        <f ca="1">IFERROR(__xludf.DUMMYFUNCTION("""COMPUTED_VALUE"""),"")</f>
        <v/>
      </c>
      <c r="D260" s="472" t="str">
        <f ca="1">IFERROR(__xludf.DUMMYFUNCTION("""COMPUTED_VALUE"""),"")</f>
        <v/>
      </c>
      <c r="E260" s="472" t="str">
        <f ca="1">IFERROR(__xludf.DUMMYFUNCTION("""COMPUTED_VALUE"""),"")</f>
        <v/>
      </c>
      <c r="F260" s="472" t="str">
        <f ca="1">IFERROR(__xludf.DUMMYFUNCTION("""COMPUTED_VALUE"""),"")</f>
        <v/>
      </c>
      <c r="G260" s="472" t="str">
        <f ca="1">IFERROR(__xludf.DUMMYFUNCTION("""COMPUTED_VALUE"""),"")</f>
        <v/>
      </c>
      <c r="H260" s="472" t="str">
        <f ca="1">IFERROR(__xludf.DUMMYFUNCTION("""COMPUTED_VALUE"""),"")</f>
        <v/>
      </c>
      <c r="I260" s="472" t="str">
        <f ca="1">IFERROR(__xludf.DUMMYFUNCTION("""COMPUTED_VALUE"""),"")</f>
        <v/>
      </c>
      <c r="J260" s="472" t="str">
        <f ca="1">IFERROR(__xludf.DUMMYFUNCTION("""COMPUTED_VALUE"""),"")</f>
        <v/>
      </c>
    </row>
    <row r="261" spans="1:10" ht="15.75">
      <c r="A261" s="472" t="str">
        <f ca="1">IFERROR(__xludf.DUMMYFUNCTION("""COMPUTED_VALUE"""),"")</f>
        <v/>
      </c>
      <c r="B261" s="472" t="str">
        <f ca="1">IFERROR(__xludf.DUMMYFUNCTION("""COMPUTED_VALUE"""),"")</f>
        <v/>
      </c>
      <c r="C261" s="472" t="str">
        <f ca="1">IFERROR(__xludf.DUMMYFUNCTION("""COMPUTED_VALUE"""),"")</f>
        <v/>
      </c>
      <c r="D261" s="472" t="str">
        <f ca="1">IFERROR(__xludf.DUMMYFUNCTION("""COMPUTED_VALUE"""),"")</f>
        <v/>
      </c>
      <c r="E261" s="472" t="str">
        <f ca="1">IFERROR(__xludf.DUMMYFUNCTION("""COMPUTED_VALUE"""),"")</f>
        <v/>
      </c>
      <c r="F261" s="472" t="str">
        <f ca="1">IFERROR(__xludf.DUMMYFUNCTION("""COMPUTED_VALUE"""),"")</f>
        <v/>
      </c>
      <c r="G261" s="472" t="str">
        <f ca="1">IFERROR(__xludf.DUMMYFUNCTION("""COMPUTED_VALUE"""),"")</f>
        <v/>
      </c>
      <c r="H261" s="472" t="str">
        <f ca="1">IFERROR(__xludf.DUMMYFUNCTION("""COMPUTED_VALUE"""),"")</f>
        <v/>
      </c>
      <c r="I261" s="472" t="str">
        <f ca="1">IFERROR(__xludf.DUMMYFUNCTION("""COMPUTED_VALUE"""),"")</f>
        <v/>
      </c>
      <c r="J261" s="472" t="str">
        <f ca="1">IFERROR(__xludf.DUMMYFUNCTION("""COMPUTED_VALUE"""),"")</f>
        <v/>
      </c>
    </row>
    <row r="262" spans="1:10" ht="15.75">
      <c r="A262" s="472" t="str">
        <f ca="1">IFERROR(__xludf.DUMMYFUNCTION("""COMPUTED_VALUE"""),"")</f>
        <v/>
      </c>
      <c r="B262" s="472" t="str">
        <f ca="1">IFERROR(__xludf.DUMMYFUNCTION("""COMPUTED_VALUE"""),"")</f>
        <v/>
      </c>
      <c r="C262" s="472" t="str">
        <f ca="1">IFERROR(__xludf.DUMMYFUNCTION("""COMPUTED_VALUE"""),"")</f>
        <v/>
      </c>
      <c r="D262" s="472" t="str">
        <f ca="1">IFERROR(__xludf.DUMMYFUNCTION("""COMPUTED_VALUE"""),"")</f>
        <v/>
      </c>
      <c r="E262" s="472" t="str">
        <f ca="1">IFERROR(__xludf.DUMMYFUNCTION("""COMPUTED_VALUE"""),"")</f>
        <v/>
      </c>
      <c r="F262" s="472" t="str">
        <f ca="1">IFERROR(__xludf.DUMMYFUNCTION("""COMPUTED_VALUE"""),"")</f>
        <v/>
      </c>
      <c r="G262" s="472" t="str">
        <f ca="1">IFERROR(__xludf.DUMMYFUNCTION("""COMPUTED_VALUE"""),"")</f>
        <v/>
      </c>
      <c r="H262" s="472" t="str">
        <f ca="1">IFERROR(__xludf.DUMMYFUNCTION("""COMPUTED_VALUE"""),"")</f>
        <v/>
      </c>
      <c r="I262" s="472" t="str">
        <f ca="1">IFERROR(__xludf.DUMMYFUNCTION("""COMPUTED_VALUE"""),"")</f>
        <v/>
      </c>
      <c r="J262" s="472" t="str">
        <f ca="1">IFERROR(__xludf.DUMMYFUNCTION("""COMPUTED_VALUE"""),"")</f>
        <v/>
      </c>
    </row>
    <row r="263" spans="1:10" ht="15.75">
      <c r="A263" s="472" t="str">
        <f ca="1">IFERROR(__xludf.DUMMYFUNCTION("""COMPUTED_VALUE"""),"")</f>
        <v/>
      </c>
      <c r="B263" s="472" t="str">
        <f ca="1">IFERROR(__xludf.DUMMYFUNCTION("""COMPUTED_VALUE"""),"")</f>
        <v/>
      </c>
      <c r="C263" s="472" t="str">
        <f ca="1">IFERROR(__xludf.DUMMYFUNCTION("""COMPUTED_VALUE"""),"")</f>
        <v/>
      </c>
      <c r="D263" s="472" t="str">
        <f ca="1">IFERROR(__xludf.DUMMYFUNCTION("""COMPUTED_VALUE"""),"")</f>
        <v/>
      </c>
      <c r="E263" s="472" t="str">
        <f ca="1">IFERROR(__xludf.DUMMYFUNCTION("""COMPUTED_VALUE"""),"")</f>
        <v/>
      </c>
      <c r="F263" s="472" t="str">
        <f ca="1">IFERROR(__xludf.DUMMYFUNCTION("""COMPUTED_VALUE"""),"")</f>
        <v/>
      </c>
      <c r="G263" s="472" t="str">
        <f ca="1">IFERROR(__xludf.DUMMYFUNCTION("""COMPUTED_VALUE"""),"")</f>
        <v/>
      </c>
      <c r="H263" s="472" t="str">
        <f ca="1">IFERROR(__xludf.DUMMYFUNCTION("""COMPUTED_VALUE"""),"")</f>
        <v/>
      </c>
      <c r="I263" s="472" t="str">
        <f ca="1">IFERROR(__xludf.DUMMYFUNCTION("""COMPUTED_VALUE"""),"")</f>
        <v/>
      </c>
      <c r="J263" s="472" t="str">
        <f ca="1">IFERROR(__xludf.DUMMYFUNCTION("""COMPUTED_VALUE"""),"")</f>
        <v/>
      </c>
    </row>
    <row r="264" spans="1:10" ht="15.75">
      <c r="A264" s="472" t="str">
        <f ca="1">IFERROR(__xludf.DUMMYFUNCTION("""COMPUTED_VALUE"""),"")</f>
        <v/>
      </c>
      <c r="B264" s="472" t="str">
        <f ca="1">IFERROR(__xludf.DUMMYFUNCTION("""COMPUTED_VALUE"""),"")</f>
        <v/>
      </c>
      <c r="C264" s="472" t="str">
        <f ca="1">IFERROR(__xludf.DUMMYFUNCTION("""COMPUTED_VALUE"""),"")</f>
        <v/>
      </c>
      <c r="D264" s="472" t="str">
        <f ca="1">IFERROR(__xludf.DUMMYFUNCTION("""COMPUTED_VALUE"""),"")</f>
        <v/>
      </c>
      <c r="E264" s="472" t="str">
        <f ca="1">IFERROR(__xludf.DUMMYFUNCTION("""COMPUTED_VALUE"""),"")</f>
        <v/>
      </c>
      <c r="F264" s="472" t="str">
        <f ca="1">IFERROR(__xludf.DUMMYFUNCTION("""COMPUTED_VALUE"""),"")</f>
        <v/>
      </c>
      <c r="G264" s="472" t="str">
        <f ca="1">IFERROR(__xludf.DUMMYFUNCTION("""COMPUTED_VALUE"""),"")</f>
        <v/>
      </c>
      <c r="H264" s="472" t="str">
        <f ca="1">IFERROR(__xludf.DUMMYFUNCTION("""COMPUTED_VALUE"""),"")</f>
        <v/>
      </c>
      <c r="I264" s="472" t="str">
        <f ca="1">IFERROR(__xludf.DUMMYFUNCTION("""COMPUTED_VALUE"""),"")</f>
        <v/>
      </c>
      <c r="J264" s="472" t="str">
        <f ca="1">IFERROR(__xludf.DUMMYFUNCTION("""COMPUTED_VALUE"""),"")</f>
        <v/>
      </c>
    </row>
    <row r="265" spans="1:10" ht="15.75">
      <c r="A265" s="472" t="str">
        <f ca="1">IFERROR(__xludf.DUMMYFUNCTION("""COMPUTED_VALUE"""),"")</f>
        <v/>
      </c>
      <c r="B265" s="472" t="str">
        <f ca="1">IFERROR(__xludf.DUMMYFUNCTION("""COMPUTED_VALUE"""),"")</f>
        <v/>
      </c>
      <c r="C265" s="472" t="str">
        <f ca="1">IFERROR(__xludf.DUMMYFUNCTION("""COMPUTED_VALUE"""),"")</f>
        <v/>
      </c>
      <c r="D265" s="472" t="str">
        <f ca="1">IFERROR(__xludf.DUMMYFUNCTION("""COMPUTED_VALUE"""),"")</f>
        <v/>
      </c>
      <c r="E265" s="472" t="str">
        <f ca="1">IFERROR(__xludf.DUMMYFUNCTION("""COMPUTED_VALUE"""),"")</f>
        <v/>
      </c>
      <c r="F265" s="472" t="str">
        <f ca="1">IFERROR(__xludf.DUMMYFUNCTION("""COMPUTED_VALUE"""),"")</f>
        <v/>
      </c>
      <c r="G265" s="472" t="str">
        <f ca="1">IFERROR(__xludf.DUMMYFUNCTION("""COMPUTED_VALUE"""),"")</f>
        <v/>
      </c>
      <c r="H265" s="472" t="str">
        <f ca="1">IFERROR(__xludf.DUMMYFUNCTION("""COMPUTED_VALUE"""),"")</f>
        <v/>
      </c>
      <c r="I265" s="472" t="str">
        <f ca="1">IFERROR(__xludf.DUMMYFUNCTION("""COMPUTED_VALUE"""),"")</f>
        <v/>
      </c>
      <c r="J265" s="472" t="str">
        <f ca="1">IFERROR(__xludf.DUMMYFUNCTION("""COMPUTED_VALUE"""),"")</f>
        <v/>
      </c>
    </row>
    <row r="266" spans="1:10" ht="15.75">
      <c r="A266" s="472" t="str">
        <f ca="1">IFERROR(__xludf.DUMMYFUNCTION("""COMPUTED_VALUE"""),"")</f>
        <v/>
      </c>
      <c r="B266" s="472" t="str">
        <f ca="1">IFERROR(__xludf.DUMMYFUNCTION("""COMPUTED_VALUE"""),"")</f>
        <v/>
      </c>
      <c r="C266" s="472" t="str">
        <f ca="1">IFERROR(__xludf.DUMMYFUNCTION("""COMPUTED_VALUE"""),"")</f>
        <v/>
      </c>
      <c r="D266" s="472" t="str">
        <f ca="1">IFERROR(__xludf.DUMMYFUNCTION("""COMPUTED_VALUE"""),"")</f>
        <v/>
      </c>
      <c r="E266" s="472" t="str">
        <f ca="1">IFERROR(__xludf.DUMMYFUNCTION("""COMPUTED_VALUE"""),"")</f>
        <v/>
      </c>
      <c r="F266" s="472" t="str">
        <f ca="1">IFERROR(__xludf.DUMMYFUNCTION("""COMPUTED_VALUE"""),"")</f>
        <v/>
      </c>
      <c r="G266" s="472" t="str">
        <f ca="1">IFERROR(__xludf.DUMMYFUNCTION("""COMPUTED_VALUE"""),"")</f>
        <v/>
      </c>
      <c r="H266" s="472" t="str">
        <f ca="1">IFERROR(__xludf.DUMMYFUNCTION("""COMPUTED_VALUE"""),"")</f>
        <v/>
      </c>
      <c r="I266" s="472" t="str">
        <f ca="1">IFERROR(__xludf.DUMMYFUNCTION("""COMPUTED_VALUE"""),"")</f>
        <v/>
      </c>
      <c r="J266" s="472" t="str">
        <f ca="1">IFERROR(__xludf.DUMMYFUNCTION("""COMPUTED_VALUE"""),"")</f>
        <v/>
      </c>
    </row>
    <row r="267" spans="1:10" ht="15.75">
      <c r="A267" s="472" t="str">
        <f ca="1">IFERROR(__xludf.DUMMYFUNCTION("""COMPUTED_VALUE"""),"")</f>
        <v/>
      </c>
      <c r="B267" s="472" t="str">
        <f ca="1">IFERROR(__xludf.DUMMYFUNCTION("""COMPUTED_VALUE"""),"")</f>
        <v/>
      </c>
      <c r="C267" s="472" t="str">
        <f ca="1">IFERROR(__xludf.DUMMYFUNCTION("""COMPUTED_VALUE"""),"")</f>
        <v/>
      </c>
      <c r="D267" s="472" t="str">
        <f ca="1">IFERROR(__xludf.DUMMYFUNCTION("""COMPUTED_VALUE"""),"")</f>
        <v/>
      </c>
      <c r="E267" s="472" t="str">
        <f ca="1">IFERROR(__xludf.DUMMYFUNCTION("""COMPUTED_VALUE"""),"")</f>
        <v/>
      </c>
      <c r="F267" s="472" t="str">
        <f ca="1">IFERROR(__xludf.DUMMYFUNCTION("""COMPUTED_VALUE"""),"")</f>
        <v/>
      </c>
      <c r="G267" s="472" t="str">
        <f ca="1">IFERROR(__xludf.DUMMYFUNCTION("""COMPUTED_VALUE"""),"")</f>
        <v/>
      </c>
      <c r="H267" s="472" t="str">
        <f ca="1">IFERROR(__xludf.DUMMYFUNCTION("""COMPUTED_VALUE"""),"")</f>
        <v/>
      </c>
      <c r="I267" s="472" t="str">
        <f ca="1">IFERROR(__xludf.DUMMYFUNCTION("""COMPUTED_VALUE"""),"")</f>
        <v/>
      </c>
      <c r="J267" s="472" t="str">
        <f ca="1">IFERROR(__xludf.DUMMYFUNCTION("""COMPUTED_VALUE"""),"")</f>
        <v/>
      </c>
    </row>
    <row r="268" spans="1:10" ht="15.75">
      <c r="A268" s="472" t="str">
        <f ca="1">IFERROR(__xludf.DUMMYFUNCTION("""COMPUTED_VALUE"""),"")</f>
        <v/>
      </c>
      <c r="B268" s="472" t="str">
        <f ca="1">IFERROR(__xludf.DUMMYFUNCTION("""COMPUTED_VALUE"""),"")</f>
        <v/>
      </c>
      <c r="C268" s="472" t="str">
        <f ca="1">IFERROR(__xludf.DUMMYFUNCTION("""COMPUTED_VALUE"""),"")</f>
        <v/>
      </c>
      <c r="D268" s="472" t="str">
        <f ca="1">IFERROR(__xludf.DUMMYFUNCTION("""COMPUTED_VALUE"""),"")</f>
        <v/>
      </c>
      <c r="E268" s="472" t="str">
        <f ca="1">IFERROR(__xludf.DUMMYFUNCTION("""COMPUTED_VALUE"""),"")</f>
        <v/>
      </c>
      <c r="F268" s="472" t="str">
        <f ca="1">IFERROR(__xludf.DUMMYFUNCTION("""COMPUTED_VALUE"""),"")</f>
        <v/>
      </c>
      <c r="G268" s="472" t="str">
        <f ca="1">IFERROR(__xludf.DUMMYFUNCTION("""COMPUTED_VALUE"""),"")</f>
        <v/>
      </c>
      <c r="H268" s="472" t="str">
        <f ca="1">IFERROR(__xludf.DUMMYFUNCTION("""COMPUTED_VALUE"""),"")</f>
        <v/>
      </c>
      <c r="I268" s="472" t="str">
        <f ca="1">IFERROR(__xludf.DUMMYFUNCTION("""COMPUTED_VALUE"""),"")</f>
        <v/>
      </c>
      <c r="J268" s="472" t="str">
        <f ca="1">IFERROR(__xludf.DUMMYFUNCTION("""COMPUTED_VALUE"""),"")</f>
        <v/>
      </c>
    </row>
    <row r="269" spans="1:10" ht="15.75">
      <c r="A269" s="472" t="str">
        <f ca="1">IFERROR(__xludf.DUMMYFUNCTION("""COMPUTED_VALUE"""),"")</f>
        <v/>
      </c>
      <c r="B269" s="472" t="str">
        <f ca="1">IFERROR(__xludf.DUMMYFUNCTION("""COMPUTED_VALUE"""),"")</f>
        <v/>
      </c>
      <c r="C269" s="472" t="str">
        <f ca="1">IFERROR(__xludf.DUMMYFUNCTION("""COMPUTED_VALUE"""),"")</f>
        <v/>
      </c>
      <c r="D269" s="472" t="str">
        <f ca="1">IFERROR(__xludf.DUMMYFUNCTION("""COMPUTED_VALUE"""),"")</f>
        <v/>
      </c>
      <c r="E269" s="472" t="str">
        <f ca="1">IFERROR(__xludf.DUMMYFUNCTION("""COMPUTED_VALUE"""),"")</f>
        <v/>
      </c>
      <c r="F269" s="472" t="str">
        <f ca="1">IFERROR(__xludf.DUMMYFUNCTION("""COMPUTED_VALUE"""),"")</f>
        <v/>
      </c>
      <c r="G269" s="472" t="str">
        <f ca="1">IFERROR(__xludf.DUMMYFUNCTION("""COMPUTED_VALUE"""),"")</f>
        <v/>
      </c>
      <c r="H269" s="472" t="str">
        <f ca="1">IFERROR(__xludf.DUMMYFUNCTION("""COMPUTED_VALUE"""),"")</f>
        <v/>
      </c>
      <c r="I269" s="472" t="str">
        <f ca="1">IFERROR(__xludf.DUMMYFUNCTION("""COMPUTED_VALUE"""),"")</f>
        <v/>
      </c>
      <c r="J269" s="472" t="str">
        <f ca="1">IFERROR(__xludf.DUMMYFUNCTION("""COMPUTED_VALUE"""),"")</f>
        <v/>
      </c>
    </row>
    <row r="270" spans="1:10" ht="15.75">
      <c r="A270" s="472" t="str">
        <f ca="1">IFERROR(__xludf.DUMMYFUNCTION("""COMPUTED_VALUE"""),"")</f>
        <v/>
      </c>
      <c r="B270" s="472" t="str">
        <f ca="1">IFERROR(__xludf.DUMMYFUNCTION("""COMPUTED_VALUE"""),"")</f>
        <v/>
      </c>
      <c r="C270" s="472" t="str">
        <f ca="1">IFERROR(__xludf.DUMMYFUNCTION("""COMPUTED_VALUE"""),"")</f>
        <v/>
      </c>
      <c r="D270" s="472" t="str">
        <f ca="1">IFERROR(__xludf.DUMMYFUNCTION("""COMPUTED_VALUE"""),"")</f>
        <v/>
      </c>
      <c r="E270" s="472" t="str">
        <f ca="1">IFERROR(__xludf.DUMMYFUNCTION("""COMPUTED_VALUE"""),"")</f>
        <v/>
      </c>
      <c r="F270" s="472" t="str">
        <f ca="1">IFERROR(__xludf.DUMMYFUNCTION("""COMPUTED_VALUE"""),"")</f>
        <v/>
      </c>
      <c r="G270" s="472" t="str">
        <f ca="1">IFERROR(__xludf.DUMMYFUNCTION("""COMPUTED_VALUE"""),"")</f>
        <v/>
      </c>
      <c r="H270" s="472" t="str">
        <f ca="1">IFERROR(__xludf.DUMMYFUNCTION("""COMPUTED_VALUE"""),"")</f>
        <v/>
      </c>
      <c r="I270" s="472" t="str">
        <f ca="1">IFERROR(__xludf.DUMMYFUNCTION("""COMPUTED_VALUE"""),"")</f>
        <v/>
      </c>
      <c r="J270" s="472" t="str">
        <f ca="1">IFERROR(__xludf.DUMMYFUNCTION("""COMPUTED_VALUE"""),"")</f>
        <v/>
      </c>
    </row>
    <row r="271" spans="1:10" ht="15.75">
      <c r="A271" s="472" t="str">
        <f ca="1">IFERROR(__xludf.DUMMYFUNCTION("""COMPUTED_VALUE"""),"")</f>
        <v/>
      </c>
      <c r="B271" s="472" t="str">
        <f ca="1">IFERROR(__xludf.DUMMYFUNCTION("""COMPUTED_VALUE"""),"")</f>
        <v/>
      </c>
      <c r="C271" s="472" t="str">
        <f ca="1">IFERROR(__xludf.DUMMYFUNCTION("""COMPUTED_VALUE"""),"")</f>
        <v/>
      </c>
      <c r="D271" s="472" t="str">
        <f ca="1">IFERROR(__xludf.DUMMYFUNCTION("""COMPUTED_VALUE"""),"")</f>
        <v/>
      </c>
      <c r="E271" s="472" t="str">
        <f ca="1">IFERROR(__xludf.DUMMYFUNCTION("""COMPUTED_VALUE"""),"")</f>
        <v/>
      </c>
      <c r="F271" s="472" t="str">
        <f ca="1">IFERROR(__xludf.DUMMYFUNCTION("""COMPUTED_VALUE"""),"")</f>
        <v/>
      </c>
      <c r="G271" s="472" t="str">
        <f ca="1">IFERROR(__xludf.DUMMYFUNCTION("""COMPUTED_VALUE"""),"")</f>
        <v/>
      </c>
      <c r="H271" s="472" t="str">
        <f ca="1">IFERROR(__xludf.DUMMYFUNCTION("""COMPUTED_VALUE"""),"")</f>
        <v/>
      </c>
      <c r="I271" s="472" t="str">
        <f ca="1">IFERROR(__xludf.DUMMYFUNCTION("""COMPUTED_VALUE"""),"")</f>
        <v/>
      </c>
      <c r="J271" s="472" t="str">
        <f ca="1">IFERROR(__xludf.DUMMYFUNCTION("""COMPUTED_VALUE"""),"")</f>
        <v/>
      </c>
    </row>
    <row r="272" spans="1:10" ht="15.75">
      <c r="A272" s="472" t="str">
        <f ca="1">IFERROR(__xludf.DUMMYFUNCTION("""COMPUTED_VALUE"""),"")</f>
        <v/>
      </c>
      <c r="B272" s="472" t="str">
        <f ca="1">IFERROR(__xludf.DUMMYFUNCTION("""COMPUTED_VALUE"""),"")</f>
        <v/>
      </c>
      <c r="C272" s="472" t="str">
        <f ca="1">IFERROR(__xludf.DUMMYFUNCTION("""COMPUTED_VALUE"""),"")</f>
        <v/>
      </c>
      <c r="D272" s="472" t="str">
        <f ca="1">IFERROR(__xludf.DUMMYFUNCTION("""COMPUTED_VALUE"""),"")</f>
        <v/>
      </c>
      <c r="E272" s="472" t="str">
        <f ca="1">IFERROR(__xludf.DUMMYFUNCTION("""COMPUTED_VALUE"""),"")</f>
        <v/>
      </c>
      <c r="F272" s="472" t="str">
        <f ca="1">IFERROR(__xludf.DUMMYFUNCTION("""COMPUTED_VALUE"""),"")</f>
        <v/>
      </c>
      <c r="G272" s="472" t="str">
        <f ca="1">IFERROR(__xludf.DUMMYFUNCTION("""COMPUTED_VALUE"""),"")</f>
        <v/>
      </c>
      <c r="H272" s="472" t="str">
        <f ca="1">IFERROR(__xludf.DUMMYFUNCTION("""COMPUTED_VALUE"""),"")</f>
        <v/>
      </c>
      <c r="I272" s="472" t="str">
        <f ca="1">IFERROR(__xludf.DUMMYFUNCTION("""COMPUTED_VALUE"""),"")</f>
        <v/>
      </c>
      <c r="J272" s="472" t="str">
        <f ca="1">IFERROR(__xludf.DUMMYFUNCTION("""COMPUTED_VALUE"""),"")</f>
        <v/>
      </c>
    </row>
    <row r="273" spans="1:10" ht="15.75">
      <c r="A273" s="472" t="str">
        <f ca="1">IFERROR(__xludf.DUMMYFUNCTION("""COMPUTED_VALUE"""),"")</f>
        <v/>
      </c>
      <c r="B273" s="472" t="str">
        <f ca="1">IFERROR(__xludf.DUMMYFUNCTION("""COMPUTED_VALUE"""),"")</f>
        <v/>
      </c>
      <c r="C273" s="472" t="str">
        <f ca="1">IFERROR(__xludf.DUMMYFUNCTION("""COMPUTED_VALUE"""),"")</f>
        <v/>
      </c>
      <c r="D273" s="472" t="str">
        <f ca="1">IFERROR(__xludf.DUMMYFUNCTION("""COMPUTED_VALUE"""),"")</f>
        <v/>
      </c>
      <c r="E273" s="472" t="str">
        <f ca="1">IFERROR(__xludf.DUMMYFUNCTION("""COMPUTED_VALUE"""),"")</f>
        <v/>
      </c>
      <c r="F273" s="472" t="str">
        <f ca="1">IFERROR(__xludf.DUMMYFUNCTION("""COMPUTED_VALUE"""),"")</f>
        <v/>
      </c>
      <c r="G273" s="472" t="str">
        <f ca="1">IFERROR(__xludf.DUMMYFUNCTION("""COMPUTED_VALUE"""),"")</f>
        <v/>
      </c>
      <c r="H273" s="472" t="str">
        <f ca="1">IFERROR(__xludf.DUMMYFUNCTION("""COMPUTED_VALUE"""),"")</f>
        <v/>
      </c>
      <c r="I273" s="472" t="str">
        <f ca="1">IFERROR(__xludf.DUMMYFUNCTION("""COMPUTED_VALUE"""),"")</f>
        <v/>
      </c>
      <c r="J273" s="472" t="str">
        <f ca="1">IFERROR(__xludf.DUMMYFUNCTION("""COMPUTED_VALUE"""),"")</f>
        <v/>
      </c>
    </row>
    <row r="274" spans="1:10" ht="15.75">
      <c r="A274" s="472" t="str">
        <f ca="1">IFERROR(__xludf.DUMMYFUNCTION("""COMPUTED_VALUE"""),"")</f>
        <v/>
      </c>
      <c r="B274" s="472" t="str">
        <f ca="1">IFERROR(__xludf.DUMMYFUNCTION("""COMPUTED_VALUE"""),"")</f>
        <v/>
      </c>
      <c r="C274" s="472" t="str">
        <f ca="1">IFERROR(__xludf.DUMMYFUNCTION("""COMPUTED_VALUE"""),"")</f>
        <v/>
      </c>
      <c r="D274" s="472" t="str">
        <f ca="1">IFERROR(__xludf.DUMMYFUNCTION("""COMPUTED_VALUE"""),"")</f>
        <v/>
      </c>
      <c r="E274" s="472" t="str">
        <f ca="1">IFERROR(__xludf.DUMMYFUNCTION("""COMPUTED_VALUE"""),"")</f>
        <v/>
      </c>
      <c r="F274" s="472" t="str">
        <f ca="1">IFERROR(__xludf.DUMMYFUNCTION("""COMPUTED_VALUE"""),"")</f>
        <v/>
      </c>
      <c r="G274" s="472" t="str">
        <f ca="1">IFERROR(__xludf.DUMMYFUNCTION("""COMPUTED_VALUE"""),"")</f>
        <v/>
      </c>
      <c r="H274" s="472" t="str">
        <f ca="1">IFERROR(__xludf.DUMMYFUNCTION("""COMPUTED_VALUE"""),"")</f>
        <v/>
      </c>
      <c r="I274" s="472" t="str">
        <f ca="1">IFERROR(__xludf.DUMMYFUNCTION("""COMPUTED_VALUE"""),"")</f>
        <v/>
      </c>
      <c r="J274" s="472" t="str">
        <f ca="1">IFERROR(__xludf.DUMMYFUNCTION("""COMPUTED_VALUE"""),"")</f>
        <v/>
      </c>
    </row>
    <row r="275" spans="1:10" ht="15.75">
      <c r="A275" s="472" t="str">
        <f ca="1">IFERROR(__xludf.DUMMYFUNCTION("""COMPUTED_VALUE"""),"")</f>
        <v/>
      </c>
      <c r="B275" s="472" t="str">
        <f ca="1">IFERROR(__xludf.DUMMYFUNCTION("""COMPUTED_VALUE"""),"")</f>
        <v/>
      </c>
      <c r="C275" s="472" t="str">
        <f ca="1">IFERROR(__xludf.DUMMYFUNCTION("""COMPUTED_VALUE"""),"")</f>
        <v/>
      </c>
      <c r="D275" s="472" t="str">
        <f ca="1">IFERROR(__xludf.DUMMYFUNCTION("""COMPUTED_VALUE"""),"")</f>
        <v/>
      </c>
      <c r="E275" s="472" t="str">
        <f ca="1">IFERROR(__xludf.DUMMYFUNCTION("""COMPUTED_VALUE"""),"")</f>
        <v/>
      </c>
      <c r="F275" s="472" t="str">
        <f ca="1">IFERROR(__xludf.DUMMYFUNCTION("""COMPUTED_VALUE"""),"")</f>
        <v/>
      </c>
      <c r="G275" s="472" t="str">
        <f ca="1">IFERROR(__xludf.DUMMYFUNCTION("""COMPUTED_VALUE"""),"")</f>
        <v/>
      </c>
      <c r="H275" s="472" t="str">
        <f ca="1">IFERROR(__xludf.DUMMYFUNCTION("""COMPUTED_VALUE"""),"")</f>
        <v/>
      </c>
      <c r="I275" s="472" t="str">
        <f ca="1">IFERROR(__xludf.DUMMYFUNCTION("""COMPUTED_VALUE"""),"")</f>
        <v/>
      </c>
      <c r="J275" s="472" t="str">
        <f ca="1">IFERROR(__xludf.DUMMYFUNCTION("""COMPUTED_VALUE"""),"")</f>
        <v/>
      </c>
    </row>
    <row r="276" spans="1:10" ht="15.75">
      <c r="A276" s="472" t="str">
        <f ca="1">IFERROR(__xludf.DUMMYFUNCTION("""COMPUTED_VALUE"""),"")</f>
        <v/>
      </c>
      <c r="B276" s="472" t="str">
        <f ca="1">IFERROR(__xludf.DUMMYFUNCTION("""COMPUTED_VALUE"""),"")</f>
        <v/>
      </c>
      <c r="C276" s="472" t="str">
        <f ca="1">IFERROR(__xludf.DUMMYFUNCTION("""COMPUTED_VALUE"""),"")</f>
        <v/>
      </c>
      <c r="D276" s="472" t="str">
        <f ca="1">IFERROR(__xludf.DUMMYFUNCTION("""COMPUTED_VALUE"""),"")</f>
        <v/>
      </c>
      <c r="E276" s="472" t="str">
        <f ca="1">IFERROR(__xludf.DUMMYFUNCTION("""COMPUTED_VALUE"""),"")</f>
        <v/>
      </c>
      <c r="F276" s="472" t="str">
        <f ca="1">IFERROR(__xludf.DUMMYFUNCTION("""COMPUTED_VALUE"""),"")</f>
        <v/>
      </c>
      <c r="G276" s="472" t="str">
        <f ca="1">IFERROR(__xludf.DUMMYFUNCTION("""COMPUTED_VALUE"""),"")</f>
        <v/>
      </c>
      <c r="H276" s="472" t="str">
        <f ca="1">IFERROR(__xludf.DUMMYFUNCTION("""COMPUTED_VALUE"""),"")</f>
        <v/>
      </c>
      <c r="I276" s="472" t="str">
        <f ca="1">IFERROR(__xludf.DUMMYFUNCTION("""COMPUTED_VALUE"""),"")</f>
        <v/>
      </c>
      <c r="J276" s="472" t="str">
        <f ca="1">IFERROR(__xludf.DUMMYFUNCTION("""COMPUTED_VALUE"""),"")</f>
        <v/>
      </c>
    </row>
    <row r="277" spans="1:10" ht="15.75">
      <c r="A277" s="472" t="str">
        <f ca="1">IFERROR(__xludf.DUMMYFUNCTION("""COMPUTED_VALUE"""),"")</f>
        <v/>
      </c>
      <c r="B277" s="472" t="str">
        <f ca="1">IFERROR(__xludf.DUMMYFUNCTION("""COMPUTED_VALUE"""),"")</f>
        <v/>
      </c>
      <c r="C277" s="472" t="str">
        <f ca="1">IFERROR(__xludf.DUMMYFUNCTION("""COMPUTED_VALUE"""),"")</f>
        <v/>
      </c>
      <c r="D277" s="472" t="str">
        <f ca="1">IFERROR(__xludf.DUMMYFUNCTION("""COMPUTED_VALUE"""),"")</f>
        <v/>
      </c>
      <c r="E277" s="472" t="str">
        <f ca="1">IFERROR(__xludf.DUMMYFUNCTION("""COMPUTED_VALUE"""),"")</f>
        <v/>
      </c>
      <c r="F277" s="472" t="str">
        <f ca="1">IFERROR(__xludf.DUMMYFUNCTION("""COMPUTED_VALUE"""),"")</f>
        <v/>
      </c>
      <c r="G277" s="472" t="str">
        <f ca="1">IFERROR(__xludf.DUMMYFUNCTION("""COMPUTED_VALUE"""),"")</f>
        <v/>
      </c>
      <c r="H277" s="472" t="str">
        <f ca="1">IFERROR(__xludf.DUMMYFUNCTION("""COMPUTED_VALUE"""),"")</f>
        <v/>
      </c>
      <c r="I277" s="472" t="str">
        <f ca="1">IFERROR(__xludf.DUMMYFUNCTION("""COMPUTED_VALUE"""),"")</f>
        <v/>
      </c>
      <c r="J277" s="472" t="str">
        <f ca="1">IFERROR(__xludf.DUMMYFUNCTION("""COMPUTED_VALUE"""),"")</f>
        <v/>
      </c>
    </row>
    <row r="278" spans="1:10" ht="15.75">
      <c r="A278" s="472" t="str">
        <f ca="1">IFERROR(__xludf.DUMMYFUNCTION("""COMPUTED_VALUE"""),"")</f>
        <v/>
      </c>
      <c r="B278" s="472" t="str">
        <f ca="1">IFERROR(__xludf.DUMMYFUNCTION("""COMPUTED_VALUE"""),"")</f>
        <v/>
      </c>
      <c r="C278" s="472" t="str">
        <f ca="1">IFERROR(__xludf.DUMMYFUNCTION("""COMPUTED_VALUE"""),"")</f>
        <v/>
      </c>
      <c r="D278" s="472" t="str">
        <f ca="1">IFERROR(__xludf.DUMMYFUNCTION("""COMPUTED_VALUE"""),"")</f>
        <v/>
      </c>
      <c r="E278" s="472" t="str">
        <f ca="1">IFERROR(__xludf.DUMMYFUNCTION("""COMPUTED_VALUE"""),"")</f>
        <v/>
      </c>
      <c r="F278" s="472" t="str">
        <f ca="1">IFERROR(__xludf.DUMMYFUNCTION("""COMPUTED_VALUE"""),"")</f>
        <v/>
      </c>
      <c r="G278" s="472" t="str">
        <f ca="1">IFERROR(__xludf.DUMMYFUNCTION("""COMPUTED_VALUE"""),"")</f>
        <v/>
      </c>
      <c r="H278" s="472" t="str">
        <f ca="1">IFERROR(__xludf.DUMMYFUNCTION("""COMPUTED_VALUE"""),"")</f>
        <v/>
      </c>
      <c r="I278" s="472" t="str">
        <f ca="1">IFERROR(__xludf.DUMMYFUNCTION("""COMPUTED_VALUE"""),"")</f>
        <v/>
      </c>
      <c r="J278" s="472" t="str">
        <f ca="1">IFERROR(__xludf.DUMMYFUNCTION("""COMPUTED_VALUE"""),"")</f>
        <v/>
      </c>
    </row>
    <row r="279" spans="1:10" ht="15.75">
      <c r="A279" s="472" t="str">
        <f ca="1">IFERROR(__xludf.DUMMYFUNCTION("""COMPUTED_VALUE"""),"")</f>
        <v/>
      </c>
      <c r="B279" s="472" t="str">
        <f ca="1">IFERROR(__xludf.DUMMYFUNCTION("""COMPUTED_VALUE"""),"")</f>
        <v/>
      </c>
      <c r="C279" s="472" t="str">
        <f ca="1">IFERROR(__xludf.DUMMYFUNCTION("""COMPUTED_VALUE"""),"")</f>
        <v/>
      </c>
      <c r="D279" s="472" t="str">
        <f ca="1">IFERROR(__xludf.DUMMYFUNCTION("""COMPUTED_VALUE"""),"")</f>
        <v/>
      </c>
      <c r="E279" s="472" t="str">
        <f ca="1">IFERROR(__xludf.DUMMYFUNCTION("""COMPUTED_VALUE"""),"")</f>
        <v/>
      </c>
      <c r="F279" s="472" t="str">
        <f ca="1">IFERROR(__xludf.DUMMYFUNCTION("""COMPUTED_VALUE"""),"")</f>
        <v/>
      </c>
      <c r="G279" s="472" t="str">
        <f ca="1">IFERROR(__xludf.DUMMYFUNCTION("""COMPUTED_VALUE"""),"")</f>
        <v/>
      </c>
      <c r="H279" s="472" t="str">
        <f ca="1">IFERROR(__xludf.DUMMYFUNCTION("""COMPUTED_VALUE"""),"")</f>
        <v/>
      </c>
      <c r="I279" s="472" t="str">
        <f ca="1">IFERROR(__xludf.DUMMYFUNCTION("""COMPUTED_VALUE"""),"")</f>
        <v/>
      </c>
      <c r="J279" s="472" t="str">
        <f ca="1">IFERROR(__xludf.DUMMYFUNCTION("""COMPUTED_VALUE"""),"")</f>
        <v/>
      </c>
    </row>
    <row r="280" spans="1:10" ht="15.75">
      <c r="A280" s="472" t="str">
        <f ca="1">IFERROR(__xludf.DUMMYFUNCTION("""COMPUTED_VALUE"""),"")</f>
        <v/>
      </c>
      <c r="B280" s="472" t="str">
        <f ca="1">IFERROR(__xludf.DUMMYFUNCTION("""COMPUTED_VALUE"""),"")</f>
        <v/>
      </c>
      <c r="C280" s="472" t="str">
        <f ca="1">IFERROR(__xludf.DUMMYFUNCTION("""COMPUTED_VALUE"""),"")</f>
        <v/>
      </c>
      <c r="D280" s="472" t="str">
        <f ca="1">IFERROR(__xludf.DUMMYFUNCTION("""COMPUTED_VALUE"""),"")</f>
        <v/>
      </c>
      <c r="E280" s="472" t="str">
        <f ca="1">IFERROR(__xludf.DUMMYFUNCTION("""COMPUTED_VALUE"""),"")</f>
        <v/>
      </c>
      <c r="F280" s="472" t="str">
        <f ca="1">IFERROR(__xludf.DUMMYFUNCTION("""COMPUTED_VALUE"""),"")</f>
        <v/>
      </c>
      <c r="G280" s="472" t="str">
        <f ca="1">IFERROR(__xludf.DUMMYFUNCTION("""COMPUTED_VALUE"""),"")</f>
        <v/>
      </c>
      <c r="H280" s="472" t="str">
        <f ca="1">IFERROR(__xludf.DUMMYFUNCTION("""COMPUTED_VALUE"""),"")</f>
        <v/>
      </c>
      <c r="I280" s="472" t="str">
        <f ca="1">IFERROR(__xludf.DUMMYFUNCTION("""COMPUTED_VALUE"""),"")</f>
        <v/>
      </c>
      <c r="J280" s="472" t="str">
        <f ca="1">IFERROR(__xludf.DUMMYFUNCTION("""COMPUTED_VALUE"""),"")</f>
        <v/>
      </c>
    </row>
    <row r="281" spans="1:10" ht="15.75">
      <c r="A281" s="472" t="str">
        <f ca="1">IFERROR(__xludf.DUMMYFUNCTION("""COMPUTED_VALUE"""),"")</f>
        <v/>
      </c>
      <c r="B281" s="472" t="str">
        <f ca="1">IFERROR(__xludf.DUMMYFUNCTION("""COMPUTED_VALUE"""),"")</f>
        <v/>
      </c>
      <c r="C281" s="472" t="str">
        <f ca="1">IFERROR(__xludf.DUMMYFUNCTION("""COMPUTED_VALUE"""),"")</f>
        <v/>
      </c>
      <c r="D281" s="472" t="str">
        <f ca="1">IFERROR(__xludf.DUMMYFUNCTION("""COMPUTED_VALUE"""),"")</f>
        <v/>
      </c>
      <c r="E281" s="472" t="str">
        <f ca="1">IFERROR(__xludf.DUMMYFUNCTION("""COMPUTED_VALUE"""),"")</f>
        <v/>
      </c>
      <c r="F281" s="472" t="str">
        <f ca="1">IFERROR(__xludf.DUMMYFUNCTION("""COMPUTED_VALUE"""),"")</f>
        <v/>
      </c>
      <c r="G281" s="472" t="str">
        <f ca="1">IFERROR(__xludf.DUMMYFUNCTION("""COMPUTED_VALUE"""),"")</f>
        <v/>
      </c>
      <c r="H281" s="472" t="str">
        <f ca="1">IFERROR(__xludf.DUMMYFUNCTION("""COMPUTED_VALUE"""),"")</f>
        <v/>
      </c>
      <c r="I281" s="472" t="str">
        <f ca="1">IFERROR(__xludf.DUMMYFUNCTION("""COMPUTED_VALUE"""),"")</f>
        <v/>
      </c>
      <c r="J281" s="472" t="str">
        <f ca="1">IFERROR(__xludf.DUMMYFUNCTION("""COMPUTED_VALUE"""),"")</f>
        <v/>
      </c>
    </row>
    <row r="282" spans="1:10" ht="15.75">
      <c r="A282" s="472" t="str">
        <f ca="1">IFERROR(__xludf.DUMMYFUNCTION("""COMPUTED_VALUE"""),"")</f>
        <v/>
      </c>
      <c r="B282" s="472" t="str">
        <f ca="1">IFERROR(__xludf.DUMMYFUNCTION("""COMPUTED_VALUE"""),"")</f>
        <v/>
      </c>
      <c r="C282" s="472" t="str">
        <f ca="1">IFERROR(__xludf.DUMMYFUNCTION("""COMPUTED_VALUE"""),"")</f>
        <v/>
      </c>
      <c r="D282" s="472" t="str">
        <f ca="1">IFERROR(__xludf.DUMMYFUNCTION("""COMPUTED_VALUE"""),"")</f>
        <v/>
      </c>
      <c r="E282" s="472" t="str">
        <f ca="1">IFERROR(__xludf.DUMMYFUNCTION("""COMPUTED_VALUE"""),"")</f>
        <v/>
      </c>
      <c r="F282" s="472" t="str">
        <f ca="1">IFERROR(__xludf.DUMMYFUNCTION("""COMPUTED_VALUE"""),"")</f>
        <v/>
      </c>
      <c r="G282" s="472" t="str">
        <f ca="1">IFERROR(__xludf.DUMMYFUNCTION("""COMPUTED_VALUE"""),"")</f>
        <v/>
      </c>
      <c r="H282" s="472" t="str">
        <f ca="1">IFERROR(__xludf.DUMMYFUNCTION("""COMPUTED_VALUE"""),"")</f>
        <v/>
      </c>
      <c r="I282" s="472" t="str">
        <f ca="1">IFERROR(__xludf.DUMMYFUNCTION("""COMPUTED_VALUE"""),"")</f>
        <v/>
      </c>
      <c r="J282" s="472" t="str">
        <f ca="1">IFERROR(__xludf.DUMMYFUNCTION("""COMPUTED_VALUE"""),"")</f>
        <v/>
      </c>
    </row>
    <row r="283" spans="1:10" ht="15.75">
      <c r="A283" s="472" t="str">
        <f ca="1">IFERROR(__xludf.DUMMYFUNCTION("""COMPUTED_VALUE"""),"")</f>
        <v/>
      </c>
      <c r="B283" s="472" t="str">
        <f ca="1">IFERROR(__xludf.DUMMYFUNCTION("""COMPUTED_VALUE"""),"")</f>
        <v/>
      </c>
      <c r="C283" s="472" t="str">
        <f ca="1">IFERROR(__xludf.DUMMYFUNCTION("""COMPUTED_VALUE"""),"")</f>
        <v/>
      </c>
      <c r="D283" s="472" t="str">
        <f ca="1">IFERROR(__xludf.DUMMYFUNCTION("""COMPUTED_VALUE"""),"")</f>
        <v/>
      </c>
      <c r="E283" s="472" t="str">
        <f ca="1">IFERROR(__xludf.DUMMYFUNCTION("""COMPUTED_VALUE"""),"")</f>
        <v/>
      </c>
      <c r="F283" s="472" t="str">
        <f ca="1">IFERROR(__xludf.DUMMYFUNCTION("""COMPUTED_VALUE"""),"")</f>
        <v/>
      </c>
      <c r="G283" s="472" t="str">
        <f ca="1">IFERROR(__xludf.DUMMYFUNCTION("""COMPUTED_VALUE"""),"")</f>
        <v/>
      </c>
      <c r="H283" s="472" t="str">
        <f ca="1">IFERROR(__xludf.DUMMYFUNCTION("""COMPUTED_VALUE"""),"")</f>
        <v/>
      </c>
      <c r="I283" s="472" t="str">
        <f ca="1">IFERROR(__xludf.DUMMYFUNCTION("""COMPUTED_VALUE"""),"")</f>
        <v/>
      </c>
      <c r="J283" s="472" t="str">
        <f ca="1">IFERROR(__xludf.DUMMYFUNCTION("""COMPUTED_VALUE"""),"")</f>
        <v/>
      </c>
    </row>
    <row r="284" spans="1:10" ht="15.75">
      <c r="A284" s="472" t="str">
        <f ca="1">IFERROR(__xludf.DUMMYFUNCTION("""COMPUTED_VALUE"""),"")</f>
        <v/>
      </c>
      <c r="B284" s="472" t="str">
        <f ca="1">IFERROR(__xludf.DUMMYFUNCTION("""COMPUTED_VALUE"""),"")</f>
        <v/>
      </c>
      <c r="C284" s="472" t="str">
        <f ca="1">IFERROR(__xludf.DUMMYFUNCTION("""COMPUTED_VALUE"""),"")</f>
        <v/>
      </c>
      <c r="D284" s="472" t="str">
        <f ca="1">IFERROR(__xludf.DUMMYFUNCTION("""COMPUTED_VALUE"""),"")</f>
        <v/>
      </c>
      <c r="E284" s="472" t="str">
        <f ca="1">IFERROR(__xludf.DUMMYFUNCTION("""COMPUTED_VALUE"""),"")</f>
        <v/>
      </c>
      <c r="F284" s="472" t="str">
        <f ca="1">IFERROR(__xludf.DUMMYFUNCTION("""COMPUTED_VALUE"""),"")</f>
        <v/>
      </c>
      <c r="G284" s="472" t="str">
        <f ca="1">IFERROR(__xludf.DUMMYFUNCTION("""COMPUTED_VALUE"""),"")</f>
        <v/>
      </c>
      <c r="H284" s="472" t="str">
        <f ca="1">IFERROR(__xludf.DUMMYFUNCTION("""COMPUTED_VALUE"""),"")</f>
        <v/>
      </c>
      <c r="I284" s="472" t="str">
        <f ca="1">IFERROR(__xludf.DUMMYFUNCTION("""COMPUTED_VALUE"""),"")</f>
        <v/>
      </c>
      <c r="J284" s="472" t="str">
        <f ca="1">IFERROR(__xludf.DUMMYFUNCTION("""COMPUTED_VALUE"""),"")</f>
        <v/>
      </c>
    </row>
    <row r="285" spans="1:10" ht="15.75">
      <c r="A285" s="472" t="str">
        <f ca="1">IFERROR(__xludf.DUMMYFUNCTION("""COMPUTED_VALUE"""),"")</f>
        <v/>
      </c>
      <c r="B285" s="472" t="str">
        <f ca="1">IFERROR(__xludf.DUMMYFUNCTION("""COMPUTED_VALUE"""),"")</f>
        <v/>
      </c>
      <c r="C285" s="472" t="str">
        <f ca="1">IFERROR(__xludf.DUMMYFUNCTION("""COMPUTED_VALUE"""),"")</f>
        <v/>
      </c>
      <c r="D285" s="472" t="str">
        <f ca="1">IFERROR(__xludf.DUMMYFUNCTION("""COMPUTED_VALUE"""),"")</f>
        <v/>
      </c>
      <c r="E285" s="472" t="str">
        <f ca="1">IFERROR(__xludf.DUMMYFUNCTION("""COMPUTED_VALUE"""),"")</f>
        <v/>
      </c>
      <c r="F285" s="472" t="str">
        <f ca="1">IFERROR(__xludf.DUMMYFUNCTION("""COMPUTED_VALUE"""),"")</f>
        <v/>
      </c>
      <c r="G285" s="472" t="str">
        <f ca="1">IFERROR(__xludf.DUMMYFUNCTION("""COMPUTED_VALUE"""),"")</f>
        <v/>
      </c>
      <c r="H285" s="472" t="str">
        <f ca="1">IFERROR(__xludf.DUMMYFUNCTION("""COMPUTED_VALUE"""),"")</f>
        <v/>
      </c>
      <c r="I285" s="472" t="str">
        <f ca="1">IFERROR(__xludf.DUMMYFUNCTION("""COMPUTED_VALUE"""),"")</f>
        <v/>
      </c>
      <c r="J285" s="472" t="str">
        <f ca="1">IFERROR(__xludf.DUMMYFUNCTION("""COMPUTED_VALUE"""),"")</f>
        <v/>
      </c>
    </row>
    <row r="286" spans="1:10" ht="15.75">
      <c r="A286" s="472" t="str">
        <f ca="1">IFERROR(__xludf.DUMMYFUNCTION("""COMPUTED_VALUE"""),"")</f>
        <v/>
      </c>
      <c r="B286" s="472" t="str">
        <f ca="1">IFERROR(__xludf.DUMMYFUNCTION("""COMPUTED_VALUE"""),"")</f>
        <v/>
      </c>
      <c r="C286" s="472" t="str">
        <f ca="1">IFERROR(__xludf.DUMMYFUNCTION("""COMPUTED_VALUE"""),"")</f>
        <v/>
      </c>
      <c r="D286" s="472" t="str">
        <f ca="1">IFERROR(__xludf.DUMMYFUNCTION("""COMPUTED_VALUE"""),"")</f>
        <v/>
      </c>
      <c r="E286" s="472" t="str">
        <f ca="1">IFERROR(__xludf.DUMMYFUNCTION("""COMPUTED_VALUE"""),"")</f>
        <v/>
      </c>
      <c r="F286" s="472" t="str">
        <f ca="1">IFERROR(__xludf.DUMMYFUNCTION("""COMPUTED_VALUE"""),"")</f>
        <v/>
      </c>
      <c r="G286" s="472" t="str">
        <f ca="1">IFERROR(__xludf.DUMMYFUNCTION("""COMPUTED_VALUE"""),"")</f>
        <v/>
      </c>
      <c r="H286" s="472" t="str">
        <f ca="1">IFERROR(__xludf.DUMMYFUNCTION("""COMPUTED_VALUE"""),"")</f>
        <v/>
      </c>
      <c r="I286" s="472" t="str">
        <f ca="1">IFERROR(__xludf.DUMMYFUNCTION("""COMPUTED_VALUE"""),"")</f>
        <v/>
      </c>
      <c r="J286" s="472" t="str">
        <f ca="1">IFERROR(__xludf.DUMMYFUNCTION("""COMPUTED_VALUE"""),"")</f>
        <v/>
      </c>
    </row>
    <row r="287" spans="1:10" ht="15.75">
      <c r="A287" s="472" t="str">
        <f ca="1">IFERROR(__xludf.DUMMYFUNCTION("""COMPUTED_VALUE"""),"")</f>
        <v/>
      </c>
      <c r="B287" s="472" t="str">
        <f ca="1">IFERROR(__xludf.DUMMYFUNCTION("""COMPUTED_VALUE"""),"")</f>
        <v/>
      </c>
      <c r="C287" s="472" t="str">
        <f ca="1">IFERROR(__xludf.DUMMYFUNCTION("""COMPUTED_VALUE"""),"")</f>
        <v/>
      </c>
      <c r="D287" s="472" t="str">
        <f ca="1">IFERROR(__xludf.DUMMYFUNCTION("""COMPUTED_VALUE"""),"")</f>
        <v/>
      </c>
      <c r="E287" s="472" t="str">
        <f ca="1">IFERROR(__xludf.DUMMYFUNCTION("""COMPUTED_VALUE"""),"")</f>
        <v/>
      </c>
      <c r="F287" s="472" t="str">
        <f ca="1">IFERROR(__xludf.DUMMYFUNCTION("""COMPUTED_VALUE"""),"")</f>
        <v/>
      </c>
      <c r="G287" s="472" t="str">
        <f ca="1">IFERROR(__xludf.DUMMYFUNCTION("""COMPUTED_VALUE"""),"")</f>
        <v/>
      </c>
      <c r="H287" s="472" t="str">
        <f ca="1">IFERROR(__xludf.DUMMYFUNCTION("""COMPUTED_VALUE"""),"")</f>
        <v/>
      </c>
      <c r="I287" s="472" t="str">
        <f ca="1">IFERROR(__xludf.DUMMYFUNCTION("""COMPUTED_VALUE"""),"")</f>
        <v/>
      </c>
      <c r="J287" s="472" t="str">
        <f ca="1">IFERROR(__xludf.DUMMYFUNCTION("""COMPUTED_VALUE"""),"")</f>
        <v/>
      </c>
    </row>
    <row r="288" spans="1:10" ht="15.75">
      <c r="A288" s="472" t="str">
        <f ca="1">IFERROR(__xludf.DUMMYFUNCTION("""COMPUTED_VALUE"""),"")</f>
        <v/>
      </c>
      <c r="B288" s="472" t="str">
        <f ca="1">IFERROR(__xludf.DUMMYFUNCTION("""COMPUTED_VALUE"""),"")</f>
        <v/>
      </c>
      <c r="C288" s="472" t="str">
        <f ca="1">IFERROR(__xludf.DUMMYFUNCTION("""COMPUTED_VALUE"""),"")</f>
        <v/>
      </c>
      <c r="D288" s="472" t="str">
        <f ca="1">IFERROR(__xludf.DUMMYFUNCTION("""COMPUTED_VALUE"""),"")</f>
        <v/>
      </c>
      <c r="E288" s="472" t="str">
        <f ca="1">IFERROR(__xludf.DUMMYFUNCTION("""COMPUTED_VALUE"""),"")</f>
        <v/>
      </c>
      <c r="F288" s="472" t="str">
        <f ca="1">IFERROR(__xludf.DUMMYFUNCTION("""COMPUTED_VALUE"""),"")</f>
        <v/>
      </c>
      <c r="G288" s="472" t="str">
        <f ca="1">IFERROR(__xludf.DUMMYFUNCTION("""COMPUTED_VALUE"""),"")</f>
        <v/>
      </c>
      <c r="H288" s="472" t="str">
        <f ca="1">IFERROR(__xludf.DUMMYFUNCTION("""COMPUTED_VALUE"""),"")</f>
        <v/>
      </c>
      <c r="I288" s="472" t="str">
        <f ca="1">IFERROR(__xludf.DUMMYFUNCTION("""COMPUTED_VALUE"""),"")</f>
        <v/>
      </c>
      <c r="J288" s="472" t="str">
        <f ca="1">IFERROR(__xludf.DUMMYFUNCTION("""COMPUTED_VALUE"""),"")</f>
        <v/>
      </c>
    </row>
    <row r="289" spans="1:10" ht="15.75">
      <c r="A289" s="472" t="str">
        <f ca="1">IFERROR(__xludf.DUMMYFUNCTION("""COMPUTED_VALUE"""),"")</f>
        <v/>
      </c>
      <c r="B289" s="472" t="str">
        <f ca="1">IFERROR(__xludf.DUMMYFUNCTION("""COMPUTED_VALUE"""),"")</f>
        <v/>
      </c>
      <c r="C289" s="472" t="str">
        <f ca="1">IFERROR(__xludf.DUMMYFUNCTION("""COMPUTED_VALUE"""),"")</f>
        <v/>
      </c>
      <c r="D289" s="472" t="str">
        <f ca="1">IFERROR(__xludf.DUMMYFUNCTION("""COMPUTED_VALUE"""),"")</f>
        <v/>
      </c>
      <c r="E289" s="472" t="str">
        <f ca="1">IFERROR(__xludf.DUMMYFUNCTION("""COMPUTED_VALUE"""),"")</f>
        <v/>
      </c>
      <c r="F289" s="472" t="str">
        <f ca="1">IFERROR(__xludf.DUMMYFUNCTION("""COMPUTED_VALUE"""),"")</f>
        <v/>
      </c>
      <c r="G289" s="472" t="str">
        <f ca="1">IFERROR(__xludf.DUMMYFUNCTION("""COMPUTED_VALUE"""),"")</f>
        <v/>
      </c>
      <c r="H289" s="472" t="str">
        <f ca="1">IFERROR(__xludf.DUMMYFUNCTION("""COMPUTED_VALUE"""),"")</f>
        <v/>
      </c>
      <c r="I289" s="472" t="str">
        <f ca="1">IFERROR(__xludf.DUMMYFUNCTION("""COMPUTED_VALUE"""),"")</f>
        <v/>
      </c>
      <c r="J289" s="472" t="str">
        <f ca="1">IFERROR(__xludf.DUMMYFUNCTION("""COMPUTED_VALUE"""),"")</f>
        <v/>
      </c>
    </row>
    <row r="290" spans="1:10" ht="15.75">
      <c r="A290" s="472" t="str">
        <f ca="1">IFERROR(__xludf.DUMMYFUNCTION("""COMPUTED_VALUE"""),"")</f>
        <v/>
      </c>
      <c r="B290" s="472" t="str">
        <f ca="1">IFERROR(__xludf.DUMMYFUNCTION("""COMPUTED_VALUE"""),"")</f>
        <v/>
      </c>
      <c r="C290" s="472" t="str">
        <f ca="1">IFERROR(__xludf.DUMMYFUNCTION("""COMPUTED_VALUE"""),"")</f>
        <v/>
      </c>
      <c r="D290" s="472" t="str">
        <f ca="1">IFERROR(__xludf.DUMMYFUNCTION("""COMPUTED_VALUE"""),"")</f>
        <v/>
      </c>
      <c r="E290" s="472" t="str">
        <f ca="1">IFERROR(__xludf.DUMMYFUNCTION("""COMPUTED_VALUE"""),"")</f>
        <v/>
      </c>
      <c r="F290" s="472" t="str">
        <f ca="1">IFERROR(__xludf.DUMMYFUNCTION("""COMPUTED_VALUE"""),"")</f>
        <v/>
      </c>
      <c r="G290" s="472" t="str">
        <f ca="1">IFERROR(__xludf.DUMMYFUNCTION("""COMPUTED_VALUE"""),"")</f>
        <v/>
      </c>
      <c r="H290" s="472" t="str">
        <f ca="1">IFERROR(__xludf.DUMMYFUNCTION("""COMPUTED_VALUE"""),"")</f>
        <v/>
      </c>
      <c r="I290" s="472" t="str">
        <f ca="1">IFERROR(__xludf.DUMMYFUNCTION("""COMPUTED_VALUE"""),"")</f>
        <v/>
      </c>
      <c r="J290" s="472" t="str">
        <f ca="1">IFERROR(__xludf.DUMMYFUNCTION("""COMPUTED_VALUE"""),"")</f>
        <v/>
      </c>
    </row>
    <row r="291" spans="1:10" ht="15.75">
      <c r="A291" s="472" t="str">
        <f ca="1">IFERROR(__xludf.DUMMYFUNCTION("""COMPUTED_VALUE"""),"")</f>
        <v/>
      </c>
      <c r="B291" s="472" t="str">
        <f ca="1">IFERROR(__xludf.DUMMYFUNCTION("""COMPUTED_VALUE"""),"")</f>
        <v/>
      </c>
      <c r="C291" s="472" t="str">
        <f ca="1">IFERROR(__xludf.DUMMYFUNCTION("""COMPUTED_VALUE"""),"")</f>
        <v/>
      </c>
      <c r="D291" s="472" t="str">
        <f ca="1">IFERROR(__xludf.DUMMYFUNCTION("""COMPUTED_VALUE"""),"")</f>
        <v/>
      </c>
      <c r="E291" s="472" t="str">
        <f ca="1">IFERROR(__xludf.DUMMYFUNCTION("""COMPUTED_VALUE"""),"")</f>
        <v/>
      </c>
      <c r="F291" s="472" t="str">
        <f ca="1">IFERROR(__xludf.DUMMYFUNCTION("""COMPUTED_VALUE"""),"")</f>
        <v/>
      </c>
      <c r="G291" s="472" t="str">
        <f ca="1">IFERROR(__xludf.DUMMYFUNCTION("""COMPUTED_VALUE"""),"")</f>
        <v/>
      </c>
      <c r="H291" s="472" t="str">
        <f ca="1">IFERROR(__xludf.DUMMYFUNCTION("""COMPUTED_VALUE"""),"")</f>
        <v/>
      </c>
      <c r="I291" s="472" t="str">
        <f ca="1">IFERROR(__xludf.DUMMYFUNCTION("""COMPUTED_VALUE"""),"")</f>
        <v/>
      </c>
      <c r="J291" s="472" t="str">
        <f ca="1">IFERROR(__xludf.DUMMYFUNCTION("""COMPUTED_VALUE"""),"")</f>
        <v/>
      </c>
    </row>
    <row r="292" spans="1:10" ht="15.75">
      <c r="A292" s="472" t="str">
        <f ca="1">IFERROR(__xludf.DUMMYFUNCTION("""COMPUTED_VALUE"""),"")</f>
        <v/>
      </c>
      <c r="B292" s="472" t="str">
        <f ca="1">IFERROR(__xludf.DUMMYFUNCTION("""COMPUTED_VALUE"""),"")</f>
        <v/>
      </c>
      <c r="C292" s="472" t="str">
        <f ca="1">IFERROR(__xludf.DUMMYFUNCTION("""COMPUTED_VALUE"""),"")</f>
        <v/>
      </c>
      <c r="D292" s="472" t="str">
        <f ca="1">IFERROR(__xludf.DUMMYFUNCTION("""COMPUTED_VALUE"""),"")</f>
        <v/>
      </c>
      <c r="E292" s="472" t="str">
        <f ca="1">IFERROR(__xludf.DUMMYFUNCTION("""COMPUTED_VALUE"""),"")</f>
        <v/>
      </c>
      <c r="F292" s="472" t="str">
        <f ca="1">IFERROR(__xludf.DUMMYFUNCTION("""COMPUTED_VALUE"""),"")</f>
        <v/>
      </c>
      <c r="G292" s="472" t="str">
        <f ca="1">IFERROR(__xludf.DUMMYFUNCTION("""COMPUTED_VALUE"""),"")</f>
        <v/>
      </c>
      <c r="H292" s="472" t="str">
        <f ca="1">IFERROR(__xludf.DUMMYFUNCTION("""COMPUTED_VALUE"""),"")</f>
        <v/>
      </c>
      <c r="I292" s="472" t="str">
        <f ca="1">IFERROR(__xludf.DUMMYFUNCTION("""COMPUTED_VALUE"""),"")</f>
        <v/>
      </c>
      <c r="J292" s="472" t="str">
        <f ca="1">IFERROR(__xludf.DUMMYFUNCTION("""COMPUTED_VALUE"""),"")</f>
        <v/>
      </c>
    </row>
    <row r="293" spans="1:10" ht="15.75">
      <c r="A293" s="472" t="str">
        <f ca="1">IFERROR(__xludf.DUMMYFUNCTION("""COMPUTED_VALUE"""),"")</f>
        <v/>
      </c>
      <c r="B293" s="472" t="str">
        <f ca="1">IFERROR(__xludf.DUMMYFUNCTION("""COMPUTED_VALUE"""),"")</f>
        <v/>
      </c>
      <c r="C293" s="472" t="str">
        <f ca="1">IFERROR(__xludf.DUMMYFUNCTION("""COMPUTED_VALUE"""),"")</f>
        <v/>
      </c>
      <c r="D293" s="472" t="str">
        <f ca="1">IFERROR(__xludf.DUMMYFUNCTION("""COMPUTED_VALUE"""),"")</f>
        <v/>
      </c>
      <c r="E293" s="472" t="str">
        <f ca="1">IFERROR(__xludf.DUMMYFUNCTION("""COMPUTED_VALUE"""),"")</f>
        <v/>
      </c>
      <c r="F293" s="472" t="str">
        <f ca="1">IFERROR(__xludf.DUMMYFUNCTION("""COMPUTED_VALUE"""),"")</f>
        <v/>
      </c>
      <c r="G293" s="472" t="str">
        <f ca="1">IFERROR(__xludf.DUMMYFUNCTION("""COMPUTED_VALUE"""),"")</f>
        <v/>
      </c>
      <c r="H293" s="472" t="str">
        <f ca="1">IFERROR(__xludf.DUMMYFUNCTION("""COMPUTED_VALUE"""),"")</f>
        <v/>
      </c>
      <c r="I293" s="472" t="str">
        <f ca="1">IFERROR(__xludf.DUMMYFUNCTION("""COMPUTED_VALUE"""),"")</f>
        <v/>
      </c>
      <c r="J293" s="472" t="str">
        <f ca="1">IFERROR(__xludf.DUMMYFUNCTION("""COMPUTED_VALUE"""),"")</f>
        <v/>
      </c>
    </row>
    <row r="294" spans="1:10" ht="15.75">
      <c r="A294" s="472" t="str">
        <f ca="1">IFERROR(__xludf.DUMMYFUNCTION("""COMPUTED_VALUE"""),"")</f>
        <v/>
      </c>
      <c r="B294" s="472" t="str">
        <f ca="1">IFERROR(__xludf.DUMMYFUNCTION("""COMPUTED_VALUE"""),"")</f>
        <v/>
      </c>
      <c r="C294" s="472" t="str">
        <f ca="1">IFERROR(__xludf.DUMMYFUNCTION("""COMPUTED_VALUE"""),"")</f>
        <v/>
      </c>
      <c r="D294" s="472" t="str">
        <f ca="1">IFERROR(__xludf.DUMMYFUNCTION("""COMPUTED_VALUE"""),"")</f>
        <v/>
      </c>
      <c r="E294" s="472" t="str">
        <f ca="1">IFERROR(__xludf.DUMMYFUNCTION("""COMPUTED_VALUE"""),"")</f>
        <v/>
      </c>
      <c r="F294" s="472" t="str">
        <f ca="1">IFERROR(__xludf.DUMMYFUNCTION("""COMPUTED_VALUE"""),"")</f>
        <v/>
      </c>
      <c r="G294" s="472" t="str">
        <f ca="1">IFERROR(__xludf.DUMMYFUNCTION("""COMPUTED_VALUE"""),"")</f>
        <v/>
      </c>
      <c r="H294" s="472" t="str">
        <f ca="1">IFERROR(__xludf.DUMMYFUNCTION("""COMPUTED_VALUE"""),"")</f>
        <v/>
      </c>
      <c r="I294" s="472" t="str">
        <f ca="1">IFERROR(__xludf.DUMMYFUNCTION("""COMPUTED_VALUE"""),"")</f>
        <v/>
      </c>
      <c r="J294" s="472" t="str">
        <f ca="1">IFERROR(__xludf.DUMMYFUNCTION("""COMPUTED_VALUE"""),"")</f>
        <v/>
      </c>
    </row>
    <row r="295" spans="1:10" ht="15.75">
      <c r="A295" s="472" t="str">
        <f ca="1">IFERROR(__xludf.DUMMYFUNCTION("""COMPUTED_VALUE"""),"")</f>
        <v/>
      </c>
      <c r="B295" s="472" t="str">
        <f ca="1">IFERROR(__xludf.DUMMYFUNCTION("""COMPUTED_VALUE"""),"")</f>
        <v/>
      </c>
      <c r="C295" s="472" t="str">
        <f ca="1">IFERROR(__xludf.DUMMYFUNCTION("""COMPUTED_VALUE"""),"")</f>
        <v/>
      </c>
      <c r="D295" s="472" t="str">
        <f ca="1">IFERROR(__xludf.DUMMYFUNCTION("""COMPUTED_VALUE"""),"")</f>
        <v/>
      </c>
      <c r="E295" s="472" t="str">
        <f ca="1">IFERROR(__xludf.DUMMYFUNCTION("""COMPUTED_VALUE"""),"")</f>
        <v/>
      </c>
      <c r="F295" s="472" t="str">
        <f ca="1">IFERROR(__xludf.DUMMYFUNCTION("""COMPUTED_VALUE"""),"")</f>
        <v/>
      </c>
      <c r="G295" s="472" t="str">
        <f ca="1">IFERROR(__xludf.DUMMYFUNCTION("""COMPUTED_VALUE"""),"")</f>
        <v/>
      </c>
      <c r="H295" s="472" t="str">
        <f ca="1">IFERROR(__xludf.DUMMYFUNCTION("""COMPUTED_VALUE"""),"")</f>
        <v/>
      </c>
      <c r="I295" s="472" t="str">
        <f ca="1">IFERROR(__xludf.DUMMYFUNCTION("""COMPUTED_VALUE"""),"")</f>
        <v/>
      </c>
      <c r="J295" s="472" t="str">
        <f ca="1">IFERROR(__xludf.DUMMYFUNCTION("""COMPUTED_VALUE"""),"")</f>
        <v/>
      </c>
    </row>
    <row r="296" spans="1:10" ht="15.75">
      <c r="A296" s="472" t="str">
        <f ca="1">IFERROR(__xludf.DUMMYFUNCTION("""COMPUTED_VALUE"""),"")</f>
        <v/>
      </c>
      <c r="B296" s="472" t="str">
        <f ca="1">IFERROR(__xludf.DUMMYFUNCTION("""COMPUTED_VALUE"""),"")</f>
        <v/>
      </c>
      <c r="C296" s="472" t="str">
        <f ca="1">IFERROR(__xludf.DUMMYFUNCTION("""COMPUTED_VALUE"""),"")</f>
        <v/>
      </c>
      <c r="D296" s="472" t="str">
        <f ca="1">IFERROR(__xludf.DUMMYFUNCTION("""COMPUTED_VALUE"""),"")</f>
        <v/>
      </c>
      <c r="E296" s="472" t="str">
        <f ca="1">IFERROR(__xludf.DUMMYFUNCTION("""COMPUTED_VALUE"""),"")</f>
        <v/>
      </c>
      <c r="F296" s="472" t="str">
        <f ca="1">IFERROR(__xludf.DUMMYFUNCTION("""COMPUTED_VALUE"""),"")</f>
        <v/>
      </c>
      <c r="G296" s="472" t="str">
        <f ca="1">IFERROR(__xludf.DUMMYFUNCTION("""COMPUTED_VALUE"""),"")</f>
        <v/>
      </c>
      <c r="H296" s="472" t="str">
        <f ca="1">IFERROR(__xludf.DUMMYFUNCTION("""COMPUTED_VALUE"""),"")</f>
        <v/>
      </c>
      <c r="I296" s="472" t="str">
        <f ca="1">IFERROR(__xludf.DUMMYFUNCTION("""COMPUTED_VALUE"""),"")</f>
        <v/>
      </c>
      <c r="J296" s="472" t="str">
        <f ca="1">IFERROR(__xludf.DUMMYFUNCTION("""COMPUTED_VALUE"""),"")</f>
        <v/>
      </c>
    </row>
    <row r="297" spans="1:10" ht="15.75">
      <c r="A297" s="472" t="str">
        <f ca="1">IFERROR(__xludf.DUMMYFUNCTION("""COMPUTED_VALUE"""),"")</f>
        <v/>
      </c>
      <c r="B297" s="472" t="str">
        <f ca="1">IFERROR(__xludf.DUMMYFUNCTION("""COMPUTED_VALUE"""),"")</f>
        <v/>
      </c>
      <c r="C297" s="472" t="str">
        <f ca="1">IFERROR(__xludf.DUMMYFUNCTION("""COMPUTED_VALUE"""),"")</f>
        <v/>
      </c>
      <c r="D297" s="472" t="str">
        <f ca="1">IFERROR(__xludf.DUMMYFUNCTION("""COMPUTED_VALUE"""),"")</f>
        <v/>
      </c>
      <c r="E297" s="472" t="str">
        <f ca="1">IFERROR(__xludf.DUMMYFUNCTION("""COMPUTED_VALUE"""),"")</f>
        <v/>
      </c>
      <c r="F297" s="472" t="str">
        <f ca="1">IFERROR(__xludf.DUMMYFUNCTION("""COMPUTED_VALUE"""),"")</f>
        <v/>
      </c>
      <c r="G297" s="472" t="str">
        <f ca="1">IFERROR(__xludf.DUMMYFUNCTION("""COMPUTED_VALUE"""),"")</f>
        <v/>
      </c>
      <c r="H297" s="472" t="str">
        <f ca="1">IFERROR(__xludf.DUMMYFUNCTION("""COMPUTED_VALUE"""),"")</f>
        <v/>
      </c>
      <c r="I297" s="472" t="str">
        <f ca="1">IFERROR(__xludf.DUMMYFUNCTION("""COMPUTED_VALUE"""),"")</f>
        <v/>
      </c>
      <c r="J297" s="472" t="str">
        <f ca="1">IFERROR(__xludf.DUMMYFUNCTION("""COMPUTED_VALUE"""),"")</f>
        <v/>
      </c>
    </row>
    <row r="298" spans="1:10" ht="15.75">
      <c r="A298" s="472" t="str">
        <f ca="1">IFERROR(__xludf.DUMMYFUNCTION("""COMPUTED_VALUE"""),"")</f>
        <v/>
      </c>
      <c r="B298" s="472" t="str">
        <f ca="1">IFERROR(__xludf.DUMMYFUNCTION("""COMPUTED_VALUE"""),"")</f>
        <v/>
      </c>
      <c r="C298" s="472" t="str">
        <f ca="1">IFERROR(__xludf.DUMMYFUNCTION("""COMPUTED_VALUE"""),"")</f>
        <v/>
      </c>
      <c r="D298" s="472" t="str">
        <f ca="1">IFERROR(__xludf.DUMMYFUNCTION("""COMPUTED_VALUE"""),"")</f>
        <v/>
      </c>
      <c r="E298" s="472" t="str">
        <f ca="1">IFERROR(__xludf.DUMMYFUNCTION("""COMPUTED_VALUE"""),"")</f>
        <v/>
      </c>
      <c r="F298" s="472" t="str">
        <f ca="1">IFERROR(__xludf.DUMMYFUNCTION("""COMPUTED_VALUE"""),"")</f>
        <v/>
      </c>
      <c r="G298" s="472" t="str">
        <f ca="1">IFERROR(__xludf.DUMMYFUNCTION("""COMPUTED_VALUE"""),"")</f>
        <v/>
      </c>
      <c r="H298" s="472" t="str">
        <f ca="1">IFERROR(__xludf.DUMMYFUNCTION("""COMPUTED_VALUE"""),"")</f>
        <v/>
      </c>
      <c r="I298" s="472" t="str">
        <f ca="1">IFERROR(__xludf.DUMMYFUNCTION("""COMPUTED_VALUE"""),"")</f>
        <v/>
      </c>
      <c r="J298" s="472" t="str">
        <f ca="1">IFERROR(__xludf.DUMMYFUNCTION("""COMPUTED_VALUE"""),"")</f>
        <v/>
      </c>
    </row>
    <row r="299" spans="1:10" ht="15.75">
      <c r="A299" s="472" t="str">
        <f ca="1">IFERROR(__xludf.DUMMYFUNCTION("""COMPUTED_VALUE"""),"")</f>
        <v/>
      </c>
      <c r="B299" s="472" t="str">
        <f ca="1">IFERROR(__xludf.DUMMYFUNCTION("""COMPUTED_VALUE"""),"")</f>
        <v/>
      </c>
      <c r="C299" s="472" t="str">
        <f ca="1">IFERROR(__xludf.DUMMYFUNCTION("""COMPUTED_VALUE"""),"")</f>
        <v/>
      </c>
      <c r="D299" s="472" t="str">
        <f ca="1">IFERROR(__xludf.DUMMYFUNCTION("""COMPUTED_VALUE"""),"")</f>
        <v/>
      </c>
      <c r="E299" s="472" t="str">
        <f ca="1">IFERROR(__xludf.DUMMYFUNCTION("""COMPUTED_VALUE"""),"")</f>
        <v/>
      </c>
      <c r="F299" s="472" t="str">
        <f ca="1">IFERROR(__xludf.DUMMYFUNCTION("""COMPUTED_VALUE"""),"")</f>
        <v/>
      </c>
      <c r="G299" s="472" t="str">
        <f ca="1">IFERROR(__xludf.DUMMYFUNCTION("""COMPUTED_VALUE"""),"")</f>
        <v/>
      </c>
      <c r="H299" s="472" t="str">
        <f ca="1">IFERROR(__xludf.DUMMYFUNCTION("""COMPUTED_VALUE"""),"")</f>
        <v/>
      </c>
      <c r="I299" s="472" t="str">
        <f ca="1">IFERROR(__xludf.DUMMYFUNCTION("""COMPUTED_VALUE"""),"")</f>
        <v/>
      </c>
      <c r="J299" s="472" t="str">
        <f ca="1">IFERROR(__xludf.DUMMYFUNCTION("""COMPUTED_VALUE"""),"")</f>
        <v/>
      </c>
    </row>
    <row r="300" spans="1:10" ht="15.75">
      <c r="A300" s="472" t="str">
        <f ca="1">IFERROR(__xludf.DUMMYFUNCTION("""COMPUTED_VALUE"""),"")</f>
        <v/>
      </c>
      <c r="B300" s="472" t="str">
        <f ca="1">IFERROR(__xludf.DUMMYFUNCTION("""COMPUTED_VALUE"""),"")</f>
        <v/>
      </c>
      <c r="C300" s="472" t="str">
        <f ca="1">IFERROR(__xludf.DUMMYFUNCTION("""COMPUTED_VALUE"""),"")</f>
        <v/>
      </c>
      <c r="D300" s="472" t="str">
        <f ca="1">IFERROR(__xludf.DUMMYFUNCTION("""COMPUTED_VALUE"""),"")</f>
        <v/>
      </c>
      <c r="E300" s="472" t="str">
        <f ca="1">IFERROR(__xludf.DUMMYFUNCTION("""COMPUTED_VALUE"""),"")</f>
        <v/>
      </c>
      <c r="F300" s="472" t="str">
        <f ca="1">IFERROR(__xludf.DUMMYFUNCTION("""COMPUTED_VALUE"""),"")</f>
        <v/>
      </c>
      <c r="G300" s="472" t="str">
        <f ca="1">IFERROR(__xludf.DUMMYFUNCTION("""COMPUTED_VALUE"""),"")</f>
        <v/>
      </c>
      <c r="H300" s="472" t="str">
        <f ca="1">IFERROR(__xludf.DUMMYFUNCTION("""COMPUTED_VALUE"""),"")</f>
        <v/>
      </c>
      <c r="I300" s="472" t="str">
        <f ca="1">IFERROR(__xludf.DUMMYFUNCTION("""COMPUTED_VALUE"""),"")</f>
        <v/>
      </c>
      <c r="J300" s="472" t="str">
        <f ca="1">IFERROR(__xludf.DUMMYFUNCTION("""COMPUTED_VALUE"""),"")</f>
        <v/>
      </c>
    </row>
    <row r="301" spans="1:10" ht="15.75">
      <c r="A301" s="472" t="str">
        <f ca="1">IFERROR(__xludf.DUMMYFUNCTION("""COMPUTED_VALUE"""),"")</f>
        <v/>
      </c>
      <c r="B301" s="472" t="str">
        <f ca="1">IFERROR(__xludf.DUMMYFUNCTION("""COMPUTED_VALUE"""),"")</f>
        <v/>
      </c>
      <c r="C301" s="472" t="str">
        <f ca="1">IFERROR(__xludf.DUMMYFUNCTION("""COMPUTED_VALUE"""),"")</f>
        <v/>
      </c>
      <c r="D301" s="472" t="str">
        <f ca="1">IFERROR(__xludf.DUMMYFUNCTION("""COMPUTED_VALUE"""),"")</f>
        <v/>
      </c>
      <c r="E301" s="472" t="str">
        <f ca="1">IFERROR(__xludf.DUMMYFUNCTION("""COMPUTED_VALUE"""),"")</f>
        <v/>
      </c>
      <c r="F301" s="472" t="str">
        <f ca="1">IFERROR(__xludf.DUMMYFUNCTION("""COMPUTED_VALUE"""),"")</f>
        <v/>
      </c>
      <c r="G301" s="472" t="str">
        <f ca="1">IFERROR(__xludf.DUMMYFUNCTION("""COMPUTED_VALUE"""),"")</f>
        <v/>
      </c>
      <c r="H301" s="472" t="str">
        <f ca="1">IFERROR(__xludf.DUMMYFUNCTION("""COMPUTED_VALUE"""),"")</f>
        <v/>
      </c>
      <c r="I301" s="472" t="str">
        <f ca="1">IFERROR(__xludf.DUMMYFUNCTION("""COMPUTED_VALUE"""),"")</f>
        <v/>
      </c>
      <c r="J301" s="472" t="str">
        <f ca="1">IFERROR(__xludf.DUMMYFUNCTION("""COMPUTED_VALUE"""),"")</f>
        <v/>
      </c>
    </row>
    <row r="302" spans="1:10" ht="15.75">
      <c r="A302" s="472" t="str">
        <f ca="1">IFERROR(__xludf.DUMMYFUNCTION("""COMPUTED_VALUE"""),"")</f>
        <v/>
      </c>
      <c r="B302" s="472" t="str">
        <f ca="1">IFERROR(__xludf.DUMMYFUNCTION("""COMPUTED_VALUE"""),"")</f>
        <v/>
      </c>
      <c r="C302" s="472" t="str">
        <f ca="1">IFERROR(__xludf.DUMMYFUNCTION("""COMPUTED_VALUE"""),"")</f>
        <v/>
      </c>
      <c r="D302" s="472" t="str">
        <f ca="1">IFERROR(__xludf.DUMMYFUNCTION("""COMPUTED_VALUE"""),"")</f>
        <v/>
      </c>
      <c r="E302" s="472" t="str">
        <f ca="1">IFERROR(__xludf.DUMMYFUNCTION("""COMPUTED_VALUE"""),"")</f>
        <v/>
      </c>
      <c r="F302" s="472" t="str">
        <f ca="1">IFERROR(__xludf.DUMMYFUNCTION("""COMPUTED_VALUE"""),"")</f>
        <v/>
      </c>
      <c r="G302" s="472" t="str">
        <f ca="1">IFERROR(__xludf.DUMMYFUNCTION("""COMPUTED_VALUE"""),"")</f>
        <v/>
      </c>
      <c r="H302" s="472" t="str">
        <f ca="1">IFERROR(__xludf.DUMMYFUNCTION("""COMPUTED_VALUE"""),"")</f>
        <v/>
      </c>
      <c r="I302" s="472" t="str">
        <f ca="1">IFERROR(__xludf.DUMMYFUNCTION("""COMPUTED_VALUE"""),"")</f>
        <v/>
      </c>
      <c r="J302" s="472" t="str">
        <f ca="1">IFERROR(__xludf.DUMMYFUNCTION("""COMPUTED_VALUE"""),"")</f>
        <v/>
      </c>
    </row>
    <row r="303" spans="1:10" ht="15.75">
      <c r="A303" s="472" t="str">
        <f ca="1">IFERROR(__xludf.DUMMYFUNCTION("""COMPUTED_VALUE"""),"")</f>
        <v/>
      </c>
      <c r="B303" s="472" t="str">
        <f ca="1">IFERROR(__xludf.DUMMYFUNCTION("""COMPUTED_VALUE"""),"")</f>
        <v/>
      </c>
      <c r="C303" s="472" t="str">
        <f ca="1">IFERROR(__xludf.DUMMYFUNCTION("""COMPUTED_VALUE"""),"")</f>
        <v/>
      </c>
      <c r="D303" s="472" t="str">
        <f ca="1">IFERROR(__xludf.DUMMYFUNCTION("""COMPUTED_VALUE"""),"")</f>
        <v/>
      </c>
      <c r="E303" s="472" t="str">
        <f ca="1">IFERROR(__xludf.DUMMYFUNCTION("""COMPUTED_VALUE"""),"")</f>
        <v/>
      </c>
      <c r="F303" s="472" t="str">
        <f ca="1">IFERROR(__xludf.DUMMYFUNCTION("""COMPUTED_VALUE"""),"")</f>
        <v/>
      </c>
      <c r="G303" s="472" t="str">
        <f ca="1">IFERROR(__xludf.DUMMYFUNCTION("""COMPUTED_VALUE"""),"")</f>
        <v/>
      </c>
      <c r="H303" s="472" t="str">
        <f ca="1">IFERROR(__xludf.DUMMYFUNCTION("""COMPUTED_VALUE"""),"")</f>
        <v/>
      </c>
      <c r="I303" s="472" t="str">
        <f ca="1">IFERROR(__xludf.DUMMYFUNCTION("""COMPUTED_VALUE"""),"")</f>
        <v/>
      </c>
      <c r="J303" s="472" t="str">
        <f ca="1">IFERROR(__xludf.DUMMYFUNCTION("""COMPUTED_VALUE"""),"")</f>
        <v/>
      </c>
    </row>
    <row r="304" spans="1:10" ht="15.75">
      <c r="A304" s="472" t="str">
        <f ca="1">IFERROR(__xludf.DUMMYFUNCTION("""COMPUTED_VALUE"""),"")</f>
        <v/>
      </c>
      <c r="B304" s="472" t="str">
        <f ca="1">IFERROR(__xludf.DUMMYFUNCTION("""COMPUTED_VALUE"""),"")</f>
        <v/>
      </c>
      <c r="C304" s="472" t="str">
        <f ca="1">IFERROR(__xludf.DUMMYFUNCTION("""COMPUTED_VALUE"""),"")</f>
        <v/>
      </c>
      <c r="D304" s="472" t="str">
        <f ca="1">IFERROR(__xludf.DUMMYFUNCTION("""COMPUTED_VALUE"""),"")</f>
        <v/>
      </c>
      <c r="E304" s="472" t="str">
        <f ca="1">IFERROR(__xludf.DUMMYFUNCTION("""COMPUTED_VALUE"""),"")</f>
        <v/>
      </c>
      <c r="F304" s="472" t="str">
        <f ca="1">IFERROR(__xludf.DUMMYFUNCTION("""COMPUTED_VALUE"""),"")</f>
        <v/>
      </c>
      <c r="G304" s="472" t="str">
        <f ca="1">IFERROR(__xludf.DUMMYFUNCTION("""COMPUTED_VALUE"""),"")</f>
        <v/>
      </c>
      <c r="H304" s="472" t="str">
        <f ca="1">IFERROR(__xludf.DUMMYFUNCTION("""COMPUTED_VALUE"""),"")</f>
        <v/>
      </c>
      <c r="I304" s="472" t="str">
        <f ca="1">IFERROR(__xludf.DUMMYFUNCTION("""COMPUTED_VALUE"""),"")</f>
        <v/>
      </c>
      <c r="J304" s="472" t="str">
        <f ca="1">IFERROR(__xludf.DUMMYFUNCTION("""COMPUTED_VALUE"""),"")</f>
        <v/>
      </c>
    </row>
    <row r="305" spans="1:10" ht="15.75">
      <c r="A305" s="472" t="str">
        <f ca="1">IFERROR(__xludf.DUMMYFUNCTION("""COMPUTED_VALUE"""),"")</f>
        <v/>
      </c>
      <c r="B305" s="472" t="str">
        <f ca="1">IFERROR(__xludf.DUMMYFUNCTION("""COMPUTED_VALUE"""),"")</f>
        <v/>
      </c>
      <c r="C305" s="472" t="str">
        <f ca="1">IFERROR(__xludf.DUMMYFUNCTION("""COMPUTED_VALUE"""),"")</f>
        <v/>
      </c>
      <c r="D305" s="472" t="str">
        <f ca="1">IFERROR(__xludf.DUMMYFUNCTION("""COMPUTED_VALUE"""),"")</f>
        <v/>
      </c>
      <c r="E305" s="472" t="str">
        <f ca="1">IFERROR(__xludf.DUMMYFUNCTION("""COMPUTED_VALUE"""),"")</f>
        <v/>
      </c>
      <c r="F305" s="472" t="str">
        <f ca="1">IFERROR(__xludf.DUMMYFUNCTION("""COMPUTED_VALUE"""),"")</f>
        <v/>
      </c>
      <c r="G305" s="472" t="str">
        <f ca="1">IFERROR(__xludf.DUMMYFUNCTION("""COMPUTED_VALUE"""),"")</f>
        <v/>
      </c>
      <c r="H305" s="472" t="str">
        <f ca="1">IFERROR(__xludf.DUMMYFUNCTION("""COMPUTED_VALUE"""),"")</f>
        <v/>
      </c>
      <c r="I305" s="472" t="str">
        <f ca="1">IFERROR(__xludf.DUMMYFUNCTION("""COMPUTED_VALUE"""),"")</f>
        <v/>
      </c>
      <c r="J305" s="472" t="str">
        <f ca="1">IFERROR(__xludf.DUMMYFUNCTION("""COMPUTED_VALUE"""),"")</f>
        <v/>
      </c>
    </row>
    <row r="306" spans="1:10" ht="15.75">
      <c r="A306" s="472" t="str">
        <f ca="1">IFERROR(__xludf.DUMMYFUNCTION("""COMPUTED_VALUE"""),"")</f>
        <v/>
      </c>
      <c r="B306" s="472" t="str">
        <f ca="1">IFERROR(__xludf.DUMMYFUNCTION("""COMPUTED_VALUE"""),"")</f>
        <v/>
      </c>
      <c r="C306" s="472" t="str">
        <f ca="1">IFERROR(__xludf.DUMMYFUNCTION("""COMPUTED_VALUE"""),"")</f>
        <v/>
      </c>
      <c r="D306" s="472" t="str">
        <f ca="1">IFERROR(__xludf.DUMMYFUNCTION("""COMPUTED_VALUE"""),"")</f>
        <v/>
      </c>
      <c r="E306" s="472" t="str">
        <f ca="1">IFERROR(__xludf.DUMMYFUNCTION("""COMPUTED_VALUE"""),"")</f>
        <v/>
      </c>
      <c r="F306" s="472" t="str">
        <f ca="1">IFERROR(__xludf.DUMMYFUNCTION("""COMPUTED_VALUE"""),"")</f>
        <v/>
      </c>
      <c r="G306" s="472" t="str">
        <f ca="1">IFERROR(__xludf.DUMMYFUNCTION("""COMPUTED_VALUE"""),"")</f>
        <v/>
      </c>
      <c r="H306" s="472" t="str">
        <f ca="1">IFERROR(__xludf.DUMMYFUNCTION("""COMPUTED_VALUE"""),"")</f>
        <v/>
      </c>
      <c r="I306" s="472" t="str">
        <f ca="1">IFERROR(__xludf.DUMMYFUNCTION("""COMPUTED_VALUE"""),"")</f>
        <v/>
      </c>
      <c r="J306" s="472" t="str">
        <f ca="1">IFERROR(__xludf.DUMMYFUNCTION("""COMPUTED_VALUE"""),"")</f>
        <v/>
      </c>
    </row>
    <row r="307" spans="1:10" ht="15.75">
      <c r="A307" s="472" t="str">
        <f ca="1">IFERROR(__xludf.DUMMYFUNCTION("""COMPUTED_VALUE"""),"")</f>
        <v/>
      </c>
      <c r="B307" s="472" t="str">
        <f ca="1">IFERROR(__xludf.DUMMYFUNCTION("""COMPUTED_VALUE"""),"")</f>
        <v/>
      </c>
      <c r="C307" s="472" t="str">
        <f ca="1">IFERROR(__xludf.DUMMYFUNCTION("""COMPUTED_VALUE"""),"")</f>
        <v/>
      </c>
      <c r="D307" s="472" t="str">
        <f ca="1">IFERROR(__xludf.DUMMYFUNCTION("""COMPUTED_VALUE"""),"")</f>
        <v/>
      </c>
      <c r="E307" s="472" t="str">
        <f ca="1">IFERROR(__xludf.DUMMYFUNCTION("""COMPUTED_VALUE"""),"")</f>
        <v/>
      </c>
      <c r="F307" s="472" t="str">
        <f ca="1">IFERROR(__xludf.DUMMYFUNCTION("""COMPUTED_VALUE"""),"")</f>
        <v/>
      </c>
      <c r="G307" s="472" t="str">
        <f ca="1">IFERROR(__xludf.DUMMYFUNCTION("""COMPUTED_VALUE"""),"")</f>
        <v/>
      </c>
      <c r="H307" s="472" t="str">
        <f ca="1">IFERROR(__xludf.DUMMYFUNCTION("""COMPUTED_VALUE"""),"")</f>
        <v/>
      </c>
      <c r="I307" s="472" t="str">
        <f ca="1">IFERROR(__xludf.DUMMYFUNCTION("""COMPUTED_VALUE"""),"")</f>
        <v/>
      </c>
      <c r="J307" s="472" t="str">
        <f ca="1">IFERROR(__xludf.DUMMYFUNCTION("""COMPUTED_VALUE"""),"")</f>
        <v/>
      </c>
    </row>
    <row r="308" spans="1:10" ht="15.75">
      <c r="A308" s="472" t="str">
        <f ca="1">IFERROR(__xludf.DUMMYFUNCTION("""COMPUTED_VALUE"""),"")</f>
        <v/>
      </c>
      <c r="B308" s="472" t="str">
        <f ca="1">IFERROR(__xludf.DUMMYFUNCTION("""COMPUTED_VALUE"""),"")</f>
        <v/>
      </c>
      <c r="C308" s="472" t="str">
        <f ca="1">IFERROR(__xludf.DUMMYFUNCTION("""COMPUTED_VALUE"""),"")</f>
        <v/>
      </c>
      <c r="D308" s="472" t="str">
        <f ca="1">IFERROR(__xludf.DUMMYFUNCTION("""COMPUTED_VALUE"""),"")</f>
        <v/>
      </c>
      <c r="E308" s="472" t="str">
        <f ca="1">IFERROR(__xludf.DUMMYFUNCTION("""COMPUTED_VALUE"""),"")</f>
        <v/>
      </c>
      <c r="F308" s="472" t="str">
        <f ca="1">IFERROR(__xludf.DUMMYFUNCTION("""COMPUTED_VALUE"""),"")</f>
        <v/>
      </c>
      <c r="G308" s="472" t="str">
        <f ca="1">IFERROR(__xludf.DUMMYFUNCTION("""COMPUTED_VALUE"""),"")</f>
        <v/>
      </c>
      <c r="H308" s="472" t="str">
        <f ca="1">IFERROR(__xludf.DUMMYFUNCTION("""COMPUTED_VALUE"""),"")</f>
        <v/>
      </c>
      <c r="I308" s="472" t="str">
        <f ca="1">IFERROR(__xludf.DUMMYFUNCTION("""COMPUTED_VALUE"""),"")</f>
        <v/>
      </c>
      <c r="J308" s="472" t="str">
        <f ca="1">IFERROR(__xludf.DUMMYFUNCTION("""COMPUTED_VALUE"""),"")</f>
        <v/>
      </c>
    </row>
    <row r="309" spans="1:10" ht="15.75">
      <c r="A309" s="472" t="str">
        <f ca="1">IFERROR(__xludf.DUMMYFUNCTION("""COMPUTED_VALUE"""),"")</f>
        <v/>
      </c>
      <c r="B309" s="472" t="str">
        <f ca="1">IFERROR(__xludf.DUMMYFUNCTION("""COMPUTED_VALUE"""),"")</f>
        <v/>
      </c>
      <c r="C309" s="472" t="str">
        <f ca="1">IFERROR(__xludf.DUMMYFUNCTION("""COMPUTED_VALUE"""),"")</f>
        <v/>
      </c>
      <c r="D309" s="472" t="str">
        <f ca="1">IFERROR(__xludf.DUMMYFUNCTION("""COMPUTED_VALUE"""),"")</f>
        <v/>
      </c>
      <c r="E309" s="472" t="str">
        <f ca="1">IFERROR(__xludf.DUMMYFUNCTION("""COMPUTED_VALUE"""),"")</f>
        <v/>
      </c>
      <c r="F309" s="472" t="str">
        <f ca="1">IFERROR(__xludf.DUMMYFUNCTION("""COMPUTED_VALUE"""),"")</f>
        <v/>
      </c>
      <c r="G309" s="472" t="str">
        <f ca="1">IFERROR(__xludf.DUMMYFUNCTION("""COMPUTED_VALUE"""),"")</f>
        <v/>
      </c>
      <c r="H309" s="472" t="str">
        <f ca="1">IFERROR(__xludf.DUMMYFUNCTION("""COMPUTED_VALUE"""),"")</f>
        <v/>
      </c>
      <c r="I309" s="472" t="str">
        <f ca="1">IFERROR(__xludf.DUMMYFUNCTION("""COMPUTED_VALUE"""),"")</f>
        <v/>
      </c>
      <c r="J309" s="472" t="str">
        <f ca="1">IFERROR(__xludf.DUMMYFUNCTION("""COMPUTED_VALUE"""),"")</f>
        <v/>
      </c>
    </row>
    <row r="310" spans="1:10" ht="15.75">
      <c r="A310" s="472" t="str">
        <f ca="1">IFERROR(__xludf.DUMMYFUNCTION("""COMPUTED_VALUE"""),"")</f>
        <v/>
      </c>
      <c r="B310" s="472" t="str">
        <f ca="1">IFERROR(__xludf.DUMMYFUNCTION("""COMPUTED_VALUE"""),"")</f>
        <v/>
      </c>
      <c r="C310" s="472" t="str">
        <f ca="1">IFERROR(__xludf.DUMMYFUNCTION("""COMPUTED_VALUE"""),"")</f>
        <v/>
      </c>
      <c r="D310" s="472" t="str">
        <f ca="1">IFERROR(__xludf.DUMMYFUNCTION("""COMPUTED_VALUE"""),"")</f>
        <v/>
      </c>
      <c r="E310" s="472" t="str">
        <f ca="1">IFERROR(__xludf.DUMMYFUNCTION("""COMPUTED_VALUE"""),"")</f>
        <v/>
      </c>
      <c r="F310" s="472" t="str">
        <f ca="1">IFERROR(__xludf.DUMMYFUNCTION("""COMPUTED_VALUE"""),"")</f>
        <v/>
      </c>
      <c r="G310" s="472" t="str">
        <f ca="1">IFERROR(__xludf.DUMMYFUNCTION("""COMPUTED_VALUE"""),"")</f>
        <v/>
      </c>
      <c r="H310" s="472" t="str">
        <f ca="1">IFERROR(__xludf.DUMMYFUNCTION("""COMPUTED_VALUE"""),"")</f>
        <v/>
      </c>
      <c r="I310" s="472" t="str">
        <f ca="1">IFERROR(__xludf.DUMMYFUNCTION("""COMPUTED_VALUE"""),"")</f>
        <v/>
      </c>
      <c r="J310" s="472" t="str">
        <f ca="1">IFERROR(__xludf.DUMMYFUNCTION("""COMPUTED_VALUE"""),"")</f>
        <v/>
      </c>
    </row>
    <row r="311" spans="1:10" ht="15.75">
      <c r="A311" s="472" t="str">
        <f ca="1">IFERROR(__xludf.DUMMYFUNCTION("""COMPUTED_VALUE"""),"")</f>
        <v/>
      </c>
      <c r="B311" s="472" t="str">
        <f ca="1">IFERROR(__xludf.DUMMYFUNCTION("""COMPUTED_VALUE"""),"")</f>
        <v/>
      </c>
      <c r="C311" s="472" t="str">
        <f ca="1">IFERROR(__xludf.DUMMYFUNCTION("""COMPUTED_VALUE"""),"")</f>
        <v/>
      </c>
      <c r="D311" s="472" t="str">
        <f ca="1">IFERROR(__xludf.DUMMYFUNCTION("""COMPUTED_VALUE"""),"")</f>
        <v/>
      </c>
      <c r="E311" s="472" t="str">
        <f ca="1">IFERROR(__xludf.DUMMYFUNCTION("""COMPUTED_VALUE"""),"")</f>
        <v/>
      </c>
      <c r="F311" s="472" t="str">
        <f ca="1">IFERROR(__xludf.DUMMYFUNCTION("""COMPUTED_VALUE"""),"")</f>
        <v/>
      </c>
      <c r="G311" s="472" t="str">
        <f ca="1">IFERROR(__xludf.DUMMYFUNCTION("""COMPUTED_VALUE"""),"")</f>
        <v/>
      </c>
      <c r="H311" s="472" t="str">
        <f ca="1">IFERROR(__xludf.DUMMYFUNCTION("""COMPUTED_VALUE"""),"")</f>
        <v/>
      </c>
      <c r="I311" s="472" t="str">
        <f ca="1">IFERROR(__xludf.DUMMYFUNCTION("""COMPUTED_VALUE"""),"")</f>
        <v/>
      </c>
      <c r="J311" s="472" t="str">
        <f ca="1">IFERROR(__xludf.DUMMYFUNCTION("""COMPUTED_VALUE"""),"")</f>
        <v/>
      </c>
    </row>
    <row r="312" spans="1:10" ht="15.75">
      <c r="A312" s="472" t="str">
        <f ca="1">IFERROR(__xludf.DUMMYFUNCTION("""COMPUTED_VALUE"""),"")</f>
        <v/>
      </c>
      <c r="B312" s="472" t="str">
        <f ca="1">IFERROR(__xludf.DUMMYFUNCTION("""COMPUTED_VALUE"""),"")</f>
        <v/>
      </c>
      <c r="C312" s="472" t="str">
        <f ca="1">IFERROR(__xludf.DUMMYFUNCTION("""COMPUTED_VALUE"""),"")</f>
        <v/>
      </c>
      <c r="D312" s="472" t="str">
        <f ca="1">IFERROR(__xludf.DUMMYFUNCTION("""COMPUTED_VALUE"""),"")</f>
        <v/>
      </c>
      <c r="E312" s="472" t="str">
        <f ca="1">IFERROR(__xludf.DUMMYFUNCTION("""COMPUTED_VALUE"""),"")</f>
        <v/>
      </c>
      <c r="F312" s="472" t="str">
        <f ca="1">IFERROR(__xludf.DUMMYFUNCTION("""COMPUTED_VALUE"""),"")</f>
        <v/>
      </c>
      <c r="G312" s="472" t="str">
        <f ca="1">IFERROR(__xludf.DUMMYFUNCTION("""COMPUTED_VALUE"""),"")</f>
        <v/>
      </c>
      <c r="H312" s="472" t="str">
        <f ca="1">IFERROR(__xludf.DUMMYFUNCTION("""COMPUTED_VALUE"""),"")</f>
        <v/>
      </c>
      <c r="I312" s="472" t="str">
        <f ca="1">IFERROR(__xludf.DUMMYFUNCTION("""COMPUTED_VALUE"""),"")</f>
        <v/>
      </c>
      <c r="J312" s="472" t="str">
        <f ca="1">IFERROR(__xludf.DUMMYFUNCTION("""COMPUTED_VALUE"""),"")</f>
        <v/>
      </c>
    </row>
    <row r="313" spans="1:10" ht="15.75">
      <c r="A313" s="472" t="str">
        <f ca="1">IFERROR(__xludf.DUMMYFUNCTION("""COMPUTED_VALUE"""),"")</f>
        <v/>
      </c>
      <c r="B313" s="472" t="str">
        <f ca="1">IFERROR(__xludf.DUMMYFUNCTION("""COMPUTED_VALUE"""),"")</f>
        <v/>
      </c>
      <c r="C313" s="472" t="str">
        <f ca="1">IFERROR(__xludf.DUMMYFUNCTION("""COMPUTED_VALUE"""),"")</f>
        <v/>
      </c>
      <c r="D313" s="472" t="str">
        <f ca="1">IFERROR(__xludf.DUMMYFUNCTION("""COMPUTED_VALUE"""),"")</f>
        <v/>
      </c>
      <c r="E313" s="472" t="str">
        <f ca="1">IFERROR(__xludf.DUMMYFUNCTION("""COMPUTED_VALUE"""),"")</f>
        <v/>
      </c>
      <c r="F313" s="472" t="str">
        <f ca="1">IFERROR(__xludf.DUMMYFUNCTION("""COMPUTED_VALUE"""),"")</f>
        <v/>
      </c>
      <c r="G313" s="472" t="str">
        <f ca="1">IFERROR(__xludf.DUMMYFUNCTION("""COMPUTED_VALUE"""),"")</f>
        <v/>
      </c>
      <c r="H313" s="472" t="str">
        <f ca="1">IFERROR(__xludf.DUMMYFUNCTION("""COMPUTED_VALUE"""),"")</f>
        <v/>
      </c>
      <c r="I313" s="472" t="str">
        <f ca="1">IFERROR(__xludf.DUMMYFUNCTION("""COMPUTED_VALUE"""),"")</f>
        <v/>
      </c>
      <c r="J313" s="472" t="str">
        <f ca="1">IFERROR(__xludf.DUMMYFUNCTION("""COMPUTED_VALUE"""),"")</f>
        <v/>
      </c>
    </row>
    <row r="314" spans="1:10" ht="15.75">
      <c r="A314" s="472" t="str">
        <f ca="1">IFERROR(__xludf.DUMMYFUNCTION("""COMPUTED_VALUE"""),"")</f>
        <v/>
      </c>
      <c r="B314" s="472" t="str">
        <f ca="1">IFERROR(__xludf.DUMMYFUNCTION("""COMPUTED_VALUE"""),"")</f>
        <v/>
      </c>
      <c r="C314" s="472" t="str">
        <f ca="1">IFERROR(__xludf.DUMMYFUNCTION("""COMPUTED_VALUE"""),"")</f>
        <v/>
      </c>
      <c r="D314" s="472" t="str">
        <f ca="1">IFERROR(__xludf.DUMMYFUNCTION("""COMPUTED_VALUE"""),"")</f>
        <v/>
      </c>
      <c r="E314" s="472" t="str">
        <f ca="1">IFERROR(__xludf.DUMMYFUNCTION("""COMPUTED_VALUE"""),"")</f>
        <v/>
      </c>
      <c r="F314" s="472" t="str">
        <f ca="1">IFERROR(__xludf.DUMMYFUNCTION("""COMPUTED_VALUE"""),"")</f>
        <v/>
      </c>
      <c r="G314" s="472" t="str">
        <f ca="1">IFERROR(__xludf.DUMMYFUNCTION("""COMPUTED_VALUE"""),"")</f>
        <v/>
      </c>
      <c r="H314" s="472" t="str">
        <f ca="1">IFERROR(__xludf.DUMMYFUNCTION("""COMPUTED_VALUE"""),"")</f>
        <v/>
      </c>
      <c r="I314" s="472" t="str">
        <f ca="1">IFERROR(__xludf.DUMMYFUNCTION("""COMPUTED_VALUE"""),"")</f>
        <v/>
      </c>
      <c r="J314" s="472" t="str">
        <f ca="1">IFERROR(__xludf.DUMMYFUNCTION("""COMPUTED_VALUE"""),"")</f>
        <v/>
      </c>
    </row>
    <row r="315" spans="1:10" ht="15.75">
      <c r="A315" s="472" t="str">
        <f ca="1">IFERROR(__xludf.DUMMYFUNCTION("""COMPUTED_VALUE"""),"")</f>
        <v/>
      </c>
      <c r="B315" s="472" t="str">
        <f ca="1">IFERROR(__xludf.DUMMYFUNCTION("""COMPUTED_VALUE"""),"")</f>
        <v/>
      </c>
      <c r="C315" s="472" t="str">
        <f ca="1">IFERROR(__xludf.DUMMYFUNCTION("""COMPUTED_VALUE"""),"")</f>
        <v/>
      </c>
      <c r="D315" s="472" t="str">
        <f ca="1">IFERROR(__xludf.DUMMYFUNCTION("""COMPUTED_VALUE"""),"")</f>
        <v/>
      </c>
      <c r="E315" s="472" t="str">
        <f ca="1">IFERROR(__xludf.DUMMYFUNCTION("""COMPUTED_VALUE"""),"")</f>
        <v/>
      </c>
      <c r="F315" s="472" t="str">
        <f ca="1">IFERROR(__xludf.DUMMYFUNCTION("""COMPUTED_VALUE"""),"")</f>
        <v/>
      </c>
      <c r="G315" s="472" t="str">
        <f ca="1">IFERROR(__xludf.DUMMYFUNCTION("""COMPUTED_VALUE"""),"")</f>
        <v/>
      </c>
      <c r="H315" s="472" t="str">
        <f ca="1">IFERROR(__xludf.DUMMYFUNCTION("""COMPUTED_VALUE"""),"")</f>
        <v/>
      </c>
      <c r="I315" s="472" t="str">
        <f ca="1">IFERROR(__xludf.DUMMYFUNCTION("""COMPUTED_VALUE"""),"")</f>
        <v/>
      </c>
      <c r="J315" s="472" t="str">
        <f ca="1">IFERROR(__xludf.DUMMYFUNCTION("""COMPUTED_VALUE"""),"")</f>
        <v/>
      </c>
    </row>
    <row r="316" spans="1:10" ht="15.75">
      <c r="A316" s="472" t="str">
        <f ca="1">IFERROR(__xludf.DUMMYFUNCTION("""COMPUTED_VALUE"""),"")</f>
        <v/>
      </c>
      <c r="B316" s="472" t="str">
        <f ca="1">IFERROR(__xludf.DUMMYFUNCTION("""COMPUTED_VALUE"""),"")</f>
        <v/>
      </c>
      <c r="C316" s="472" t="str">
        <f ca="1">IFERROR(__xludf.DUMMYFUNCTION("""COMPUTED_VALUE"""),"")</f>
        <v/>
      </c>
      <c r="D316" s="472" t="str">
        <f ca="1">IFERROR(__xludf.DUMMYFUNCTION("""COMPUTED_VALUE"""),"")</f>
        <v/>
      </c>
      <c r="E316" s="472" t="str">
        <f ca="1">IFERROR(__xludf.DUMMYFUNCTION("""COMPUTED_VALUE"""),"")</f>
        <v/>
      </c>
      <c r="F316" s="472" t="str">
        <f ca="1">IFERROR(__xludf.DUMMYFUNCTION("""COMPUTED_VALUE"""),"")</f>
        <v/>
      </c>
      <c r="G316" s="472" t="str">
        <f ca="1">IFERROR(__xludf.DUMMYFUNCTION("""COMPUTED_VALUE"""),"")</f>
        <v/>
      </c>
      <c r="H316" s="472" t="str">
        <f ca="1">IFERROR(__xludf.DUMMYFUNCTION("""COMPUTED_VALUE"""),"")</f>
        <v/>
      </c>
      <c r="I316" s="472" t="str">
        <f ca="1">IFERROR(__xludf.DUMMYFUNCTION("""COMPUTED_VALUE"""),"")</f>
        <v/>
      </c>
      <c r="J316" s="472" t="str">
        <f ca="1">IFERROR(__xludf.DUMMYFUNCTION("""COMPUTED_VALUE"""),"")</f>
        <v/>
      </c>
    </row>
    <row r="317" spans="1:10" ht="15.75">
      <c r="A317" s="472" t="str">
        <f ca="1">IFERROR(__xludf.DUMMYFUNCTION("""COMPUTED_VALUE"""),"")</f>
        <v/>
      </c>
      <c r="B317" s="472" t="str">
        <f ca="1">IFERROR(__xludf.DUMMYFUNCTION("""COMPUTED_VALUE"""),"")</f>
        <v/>
      </c>
      <c r="C317" s="472" t="str">
        <f ca="1">IFERROR(__xludf.DUMMYFUNCTION("""COMPUTED_VALUE"""),"")</f>
        <v/>
      </c>
      <c r="D317" s="472" t="str">
        <f ca="1">IFERROR(__xludf.DUMMYFUNCTION("""COMPUTED_VALUE"""),"")</f>
        <v/>
      </c>
      <c r="E317" s="472" t="str">
        <f ca="1">IFERROR(__xludf.DUMMYFUNCTION("""COMPUTED_VALUE"""),"")</f>
        <v/>
      </c>
      <c r="F317" s="472" t="str">
        <f ca="1">IFERROR(__xludf.DUMMYFUNCTION("""COMPUTED_VALUE"""),"")</f>
        <v/>
      </c>
      <c r="G317" s="472" t="str">
        <f ca="1">IFERROR(__xludf.DUMMYFUNCTION("""COMPUTED_VALUE"""),"")</f>
        <v/>
      </c>
      <c r="H317" s="472" t="str">
        <f ca="1">IFERROR(__xludf.DUMMYFUNCTION("""COMPUTED_VALUE"""),"")</f>
        <v/>
      </c>
      <c r="I317" s="472" t="str">
        <f ca="1">IFERROR(__xludf.DUMMYFUNCTION("""COMPUTED_VALUE"""),"")</f>
        <v/>
      </c>
      <c r="J317" s="472" t="str">
        <f ca="1">IFERROR(__xludf.DUMMYFUNCTION("""COMPUTED_VALUE"""),"")</f>
        <v/>
      </c>
    </row>
    <row r="318" spans="1:10" ht="15.75">
      <c r="A318" s="472" t="str">
        <f ca="1">IFERROR(__xludf.DUMMYFUNCTION("""COMPUTED_VALUE"""),"")</f>
        <v/>
      </c>
      <c r="B318" s="472" t="str">
        <f ca="1">IFERROR(__xludf.DUMMYFUNCTION("""COMPUTED_VALUE"""),"")</f>
        <v/>
      </c>
      <c r="C318" s="472" t="str">
        <f ca="1">IFERROR(__xludf.DUMMYFUNCTION("""COMPUTED_VALUE"""),"")</f>
        <v/>
      </c>
      <c r="D318" s="472" t="str">
        <f ca="1">IFERROR(__xludf.DUMMYFUNCTION("""COMPUTED_VALUE"""),"")</f>
        <v/>
      </c>
      <c r="E318" s="472" t="str">
        <f ca="1">IFERROR(__xludf.DUMMYFUNCTION("""COMPUTED_VALUE"""),"")</f>
        <v/>
      </c>
      <c r="F318" s="472" t="str">
        <f ca="1">IFERROR(__xludf.DUMMYFUNCTION("""COMPUTED_VALUE"""),"")</f>
        <v/>
      </c>
      <c r="G318" s="472" t="str">
        <f ca="1">IFERROR(__xludf.DUMMYFUNCTION("""COMPUTED_VALUE"""),"")</f>
        <v/>
      </c>
      <c r="H318" s="472" t="str">
        <f ca="1">IFERROR(__xludf.DUMMYFUNCTION("""COMPUTED_VALUE"""),"")</f>
        <v/>
      </c>
      <c r="I318" s="472" t="str">
        <f ca="1">IFERROR(__xludf.DUMMYFUNCTION("""COMPUTED_VALUE"""),"")</f>
        <v/>
      </c>
      <c r="J318" s="472" t="str">
        <f ca="1">IFERROR(__xludf.DUMMYFUNCTION("""COMPUTED_VALUE"""),"")</f>
        <v/>
      </c>
    </row>
    <row r="319" spans="1:10" ht="15.75">
      <c r="A319" s="472" t="str">
        <f ca="1">IFERROR(__xludf.DUMMYFUNCTION("""COMPUTED_VALUE"""),"")</f>
        <v/>
      </c>
      <c r="B319" s="472" t="str">
        <f ca="1">IFERROR(__xludf.DUMMYFUNCTION("""COMPUTED_VALUE"""),"")</f>
        <v/>
      </c>
      <c r="C319" s="472" t="str">
        <f ca="1">IFERROR(__xludf.DUMMYFUNCTION("""COMPUTED_VALUE"""),"")</f>
        <v/>
      </c>
      <c r="D319" s="472" t="str">
        <f ca="1">IFERROR(__xludf.DUMMYFUNCTION("""COMPUTED_VALUE"""),"")</f>
        <v/>
      </c>
      <c r="E319" s="472" t="str">
        <f ca="1">IFERROR(__xludf.DUMMYFUNCTION("""COMPUTED_VALUE"""),"")</f>
        <v/>
      </c>
      <c r="F319" s="472" t="str">
        <f ca="1">IFERROR(__xludf.DUMMYFUNCTION("""COMPUTED_VALUE"""),"")</f>
        <v/>
      </c>
      <c r="G319" s="472" t="str">
        <f ca="1">IFERROR(__xludf.DUMMYFUNCTION("""COMPUTED_VALUE"""),"")</f>
        <v/>
      </c>
      <c r="H319" s="472" t="str">
        <f ca="1">IFERROR(__xludf.DUMMYFUNCTION("""COMPUTED_VALUE"""),"")</f>
        <v/>
      </c>
      <c r="I319" s="472" t="str">
        <f ca="1">IFERROR(__xludf.DUMMYFUNCTION("""COMPUTED_VALUE"""),"")</f>
        <v/>
      </c>
      <c r="J319" s="472" t="str">
        <f ca="1">IFERROR(__xludf.DUMMYFUNCTION("""COMPUTED_VALUE"""),"")</f>
        <v/>
      </c>
    </row>
    <row r="320" spans="1:10" ht="15.75">
      <c r="A320" s="472" t="str">
        <f ca="1">IFERROR(__xludf.DUMMYFUNCTION("""COMPUTED_VALUE"""),"")</f>
        <v/>
      </c>
      <c r="B320" s="472" t="str">
        <f ca="1">IFERROR(__xludf.DUMMYFUNCTION("""COMPUTED_VALUE"""),"")</f>
        <v/>
      </c>
      <c r="C320" s="472" t="str">
        <f ca="1">IFERROR(__xludf.DUMMYFUNCTION("""COMPUTED_VALUE"""),"")</f>
        <v/>
      </c>
      <c r="D320" s="472" t="str">
        <f ca="1">IFERROR(__xludf.DUMMYFUNCTION("""COMPUTED_VALUE"""),"")</f>
        <v/>
      </c>
      <c r="E320" s="472" t="str">
        <f ca="1">IFERROR(__xludf.DUMMYFUNCTION("""COMPUTED_VALUE"""),"")</f>
        <v/>
      </c>
      <c r="F320" s="472" t="str">
        <f ca="1">IFERROR(__xludf.DUMMYFUNCTION("""COMPUTED_VALUE"""),"")</f>
        <v/>
      </c>
      <c r="G320" s="472" t="str">
        <f ca="1">IFERROR(__xludf.DUMMYFUNCTION("""COMPUTED_VALUE"""),"")</f>
        <v/>
      </c>
      <c r="H320" s="472" t="str">
        <f ca="1">IFERROR(__xludf.DUMMYFUNCTION("""COMPUTED_VALUE"""),"")</f>
        <v/>
      </c>
      <c r="I320" s="472" t="str">
        <f ca="1">IFERROR(__xludf.DUMMYFUNCTION("""COMPUTED_VALUE"""),"")</f>
        <v/>
      </c>
      <c r="J320" s="472" t="str">
        <f ca="1">IFERROR(__xludf.DUMMYFUNCTION("""COMPUTED_VALUE"""),"")</f>
        <v/>
      </c>
    </row>
    <row r="321" spans="1:10" ht="15.75">
      <c r="A321" s="472" t="str">
        <f ca="1">IFERROR(__xludf.DUMMYFUNCTION("""COMPUTED_VALUE"""),"")</f>
        <v/>
      </c>
      <c r="B321" s="472" t="str">
        <f ca="1">IFERROR(__xludf.DUMMYFUNCTION("""COMPUTED_VALUE"""),"")</f>
        <v/>
      </c>
      <c r="C321" s="472" t="str">
        <f ca="1">IFERROR(__xludf.DUMMYFUNCTION("""COMPUTED_VALUE"""),"")</f>
        <v/>
      </c>
      <c r="D321" s="472" t="str">
        <f ca="1">IFERROR(__xludf.DUMMYFUNCTION("""COMPUTED_VALUE"""),"")</f>
        <v/>
      </c>
      <c r="E321" s="472" t="str">
        <f ca="1">IFERROR(__xludf.DUMMYFUNCTION("""COMPUTED_VALUE"""),"")</f>
        <v/>
      </c>
      <c r="F321" s="472" t="str">
        <f ca="1">IFERROR(__xludf.DUMMYFUNCTION("""COMPUTED_VALUE"""),"")</f>
        <v/>
      </c>
      <c r="G321" s="472" t="str">
        <f ca="1">IFERROR(__xludf.DUMMYFUNCTION("""COMPUTED_VALUE"""),"")</f>
        <v/>
      </c>
      <c r="H321" s="472" t="str">
        <f ca="1">IFERROR(__xludf.DUMMYFUNCTION("""COMPUTED_VALUE"""),"")</f>
        <v/>
      </c>
      <c r="I321" s="472" t="str">
        <f ca="1">IFERROR(__xludf.DUMMYFUNCTION("""COMPUTED_VALUE"""),"")</f>
        <v/>
      </c>
      <c r="J321" s="472" t="str">
        <f ca="1">IFERROR(__xludf.DUMMYFUNCTION("""COMPUTED_VALUE"""),"")</f>
        <v/>
      </c>
    </row>
    <row r="322" spans="1:10" ht="15.75">
      <c r="A322" s="472" t="str">
        <f ca="1">IFERROR(__xludf.DUMMYFUNCTION("""COMPUTED_VALUE"""),"")</f>
        <v/>
      </c>
      <c r="B322" s="472" t="str">
        <f ca="1">IFERROR(__xludf.DUMMYFUNCTION("""COMPUTED_VALUE"""),"")</f>
        <v/>
      </c>
      <c r="C322" s="472" t="str">
        <f ca="1">IFERROR(__xludf.DUMMYFUNCTION("""COMPUTED_VALUE"""),"")</f>
        <v/>
      </c>
      <c r="D322" s="472" t="str">
        <f ca="1">IFERROR(__xludf.DUMMYFUNCTION("""COMPUTED_VALUE"""),"")</f>
        <v/>
      </c>
      <c r="E322" s="472" t="str">
        <f ca="1">IFERROR(__xludf.DUMMYFUNCTION("""COMPUTED_VALUE"""),"")</f>
        <v/>
      </c>
      <c r="F322" s="472" t="str">
        <f ca="1">IFERROR(__xludf.DUMMYFUNCTION("""COMPUTED_VALUE"""),"")</f>
        <v/>
      </c>
      <c r="G322" s="472" t="str">
        <f ca="1">IFERROR(__xludf.DUMMYFUNCTION("""COMPUTED_VALUE"""),"")</f>
        <v/>
      </c>
      <c r="H322" s="472" t="str">
        <f ca="1">IFERROR(__xludf.DUMMYFUNCTION("""COMPUTED_VALUE"""),"")</f>
        <v/>
      </c>
      <c r="I322" s="472" t="str">
        <f ca="1">IFERROR(__xludf.DUMMYFUNCTION("""COMPUTED_VALUE"""),"")</f>
        <v/>
      </c>
      <c r="J322" s="472" t="str">
        <f ca="1">IFERROR(__xludf.DUMMYFUNCTION("""COMPUTED_VALUE"""),"")</f>
        <v/>
      </c>
    </row>
    <row r="323" spans="1:10" ht="15.75">
      <c r="A323" s="472" t="str">
        <f ca="1">IFERROR(__xludf.DUMMYFUNCTION("""COMPUTED_VALUE"""),"")</f>
        <v/>
      </c>
      <c r="B323" s="472" t="str">
        <f ca="1">IFERROR(__xludf.DUMMYFUNCTION("""COMPUTED_VALUE"""),"")</f>
        <v/>
      </c>
      <c r="C323" s="472" t="str">
        <f ca="1">IFERROR(__xludf.DUMMYFUNCTION("""COMPUTED_VALUE"""),"")</f>
        <v/>
      </c>
      <c r="D323" s="472" t="str">
        <f ca="1">IFERROR(__xludf.DUMMYFUNCTION("""COMPUTED_VALUE"""),"")</f>
        <v/>
      </c>
      <c r="E323" s="472" t="str">
        <f ca="1">IFERROR(__xludf.DUMMYFUNCTION("""COMPUTED_VALUE"""),"")</f>
        <v/>
      </c>
      <c r="F323" s="472" t="str">
        <f ca="1">IFERROR(__xludf.DUMMYFUNCTION("""COMPUTED_VALUE"""),"")</f>
        <v/>
      </c>
      <c r="G323" s="472" t="str">
        <f ca="1">IFERROR(__xludf.DUMMYFUNCTION("""COMPUTED_VALUE"""),"")</f>
        <v/>
      </c>
      <c r="H323" s="472" t="str">
        <f ca="1">IFERROR(__xludf.DUMMYFUNCTION("""COMPUTED_VALUE"""),"")</f>
        <v/>
      </c>
      <c r="I323" s="472" t="str">
        <f ca="1">IFERROR(__xludf.DUMMYFUNCTION("""COMPUTED_VALUE"""),"")</f>
        <v/>
      </c>
      <c r="J323" s="472" t="str">
        <f ca="1">IFERROR(__xludf.DUMMYFUNCTION("""COMPUTED_VALUE"""),"")</f>
        <v/>
      </c>
    </row>
    <row r="324" spans="1:10" ht="15.75">
      <c r="A324" s="472" t="str">
        <f ca="1">IFERROR(__xludf.DUMMYFUNCTION("""COMPUTED_VALUE"""),"")</f>
        <v/>
      </c>
      <c r="B324" s="472" t="str">
        <f ca="1">IFERROR(__xludf.DUMMYFUNCTION("""COMPUTED_VALUE"""),"")</f>
        <v/>
      </c>
      <c r="C324" s="472" t="str">
        <f ca="1">IFERROR(__xludf.DUMMYFUNCTION("""COMPUTED_VALUE"""),"")</f>
        <v/>
      </c>
      <c r="D324" s="472" t="str">
        <f ca="1">IFERROR(__xludf.DUMMYFUNCTION("""COMPUTED_VALUE"""),"")</f>
        <v/>
      </c>
      <c r="E324" s="472" t="str">
        <f ca="1">IFERROR(__xludf.DUMMYFUNCTION("""COMPUTED_VALUE"""),"")</f>
        <v/>
      </c>
      <c r="F324" s="472" t="str">
        <f ca="1">IFERROR(__xludf.DUMMYFUNCTION("""COMPUTED_VALUE"""),"")</f>
        <v/>
      </c>
      <c r="G324" s="472" t="str">
        <f ca="1">IFERROR(__xludf.DUMMYFUNCTION("""COMPUTED_VALUE"""),"")</f>
        <v/>
      </c>
      <c r="H324" s="472" t="str">
        <f ca="1">IFERROR(__xludf.DUMMYFUNCTION("""COMPUTED_VALUE"""),"")</f>
        <v/>
      </c>
      <c r="I324" s="472" t="str">
        <f ca="1">IFERROR(__xludf.DUMMYFUNCTION("""COMPUTED_VALUE"""),"")</f>
        <v/>
      </c>
      <c r="J324" s="472" t="str">
        <f ca="1">IFERROR(__xludf.DUMMYFUNCTION("""COMPUTED_VALUE"""),"")</f>
        <v/>
      </c>
    </row>
    <row r="325" spans="1:10" ht="15.75">
      <c r="A325" s="472" t="str">
        <f ca="1">IFERROR(__xludf.DUMMYFUNCTION("""COMPUTED_VALUE"""),"")</f>
        <v/>
      </c>
      <c r="B325" s="472" t="str">
        <f ca="1">IFERROR(__xludf.DUMMYFUNCTION("""COMPUTED_VALUE"""),"")</f>
        <v/>
      </c>
      <c r="C325" s="472" t="str">
        <f ca="1">IFERROR(__xludf.DUMMYFUNCTION("""COMPUTED_VALUE"""),"")</f>
        <v/>
      </c>
      <c r="D325" s="472" t="str">
        <f ca="1">IFERROR(__xludf.DUMMYFUNCTION("""COMPUTED_VALUE"""),"")</f>
        <v/>
      </c>
      <c r="E325" s="472" t="str">
        <f ca="1">IFERROR(__xludf.DUMMYFUNCTION("""COMPUTED_VALUE"""),"")</f>
        <v/>
      </c>
      <c r="F325" s="472" t="str">
        <f ca="1">IFERROR(__xludf.DUMMYFUNCTION("""COMPUTED_VALUE"""),"")</f>
        <v/>
      </c>
      <c r="G325" s="472" t="str">
        <f ca="1">IFERROR(__xludf.DUMMYFUNCTION("""COMPUTED_VALUE"""),"")</f>
        <v/>
      </c>
      <c r="H325" s="472" t="str">
        <f ca="1">IFERROR(__xludf.DUMMYFUNCTION("""COMPUTED_VALUE"""),"")</f>
        <v/>
      </c>
      <c r="I325" s="472" t="str">
        <f ca="1">IFERROR(__xludf.DUMMYFUNCTION("""COMPUTED_VALUE"""),"")</f>
        <v/>
      </c>
      <c r="J325" s="472" t="str">
        <f ca="1">IFERROR(__xludf.DUMMYFUNCTION("""COMPUTED_VALUE"""),"")</f>
        <v/>
      </c>
    </row>
    <row r="326" spans="1:10" ht="15.75">
      <c r="A326" s="472" t="str">
        <f ca="1">IFERROR(__xludf.DUMMYFUNCTION("""COMPUTED_VALUE"""),"")</f>
        <v/>
      </c>
      <c r="B326" s="472" t="str">
        <f ca="1">IFERROR(__xludf.DUMMYFUNCTION("""COMPUTED_VALUE"""),"")</f>
        <v/>
      </c>
      <c r="C326" s="472" t="str">
        <f ca="1">IFERROR(__xludf.DUMMYFUNCTION("""COMPUTED_VALUE"""),"")</f>
        <v/>
      </c>
      <c r="D326" s="472" t="str">
        <f ca="1">IFERROR(__xludf.DUMMYFUNCTION("""COMPUTED_VALUE"""),"")</f>
        <v/>
      </c>
      <c r="E326" s="472" t="str">
        <f ca="1">IFERROR(__xludf.DUMMYFUNCTION("""COMPUTED_VALUE"""),"")</f>
        <v/>
      </c>
      <c r="F326" s="472" t="str">
        <f ca="1">IFERROR(__xludf.DUMMYFUNCTION("""COMPUTED_VALUE"""),"")</f>
        <v/>
      </c>
      <c r="G326" s="472" t="str">
        <f ca="1">IFERROR(__xludf.DUMMYFUNCTION("""COMPUTED_VALUE"""),"")</f>
        <v/>
      </c>
      <c r="H326" s="472" t="str">
        <f ca="1">IFERROR(__xludf.DUMMYFUNCTION("""COMPUTED_VALUE"""),"")</f>
        <v/>
      </c>
      <c r="I326" s="472" t="str">
        <f ca="1">IFERROR(__xludf.DUMMYFUNCTION("""COMPUTED_VALUE"""),"")</f>
        <v/>
      </c>
      <c r="J326" s="472" t="str">
        <f ca="1">IFERROR(__xludf.DUMMYFUNCTION("""COMPUTED_VALUE"""),"")</f>
        <v/>
      </c>
    </row>
    <row r="327" spans="1:10" ht="15.75">
      <c r="A327" s="472" t="str">
        <f ca="1">IFERROR(__xludf.DUMMYFUNCTION("""COMPUTED_VALUE"""),"")</f>
        <v/>
      </c>
      <c r="B327" s="472" t="str">
        <f ca="1">IFERROR(__xludf.DUMMYFUNCTION("""COMPUTED_VALUE"""),"")</f>
        <v/>
      </c>
      <c r="C327" s="472" t="str">
        <f ca="1">IFERROR(__xludf.DUMMYFUNCTION("""COMPUTED_VALUE"""),"")</f>
        <v/>
      </c>
      <c r="D327" s="472" t="str">
        <f ca="1">IFERROR(__xludf.DUMMYFUNCTION("""COMPUTED_VALUE"""),"")</f>
        <v/>
      </c>
      <c r="E327" s="472" t="str">
        <f ca="1">IFERROR(__xludf.DUMMYFUNCTION("""COMPUTED_VALUE"""),"")</f>
        <v/>
      </c>
      <c r="F327" s="472" t="str">
        <f ca="1">IFERROR(__xludf.DUMMYFUNCTION("""COMPUTED_VALUE"""),"")</f>
        <v/>
      </c>
      <c r="G327" s="472" t="str">
        <f ca="1">IFERROR(__xludf.DUMMYFUNCTION("""COMPUTED_VALUE"""),"")</f>
        <v/>
      </c>
      <c r="H327" s="472" t="str">
        <f ca="1">IFERROR(__xludf.DUMMYFUNCTION("""COMPUTED_VALUE"""),"")</f>
        <v/>
      </c>
      <c r="I327" s="472" t="str">
        <f ca="1">IFERROR(__xludf.DUMMYFUNCTION("""COMPUTED_VALUE"""),"")</f>
        <v/>
      </c>
      <c r="J327" s="472" t="str">
        <f ca="1">IFERROR(__xludf.DUMMYFUNCTION("""COMPUTED_VALUE"""),"")</f>
        <v/>
      </c>
    </row>
    <row r="328" spans="1:10" ht="15.75">
      <c r="A328" s="472" t="str">
        <f ca="1">IFERROR(__xludf.DUMMYFUNCTION("""COMPUTED_VALUE"""),"")</f>
        <v/>
      </c>
      <c r="B328" s="472" t="str">
        <f ca="1">IFERROR(__xludf.DUMMYFUNCTION("""COMPUTED_VALUE"""),"")</f>
        <v/>
      </c>
      <c r="C328" s="472" t="str">
        <f ca="1">IFERROR(__xludf.DUMMYFUNCTION("""COMPUTED_VALUE"""),"")</f>
        <v/>
      </c>
      <c r="D328" s="472" t="str">
        <f ca="1">IFERROR(__xludf.DUMMYFUNCTION("""COMPUTED_VALUE"""),"")</f>
        <v/>
      </c>
      <c r="E328" s="472" t="str">
        <f ca="1">IFERROR(__xludf.DUMMYFUNCTION("""COMPUTED_VALUE"""),"")</f>
        <v/>
      </c>
      <c r="F328" s="472" t="str">
        <f ca="1">IFERROR(__xludf.DUMMYFUNCTION("""COMPUTED_VALUE"""),"")</f>
        <v/>
      </c>
      <c r="G328" s="472" t="str">
        <f ca="1">IFERROR(__xludf.DUMMYFUNCTION("""COMPUTED_VALUE"""),"")</f>
        <v/>
      </c>
      <c r="H328" s="472" t="str">
        <f ca="1">IFERROR(__xludf.DUMMYFUNCTION("""COMPUTED_VALUE"""),"")</f>
        <v/>
      </c>
      <c r="I328" s="472" t="str">
        <f ca="1">IFERROR(__xludf.DUMMYFUNCTION("""COMPUTED_VALUE"""),"")</f>
        <v/>
      </c>
      <c r="J328" s="472" t="str">
        <f ca="1">IFERROR(__xludf.DUMMYFUNCTION("""COMPUTED_VALUE"""),"")</f>
        <v/>
      </c>
    </row>
    <row r="329" spans="1:10" ht="15.75">
      <c r="A329" s="472" t="str">
        <f ca="1">IFERROR(__xludf.DUMMYFUNCTION("""COMPUTED_VALUE"""),"")</f>
        <v/>
      </c>
      <c r="B329" s="472" t="str">
        <f ca="1">IFERROR(__xludf.DUMMYFUNCTION("""COMPUTED_VALUE"""),"")</f>
        <v/>
      </c>
      <c r="C329" s="472" t="str">
        <f ca="1">IFERROR(__xludf.DUMMYFUNCTION("""COMPUTED_VALUE"""),"")</f>
        <v/>
      </c>
      <c r="D329" s="472" t="str">
        <f ca="1">IFERROR(__xludf.DUMMYFUNCTION("""COMPUTED_VALUE"""),"")</f>
        <v/>
      </c>
      <c r="E329" s="472" t="str">
        <f ca="1">IFERROR(__xludf.DUMMYFUNCTION("""COMPUTED_VALUE"""),"")</f>
        <v/>
      </c>
      <c r="F329" s="472" t="str">
        <f ca="1">IFERROR(__xludf.DUMMYFUNCTION("""COMPUTED_VALUE"""),"")</f>
        <v/>
      </c>
      <c r="G329" s="472" t="str">
        <f ca="1">IFERROR(__xludf.DUMMYFUNCTION("""COMPUTED_VALUE"""),"")</f>
        <v/>
      </c>
      <c r="H329" s="472" t="str">
        <f ca="1">IFERROR(__xludf.DUMMYFUNCTION("""COMPUTED_VALUE"""),"")</f>
        <v/>
      </c>
      <c r="I329" s="472" t="str">
        <f ca="1">IFERROR(__xludf.DUMMYFUNCTION("""COMPUTED_VALUE"""),"")</f>
        <v/>
      </c>
      <c r="J329" s="472" t="str">
        <f ca="1">IFERROR(__xludf.DUMMYFUNCTION("""COMPUTED_VALUE"""),"")</f>
        <v/>
      </c>
    </row>
    <row r="330" spans="1:10" ht="15.75">
      <c r="A330" s="472" t="str">
        <f ca="1">IFERROR(__xludf.DUMMYFUNCTION("""COMPUTED_VALUE"""),"")</f>
        <v/>
      </c>
      <c r="B330" s="472" t="str">
        <f ca="1">IFERROR(__xludf.DUMMYFUNCTION("""COMPUTED_VALUE"""),"")</f>
        <v/>
      </c>
      <c r="C330" s="472" t="str">
        <f ca="1">IFERROR(__xludf.DUMMYFUNCTION("""COMPUTED_VALUE"""),"")</f>
        <v/>
      </c>
      <c r="D330" s="472" t="str">
        <f ca="1">IFERROR(__xludf.DUMMYFUNCTION("""COMPUTED_VALUE"""),"")</f>
        <v/>
      </c>
      <c r="E330" s="472" t="str">
        <f ca="1">IFERROR(__xludf.DUMMYFUNCTION("""COMPUTED_VALUE"""),"")</f>
        <v/>
      </c>
      <c r="F330" s="472" t="str">
        <f ca="1">IFERROR(__xludf.DUMMYFUNCTION("""COMPUTED_VALUE"""),"")</f>
        <v/>
      </c>
      <c r="G330" s="472" t="str">
        <f ca="1">IFERROR(__xludf.DUMMYFUNCTION("""COMPUTED_VALUE"""),"")</f>
        <v/>
      </c>
      <c r="H330" s="472" t="str">
        <f ca="1">IFERROR(__xludf.DUMMYFUNCTION("""COMPUTED_VALUE"""),"")</f>
        <v/>
      </c>
      <c r="I330" s="472" t="str">
        <f ca="1">IFERROR(__xludf.DUMMYFUNCTION("""COMPUTED_VALUE"""),"")</f>
        <v/>
      </c>
      <c r="J330" s="472" t="str">
        <f ca="1">IFERROR(__xludf.DUMMYFUNCTION("""COMPUTED_VALUE"""),"")</f>
        <v/>
      </c>
    </row>
    <row r="331" spans="1:10" ht="15.75">
      <c r="A331" s="472" t="str">
        <f ca="1">IFERROR(__xludf.DUMMYFUNCTION("""COMPUTED_VALUE"""),"")</f>
        <v/>
      </c>
      <c r="B331" s="472" t="str">
        <f ca="1">IFERROR(__xludf.DUMMYFUNCTION("""COMPUTED_VALUE"""),"")</f>
        <v/>
      </c>
      <c r="C331" s="472" t="str">
        <f ca="1">IFERROR(__xludf.DUMMYFUNCTION("""COMPUTED_VALUE"""),"")</f>
        <v/>
      </c>
      <c r="D331" s="472" t="str">
        <f ca="1">IFERROR(__xludf.DUMMYFUNCTION("""COMPUTED_VALUE"""),"")</f>
        <v/>
      </c>
      <c r="E331" s="472" t="str">
        <f ca="1">IFERROR(__xludf.DUMMYFUNCTION("""COMPUTED_VALUE"""),"")</f>
        <v/>
      </c>
      <c r="F331" s="472" t="str">
        <f ca="1">IFERROR(__xludf.DUMMYFUNCTION("""COMPUTED_VALUE"""),"")</f>
        <v/>
      </c>
      <c r="G331" s="472" t="str">
        <f ca="1">IFERROR(__xludf.DUMMYFUNCTION("""COMPUTED_VALUE"""),"")</f>
        <v/>
      </c>
      <c r="H331" s="472" t="str">
        <f ca="1">IFERROR(__xludf.DUMMYFUNCTION("""COMPUTED_VALUE"""),"")</f>
        <v/>
      </c>
      <c r="I331" s="472" t="str">
        <f ca="1">IFERROR(__xludf.DUMMYFUNCTION("""COMPUTED_VALUE"""),"")</f>
        <v/>
      </c>
      <c r="J331" s="472" t="str">
        <f ca="1">IFERROR(__xludf.DUMMYFUNCTION("""COMPUTED_VALUE"""),"")</f>
        <v/>
      </c>
    </row>
    <row r="332" spans="1:10" ht="15.75">
      <c r="A332" s="472" t="str">
        <f ca="1">IFERROR(__xludf.DUMMYFUNCTION("""COMPUTED_VALUE"""),"")</f>
        <v/>
      </c>
      <c r="B332" s="472" t="str">
        <f ca="1">IFERROR(__xludf.DUMMYFUNCTION("""COMPUTED_VALUE"""),"")</f>
        <v/>
      </c>
      <c r="C332" s="472" t="str">
        <f ca="1">IFERROR(__xludf.DUMMYFUNCTION("""COMPUTED_VALUE"""),"")</f>
        <v/>
      </c>
      <c r="D332" s="472" t="str">
        <f ca="1">IFERROR(__xludf.DUMMYFUNCTION("""COMPUTED_VALUE"""),"")</f>
        <v/>
      </c>
      <c r="E332" s="472" t="str">
        <f ca="1">IFERROR(__xludf.DUMMYFUNCTION("""COMPUTED_VALUE"""),"")</f>
        <v/>
      </c>
      <c r="F332" s="472" t="str">
        <f ca="1">IFERROR(__xludf.DUMMYFUNCTION("""COMPUTED_VALUE"""),"")</f>
        <v/>
      </c>
      <c r="G332" s="472" t="str">
        <f ca="1">IFERROR(__xludf.DUMMYFUNCTION("""COMPUTED_VALUE"""),"")</f>
        <v/>
      </c>
      <c r="H332" s="472" t="str">
        <f ca="1">IFERROR(__xludf.DUMMYFUNCTION("""COMPUTED_VALUE"""),"")</f>
        <v/>
      </c>
      <c r="I332" s="472" t="str">
        <f ca="1">IFERROR(__xludf.DUMMYFUNCTION("""COMPUTED_VALUE"""),"")</f>
        <v/>
      </c>
      <c r="J332" s="472" t="str">
        <f ca="1">IFERROR(__xludf.DUMMYFUNCTION("""COMPUTED_VALUE"""),"")</f>
        <v/>
      </c>
    </row>
    <row r="333" spans="1:10" ht="15.75">
      <c r="A333" s="472" t="str">
        <f ca="1">IFERROR(__xludf.DUMMYFUNCTION("""COMPUTED_VALUE"""),"")</f>
        <v/>
      </c>
      <c r="B333" s="472" t="str">
        <f ca="1">IFERROR(__xludf.DUMMYFUNCTION("""COMPUTED_VALUE"""),"")</f>
        <v/>
      </c>
      <c r="C333" s="472" t="str">
        <f ca="1">IFERROR(__xludf.DUMMYFUNCTION("""COMPUTED_VALUE"""),"")</f>
        <v/>
      </c>
      <c r="D333" s="472" t="str">
        <f ca="1">IFERROR(__xludf.DUMMYFUNCTION("""COMPUTED_VALUE"""),"")</f>
        <v/>
      </c>
      <c r="E333" s="472" t="str">
        <f ca="1">IFERROR(__xludf.DUMMYFUNCTION("""COMPUTED_VALUE"""),"")</f>
        <v/>
      </c>
      <c r="F333" s="472" t="str">
        <f ca="1">IFERROR(__xludf.DUMMYFUNCTION("""COMPUTED_VALUE"""),"")</f>
        <v/>
      </c>
      <c r="G333" s="472" t="str">
        <f ca="1">IFERROR(__xludf.DUMMYFUNCTION("""COMPUTED_VALUE"""),"")</f>
        <v/>
      </c>
      <c r="H333" s="472" t="str">
        <f ca="1">IFERROR(__xludf.DUMMYFUNCTION("""COMPUTED_VALUE"""),"")</f>
        <v/>
      </c>
      <c r="I333" s="472" t="str">
        <f ca="1">IFERROR(__xludf.DUMMYFUNCTION("""COMPUTED_VALUE"""),"")</f>
        <v/>
      </c>
      <c r="J333" s="472" t="str">
        <f ca="1">IFERROR(__xludf.DUMMYFUNCTION("""COMPUTED_VALUE"""),"")</f>
        <v/>
      </c>
    </row>
    <row r="334" spans="1:10" ht="15.75">
      <c r="A334" s="472" t="str">
        <f ca="1">IFERROR(__xludf.DUMMYFUNCTION("""COMPUTED_VALUE"""),"")</f>
        <v/>
      </c>
      <c r="B334" s="472" t="str">
        <f ca="1">IFERROR(__xludf.DUMMYFUNCTION("""COMPUTED_VALUE"""),"")</f>
        <v/>
      </c>
      <c r="C334" s="472" t="str">
        <f ca="1">IFERROR(__xludf.DUMMYFUNCTION("""COMPUTED_VALUE"""),"")</f>
        <v/>
      </c>
      <c r="D334" s="472" t="str">
        <f ca="1">IFERROR(__xludf.DUMMYFUNCTION("""COMPUTED_VALUE"""),"")</f>
        <v/>
      </c>
      <c r="E334" s="472" t="str">
        <f ca="1">IFERROR(__xludf.DUMMYFUNCTION("""COMPUTED_VALUE"""),"")</f>
        <v/>
      </c>
      <c r="F334" s="472" t="str">
        <f ca="1">IFERROR(__xludf.DUMMYFUNCTION("""COMPUTED_VALUE"""),"")</f>
        <v/>
      </c>
      <c r="G334" s="472" t="str">
        <f ca="1">IFERROR(__xludf.DUMMYFUNCTION("""COMPUTED_VALUE"""),"")</f>
        <v/>
      </c>
      <c r="H334" s="472" t="str">
        <f ca="1">IFERROR(__xludf.DUMMYFUNCTION("""COMPUTED_VALUE"""),"")</f>
        <v/>
      </c>
      <c r="I334" s="472" t="str">
        <f ca="1">IFERROR(__xludf.DUMMYFUNCTION("""COMPUTED_VALUE"""),"")</f>
        <v/>
      </c>
      <c r="J334" s="472" t="str">
        <f ca="1">IFERROR(__xludf.DUMMYFUNCTION("""COMPUTED_VALUE"""),"")</f>
        <v/>
      </c>
    </row>
    <row r="335" spans="1:10" ht="15.75">
      <c r="A335" s="472" t="str">
        <f ca="1">IFERROR(__xludf.DUMMYFUNCTION("""COMPUTED_VALUE"""),"")</f>
        <v/>
      </c>
      <c r="B335" s="472" t="str">
        <f ca="1">IFERROR(__xludf.DUMMYFUNCTION("""COMPUTED_VALUE"""),"")</f>
        <v/>
      </c>
      <c r="C335" s="472" t="str">
        <f ca="1">IFERROR(__xludf.DUMMYFUNCTION("""COMPUTED_VALUE"""),"")</f>
        <v/>
      </c>
      <c r="D335" s="472" t="str">
        <f ca="1">IFERROR(__xludf.DUMMYFUNCTION("""COMPUTED_VALUE"""),"")</f>
        <v/>
      </c>
      <c r="E335" s="472" t="str">
        <f ca="1">IFERROR(__xludf.DUMMYFUNCTION("""COMPUTED_VALUE"""),"")</f>
        <v/>
      </c>
      <c r="F335" s="472" t="str">
        <f ca="1">IFERROR(__xludf.DUMMYFUNCTION("""COMPUTED_VALUE"""),"")</f>
        <v/>
      </c>
      <c r="G335" s="472" t="str">
        <f ca="1">IFERROR(__xludf.DUMMYFUNCTION("""COMPUTED_VALUE"""),"")</f>
        <v/>
      </c>
      <c r="H335" s="472" t="str">
        <f ca="1">IFERROR(__xludf.DUMMYFUNCTION("""COMPUTED_VALUE"""),"")</f>
        <v/>
      </c>
      <c r="I335" s="472" t="str">
        <f ca="1">IFERROR(__xludf.DUMMYFUNCTION("""COMPUTED_VALUE"""),"")</f>
        <v/>
      </c>
      <c r="J335" s="472" t="str">
        <f ca="1">IFERROR(__xludf.DUMMYFUNCTION("""COMPUTED_VALUE"""),"")</f>
        <v/>
      </c>
    </row>
    <row r="336" spans="1:10" ht="15.75">
      <c r="A336" s="472" t="str">
        <f ca="1">IFERROR(__xludf.DUMMYFUNCTION("""COMPUTED_VALUE"""),"")</f>
        <v/>
      </c>
      <c r="B336" s="472" t="str">
        <f ca="1">IFERROR(__xludf.DUMMYFUNCTION("""COMPUTED_VALUE"""),"")</f>
        <v/>
      </c>
      <c r="C336" s="472" t="str">
        <f ca="1">IFERROR(__xludf.DUMMYFUNCTION("""COMPUTED_VALUE"""),"")</f>
        <v/>
      </c>
      <c r="D336" s="472" t="str">
        <f ca="1">IFERROR(__xludf.DUMMYFUNCTION("""COMPUTED_VALUE"""),"")</f>
        <v/>
      </c>
      <c r="E336" s="472" t="str">
        <f ca="1">IFERROR(__xludf.DUMMYFUNCTION("""COMPUTED_VALUE"""),"")</f>
        <v/>
      </c>
      <c r="F336" s="472" t="str">
        <f ca="1">IFERROR(__xludf.DUMMYFUNCTION("""COMPUTED_VALUE"""),"")</f>
        <v/>
      </c>
      <c r="G336" s="472" t="str">
        <f ca="1">IFERROR(__xludf.DUMMYFUNCTION("""COMPUTED_VALUE"""),"")</f>
        <v/>
      </c>
      <c r="H336" s="472" t="str">
        <f ca="1">IFERROR(__xludf.DUMMYFUNCTION("""COMPUTED_VALUE"""),"")</f>
        <v/>
      </c>
      <c r="I336" s="472" t="str">
        <f ca="1">IFERROR(__xludf.DUMMYFUNCTION("""COMPUTED_VALUE"""),"")</f>
        <v/>
      </c>
      <c r="J336" s="472" t="str">
        <f ca="1">IFERROR(__xludf.DUMMYFUNCTION("""COMPUTED_VALUE"""),"")</f>
        <v/>
      </c>
    </row>
    <row r="337" spans="1:10" ht="15.75">
      <c r="A337" s="472" t="str">
        <f ca="1">IFERROR(__xludf.DUMMYFUNCTION("""COMPUTED_VALUE"""),"")</f>
        <v/>
      </c>
      <c r="B337" s="472" t="str">
        <f ca="1">IFERROR(__xludf.DUMMYFUNCTION("""COMPUTED_VALUE"""),"")</f>
        <v/>
      </c>
      <c r="C337" s="472" t="str">
        <f ca="1">IFERROR(__xludf.DUMMYFUNCTION("""COMPUTED_VALUE"""),"")</f>
        <v/>
      </c>
      <c r="D337" s="472" t="str">
        <f ca="1">IFERROR(__xludf.DUMMYFUNCTION("""COMPUTED_VALUE"""),"")</f>
        <v/>
      </c>
      <c r="E337" s="472" t="str">
        <f ca="1">IFERROR(__xludf.DUMMYFUNCTION("""COMPUTED_VALUE"""),"")</f>
        <v/>
      </c>
      <c r="F337" s="472" t="str">
        <f ca="1">IFERROR(__xludf.DUMMYFUNCTION("""COMPUTED_VALUE"""),"")</f>
        <v/>
      </c>
      <c r="G337" s="472" t="str">
        <f ca="1">IFERROR(__xludf.DUMMYFUNCTION("""COMPUTED_VALUE"""),"")</f>
        <v/>
      </c>
      <c r="H337" s="472" t="str">
        <f ca="1">IFERROR(__xludf.DUMMYFUNCTION("""COMPUTED_VALUE"""),"")</f>
        <v/>
      </c>
      <c r="I337" s="472" t="str">
        <f ca="1">IFERROR(__xludf.DUMMYFUNCTION("""COMPUTED_VALUE"""),"")</f>
        <v/>
      </c>
      <c r="J337" s="472" t="str">
        <f ca="1">IFERROR(__xludf.DUMMYFUNCTION("""COMPUTED_VALUE"""),"")</f>
        <v/>
      </c>
    </row>
    <row r="338" spans="1:10" ht="15.75">
      <c r="A338" s="472" t="str">
        <f ca="1">IFERROR(__xludf.DUMMYFUNCTION("""COMPUTED_VALUE"""),"")</f>
        <v/>
      </c>
      <c r="B338" s="472" t="str">
        <f ca="1">IFERROR(__xludf.DUMMYFUNCTION("""COMPUTED_VALUE"""),"")</f>
        <v/>
      </c>
      <c r="C338" s="472" t="str">
        <f ca="1">IFERROR(__xludf.DUMMYFUNCTION("""COMPUTED_VALUE"""),"")</f>
        <v/>
      </c>
      <c r="D338" s="472" t="str">
        <f ca="1">IFERROR(__xludf.DUMMYFUNCTION("""COMPUTED_VALUE"""),"")</f>
        <v/>
      </c>
      <c r="E338" s="472" t="str">
        <f ca="1">IFERROR(__xludf.DUMMYFUNCTION("""COMPUTED_VALUE"""),"")</f>
        <v/>
      </c>
      <c r="F338" s="472" t="str">
        <f ca="1">IFERROR(__xludf.DUMMYFUNCTION("""COMPUTED_VALUE"""),"")</f>
        <v/>
      </c>
      <c r="G338" s="472" t="str">
        <f ca="1">IFERROR(__xludf.DUMMYFUNCTION("""COMPUTED_VALUE"""),"")</f>
        <v/>
      </c>
      <c r="H338" s="472" t="str">
        <f ca="1">IFERROR(__xludf.DUMMYFUNCTION("""COMPUTED_VALUE"""),"")</f>
        <v/>
      </c>
      <c r="I338" s="472" t="str">
        <f ca="1">IFERROR(__xludf.DUMMYFUNCTION("""COMPUTED_VALUE"""),"")</f>
        <v/>
      </c>
      <c r="J338" s="472" t="str">
        <f ca="1">IFERROR(__xludf.DUMMYFUNCTION("""COMPUTED_VALUE"""),"")</f>
        <v/>
      </c>
    </row>
    <row r="339" spans="1:10" ht="15.75">
      <c r="A339" s="472" t="str">
        <f ca="1">IFERROR(__xludf.DUMMYFUNCTION("""COMPUTED_VALUE"""),"")</f>
        <v/>
      </c>
      <c r="B339" s="472" t="str">
        <f ca="1">IFERROR(__xludf.DUMMYFUNCTION("""COMPUTED_VALUE"""),"")</f>
        <v/>
      </c>
      <c r="C339" s="472" t="str">
        <f ca="1">IFERROR(__xludf.DUMMYFUNCTION("""COMPUTED_VALUE"""),"")</f>
        <v/>
      </c>
      <c r="D339" s="472" t="str">
        <f ca="1">IFERROR(__xludf.DUMMYFUNCTION("""COMPUTED_VALUE"""),"")</f>
        <v/>
      </c>
      <c r="E339" s="472" t="str">
        <f ca="1">IFERROR(__xludf.DUMMYFUNCTION("""COMPUTED_VALUE"""),"")</f>
        <v/>
      </c>
      <c r="F339" s="472" t="str">
        <f ca="1">IFERROR(__xludf.DUMMYFUNCTION("""COMPUTED_VALUE"""),"")</f>
        <v/>
      </c>
      <c r="G339" s="472" t="str">
        <f ca="1">IFERROR(__xludf.DUMMYFUNCTION("""COMPUTED_VALUE"""),"")</f>
        <v/>
      </c>
      <c r="H339" s="472" t="str">
        <f ca="1">IFERROR(__xludf.DUMMYFUNCTION("""COMPUTED_VALUE"""),"")</f>
        <v/>
      </c>
      <c r="I339" s="472" t="str">
        <f ca="1">IFERROR(__xludf.DUMMYFUNCTION("""COMPUTED_VALUE"""),"")</f>
        <v/>
      </c>
      <c r="J339" s="472" t="str">
        <f ca="1">IFERROR(__xludf.DUMMYFUNCTION("""COMPUTED_VALUE"""),"")</f>
        <v/>
      </c>
    </row>
    <row r="340" spans="1:10" ht="15.75">
      <c r="A340" s="472" t="str">
        <f ca="1">IFERROR(__xludf.DUMMYFUNCTION("""COMPUTED_VALUE"""),"")</f>
        <v/>
      </c>
      <c r="B340" s="472" t="str">
        <f ca="1">IFERROR(__xludf.DUMMYFUNCTION("""COMPUTED_VALUE"""),"")</f>
        <v/>
      </c>
      <c r="C340" s="472" t="str">
        <f ca="1">IFERROR(__xludf.DUMMYFUNCTION("""COMPUTED_VALUE"""),"")</f>
        <v/>
      </c>
      <c r="D340" s="472" t="str">
        <f ca="1">IFERROR(__xludf.DUMMYFUNCTION("""COMPUTED_VALUE"""),"")</f>
        <v/>
      </c>
      <c r="E340" s="472" t="str">
        <f ca="1">IFERROR(__xludf.DUMMYFUNCTION("""COMPUTED_VALUE"""),"")</f>
        <v/>
      </c>
      <c r="F340" s="472" t="str">
        <f ca="1">IFERROR(__xludf.DUMMYFUNCTION("""COMPUTED_VALUE"""),"")</f>
        <v/>
      </c>
      <c r="G340" s="472" t="str">
        <f ca="1">IFERROR(__xludf.DUMMYFUNCTION("""COMPUTED_VALUE"""),"")</f>
        <v/>
      </c>
      <c r="H340" s="472" t="str">
        <f ca="1">IFERROR(__xludf.DUMMYFUNCTION("""COMPUTED_VALUE"""),"")</f>
        <v/>
      </c>
      <c r="I340" s="472" t="str">
        <f ca="1">IFERROR(__xludf.DUMMYFUNCTION("""COMPUTED_VALUE"""),"")</f>
        <v/>
      </c>
      <c r="J340" s="472" t="str">
        <f ca="1">IFERROR(__xludf.DUMMYFUNCTION("""COMPUTED_VALUE"""),"")</f>
        <v/>
      </c>
    </row>
    <row r="341" spans="1:10" ht="15.75">
      <c r="A341" s="472" t="str">
        <f ca="1">IFERROR(__xludf.DUMMYFUNCTION("""COMPUTED_VALUE"""),"")</f>
        <v/>
      </c>
      <c r="B341" s="472" t="str">
        <f ca="1">IFERROR(__xludf.DUMMYFUNCTION("""COMPUTED_VALUE"""),"")</f>
        <v/>
      </c>
      <c r="C341" s="472" t="str">
        <f ca="1">IFERROR(__xludf.DUMMYFUNCTION("""COMPUTED_VALUE"""),"")</f>
        <v/>
      </c>
      <c r="D341" s="472" t="str">
        <f ca="1">IFERROR(__xludf.DUMMYFUNCTION("""COMPUTED_VALUE"""),"")</f>
        <v/>
      </c>
      <c r="E341" s="472" t="str">
        <f ca="1">IFERROR(__xludf.DUMMYFUNCTION("""COMPUTED_VALUE"""),"")</f>
        <v/>
      </c>
      <c r="F341" s="472" t="str">
        <f ca="1">IFERROR(__xludf.DUMMYFUNCTION("""COMPUTED_VALUE"""),"")</f>
        <v/>
      </c>
      <c r="G341" s="472" t="str">
        <f ca="1">IFERROR(__xludf.DUMMYFUNCTION("""COMPUTED_VALUE"""),"")</f>
        <v/>
      </c>
      <c r="H341" s="472" t="str">
        <f ca="1">IFERROR(__xludf.DUMMYFUNCTION("""COMPUTED_VALUE"""),"")</f>
        <v/>
      </c>
      <c r="I341" s="472" t="str">
        <f ca="1">IFERROR(__xludf.DUMMYFUNCTION("""COMPUTED_VALUE"""),"")</f>
        <v/>
      </c>
      <c r="J341" s="472" t="str">
        <f ca="1">IFERROR(__xludf.DUMMYFUNCTION("""COMPUTED_VALUE"""),"")</f>
        <v/>
      </c>
    </row>
    <row r="342" spans="1:10" ht="15.75">
      <c r="A342" s="472" t="str">
        <f ca="1">IFERROR(__xludf.DUMMYFUNCTION("""COMPUTED_VALUE"""),"")</f>
        <v/>
      </c>
      <c r="B342" s="472" t="str">
        <f ca="1">IFERROR(__xludf.DUMMYFUNCTION("""COMPUTED_VALUE"""),"")</f>
        <v/>
      </c>
      <c r="C342" s="472" t="str">
        <f ca="1">IFERROR(__xludf.DUMMYFUNCTION("""COMPUTED_VALUE"""),"")</f>
        <v/>
      </c>
      <c r="D342" s="472" t="str">
        <f ca="1">IFERROR(__xludf.DUMMYFUNCTION("""COMPUTED_VALUE"""),"")</f>
        <v/>
      </c>
      <c r="E342" s="472" t="str">
        <f ca="1">IFERROR(__xludf.DUMMYFUNCTION("""COMPUTED_VALUE"""),"")</f>
        <v/>
      </c>
      <c r="F342" s="472" t="str">
        <f ca="1">IFERROR(__xludf.DUMMYFUNCTION("""COMPUTED_VALUE"""),"")</f>
        <v/>
      </c>
      <c r="G342" s="472" t="str">
        <f ca="1">IFERROR(__xludf.DUMMYFUNCTION("""COMPUTED_VALUE"""),"")</f>
        <v/>
      </c>
      <c r="H342" s="472" t="str">
        <f ca="1">IFERROR(__xludf.DUMMYFUNCTION("""COMPUTED_VALUE"""),"")</f>
        <v/>
      </c>
      <c r="I342" s="472" t="str">
        <f ca="1">IFERROR(__xludf.DUMMYFUNCTION("""COMPUTED_VALUE"""),"")</f>
        <v/>
      </c>
      <c r="J342" s="472" t="str">
        <f ca="1">IFERROR(__xludf.DUMMYFUNCTION("""COMPUTED_VALUE"""),"")</f>
        <v/>
      </c>
    </row>
    <row r="343" spans="1:10" ht="15.75">
      <c r="A343" s="472" t="str">
        <f ca="1">IFERROR(__xludf.DUMMYFUNCTION("""COMPUTED_VALUE"""),"")</f>
        <v/>
      </c>
      <c r="B343" s="472" t="str">
        <f ca="1">IFERROR(__xludf.DUMMYFUNCTION("""COMPUTED_VALUE"""),"")</f>
        <v/>
      </c>
      <c r="C343" s="472" t="str">
        <f ca="1">IFERROR(__xludf.DUMMYFUNCTION("""COMPUTED_VALUE"""),"")</f>
        <v/>
      </c>
      <c r="D343" s="472" t="str">
        <f ca="1">IFERROR(__xludf.DUMMYFUNCTION("""COMPUTED_VALUE"""),"")</f>
        <v/>
      </c>
      <c r="E343" s="472" t="str">
        <f ca="1">IFERROR(__xludf.DUMMYFUNCTION("""COMPUTED_VALUE"""),"")</f>
        <v/>
      </c>
      <c r="F343" s="472" t="str">
        <f ca="1">IFERROR(__xludf.DUMMYFUNCTION("""COMPUTED_VALUE"""),"")</f>
        <v/>
      </c>
      <c r="G343" s="472" t="str">
        <f ca="1">IFERROR(__xludf.DUMMYFUNCTION("""COMPUTED_VALUE"""),"")</f>
        <v/>
      </c>
      <c r="H343" s="472" t="str">
        <f ca="1">IFERROR(__xludf.DUMMYFUNCTION("""COMPUTED_VALUE"""),"")</f>
        <v/>
      </c>
      <c r="I343" s="472" t="str">
        <f ca="1">IFERROR(__xludf.DUMMYFUNCTION("""COMPUTED_VALUE"""),"")</f>
        <v/>
      </c>
      <c r="J343" s="472" t="str">
        <f ca="1">IFERROR(__xludf.DUMMYFUNCTION("""COMPUTED_VALUE"""),"")</f>
        <v/>
      </c>
    </row>
    <row r="344" spans="1:10" ht="15.75">
      <c r="A344" s="472" t="str">
        <f ca="1">IFERROR(__xludf.DUMMYFUNCTION("""COMPUTED_VALUE"""),"")</f>
        <v/>
      </c>
      <c r="B344" s="472" t="str">
        <f ca="1">IFERROR(__xludf.DUMMYFUNCTION("""COMPUTED_VALUE"""),"")</f>
        <v/>
      </c>
      <c r="C344" s="472" t="str">
        <f ca="1">IFERROR(__xludf.DUMMYFUNCTION("""COMPUTED_VALUE"""),"")</f>
        <v/>
      </c>
      <c r="D344" s="472" t="str">
        <f ca="1">IFERROR(__xludf.DUMMYFUNCTION("""COMPUTED_VALUE"""),"")</f>
        <v/>
      </c>
      <c r="E344" s="472" t="str">
        <f ca="1">IFERROR(__xludf.DUMMYFUNCTION("""COMPUTED_VALUE"""),"")</f>
        <v/>
      </c>
      <c r="F344" s="472" t="str">
        <f ca="1">IFERROR(__xludf.DUMMYFUNCTION("""COMPUTED_VALUE"""),"")</f>
        <v/>
      </c>
      <c r="G344" s="472" t="str">
        <f ca="1">IFERROR(__xludf.DUMMYFUNCTION("""COMPUTED_VALUE"""),"")</f>
        <v/>
      </c>
      <c r="H344" s="472" t="str">
        <f ca="1">IFERROR(__xludf.DUMMYFUNCTION("""COMPUTED_VALUE"""),"")</f>
        <v/>
      </c>
      <c r="I344" s="472" t="str">
        <f ca="1">IFERROR(__xludf.DUMMYFUNCTION("""COMPUTED_VALUE"""),"")</f>
        <v/>
      </c>
      <c r="J344" s="472" t="str">
        <f ca="1">IFERROR(__xludf.DUMMYFUNCTION("""COMPUTED_VALUE"""),"")</f>
        <v/>
      </c>
    </row>
    <row r="345" spans="1:10" ht="15.75">
      <c r="A345" s="472" t="str">
        <f ca="1">IFERROR(__xludf.DUMMYFUNCTION("""COMPUTED_VALUE"""),"")</f>
        <v/>
      </c>
      <c r="B345" s="472" t="str">
        <f ca="1">IFERROR(__xludf.DUMMYFUNCTION("""COMPUTED_VALUE"""),"")</f>
        <v/>
      </c>
      <c r="C345" s="472" t="str">
        <f ca="1">IFERROR(__xludf.DUMMYFUNCTION("""COMPUTED_VALUE"""),"")</f>
        <v/>
      </c>
      <c r="D345" s="472" t="str">
        <f ca="1">IFERROR(__xludf.DUMMYFUNCTION("""COMPUTED_VALUE"""),"")</f>
        <v/>
      </c>
      <c r="E345" s="472" t="str">
        <f ca="1">IFERROR(__xludf.DUMMYFUNCTION("""COMPUTED_VALUE"""),"")</f>
        <v/>
      </c>
      <c r="F345" s="472" t="str">
        <f ca="1">IFERROR(__xludf.DUMMYFUNCTION("""COMPUTED_VALUE"""),"")</f>
        <v/>
      </c>
      <c r="G345" s="472" t="str">
        <f ca="1">IFERROR(__xludf.DUMMYFUNCTION("""COMPUTED_VALUE"""),"")</f>
        <v/>
      </c>
      <c r="H345" s="472" t="str">
        <f ca="1">IFERROR(__xludf.DUMMYFUNCTION("""COMPUTED_VALUE"""),"")</f>
        <v/>
      </c>
      <c r="I345" s="472" t="str">
        <f ca="1">IFERROR(__xludf.DUMMYFUNCTION("""COMPUTED_VALUE"""),"")</f>
        <v/>
      </c>
      <c r="J345" s="472" t="str">
        <f ca="1">IFERROR(__xludf.DUMMYFUNCTION("""COMPUTED_VALUE"""),"")</f>
        <v/>
      </c>
    </row>
    <row r="346" spans="1:10" ht="15.75">
      <c r="A346" s="472" t="str">
        <f ca="1">IFERROR(__xludf.DUMMYFUNCTION("""COMPUTED_VALUE"""),"")</f>
        <v/>
      </c>
      <c r="B346" s="472" t="str">
        <f ca="1">IFERROR(__xludf.DUMMYFUNCTION("""COMPUTED_VALUE"""),"")</f>
        <v/>
      </c>
      <c r="C346" s="472" t="str">
        <f ca="1">IFERROR(__xludf.DUMMYFUNCTION("""COMPUTED_VALUE"""),"")</f>
        <v/>
      </c>
      <c r="D346" s="472" t="str">
        <f ca="1">IFERROR(__xludf.DUMMYFUNCTION("""COMPUTED_VALUE"""),"")</f>
        <v/>
      </c>
      <c r="E346" s="472" t="str">
        <f ca="1">IFERROR(__xludf.DUMMYFUNCTION("""COMPUTED_VALUE"""),"")</f>
        <v/>
      </c>
      <c r="F346" s="472" t="str">
        <f ca="1">IFERROR(__xludf.DUMMYFUNCTION("""COMPUTED_VALUE"""),"")</f>
        <v/>
      </c>
      <c r="G346" s="472" t="str">
        <f ca="1">IFERROR(__xludf.DUMMYFUNCTION("""COMPUTED_VALUE"""),"")</f>
        <v/>
      </c>
      <c r="H346" s="472" t="str">
        <f ca="1">IFERROR(__xludf.DUMMYFUNCTION("""COMPUTED_VALUE"""),"")</f>
        <v/>
      </c>
      <c r="I346" s="472" t="str">
        <f ca="1">IFERROR(__xludf.DUMMYFUNCTION("""COMPUTED_VALUE"""),"")</f>
        <v/>
      </c>
      <c r="J346" s="472" t="str">
        <f ca="1">IFERROR(__xludf.DUMMYFUNCTION("""COMPUTED_VALUE"""),"")</f>
        <v/>
      </c>
    </row>
    <row r="347" spans="1:10" ht="15.75">
      <c r="A347" s="472" t="str">
        <f ca="1">IFERROR(__xludf.DUMMYFUNCTION("""COMPUTED_VALUE"""),"")</f>
        <v/>
      </c>
      <c r="B347" s="472" t="str">
        <f ca="1">IFERROR(__xludf.DUMMYFUNCTION("""COMPUTED_VALUE"""),"")</f>
        <v/>
      </c>
      <c r="C347" s="472" t="str">
        <f ca="1">IFERROR(__xludf.DUMMYFUNCTION("""COMPUTED_VALUE"""),"")</f>
        <v/>
      </c>
      <c r="D347" s="472" t="str">
        <f ca="1">IFERROR(__xludf.DUMMYFUNCTION("""COMPUTED_VALUE"""),"")</f>
        <v/>
      </c>
      <c r="E347" s="472" t="str">
        <f ca="1">IFERROR(__xludf.DUMMYFUNCTION("""COMPUTED_VALUE"""),"")</f>
        <v/>
      </c>
      <c r="F347" s="472" t="str">
        <f ca="1">IFERROR(__xludf.DUMMYFUNCTION("""COMPUTED_VALUE"""),"")</f>
        <v/>
      </c>
      <c r="G347" s="472" t="str">
        <f ca="1">IFERROR(__xludf.DUMMYFUNCTION("""COMPUTED_VALUE"""),"")</f>
        <v/>
      </c>
      <c r="H347" s="472" t="str">
        <f ca="1">IFERROR(__xludf.DUMMYFUNCTION("""COMPUTED_VALUE"""),"")</f>
        <v/>
      </c>
      <c r="I347" s="472" t="str">
        <f ca="1">IFERROR(__xludf.DUMMYFUNCTION("""COMPUTED_VALUE"""),"")</f>
        <v/>
      </c>
      <c r="J347" s="472" t="str">
        <f ca="1">IFERROR(__xludf.DUMMYFUNCTION("""COMPUTED_VALUE"""),"")</f>
        <v/>
      </c>
    </row>
    <row r="348" spans="1:10" ht="15.75">
      <c r="A348" s="472" t="str">
        <f ca="1">IFERROR(__xludf.DUMMYFUNCTION("""COMPUTED_VALUE"""),"")</f>
        <v/>
      </c>
      <c r="B348" s="472" t="str">
        <f ca="1">IFERROR(__xludf.DUMMYFUNCTION("""COMPUTED_VALUE"""),"")</f>
        <v/>
      </c>
      <c r="C348" s="472" t="str">
        <f ca="1">IFERROR(__xludf.DUMMYFUNCTION("""COMPUTED_VALUE"""),"")</f>
        <v/>
      </c>
      <c r="D348" s="472" t="str">
        <f ca="1">IFERROR(__xludf.DUMMYFUNCTION("""COMPUTED_VALUE"""),"")</f>
        <v/>
      </c>
      <c r="E348" s="472" t="str">
        <f ca="1">IFERROR(__xludf.DUMMYFUNCTION("""COMPUTED_VALUE"""),"")</f>
        <v/>
      </c>
      <c r="F348" s="472" t="str">
        <f ca="1">IFERROR(__xludf.DUMMYFUNCTION("""COMPUTED_VALUE"""),"")</f>
        <v/>
      </c>
      <c r="G348" s="472" t="str">
        <f ca="1">IFERROR(__xludf.DUMMYFUNCTION("""COMPUTED_VALUE"""),"")</f>
        <v/>
      </c>
      <c r="H348" s="472" t="str">
        <f ca="1">IFERROR(__xludf.DUMMYFUNCTION("""COMPUTED_VALUE"""),"")</f>
        <v/>
      </c>
      <c r="I348" s="472" t="str">
        <f ca="1">IFERROR(__xludf.DUMMYFUNCTION("""COMPUTED_VALUE"""),"")</f>
        <v/>
      </c>
      <c r="J348" s="472" t="str">
        <f ca="1">IFERROR(__xludf.DUMMYFUNCTION("""COMPUTED_VALUE"""),"")</f>
        <v/>
      </c>
    </row>
    <row r="349" spans="1:10" ht="15.75">
      <c r="A349" s="472" t="str">
        <f ca="1">IFERROR(__xludf.DUMMYFUNCTION("""COMPUTED_VALUE"""),"")</f>
        <v/>
      </c>
      <c r="B349" s="472" t="str">
        <f ca="1">IFERROR(__xludf.DUMMYFUNCTION("""COMPUTED_VALUE"""),"")</f>
        <v/>
      </c>
      <c r="C349" s="472" t="str">
        <f ca="1">IFERROR(__xludf.DUMMYFUNCTION("""COMPUTED_VALUE"""),"")</f>
        <v/>
      </c>
      <c r="D349" s="472" t="str">
        <f ca="1">IFERROR(__xludf.DUMMYFUNCTION("""COMPUTED_VALUE"""),"")</f>
        <v/>
      </c>
      <c r="E349" s="472" t="str">
        <f ca="1">IFERROR(__xludf.DUMMYFUNCTION("""COMPUTED_VALUE"""),"")</f>
        <v/>
      </c>
      <c r="F349" s="472" t="str">
        <f ca="1">IFERROR(__xludf.DUMMYFUNCTION("""COMPUTED_VALUE"""),"")</f>
        <v/>
      </c>
      <c r="G349" s="472" t="str">
        <f ca="1">IFERROR(__xludf.DUMMYFUNCTION("""COMPUTED_VALUE"""),"")</f>
        <v/>
      </c>
      <c r="H349" s="472" t="str">
        <f ca="1">IFERROR(__xludf.DUMMYFUNCTION("""COMPUTED_VALUE"""),"")</f>
        <v/>
      </c>
      <c r="I349" s="472" t="str">
        <f ca="1">IFERROR(__xludf.DUMMYFUNCTION("""COMPUTED_VALUE"""),"")</f>
        <v/>
      </c>
      <c r="J349" s="472" t="str">
        <f ca="1">IFERROR(__xludf.DUMMYFUNCTION("""COMPUTED_VALUE"""),"")</f>
        <v/>
      </c>
    </row>
    <row r="350" spans="1:10" ht="15.75">
      <c r="A350" s="472" t="str">
        <f ca="1">IFERROR(__xludf.DUMMYFUNCTION("""COMPUTED_VALUE"""),"")</f>
        <v/>
      </c>
      <c r="B350" s="472" t="str">
        <f ca="1">IFERROR(__xludf.DUMMYFUNCTION("""COMPUTED_VALUE"""),"")</f>
        <v/>
      </c>
      <c r="C350" s="472" t="str">
        <f ca="1">IFERROR(__xludf.DUMMYFUNCTION("""COMPUTED_VALUE"""),"")</f>
        <v/>
      </c>
      <c r="D350" s="472" t="str">
        <f ca="1">IFERROR(__xludf.DUMMYFUNCTION("""COMPUTED_VALUE"""),"")</f>
        <v/>
      </c>
      <c r="E350" s="472" t="str">
        <f ca="1">IFERROR(__xludf.DUMMYFUNCTION("""COMPUTED_VALUE"""),"")</f>
        <v/>
      </c>
      <c r="F350" s="472" t="str">
        <f ca="1">IFERROR(__xludf.DUMMYFUNCTION("""COMPUTED_VALUE"""),"")</f>
        <v/>
      </c>
      <c r="G350" s="472" t="str">
        <f ca="1">IFERROR(__xludf.DUMMYFUNCTION("""COMPUTED_VALUE"""),"")</f>
        <v/>
      </c>
      <c r="H350" s="472" t="str">
        <f ca="1">IFERROR(__xludf.DUMMYFUNCTION("""COMPUTED_VALUE"""),"")</f>
        <v/>
      </c>
      <c r="I350" s="472" t="str">
        <f ca="1">IFERROR(__xludf.DUMMYFUNCTION("""COMPUTED_VALUE"""),"")</f>
        <v/>
      </c>
      <c r="J350" s="472" t="str">
        <f ca="1">IFERROR(__xludf.DUMMYFUNCTION("""COMPUTED_VALUE"""),"")</f>
        <v/>
      </c>
    </row>
    <row r="351" spans="1:10" ht="15.75">
      <c r="A351" s="472" t="str">
        <f ca="1">IFERROR(__xludf.DUMMYFUNCTION("""COMPUTED_VALUE"""),"")</f>
        <v/>
      </c>
      <c r="B351" s="472" t="str">
        <f ca="1">IFERROR(__xludf.DUMMYFUNCTION("""COMPUTED_VALUE"""),"")</f>
        <v/>
      </c>
      <c r="C351" s="472" t="str">
        <f ca="1">IFERROR(__xludf.DUMMYFUNCTION("""COMPUTED_VALUE"""),"")</f>
        <v/>
      </c>
      <c r="D351" s="472" t="str">
        <f ca="1">IFERROR(__xludf.DUMMYFUNCTION("""COMPUTED_VALUE"""),"")</f>
        <v/>
      </c>
      <c r="E351" s="472" t="str">
        <f ca="1">IFERROR(__xludf.DUMMYFUNCTION("""COMPUTED_VALUE"""),"")</f>
        <v/>
      </c>
      <c r="F351" s="472" t="str">
        <f ca="1">IFERROR(__xludf.DUMMYFUNCTION("""COMPUTED_VALUE"""),"")</f>
        <v/>
      </c>
      <c r="G351" s="472" t="str">
        <f ca="1">IFERROR(__xludf.DUMMYFUNCTION("""COMPUTED_VALUE"""),"")</f>
        <v/>
      </c>
      <c r="H351" s="472" t="str">
        <f ca="1">IFERROR(__xludf.DUMMYFUNCTION("""COMPUTED_VALUE"""),"")</f>
        <v/>
      </c>
      <c r="I351" s="472" t="str">
        <f ca="1">IFERROR(__xludf.DUMMYFUNCTION("""COMPUTED_VALUE"""),"")</f>
        <v/>
      </c>
      <c r="J351" s="472" t="str">
        <f ca="1">IFERROR(__xludf.DUMMYFUNCTION("""COMPUTED_VALUE"""),"")</f>
        <v/>
      </c>
    </row>
    <row r="352" spans="1:10" ht="15.75">
      <c r="A352" s="472" t="str">
        <f ca="1">IFERROR(__xludf.DUMMYFUNCTION("""COMPUTED_VALUE"""),"")</f>
        <v/>
      </c>
      <c r="B352" s="472" t="str">
        <f ca="1">IFERROR(__xludf.DUMMYFUNCTION("""COMPUTED_VALUE"""),"")</f>
        <v/>
      </c>
      <c r="C352" s="472" t="str">
        <f ca="1">IFERROR(__xludf.DUMMYFUNCTION("""COMPUTED_VALUE"""),"")</f>
        <v/>
      </c>
      <c r="D352" s="472" t="str">
        <f ca="1">IFERROR(__xludf.DUMMYFUNCTION("""COMPUTED_VALUE"""),"")</f>
        <v/>
      </c>
      <c r="E352" s="472" t="str">
        <f ca="1">IFERROR(__xludf.DUMMYFUNCTION("""COMPUTED_VALUE"""),"")</f>
        <v/>
      </c>
      <c r="F352" s="472" t="str">
        <f ca="1">IFERROR(__xludf.DUMMYFUNCTION("""COMPUTED_VALUE"""),"")</f>
        <v/>
      </c>
      <c r="G352" s="472" t="str">
        <f ca="1">IFERROR(__xludf.DUMMYFUNCTION("""COMPUTED_VALUE"""),"")</f>
        <v/>
      </c>
      <c r="H352" s="472" t="str">
        <f ca="1">IFERROR(__xludf.DUMMYFUNCTION("""COMPUTED_VALUE"""),"")</f>
        <v/>
      </c>
      <c r="I352" s="472" t="str">
        <f ca="1">IFERROR(__xludf.DUMMYFUNCTION("""COMPUTED_VALUE"""),"")</f>
        <v/>
      </c>
      <c r="J352" s="472" t="str">
        <f ca="1">IFERROR(__xludf.DUMMYFUNCTION("""COMPUTED_VALUE"""),"")</f>
        <v/>
      </c>
    </row>
    <row r="353" spans="1:10" ht="15.75">
      <c r="A353" s="472" t="str">
        <f ca="1">IFERROR(__xludf.DUMMYFUNCTION("""COMPUTED_VALUE"""),"")</f>
        <v/>
      </c>
      <c r="B353" s="472" t="str">
        <f ca="1">IFERROR(__xludf.DUMMYFUNCTION("""COMPUTED_VALUE"""),"")</f>
        <v/>
      </c>
      <c r="C353" s="472" t="str">
        <f ca="1">IFERROR(__xludf.DUMMYFUNCTION("""COMPUTED_VALUE"""),"")</f>
        <v/>
      </c>
      <c r="D353" s="472" t="str">
        <f ca="1">IFERROR(__xludf.DUMMYFUNCTION("""COMPUTED_VALUE"""),"")</f>
        <v/>
      </c>
      <c r="E353" s="472" t="str">
        <f ca="1">IFERROR(__xludf.DUMMYFUNCTION("""COMPUTED_VALUE"""),"")</f>
        <v/>
      </c>
      <c r="F353" s="472" t="str">
        <f ca="1">IFERROR(__xludf.DUMMYFUNCTION("""COMPUTED_VALUE"""),"")</f>
        <v/>
      </c>
      <c r="G353" s="472" t="str">
        <f ca="1">IFERROR(__xludf.DUMMYFUNCTION("""COMPUTED_VALUE"""),"")</f>
        <v/>
      </c>
      <c r="H353" s="472" t="str">
        <f ca="1">IFERROR(__xludf.DUMMYFUNCTION("""COMPUTED_VALUE"""),"")</f>
        <v/>
      </c>
      <c r="I353" s="472" t="str">
        <f ca="1">IFERROR(__xludf.DUMMYFUNCTION("""COMPUTED_VALUE"""),"")</f>
        <v/>
      </c>
      <c r="J353" s="472" t="str">
        <f ca="1">IFERROR(__xludf.DUMMYFUNCTION("""COMPUTED_VALUE"""),"")</f>
        <v/>
      </c>
    </row>
    <row r="354" spans="1:10" ht="15.75">
      <c r="A354" s="472" t="str">
        <f ca="1">IFERROR(__xludf.DUMMYFUNCTION("""COMPUTED_VALUE"""),"")</f>
        <v/>
      </c>
      <c r="B354" s="472" t="str">
        <f ca="1">IFERROR(__xludf.DUMMYFUNCTION("""COMPUTED_VALUE"""),"")</f>
        <v/>
      </c>
      <c r="C354" s="472" t="str">
        <f ca="1">IFERROR(__xludf.DUMMYFUNCTION("""COMPUTED_VALUE"""),"")</f>
        <v/>
      </c>
      <c r="D354" s="472" t="str">
        <f ca="1">IFERROR(__xludf.DUMMYFUNCTION("""COMPUTED_VALUE"""),"")</f>
        <v/>
      </c>
      <c r="E354" s="472" t="str">
        <f ca="1">IFERROR(__xludf.DUMMYFUNCTION("""COMPUTED_VALUE"""),"")</f>
        <v/>
      </c>
      <c r="F354" s="472" t="str">
        <f ca="1">IFERROR(__xludf.DUMMYFUNCTION("""COMPUTED_VALUE"""),"")</f>
        <v/>
      </c>
      <c r="G354" s="472" t="str">
        <f ca="1">IFERROR(__xludf.DUMMYFUNCTION("""COMPUTED_VALUE"""),"")</f>
        <v/>
      </c>
      <c r="H354" s="472" t="str">
        <f ca="1">IFERROR(__xludf.DUMMYFUNCTION("""COMPUTED_VALUE"""),"")</f>
        <v/>
      </c>
      <c r="I354" s="472" t="str">
        <f ca="1">IFERROR(__xludf.DUMMYFUNCTION("""COMPUTED_VALUE"""),"")</f>
        <v/>
      </c>
      <c r="J354" s="472" t="str">
        <f ca="1">IFERROR(__xludf.DUMMYFUNCTION("""COMPUTED_VALUE"""),"")</f>
        <v/>
      </c>
    </row>
    <row r="355" spans="1:10" ht="15.75">
      <c r="A355" s="472" t="str">
        <f ca="1">IFERROR(__xludf.DUMMYFUNCTION("""COMPUTED_VALUE"""),"")</f>
        <v/>
      </c>
      <c r="B355" s="472" t="str">
        <f ca="1">IFERROR(__xludf.DUMMYFUNCTION("""COMPUTED_VALUE"""),"")</f>
        <v/>
      </c>
      <c r="C355" s="472" t="str">
        <f ca="1">IFERROR(__xludf.DUMMYFUNCTION("""COMPUTED_VALUE"""),"")</f>
        <v/>
      </c>
      <c r="D355" s="472" t="str">
        <f ca="1">IFERROR(__xludf.DUMMYFUNCTION("""COMPUTED_VALUE"""),"")</f>
        <v/>
      </c>
      <c r="E355" s="472" t="str">
        <f ca="1">IFERROR(__xludf.DUMMYFUNCTION("""COMPUTED_VALUE"""),"")</f>
        <v/>
      </c>
      <c r="F355" s="472" t="str">
        <f ca="1">IFERROR(__xludf.DUMMYFUNCTION("""COMPUTED_VALUE"""),"")</f>
        <v/>
      </c>
      <c r="G355" s="472" t="str">
        <f ca="1">IFERROR(__xludf.DUMMYFUNCTION("""COMPUTED_VALUE"""),"")</f>
        <v/>
      </c>
      <c r="H355" s="472" t="str">
        <f ca="1">IFERROR(__xludf.DUMMYFUNCTION("""COMPUTED_VALUE"""),"")</f>
        <v/>
      </c>
      <c r="I355" s="472" t="str">
        <f ca="1">IFERROR(__xludf.DUMMYFUNCTION("""COMPUTED_VALUE"""),"")</f>
        <v/>
      </c>
      <c r="J355" s="472" t="str">
        <f ca="1">IFERROR(__xludf.DUMMYFUNCTION("""COMPUTED_VALUE"""),"")</f>
        <v/>
      </c>
    </row>
    <row r="356" spans="1:10" ht="15.75">
      <c r="A356" s="472" t="str">
        <f ca="1">IFERROR(__xludf.DUMMYFUNCTION("""COMPUTED_VALUE"""),"")</f>
        <v/>
      </c>
      <c r="B356" s="472" t="str">
        <f ca="1">IFERROR(__xludf.DUMMYFUNCTION("""COMPUTED_VALUE"""),"")</f>
        <v/>
      </c>
      <c r="C356" s="472" t="str">
        <f ca="1">IFERROR(__xludf.DUMMYFUNCTION("""COMPUTED_VALUE"""),"")</f>
        <v/>
      </c>
      <c r="D356" s="472" t="str">
        <f ca="1">IFERROR(__xludf.DUMMYFUNCTION("""COMPUTED_VALUE"""),"")</f>
        <v/>
      </c>
      <c r="E356" s="472" t="str">
        <f ca="1">IFERROR(__xludf.DUMMYFUNCTION("""COMPUTED_VALUE"""),"")</f>
        <v/>
      </c>
      <c r="F356" s="472" t="str">
        <f ca="1">IFERROR(__xludf.DUMMYFUNCTION("""COMPUTED_VALUE"""),"")</f>
        <v/>
      </c>
      <c r="G356" s="472" t="str">
        <f ca="1">IFERROR(__xludf.DUMMYFUNCTION("""COMPUTED_VALUE"""),"")</f>
        <v/>
      </c>
      <c r="H356" s="472" t="str">
        <f ca="1">IFERROR(__xludf.DUMMYFUNCTION("""COMPUTED_VALUE"""),"")</f>
        <v/>
      </c>
      <c r="I356" s="472" t="str">
        <f ca="1">IFERROR(__xludf.DUMMYFUNCTION("""COMPUTED_VALUE"""),"")</f>
        <v/>
      </c>
      <c r="J356" s="472" t="str">
        <f ca="1">IFERROR(__xludf.DUMMYFUNCTION("""COMPUTED_VALUE"""),"")</f>
        <v/>
      </c>
    </row>
    <row r="357" spans="1:10" ht="15.75">
      <c r="A357" s="472" t="str">
        <f ca="1">IFERROR(__xludf.DUMMYFUNCTION("""COMPUTED_VALUE"""),"")</f>
        <v/>
      </c>
      <c r="B357" s="472" t="str">
        <f ca="1">IFERROR(__xludf.DUMMYFUNCTION("""COMPUTED_VALUE"""),"")</f>
        <v/>
      </c>
      <c r="C357" s="472" t="str">
        <f ca="1">IFERROR(__xludf.DUMMYFUNCTION("""COMPUTED_VALUE"""),"")</f>
        <v/>
      </c>
      <c r="D357" s="472" t="str">
        <f ca="1">IFERROR(__xludf.DUMMYFUNCTION("""COMPUTED_VALUE"""),"")</f>
        <v/>
      </c>
      <c r="E357" s="472" t="str">
        <f ca="1">IFERROR(__xludf.DUMMYFUNCTION("""COMPUTED_VALUE"""),"")</f>
        <v/>
      </c>
      <c r="F357" s="472" t="str">
        <f ca="1">IFERROR(__xludf.DUMMYFUNCTION("""COMPUTED_VALUE"""),"")</f>
        <v/>
      </c>
      <c r="G357" s="472" t="str">
        <f ca="1">IFERROR(__xludf.DUMMYFUNCTION("""COMPUTED_VALUE"""),"")</f>
        <v/>
      </c>
      <c r="H357" s="472" t="str">
        <f ca="1">IFERROR(__xludf.DUMMYFUNCTION("""COMPUTED_VALUE"""),"")</f>
        <v/>
      </c>
      <c r="I357" s="472" t="str">
        <f ca="1">IFERROR(__xludf.DUMMYFUNCTION("""COMPUTED_VALUE"""),"")</f>
        <v/>
      </c>
      <c r="J357" s="472" t="str">
        <f ca="1">IFERROR(__xludf.DUMMYFUNCTION("""COMPUTED_VALUE"""),"")</f>
        <v/>
      </c>
    </row>
    <row r="358" spans="1:10" ht="15.75">
      <c r="A358" s="472" t="str">
        <f ca="1">IFERROR(__xludf.DUMMYFUNCTION("""COMPUTED_VALUE"""),"")</f>
        <v/>
      </c>
      <c r="B358" s="472" t="str">
        <f ca="1">IFERROR(__xludf.DUMMYFUNCTION("""COMPUTED_VALUE"""),"")</f>
        <v/>
      </c>
      <c r="C358" s="472" t="str">
        <f ca="1">IFERROR(__xludf.DUMMYFUNCTION("""COMPUTED_VALUE"""),"")</f>
        <v/>
      </c>
      <c r="D358" s="472" t="str">
        <f ca="1">IFERROR(__xludf.DUMMYFUNCTION("""COMPUTED_VALUE"""),"")</f>
        <v/>
      </c>
      <c r="E358" s="472" t="str">
        <f ca="1">IFERROR(__xludf.DUMMYFUNCTION("""COMPUTED_VALUE"""),"")</f>
        <v/>
      </c>
      <c r="F358" s="472" t="str">
        <f ca="1">IFERROR(__xludf.DUMMYFUNCTION("""COMPUTED_VALUE"""),"")</f>
        <v/>
      </c>
      <c r="G358" s="472" t="str">
        <f ca="1">IFERROR(__xludf.DUMMYFUNCTION("""COMPUTED_VALUE"""),"")</f>
        <v/>
      </c>
      <c r="H358" s="472" t="str">
        <f ca="1">IFERROR(__xludf.DUMMYFUNCTION("""COMPUTED_VALUE"""),"")</f>
        <v/>
      </c>
      <c r="I358" s="472" t="str">
        <f ca="1">IFERROR(__xludf.DUMMYFUNCTION("""COMPUTED_VALUE"""),"")</f>
        <v/>
      </c>
      <c r="J358" s="472" t="str">
        <f ca="1">IFERROR(__xludf.DUMMYFUNCTION("""COMPUTED_VALUE"""),"")</f>
        <v/>
      </c>
    </row>
    <row r="359" spans="1:10" ht="15.75">
      <c r="A359" s="472" t="str">
        <f ca="1">IFERROR(__xludf.DUMMYFUNCTION("""COMPUTED_VALUE"""),"")</f>
        <v/>
      </c>
      <c r="B359" s="472" t="str">
        <f ca="1">IFERROR(__xludf.DUMMYFUNCTION("""COMPUTED_VALUE"""),"")</f>
        <v/>
      </c>
      <c r="C359" s="472" t="str">
        <f ca="1">IFERROR(__xludf.DUMMYFUNCTION("""COMPUTED_VALUE"""),"")</f>
        <v/>
      </c>
      <c r="D359" s="472" t="str">
        <f ca="1">IFERROR(__xludf.DUMMYFUNCTION("""COMPUTED_VALUE"""),"")</f>
        <v/>
      </c>
      <c r="E359" s="472" t="str">
        <f ca="1">IFERROR(__xludf.DUMMYFUNCTION("""COMPUTED_VALUE"""),"")</f>
        <v/>
      </c>
      <c r="F359" s="472" t="str">
        <f ca="1">IFERROR(__xludf.DUMMYFUNCTION("""COMPUTED_VALUE"""),"")</f>
        <v/>
      </c>
      <c r="G359" s="472" t="str">
        <f ca="1">IFERROR(__xludf.DUMMYFUNCTION("""COMPUTED_VALUE"""),"")</f>
        <v/>
      </c>
      <c r="H359" s="472" t="str">
        <f ca="1">IFERROR(__xludf.DUMMYFUNCTION("""COMPUTED_VALUE"""),"")</f>
        <v/>
      </c>
      <c r="I359" s="472" t="str">
        <f ca="1">IFERROR(__xludf.DUMMYFUNCTION("""COMPUTED_VALUE"""),"")</f>
        <v/>
      </c>
      <c r="J359" s="472" t="str">
        <f ca="1">IFERROR(__xludf.DUMMYFUNCTION("""COMPUTED_VALUE"""),"")</f>
        <v/>
      </c>
    </row>
    <row r="360" spans="1:10" ht="15.75">
      <c r="A360" s="472" t="str">
        <f ca="1">IFERROR(__xludf.DUMMYFUNCTION("""COMPUTED_VALUE"""),"")</f>
        <v/>
      </c>
      <c r="B360" s="472" t="str">
        <f ca="1">IFERROR(__xludf.DUMMYFUNCTION("""COMPUTED_VALUE"""),"")</f>
        <v/>
      </c>
      <c r="C360" s="472" t="str">
        <f ca="1">IFERROR(__xludf.DUMMYFUNCTION("""COMPUTED_VALUE"""),"")</f>
        <v/>
      </c>
      <c r="D360" s="472" t="str">
        <f ca="1">IFERROR(__xludf.DUMMYFUNCTION("""COMPUTED_VALUE"""),"")</f>
        <v/>
      </c>
      <c r="E360" s="472" t="str">
        <f ca="1">IFERROR(__xludf.DUMMYFUNCTION("""COMPUTED_VALUE"""),"")</f>
        <v/>
      </c>
      <c r="F360" s="472" t="str">
        <f ca="1">IFERROR(__xludf.DUMMYFUNCTION("""COMPUTED_VALUE"""),"")</f>
        <v/>
      </c>
      <c r="G360" s="472" t="str">
        <f ca="1">IFERROR(__xludf.DUMMYFUNCTION("""COMPUTED_VALUE"""),"")</f>
        <v/>
      </c>
      <c r="H360" s="472" t="str">
        <f ca="1">IFERROR(__xludf.DUMMYFUNCTION("""COMPUTED_VALUE"""),"")</f>
        <v/>
      </c>
      <c r="I360" s="472" t="str">
        <f ca="1">IFERROR(__xludf.DUMMYFUNCTION("""COMPUTED_VALUE"""),"")</f>
        <v/>
      </c>
      <c r="J360" s="472" t="str">
        <f ca="1">IFERROR(__xludf.DUMMYFUNCTION("""COMPUTED_VALUE"""),"")</f>
        <v/>
      </c>
    </row>
    <row r="361" spans="1:10" ht="15.75">
      <c r="A361" s="472" t="str">
        <f ca="1">IFERROR(__xludf.DUMMYFUNCTION("""COMPUTED_VALUE"""),"")</f>
        <v/>
      </c>
      <c r="B361" s="472" t="str">
        <f ca="1">IFERROR(__xludf.DUMMYFUNCTION("""COMPUTED_VALUE"""),"")</f>
        <v/>
      </c>
      <c r="C361" s="472" t="str">
        <f ca="1">IFERROR(__xludf.DUMMYFUNCTION("""COMPUTED_VALUE"""),"")</f>
        <v/>
      </c>
      <c r="D361" s="472" t="str">
        <f ca="1">IFERROR(__xludf.DUMMYFUNCTION("""COMPUTED_VALUE"""),"")</f>
        <v/>
      </c>
      <c r="E361" s="472" t="str">
        <f ca="1">IFERROR(__xludf.DUMMYFUNCTION("""COMPUTED_VALUE"""),"")</f>
        <v/>
      </c>
      <c r="F361" s="472" t="str">
        <f ca="1">IFERROR(__xludf.DUMMYFUNCTION("""COMPUTED_VALUE"""),"")</f>
        <v/>
      </c>
      <c r="G361" s="472" t="str">
        <f ca="1">IFERROR(__xludf.DUMMYFUNCTION("""COMPUTED_VALUE"""),"")</f>
        <v/>
      </c>
      <c r="H361" s="472" t="str">
        <f ca="1">IFERROR(__xludf.DUMMYFUNCTION("""COMPUTED_VALUE"""),"")</f>
        <v/>
      </c>
      <c r="I361" s="472" t="str">
        <f ca="1">IFERROR(__xludf.DUMMYFUNCTION("""COMPUTED_VALUE"""),"")</f>
        <v/>
      </c>
      <c r="J361" s="472" t="str">
        <f ca="1">IFERROR(__xludf.DUMMYFUNCTION("""COMPUTED_VALUE"""),"")</f>
        <v/>
      </c>
    </row>
    <row r="362" spans="1:10" ht="15.75">
      <c r="A362" s="472" t="str">
        <f ca="1">IFERROR(__xludf.DUMMYFUNCTION("""COMPUTED_VALUE"""),"")</f>
        <v/>
      </c>
      <c r="B362" s="472" t="str">
        <f ca="1">IFERROR(__xludf.DUMMYFUNCTION("""COMPUTED_VALUE"""),"")</f>
        <v/>
      </c>
      <c r="C362" s="472" t="str">
        <f ca="1">IFERROR(__xludf.DUMMYFUNCTION("""COMPUTED_VALUE"""),"")</f>
        <v/>
      </c>
      <c r="D362" s="472" t="str">
        <f ca="1">IFERROR(__xludf.DUMMYFUNCTION("""COMPUTED_VALUE"""),"")</f>
        <v/>
      </c>
      <c r="E362" s="472" t="str">
        <f ca="1">IFERROR(__xludf.DUMMYFUNCTION("""COMPUTED_VALUE"""),"")</f>
        <v/>
      </c>
      <c r="F362" s="472" t="str">
        <f ca="1">IFERROR(__xludf.DUMMYFUNCTION("""COMPUTED_VALUE"""),"")</f>
        <v/>
      </c>
      <c r="G362" s="472" t="str">
        <f ca="1">IFERROR(__xludf.DUMMYFUNCTION("""COMPUTED_VALUE"""),"")</f>
        <v/>
      </c>
      <c r="H362" s="472" t="str">
        <f ca="1">IFERROR(__xludf.DUMMYFUNCTION("""COMPUTED_VALUE"""),"")</f>
        <v/>
      </c>
      <c r="I362" s="472" t="str">
        <f ca="1">IFERROR(__xludf.DUMMYFUNCTION("""COMPUTED_VALUE"""),"")</f>
        <v/>
      </c>
      <c r="J362" s="472" t="str">
        <f ca="1">IFERROR(__xludf.DUMMYFUNCTION("""COMPUTED_VALUE"""),"")</f>
        <v/>
      </c>
    </row>
    <row r="363" spans="1:10" ht="15.75">
      <c r="A363" s="472" t="str">
        <f ca="1">IFERROR(__xludf.DUMMYFUNCTION("""COMPUTED_VALUE"""),"")</f>
        <v/>
      </c>
      <c r="B363" s="472" t="str">
        <f ca="1">IFERROR(__xludf.DUMMYFUNCTION("""COMPUTED_VALUE"""),"")</f>
        <v/>
      </c>
      <c r="C363" s="472" t="str">
        <f ca="1">IFERROR(__xludf.DUMMYFUNCTION("""COMPUTED_VALUE"""),"")</f>
        <v/>
      </c>
      <c r="D363" s="472" t="str">
        <f ca="1">IFERROR(__xludf.DUMMYFUNCTION("""COMPUTED_VALUE"""),"")</f>
        <v/>
      </c>
      <c r="E363" s="472" t="str">
        <f ca="1">IFERROR(__xludf.DUMMYFUNCTION("""COMPUTED_VALUE"""),"")</f>
        <v/>
      </c>
      <c r="F363" s="472" t="str">
        <f ca="1">IFERROR(__xludf.DUMMYFUNCTION("""COMPUTED_VALUE"""),"")</f>
        <v/>
      </c>
      <c r="G363" s="472" t="str">
        <f ca="1">IFERROR(__xludf.DUMMYFUNCTION("""COMPUTED_VALUE"""),"")</f>
        <v/>
      </c>
      <c r="H363" s="472" t="str">
        <f ca="1">IFERROR(__xludf.DUMMYFUNCTION("""COMPUTED_VALUE"""),"")</f>
        <v/>
      </c>
      <c r="I363" s="472" t="str">
        <f ca="1">IFERROR(__xludf.DUMMYFUNCTION("""COMPUTED_VALUE"""),"")</f>
        <v/>
      </c>
      <c r="J363" s="472" t="str">
        <f ca="1">IFERROR(__xludf.DUMMYFUNCTION("""COMPUTED_VALUE"""),"")</f>
        <v/>
      </c>
    </row>
    <row r="364" spans="1:10" ht="15.75">
      <c r="A364" s="472" t="str">
        <f ca="1">IFERROR(__xludf.DUMMYFUNCTION("""COMPUTED_VALUE"""),"")</f>
        <v/>
      </c>
      <c r="B364" s="472" t="str">
        <f ca="1">IFERROR(__xludf.DUMMYFUNCTION("""COMPUTED_VALUE"""),"")</f>
        <v/>
      </c>
      <c r="C364" s="472" t="str">
        <f ca="1">IFERROR(__xludf.DUMMYFUNCTION("""COMPUTED_VALUE"""),"")</f>
        <v/>
      </c>
      <c r="D364" s="472" t="str">
        <f ca="1">IFERROR(__xludf.DUMMYFUNCTION("""COMPUTED_VALUE"""),"")</f>
        <v/>
      </c>
      <c r="E364" s="472" t="str">
        <f ca="1">IFERROR(__xludf.DUMMYFUNCTION("""COMPUTED_VALUE"""),"")</f>
        <v/>
      </c>
      <c r="F364" s="472" t="str">
        <f ca="1">IFERROR(__xludf.DUMMYFUNCTION("""COMPUTED_VALUE"""),"")</f>
        <v/>
      </c>
      <c r="G364" s="472" t="str">
        <f ca="1">IFERROR(__xludf.DUMMYFUNCTION("""COMPUTED_VALUE"""),"")</f>
        <v/>
      </c>
      <c r="H364" s="472" t="str">
        <f ca="1">IFERROR(__xludf.DUMMYFUNCTION("""COMPUTED_VALUE"""),"")</f>
        <v/>
      </c>
      <c r="I364" s="472" t="str">
        <f ca="1">IFERROR(__xludf.DUMMYFUNCTION("""COMPUTED_VALUE"""),"")</f>
        <v/>
      </c>
      <c r="J364" s="472" t="str">
        <f ca="1">IFERROR(__xludf.DUMMYFUNCTION("""COMPUTED_VALUE"""),"")</f>
        <v/>
      </c>
    </row>
    <row r="365" spans="1:10" ht="15.75">
      <c r="A365" s="472" t="str">
        <f ca="1">IFERROR(__xludf.DUMMYFUNCTION("""COMPUTED_VALUE"""),"")</f>
        <v/>
      </c>
      <c r="B365" s="472" t="str">
        <f ca="1">IFERROR(__xludf.DUMMYFUNCTION("""COMPUTED_VALUE"""),"")</f>
        <v/>
      </c>
      <c r="C365" s="472" t="str">
        <f ca="1">IFERROR(__xludf.DUMMYFUNCTION("""COMPUTED_VALUE"""),"")</f>
        <v/>
      </c>
      <c r="D365" s="472" t="str">
        <f ca="1">IFERROR(__xludf.DUMMYFUNCTION("""COMPUTED_VALUE"""),"")</f>
        <v/>
      </c>
      <c r="E365" s="472" t="str">
        <f ca="1">IFERROR(__xludf.DUMMYFUNCTION("""COMPUTED_VALUE"""),"")</f>
        <v/>
      </c>
      <c r="F365" s="472" t="str">
        <f ca="1">IFERROR(__xludf.DUMMYFUNCTION("""COMPUTED_VALUE"""),"")</f>
        <v/>
      </c>
      <c r="G365" s="472" t="str">
        <f ca="1">IFERROR(__xludf.DUMMYFUNCTION("""COMPUTED_VALUE"""),"")</f>
        <v/>
      </c>
      <c r="H365" s="472" t="str">
        <f ca="1">IFERROR(__xludf.DUMMYFUNCTION("""COMPUTED_VALUE"""),"")</f>
        <v/>
      </c>
      <c r="I365" s="472" t="str">
        <f ca="1">IFERROR(__xludf.DUMMYFUNCTION("""COMPUTED_VALUE"""),"")</f>
        <v/>
      </c>
      <c r="J365" s="472" t="str">
        <f ca="1">IFERROR(__xludf.DUMMYFUNCTION("""COMPUTED_VALUE"""),"")</f>
        <v/>
      </c>
    </row>
    <row r="366" spans="1:10" ht="15.75">
      <c r="A366" s="472" t="str">
        <f ca="1">IFERROR(__xludf.DUMMYFUNCTION("""COMPUTED_VALUE"""),"")</f>
        <v/>
      </c>
      <c r="B366" s="472" t="str">
        <f ca="1">IFERROR(__xludf.DUMMYFUNCTION("""COMPUTED_VALUE"""),"")</f>
        <v/>
      </c>
      <c r="C366" s="472" t="str">
        <f ca="1">IFERROR(__xludf.DUMMYFUNCTION("""COMPUTED_VALUE"""),"")</f>
        <v/>
      </c>
      <c r="D366" s="472" t="str">
        <f ca="1">IFERROR(__xludf.DUMMYFUNCTION("""COMPUTED_VALUE"""),"")</f>
        <v/>
      </c>
      <c r="E366" s="472" t="str">
        <f ca="1">IFERROR(__xludf.DUMMYFUNCTION("""COMPUTED_VALUE"""),"")</f>
        <v/>
      </c>
      <c r="F366" s="472" t="str">
        <f ca="1">IFERROR(__xludf.DUMMYFUNCTION("""COMPUTED_VALUE"""),"")</f>
        <v/>
      </c>
      <c r="G366" s="472" t="str">
        <f ca="1">IFERROR(__xludf.DUMMYFUNCTION("""COMPUTED_VALUE"""),"")</f>
        <v/>
      </c>
      <c r="H366" s="472" t="str">
        <f ca="1">IFERROR(__xludf.DUMMYFUNCTION("""COMPUTED_VALUE"""),"")</f>
        <v/>
      </c>
      <c r="I366" s="472" t="str">
        <f ca="1">IFERROR(__xludf.DUMMYFUNCTION("""COMPUTED_VALUE"""),"")</f>
        <v/>
      </c>
      <c r="J366" s="472" t="str">
        <f ca="1">IFERROR(__xludf.DUMMYFUNCTION("""COMPUTED_VALUE"""),"")</f>
        <v/>
      </c>
    </row>
    <row r="367" spans="1:10" ht="15.75">
      <c r="A367" s="472" t="str">
        <f ca="1">IFERROR(__xludf.DUMMYFUNCTION("""COMPUTED_VALUE"""),"")</f>
        <v/>
      </c>
      <c r="B367" s="472" t="str">
        <f ca="1">IFERROR(__xludf.DUMMYFUNCTION("""COMPUTED_VALUE"""),"")</f>
        <v/>
      </c>
      <c r="C367" s="472" t="str">
        <f ca="1">IFERROR(__xludf.DUMMYFUNCTION("""COMPUTED_VALUE"""),"")</f>
        <v/>
      </c>
      <c r="D367" s="472" t="str">
        <f ca="1">IFERROR(__xludf.DUMMYFUNCTION("""COMPUTED_VALUE"""),"")</f>
        <v/>
      </c>
      <c r="E367" s="472" t="str">
        <f ca="1">IFERROR(__xludf.DUMMYFUNCTION("""COMPUTED_VALUE"""),"")</f>
        <v/>
      </c>
      <c r="F367" s="472" t="str">
        <f ca="1">IFERROR(__xludf.DUMMYFUNCTION("""COMPUTED_VALUE"""),"")</f>
        <v/>
      </c>
      <c r="G367" s="472" t="str">
        <f ca="1">IFERROR(__xludf.DUMMYFUNCTION("""COMPUTED_VALUE"""),"")</f>
        <v/>
      </c>
      <c r="H367" s="472" t="str">
        <f ca="1">IFERROR(__xludf.DUMMYFUNCTION("""COMPUTED_VALUE"""),"")</f>
        <v/>
      </c>
      <c r="I367" s="472" t="str">
        <f ca="1">IFERROR(__xludf.DUMMYFUNCTION("""COMPUTED_VALUE"""),"")</f>
        <v/>
      </c>
      <c r="J367" s="472" t="str">
        <f ca="1">IFERROR(__xludf.DUMMYFUNCTION("""COMPUTED_VALUE"""),"")</f>
        <v/>
      </c>
    </row>
    <row r="368" spans="1:10" ht="15.75">
      <c r="A368" s="472" t="str">
        <f ca="1">IFERROR(__xludf.DUMMYFUNCTION("""COMPUTED_VALUE"""),"")</f>
        <v/>
      </c>
      <c r="B368" s="472" t="str">
        <f ca="1">IFERROR(__xludf.DUMMYFUNCTION("""COMPUTED_VALUE"""),"")</f>
        <v/>
      </c>
      <c r="C368" s="472" t="str">
        <f ca="1">IFERROR(__xludf.DUMMYFUNCTION("""COMPUTED_VALUE"""),"")</f>
        <v/>
      </c>
      <c r="D368" s="472" t="str">
        <f ca="1">IFERROR(__xludf.DUMMYFUNCTION("""COMPUTED_VALUE"""),"")</f>
        <v/>
      </c>
      <c r="E368" s="472" t="str">
        <f ca="1">IFERROR(__xludf.DUMMYFUNCTION("""COMPUTED_VALUE"""),"")</f>
        <v/>
      </c>
      <c r="F368" s="472" t="str">
        <f ca="1">IFERROR(__xludf.DUMMYFUNCTION("""COMPUTED_VALUE"""),"")</f>
        <v/>
      </c>
      <c r="G368" s="472" t="str">
        <f ca="1">IFERROR(__xludf.DUMMYFUNCTION("""COMPUTED_VALUE"""),"")</f>
        <v/>
      </c>
      <c r="H368" s="472" t="str">
        <f ca="1">IFERROR(__xludf.DUMMYFUNCTION("""COMPUTED_VALUE"""),"")</f>
        <v/>
      </c>
      <c r="I368" s="472" t="str">
        <f ca="1">IFERROR(__xludf.DUMMYFUNCTION("""COMPUTED_VALUE"""),"")</f>
        <v/>
      </c>
      <c r="J368" s="472" t="str">
        <f ca="1">IFERROR(__xludf.DUMMYFUNCTION("""COMPUTED_VALUE"""),"")</f>
        <v/>
      </c>
    </row>
    <row r="369" spans="1:10" ht="15.75">
      <c r="A369" s="472" t="str">
        <f ca="1">IFERROR(__xludf.DUMMYFUNCTION("""COMPUTED_VALUE"""),"")</f>
        <v/>
      </c>
      <c r="B369" s="472" t="str">
        <f ca="1">IFERROR(__xludf.DUMMYFUNCTION("""COMPUTED_VALUE"""),"")</f>
        <v/>
      </c>
      <c r="C369" s="472" t="str">
        <f ca="1">IFERROR(__xludf.DUMMYFUNCTION("""COMPUTED_VALUE"""),"")</f>
        <v/>
      </c>
      <c r="D369" s="472" t="str">
        <f ca="1">IFERROR(__xludf.DUMMYFUNCTION("""COMPUTED_VALUE"""),"")</f>
        <v/>
      </c>
      <c r="E369" s="472" t="str">
        <f ca="1">IFERROR(__xludf.DUMMYFUNCTION("""COMPUTED_VALUE"""),"")</f>
        <v/>
      </c>
      <c r="F369" s="472" t="str">
        <f ca="1">IFERROR(__xludf.DUMMYFUNCTION("""COMPUTED_VALUE"""),"")</f>
        <v/>
      </c>
      <c r="G369" s="472" t="str">
        <f ca="1">IFERROR(__xludf.DUMMYFUNCTION("""COMPUTED_VALUE"""),"")</f>
        <v/>
      </c>
      <c r="H369" s="472" t="str">
        <f ca="1">IFERROR(__xludf.DUMMYFUNCTION("""COMPUTED_VALUE"""),"")</f>
        <v/>
      </c>
      <c r="I369" s="472" t="str">
        <f ca="1">IFERROR(__xludf.DUMMYFUNCTION("""COMPUTED_VALUE"""),"")</f>
        <v/>
      </c>
      <c r="J369" s="472" t="str">
        <f ca="1">IFERROR(__xludf.DUMMYFUNCTION("""COMPUTED_VALUE"""),"")</f>
        <v/>
      </c>
    </row>
    <row r="370" spans="1:10" ht="15.75">
      <c r="A370" s="472" t="str">
        <f ca="1">IFERROR(__xludf.DUMMYFUNCTION("""COMPUTED_VALUE"""),"")</f>
        <v/>
      </c>
      <c r="B370" s="472" t="str">
        <f ca="1">IFERROR(__xludf.DUMMYFUNCTION("""COMPUTED_VALUE"""),"")</f>
        <v/>
      </c>
      <c r="C370" s="472" t="str">
        <f ca="1">IFERROR(__xludf.DUMMYFUNCTION("""COMPUTED_VALUE"""),"")</f>
        <v/>
      </c>
      <c r="D370" s="472" t="str">
        <f ca="1">IFERROR(__xludf.DUMMYFUNCTION("""COMPUTED_VALUE"""),"")</f>
        <v/>
      </c>
      <c r="E370" s="472" t="str">
        <f ca="1">IFERROR(__xludf.DUMMYFUNCTION("""COMPUTED_VALUE"""),"")</f>
        <v/>
      </c>
      <c r="F370" s="472" t="str">
        <f ca="1">IFERROR(__xludf.DUMMYFUNCTION("""COMPUTED_VALUE"""),"")</f>
        <v/>
      </c>
      <c r="G370" s="472" t="str">
        <f ca="1">IFERROR(__xludf.DUMMYFUNCTION("""COMPUTED_VALUE"""),"")</f>
        <v/>
      </c>
      <c r="H370" s="472" t="str">
        <f ca="1">IFERROR(__xludf.DUMMYFUNCTION("""COMPUTED_VALUE"""),"")</f>
        <v/>
      </c>
      <c r="I370" s="472" t="str">
        <f ca="1">IFERROR(__xludf.DUMMYFUNCTION("""COMPUTED_VALUE"""),"")</f>
        <v/>
      </c>
      <c r="J370" s="472" t="str">
        <f ca="1">IFERROR(__xludf.DUMMYFUNCTION("""COMPUTED_VALUE"""),"")</f>
        <v/>
      </c>
    </row>
    <row r="371" spans="1:10" ht="15.75">
      <c r="A371" s="472" t="str">
        <f ca="1">IFERROR(__xludf.DUMMYFUNCTION("""COMPUTED_VALUE"""),"")</f>
        <v/>
      </c>
      <c r="B371" s="472" t="str">
        <f ca="1">IFERROR(__xludf.DUMMYFUNCTION("""COMPUTED_VALUE"""),"")</f>
        <v/>
      </c>
      <c r="C371" s="472" t="str">
        <f ca="1">IFERROR(__xludf.DUMMYFUNCTION("""COMPUTED_VALUE"""),"")</f>
        <v/>
      </c>
      <c r="D371" s="472" t="str">
        <f ca="1">IFERROR(__xludf.DUMMYFUNCTION("""COMPUTED_VALUE"""),"")</f>
        <v/>
      </c>
      <c r="E371" s="472" t="str">
        <f ca="1">IFERROR(__xludf.DUMMYFUNCTION("""COMPUTED_VALUE"""),"")</f>
        <v/>
      </c>
      <c r="F371" s="472" t="str">
        <f ca="1">IFERROR(__xludf.DUMMYFUNCTION("""COMPUTED_VALUE"""),"")</f>
        <v/>
      </c>
      <c r="G371" s="472" t="str">
        <f ca="1">IFERROR(__xludf.DUMMYFUNCTION("""COMPUTED_VALUE"""),"")</f>
        <v/>
      </c>
      <c r="H371" s="472" t="str">
        <f ca="1">IFERROR(__xludf.DUMMYFUNCTION("""COMPUTED_VALUE"""),"")</f>
        <v/>
      </c>
      <c r="I371" s="472" t="str">
        <f ca="1">IFERROR(__xludf.DUMMYFUNCTION("""COMPUTED_VALUE"""),"")</f>
        <v/>
      </c>
      <c r="J371" s="472" t="str">
        <f ca="1">IFERROR(__xludf.DUMMYFUNCTION("""COMPUTED_VALUE"""),"")</f>
        <v/>
      </c>
    </row>
    <row r="372" spans="1:10" ht="15.75">
      <c r="A372" s="472" t="str">
        <f ca="1">IFERROR(__xludf.DUMMYFUNCTION("""COMPUTED_VALUE"""),"")</f>
        <v/>
      </c>
      <c r="B372" s="472" t="str">
        <f ca="1">IFERROR(__xludf.DUMMYFUNCTION("""COMPUTED_VALUE"""),"")</f>
        <v/>
      </c>
      <c r="C372" s="472" t="str">
        <f ca="1">IFERROR(__xludf.DUMMYFUNCTION("""COMPUTED_VALUE"""),"")</f>
        <v/>
      </c>
      <c r="D372" s="472" t="str">
        <f ca="1">IFERROR(__xludf.DUMMYFUNCTION("""COMPUTED_VALUE"""),"")</f>
        <v/>
      </c>
      <c r="E372" s="472" t="str">
        <f ca="1">IFERROR(__xludf.DUMMYFUNCTION("""COMPUTED_VALUE"""),"")</f>
        <v/>
      </c>
      <c r="F372" s="472" t="str">
        <f ca="1">IFERROR(__xludf.DUMMYFUNCTION("""COMPUTED_VALUE"""),"")</f>
        <v/>
      </c>
      <c r="G372" s="472" t="str">
        <f ca="1">IFERROR(__xludf.DUMMYFUNCTION("""COMPUTED_VALUE"""),"")</f>
        <v/>
      </c>
      <c r="H372" s="472" t="str">
        <f ca="1">IFERROR(__xludf.DUMMYFUNCTION("""COMPUTED_VALUE"""),"")</f>
        <v/>
      </c>
      <c r="I372" s="472" t="str">
        <f ca="1">IFERROR(__xludf.DUMMYFUNCTION("""COMPUTED_VALUE"""),"")</f>
        <v/>
      </c>
      <c r="J372" s="472" t="str">
        <f ca="1">IFERROR(__xludf.DUMMYFUNCTION("""COMPUTED_VALUE"""),"")</f>
        <v/>
      </c>
    </row>
    <row r="373" spans="1:10" ht="15.75">
      <c r="A373" s="472" t="str">
        <f ca="1">IFERROR(__xludf.DUMMYFUNCTION("""COMPUTED_VALUE"""),"")</f>
        <v/>
      </c>
      <c r="B373" s="472" t="str">
        <f ca="1">IFERROR(__xludf.DUMMYFUNCTION("""COMPUTED_VALUE"""),"")</f>
        <v/>
      </c>
      <c r="C373" s="472" t="str">
        <f ca="1">IFERROR(__xludf.DUMMYFUNCTION("""COMPUTED_VALUE"""),"")</f>
        <v/>
      </c>
      <c r="D373" s="472" t="str">
        <f ca="1">IFERROR(__xludf.DUMMYFUNCTION("""COMPUTED_VALUE"""),"")</f>
        <v/>
      </c>
      <c r="E373" s="472" t="str">
        <f ca="1">IFERROR(__xludf.DUMMYFUNCTION("""COMPUTED_VALUE"""),"")</f>
        <v/>
      </c>
      <c r="F373" s="472" t="str">
        <f ca="1">IFERROR(__xludf.DUMMYFUNCTION("""COMPUTED_VALUE"""),"")</f>
        <v/>
      </c>
      <c r="G373" s="472" t="str">
        <f ca="1">IFERROR(__xludf.DUMMYFUNCTION("""COMPUTED_VALUE"""),"")</f>
        <v/>
      </c>
      <c r="H373" s="472" t="str">
        <f ca="1">IFERROR(__xludf.DUMMYFUNCTION("""COMPUTED_VALUE"""),"")</f>
        <v/>
      </c>
      <c r="I373" s="472" t="str">
        <f ca="1">IFERROR(__xludf.DUMMYFUNCTION("""COMPUTED_VALUE"""),"")</f>
        <v/>
      </c>
      <c r="J373" s="472" t="str">
        <f ca="1">IFERROR(__xludf.DUMMYFUNCTION("""COMPUTED_VALUE"""),"")</f>
        <v/>
      </c>
    </row>
    <row r="374" spans="1:10" ht="15.75">
      <c r="A374" s="472" t="str">
        <f ca="1">IFERROR(__xludf.DUMMYFUNCTION("""COMPUTED_VALUE"""),"")</f>
        <v/>
      </c>
      <c r="B374" s="472" t="str">
        <f ca="1">IFERROR(__xludf.DUMMYFUNCTION("""COMPUTED_VALUE"""),"")</f>
        <v/>
      </c>
      <c r="C374" s="472" t="str">
        <f ca="1">IFERROR(__xludf.DUMMYFUNCTION("""COMPUTED_VALUE"""),"")</f>
        <v/>
      </c>
      <c r="D374" s="472" t="str">
        <f ca="1">IFERROR(__xludf.DUMMYFUNCTION("""COMPUTED_VALUE"""),"")</f>
        <v/>
      </c>
      <c r="E374" s="472" t="str">
        <f ca="1">IFERROR(__xludf.DUMMYFUNCTION("""COMPUTED_VALUE"""),"")</f>
        <v/>
      </c>
      <c r="F374" s="472" t="str">
        <f ca="1">IFERROR(__xludf.DUMMYFUNCTION("""COMPUTED_VALUE"""),"")</f>
        <v/>
      </c>
      <c r="G374" s="472" t="str">
        <f ca="1">IFERROR(__xludf.DUMMYFUNCTION("""COMPUTED_VALUE"""),"")</f>
        <v/>
      </c>
      <c r="H374" s="472" t="str">
        <f ca="1">IFERROR(__xludf.DUMMYFUNCTION("""COMPUTED_VALUE"""),"")</f>
        <v/>
      </c>
      <c r="I374" s="472" t="str">
        <f ca="1">IFERROR(__xludf.DUMMYFUNCTION("""COMPUTED_VALUE"""),"")</f>
        <v/>
      </c>
      <c r="J374" s="472" t="str">
        <f ca="1">IFERROR(__xludf.DUMMYFUNCTION("""COMPUTED_VALUE"""),"")</f>
        <v/>
      </c>
    </row>
    <row r="375" spans="1:10" ht="15.75">
      <c r="A375" s="472" t="str">
        <f ca="1">IFERROR(__xludf.DUMMYFUNCTION("""COMPUTED_VALUE"""),"")</f>
        <v/>
      </c>
      <c r="B375" s="472" t="str">
        <f ca="1">IFERROR(__xludf.DUMMYFUNCTION("""COMPUTED_VALUE"""),"")</f>
        <v/>
      </c>
      <c r="C375" s="472" t="str">
        <f ca="1">IFERROR(__xludf.DUMMYFUNCTION("""COMPUTED_VALUE"""),"")</f>
        <v/>
      </c>
      <c r="D375" s="472" t="str">
        <f ca="1">IFERROR(__xludf.DUMMYFUNCTION("""COMPUTED_VALUE"""),"")</f>
        <v/>
      </c>
      <c r="E375" s="472" t="str">
        <f ca="1">IFERROR(__xludf.DUMMYFUNCTION("""COMPUTED_VALUE"""),"")</f>
        <v/>
      </c>
      <c r="F375" s="472" t="str">
        <f ca="1">IFERROR(__xludf.DUMMYFUNCTION("""COMPUTED_VALUE"""),"")</f>
        <v/>
      </c>
      <c r="G375" s="472" t="str">
        <f ca="1">IFERROR(__xludf.DUMMYFUNCTION("""COMPUTED_VALUE"""),"")</f>
        <v/>
      </c>
      <c r="H375" s="472" t="str">
        <f ca="1">IFERROR(__xludf.DUMMYFUNCTION("""COMPUTED_VALUE"""),"")</f>
        <v/>
      </c>
      <c r="I375" s="472" t="str">
        <f ca="1">IFERROR(__xludf.DUMMYFUNCTION("""COMPUTED_VALUE"""),"")</f>
        <v/>
      </c>
      <c r="J375" s="472" t="str">
        <f ca="1">IFERROR(__xludf.DUMMYFUNCTION("""COMPUTED_VALUE"""),"")</f>
        <v/>
      </c>
    </row>
    <row r="376" spans="1:10" ht="15.75">
      <c r="A376" s="472" t="str">
        <f ca="1">IFERROR(__xludf.DUMMYFUNCTION("""COMPUTED_VALUE"""),"")</f>
        <v/>
      </c>
      <c r="B376" s="472" t="str">
        <f ca="1">IFERROR(__xludf.DUMMYFUNCTION("""COMPUTED_VALUE"""),"")</f>
        <v/>
      </c>
      <c r="C376" s="472" t="str">
        <f ca="1">IFERROR(__xludf.DUMMYFUNCTION("""COMPUTED_VALUE"""),"")</f>
        <v/>
      </c>
      <c r="D376" s="472" t="str">
        <f ca="1">IFERROR(__xludf.DUMMYFUNCTION("""COMPUTED_VALUE"""),"")</f>
        <v/>
      </c>
      <c r="E376" s="472" t="str">
        <f ca="1">IFERROR(__xludf.DUMMYFUNCTION("""COMPUTED_VALUE"""),"")</f>
        <v/>
      </c>
      <c r="F376" s="472" t="str">
        <f ca="1">IFERROR(__xludf.DUMMYFUNCTION("""COMPUTED_VALUE"""),"")</f>
        <v/>
      </c>
      <c r="G376" s="472" t="str">
        <f ca="1">IFERROR(__xludf.DUMMYFUNCTION("""COMPUTED_VALUE"""),"")</f>
        <v/>
      </c>
      <c r="H376" s="472" t="str">
        <f ca="1">IFERROR(__xludf.DUMMYFUNCTION("""COMPUTED_VALUE"""),"")</f>
        <v/>
      </c>
      <c r="I376" s="472" t="str">
        <f ca="1">IFERROR(__xludf.DUMMYFUNCTION("""COMPUTED_VALUE"""),"")</f>
        <v/>
      </c>
      <c r="J376" s="472" t="str">
        <f ca="1">IFERROR(__xludf.DUMMYFUNCTION("""COMPUTED_VALUE"""),"")</f>
        <v/>
      </c>
    </row>
    <row r="377" spans="1:10" ht="15.75">
      <c r="A377" s="472" t="str">
        <f ca="1">IFERROR(__xludf.DUMMYFUNCTION("""COMPUTED_VALUE"""),"")</f>
        <v/>
      </c>
      <c r="B377" s="472" t="str">
        <f ca="1">IFERROR(__xludf.DUMMYFUNCTION("""COMPUTED_VALUE"""),"")</f>
        <v/>
      </c>
      <c r="C377" s="472" t="str">
        <f ca="1">IFERROR(__xludf.DUMMYFUNCTION("""COMPUTED_VALUE"""),"")</f>
        <v/>
      </c>
      <c r="D377" s="472" t="str">
        <f ca="1">IFERROR(__xludf.DUMMYFUNCTION("""COMPUTED_VALUE"""),"")</f>
        <v/>
      </c>
      <c r="E377" s="472" t="str">
        <f ca="1">IFERROR(__xludf.DUMMYFUNCTION("""COMPUTED_VALUE"""),"")</f>
        <v/>
      </c>
      <c r="F377" s="472" t="str">
        <f ca="1">IFERROR(__xludf.DUMMYFUNCTION("""COMPUTED_VALUE"""),"")</f>
        <v/>
      </c>
      <c r="G377" s="472" t="str">
        <f ca="1">IFERROR(__xludf.DUMMYFUNCTION("""COMPUTED_VALUE"""),"")</f>
        <v/>
      </c>
      <c r="H377" s="472" t="str">
        <f ca="1">IFERROR(__xludf.DUMMYFUNCTION("""COMPUTED_VALUE"""),"")</f>
        <v/>
      </c>
      <c r="I377" s="472" t="str">
        <f ca="1">IFERROR(__xludf.DUMMYFUNCTION("""COMPUTED_VALUE"""),"")</f>
        <v/>
      </c>
      <c r="J377" s="472" t="str">
        <f ca="1">IFERROR(__xludf.DUMMYFUNCTION("""COMPUTED_VALUE"""),"")</f>
        <v/>
      </c>
    </row>
    <row r="378" spans="1:10" ht="15.75">
      <c r="A378" s="472" t="str">
        <f ca="1">IFERROR(__xludf.DUMMYFUNCTION("""COMPUTED_VALUE"""),"")</f>
        <v/>
      </c>
      <c r="B378" s="472" t="str">
        <f ca="1">IFERROR(__xludf.DUMMYFUNCTION("""COMPUTED_VALUE"""),"")</f>
        <v/>
      </c>
      <c r="C378" s="472" t="str">
        <f ca="1">IFERROR(__xludf.DUMMYFUNCTION("""COMPUTED_VALUE"""),"")</f>
        <v/>
      </c>
      <c r="D378" s="472" t="str">
        <f ca="1">IFERROR(__xludf.DUMMYFUNCTION("""COMPUTED_VALUE"""),"")</f>
        <v/>
      </c>
      <c r="E378" s="472" t="str">
        <f ca="1">IFERROR(__xludf.DUMMYFUNCTION("""COMPUTED_VALUE"""),"")</f>
        <v/>
      </c>
      <c r="F378" s="472" t="str">
        <f ca="1">IFERROR(__xludf.DUMMYFUNCTION("""COMPUTED_VALUE"""),"")</f>
        <v/>
      </c>
      <c r="G378" s="472" t="str">
        <f ca="1">IFERROR(__xludf.DUMMYFUNCTION("""COMPUTED_VALUE"""),"")</f>
        <v/>
      </c>
      <c r="H378" s="472" t="str">
        <f ca="1">IFERROR(__xludf.DUMMYFUNCTION("""COMPUTED_VALUE"""),"")</f>
        <v/>
      </c>
      <c r="I378" s="472" t="str">
        <f ca="1">IFERROR(__xludf.DUMMYFUNCTION("""COMPUTED_VALUE"""),"")</f>
        <v/>
      </c>
      <c r="J378" s="472" t="str">
        <f ca="1">IFERROR(__xludf.DUMMYFUNCTION("""COMPUTED_VALUE"""),"")</f>
        <v/>
      </c>
    </row>
    <row r="379" spans="1:10" ht="15.75">
      <c r="A379" s="472" t="str">
        <f ca="1">IFERROR(__xludf.DUMMYFUNCTION("""COMPUTED_VALUE"""),"")</f>
        <v/>
      </c>
      <c r="B379" s="472" t="str">
        <f ca="1">IFERROR(__xludf.DUMMYFUNCTION("""COMPUTED_VALUE"""),"")</f>
        <v/>
      </c>
      <c r="C379" s="472" t="str">
        <f ca="1">IFERROR(__xludf.DUMMYFUNCTION("""COMPUTED_VALUE"""),"")</f>
        <v/>
      </c>
      <c r="D379" s="472" t="str">
        <f ca="1">IFERROR(__xludf.DUMMYFUNCTION("""COMPUTED_VALUE"""),"")</f>
        <v/>
      </c>
      <c r="E379" s="472" t="str">
        <f ca="1">IFERROR(__xludf.DUMMYFUNCTION("""COMPUTED_VALUE"""),"")</f>
        <v/>
      </c>
      <c r="F379" s="472" t="str">
        <f ca="1">IFERROR(__xludf.DUMMYFUNCTION("""COMPUTED_VALUE"""),"")</f>
        <v/>
      </c>
      <c r="G379" s="472" t="str">
        <f ca="1">IFERROR(__xludf.DUMMYFUNCTION("""COMPUTED_VALUE"""),"")</f>
        <v/>
      </c>
      <c r="H379" s="472" t="str">
        <f ca="1">IFERROR(__xludf.DUMMYFUNCTION("""COMPUTED_VALUE"""),"")</f>
        <v/>
      </c>
      <c r="I379" s="472" t="str">
        <f ca="1">IFERROR(__xludf.DUMMYFUNCTION("""COMPUTED_VALUE"""),"")</f>
        <v/>
      </c>
      <c r="J379" s="472" t="str">
        <f ca="1">IFERROR(__xludf.DUMMYFUNCTION("""COMPUTED_VALUE"""),"")</f>
        <v/>
      </c>
    </row>
    <row r="380" spans="1:10" ht="15.75">
      <c r="A380" s="472" t="str">
        <f ca="1">IFERROR(__xludf.DUMMYFUNCTION("""COMPUTED_VALUE"""),"")</f>
        <v/>
      </c>
      <c r="B380" s="472" t="str">
        <f ca="1">IFERROR(__xludf.DUMMYFUNCTION("""COMPUTED_VALUE"""),"")</f>
        <v/>
      </c>
      <c r="C380" s="472" t="str">
        <f ca="1">IFERROR(__xludf.DUMMYFUNCTION("""COMPUTED_VALUE"""),"")</f>
        <v/>
      </c>
      <c r="D380" s="472" t="str">
        <f ca="1">IFERROR(__xludf.DUMMYFUNCTION("""COMPUTED_VALUE"""),"")</f>
        <v/>
      </c>
      <c r="E380" s="472" t="str">
        <f ca="1">IFERROR(__xludf.DUMMYFUNCTION("""COMPUTED_VALUE"""),"")</f>
        <v/>
      </c>
      <c r="F380" s="472" t="str">
        <f ca="1">IFERROR(__xludf.DUMMYFUNCTION("""COMPUTED_VALUE"""),"")</f>
        <v/>
      </c>
      <c r="G380" s="472" t="str">
        <f ca="1">IFERROR(__xludf.DUMMYFUNCTION("""COMPUTED_VALUE"""),"")</f>
        <v/>
      </c>
      <c r="H380" s="472" t="str">
        <f ca="1">IFERROR(__xludf.DUMMYFUNCTION("""COMPUTED_VALUE"""),"")</f>
        <v/>
      </c>
      <c r="I380" s="472" t="str">
        <f ca="1">IFERROR(__xludf.DUMMYFUNCTION("""COMPUTED_VALUE"""),"")</f>
        <v/>
      </c>
      <c r="J380" s="472" t="str">
        <f ca="1">IFERROR(__xludf.DUMMYFUNCTION("""COMPUTED_VALUE"""),"")</f>
        <v/>
      </c>
    </row>
    <row r="381" spans="1:10" ht="15.75">
      <c r="A381" s="472" t="str">
        <f ca="1">IFERROR(__xludf.DUMMYFUNCTION("""COMPUTED_VALUE"""),"")</f>
        <v/>
      </c>
      <c r="B381" s="472" t="str">
        <f ca="1">IFERROR(__xludf.DUMMYFUNCTION("""COMPUTED_VALUE"""),"")</f>
        <v/>
      </c>
      <c r="C381" s="472" t="str">
        <f ca="1">IFERROR(__xludf.DUMMYFUNCTION("""COMPUTED_VALUE"""),"")</f>
        <v/>
      </c>
      <c r="D381" s="472" t="str">
        <f ca="1">IFERROR(__xludf.DUMMYFUNCTION("""COMPUTED_VALUE"""),"")</f>
        <v/>
      </c>
      <c r="E381" s="472" t="str">
        <f ca="1">IFERROR(__xludf.DUMMYFUNCTION("""COMPUTED_VALUE"""),"")</f>
        <v/>
      </c>
      <c r="F381" s="472" t="str">
        <f ca="1">IFERROR(__xludf.DUMMYFUNCTION("""COMPUTED_VALUE"""),"")</f>
        <v/>
      </c>
      <c r="G381" s="472" t="str">
        <f ca="1">IFERROR(__xludf.DUMMYFUNCTION("""COMPUTED_VALUE"""),"")</f>
        <v/>
      </c>
      <c r="H381" s="472" t="str">
        <f ca="1">IFERROR(__xludf.DUMMYFUNCTION("""COMPUTED_VALUE"""),"")</f>
        <v/>
      </c>
      <c r="I381" s="472" t="str">
        <f ca="1">IFERROR(__xludf.DUMMYFUNCTION("""COMPUTED_VALUE"""),"")</f>
        <v/>
      </c>
      <c r="J381" s="472" t="str">
        <f ca="1">IFERROR(__xludf.DUMMYFUNCTION("""COMPUTED_VALUE"""),"")</f>
        <v/>
      </c>
    </row>
    <row r="382" spans="1:10" ht="15.75">
      <c r="A382" s="472" t="str">
        <f ca="1">IFERROR(__xludf.DUMMYFUNCTION("""COMPUTED_VALUE"""),"")</f>
        <v/>
      </c>
      <c r="B382" s="472" t="str">
        <f ca="1">IFERROR(__xludf.DUMMYFUNCTION("""COMPUTED_VALUE"""),"")</f>
        <v/>
      </c>
      <c r="C382" s="472" t="str">
        <f ca="1">IFERROR(__xludf.DUMMYFUNCTION("""COMPUTED_VALUE"""),"")</f>
        <v/>
      </c>
      <c r="D382" s="472" t="str">
        <f ca="1">IFERROR(__xludf.DUMMYFUNCTION("""COMPUTED_VALUE"""),"")</f>
        <v/>
      </c>
      <c r="E382" s="472" t="str">
        <f ca="1">IFERROR(__xludf.DUMMYFUNCTION("""COMPUTED_VALUE"""),"")</f>
        <v/>
      </c>
      <c r="F382" s="472" t="str">
        <f ca="1">IFERROR(__xludf.DUMMYFUNCTION("""COMPUTED_VALUE"""),"")</f>
        <v/>
      </c>
      <c r="G382" s="472" t="str">
        <f ca="1">IFERROR(__xludf.DUMMYFUNCTION("""COMPUTED_VALUE"""),"")</f>
        <v/>
      </c>
      <c r="H382" s="472" t="str">
        <f ca="1">IFERROR(__xludf.DUMMYFUNCTION("""COMPUTED_VALUE"""),"")</f>
        <v/>
      </c>
      <c r="I382" s="472" t="str">
        <f ca="1">IFERROR(__xludf.DUMMYFUNCTION("""COMPUTED_VALUE"""),"")</f>
        <v/>
      </c>
      <c r="J382" s="472" t="str">
        <f ca="1">IFERROR(__xludf.DUMMYFUNCTION("""COMPUTED_VALUE"""),"")</f>
        <v/>
      </c>
    </row>
    <row r="383" spans="1:10" ht="15.75">
      <c r="A383" s="472" t="str">
        <f ca="1">IFERROR(__xludf.DUMMYFUNCTION("""COMPUTED_VALUE"""),"")</f>
        <v/>
      </c>
      <c r="B383" s="472" t="str">
        <f ca="1">IFERROR(__xludf.DUMMYFUNCTION("""COMPUTED_VALUE"""),"")</f>
        <v/>
      </c>
      <c r="C383" s="472" t="str">
        <f ca="1">IFERROR(__xludf.DUMMYFUNCTION("""COMPUTED_VALUE"""),"")</f>
        <v/>
      </c>
      <c r="D383" s="472" t="str">
        <f ca="1">IFERROR(__xludf.DUMMYFUNCTION("""COMPUTED_VALUE"""),"")</f>
        <v/>
      </c>
      <c r="E383" s="472" t="str">
        <f ca="1">IFERROR(__xludf.DUMMYFUNCTION("""COMPUTED_VALUE"""),"")</f>
        <v/>
      </c>
      <c r="F383" s="472" t="str">
        <f ca="1">IFERROR(__xludf.DUMMYFUNCTION("""COMPUTED_VALUE"""),"")</f>
        <v/>
      </c>
      <c r="G383" s="472" t="str">
        <f ca="1">IFERROR(__xludf.DUMMYFUNCTION("""COMPUTED_VALUE"""),"")</f>
        <v/>
      </c>
      <c r="H383" s="472" t="str">
        <f ca="1">IFERROR(__xludf.DUMMYFUNCTION("""COMPUTED_VALUE"""),"")</f>
        <v/>
      </c>
      <c r="I383" s="472" t="str">
        <f ca="1">IFERROR(__xludf.DUMMYFUNCTION("""COMPUTED_VALUE"""),"")</f>
        <v/>
      </c>
      <c r="J383" s="472" t="str">
        <f ca="1">IFERROR(__xludf.DUMMYFUNCTION("""COMPUTED_VALUE"""),"")</f>
        <v/>
      </c>
    </row>
    <row r="384" spans="1:10" ht="15.75">
      <c r="A384" s="472" t="str">
        <f ca="1">IFERROR(__xludf.DUMMYFUNCTION("""COMPUTED_VALUE"""),"")</f>
        <v/>
      </c>
      <c r="B384" s="472" t="str">
        <f ca="1">IFERROR(__xludf.DUMMYFUNCTION("""COMPUTED_VALUE"""),"")</f>
        <v/>
      </c>
      <c r="C384" s="472" t="str">
        <f ca="1">IFERROR(__xludf.DUMMYFUNCTION("""COMPUTED_VALUE"""),"")</f>
        <v/>
      </c>
      <c r="D384" s="472" t="str">
        <f ca="1">IFERROR(__xludf.DUMMYFUNCTION("""COMPUTED_VALUE"""),"")</f>
        <v/>
      </c>
      <c r="E384" s="472" t="str">
        <f ca="1">IFERROR(__xludf.DUMMYFUNCTION("""COMPUTED_VALUE"""),"")</f>
        <v/>
      </c>
      <c r="F384" s="472" t="str">
        <f ca="1">IFERROR(__xludf.DUMMYFUNCTION("""COMPUTED_VALUE"""),"")</f>
        <v/>
      </c>
      <c r="G384" s="472" t="str">
        <f ca="1">IFERROR(__xludf.DUMMYFUNCTION("""COMPUTED_VALUE"""),"")</f>
        <v/>
      </c>
      <c r="H384" s="472" t="str">
        <f ca="1">IFERROR(__xludf.DUMMYFUNCTION("""COMPUTED_VALUE"""),"")</f>
        <v/>
      </c>
      <c r="I384" s="472" t="str">
        <f ca="1">IFERROR(__xludf.DUMMYFUNCTION("""COMPUTED_VALUE"""),"")</f>
        <v/>
      </c>
      <c r="J384" s="472" t="str">
        <f ca="1">IFERROR(__xludf.DUMMYFUNCTION("""COMPUTED_VALUE"""),"")</f>
        <v/>
      </c>
    </row>
    <row r="385" spans="1:10" ht="15.75">
      <c r="A385" s="472" t="str">
        <f ca="1">IFERROR(__xludf.DUMMYFUNCTION("""COMPUTED_VALUE"""),"")</f>
        <v/>
      </c>
      <c r="B385" s="472" t="str">
        <f ca="1">IFERROR(__xludf.DUMMYFUNCTION("""COMPUTED_VALUE"""),"")</f>
        <v/>
      </c>
      <c r="C385" s="472" t="str">
        <f ca="1">IFERROR(__xludf.DUMMYFUNCTION("""COMPUTED_VALUE"""),"")</f>
        <v/>
      </c>
      <c r="D385" s="472" t="str">
        <f ca="1">IFERROR(__xludf.DUMMYFUNCTION("""COMPUTED_VALUE"""),"")</f>
        <v/>
      </c>
      <c r="E385" s="472" t="str">
        <f ca="1">IFERROR(__xludf.DUMMYFUNCTION("""COMPUTED_VALUE"""),"")</f>
        <v/>
      </c>
      <c r="F385" s="472" t="str">
        <f ca="1">IFERROR(__xludf.DUMMYFUNCTION("""COMPUTED_VALUE"""),"")</f>
        <v/>
      </c>
      <c r="G385" s="472" t="str">
        <f ca="1">IFERROR(__xludf.DUMMYFUNCTION("""COMPUTED_VALUE"""),"")</f>
        <v/>
      </c>
      <c r="H385" s="472" t="str">
        <f ca="1">IFERROR(__xludf.DUMMYFUNCTION("""COMPUTED_VALUE"""),"")</f>
        <v/>
      </c>
      <c r="I385" s="472" t="str">
        <f ca="1">IFERROR(__xludf.DUMMYFUNCTION("""COMPUTED_VALUE"""),"")</f>
        <v/>
      </c>
      <c r="J385" s="472" t="str">
        <f ca="1">IFERROR(__xludf.DUMMYFUNCTION("""COMPUTED_VALUE"""),"")</f>
        <v/>
      </c>
    </row>
    <row r="386" spans="1:10" ht="15.75">
      <c r="A386" s="472" t="str">
        <f ca="1">IFERROR(__xludf.DUMMYFUNCTION("""COMPUTED_VALUE"""),"")</f>
        <v/>
      </c>
      <c r="B386" s="472" t="str">
        <f ca="1">IFERROR(__xludf.DUMMYFUNCTION("""COMPUTED_VALUE"""),"")</f>
        <v/>
      </c>
      <c r="C386" s="472" t="str">
        <f ca="1">IFERROR(__xludf.DUMMYFUNCTION("""COMPUTED_VALUE"""),"")</f>
        <v/>
      </c>
      <c r="D386" s="472" t="str">
        <f ca="1">IFERROR(__xludf.DUMMYFUNCTION("""COMPUTED_VALUE"""),"")</f>
        <v/>
      </c>
      <c r="E386" s="472" t="str">
        <f ca="1">IFERROR(__xludf.DUMMYFUNCTION("""COMPUTED_VALUE"""),"")</f>
        <v/>
      </c>
      <c r="F386" s="472" t="str">
        <f ca="1">IFERROR(__xludf.DUMMYFUNCTION("""COMPUTED_VALUE"""),"")</f>
        <v/>
      </c>
      <c r="G386" s="472" t="str">
        <f ca="1">IFERROR(__xludf.DUMMYFUNCTION("""COMPUTED_VALUE"""),"")</f>
        <v/>
      </c>
      <c r="H386" s="472" t="str">
        <f ca="1">IFERROR(__xludf.DUMMYFUNCTION("""COMPUTED_VALUE"""),"")</f>
        <v/>
      </c>
      <c r="I386" s="472" t="str">
        <f ca="1">IFERROR(__xludf.DUMMYFUNCTION("""COMPUTED_VALUE"""),"")</f>
        <v/>
      </c>
      <c r="J386" s="472" t="str">
        <f ca="1">IFERROR(__xludf.DUMMYFUNCTION("""COMPUTED_VALUE"""),"")</f>
        <v/>
      </c>
    </row>
    <row r="387" spans="1:10" ht="15.75">
      <c r="A387" s="472" t="str">
        <f ca="1">IFERROR(__xludf.DUMMYFUNCTION("""COMPUTED_VALUE"""),"")</f>
        <v/>
      </c>
      <c r="B387" s="472" t="str">
        <f ca="1">IFERROR(__xludf.DUMMYFUNCTION("""COMPUTED_VALUE"""),"")</f>
        <v/>
      </c>
      <c r="C387" s="472" t="str">
        <f ca="1">IFERROR(__xludf.DUMMYFUNCTION("""COMPUTED_VALUE"""),"")</f>
        <v/>
      </c>
      <c r="D387" s="472" t="str">
        <f ca="1">IFERROR(__xludf.DUMMYFUNCTION("""COMPUTED_VALUE"""),"")</f>
        <v/>
      </c>
      <c r="E387" s="472" t="str">
        <f ca="1">IFERROR(__xludf.DUMMYFUNCTION("""COMPUTED_VALUE"""),"")</f>
        <v/>
      </c>
      <c r="F387" s="472" t="str">
        <f ca="1">IFERROR(__xludf.DUMMYFUNCTION("""COMPUTED_VALUE"""),"")</f>
        <v/>
      </c>
      <c r="G387" s="472" t="str">
        <f ca="1">IFERROR(__xludf.DUMMYFUNCTION("""COMPUTED_VALUE"""),"")</f>
        <v/>
      </c>
      <c r="H387" s="472" t="str">
        <f ca="1">IFERROR(__xludf.DUMMYFUNCTION("""COMPUTED_VALUE"""),"")</f>
        <v/>
      </c>
      <c r="I387" s="472" t="str">
        <f ca="1">IFERROR(__xludf.DUMMYFUNCTION("""COMPUTED_VALUE"""),"")</f>
        <v/>
      </c>
      <c r="J387" s="472" t="str">
        <f ca="1">IFERROR(__xludf.DUMMYFUNCTION("""COMPUTED_VALUE"""),"")</f>
        <v/>
      </c>
    </row>
    <row r="388" spans="1:10" ht="15.75">
      <c r="A388" s="472" t="str">
        <f ca="1">IFERROR(__xludf.DUMMYFUNCTION("""COMPUTED_VALUE"""),"")</f>
        <v/>
      </c>
      <c r="B388" s="472" t="str">
        <f ca="1">IFERROR(__xludf.DUMMYFUNCTION("""COMPUTED_VALUE"""),"")</f>
        <v/>
      </c>
      <c r="C388" s="472" t="str">
        <f ca="1">IFERROR(__xludf.DUMMYFUNCTION("""COMPUTED_VALUE"""),"")</f>
        <v/>
      </c>
      <c r="D388" s="472" t="str">
        <f ca="1">IFERROR(__xludf.DUMMYFUNCTION("""COMPUTED_VALUE"""),"")</f>
        <v/>
      </c>
      <c r="E388" s="472" t="str">
        <f ca="1">IFERROR(__xludf.DUMMYFUNCTION("""COMPUTED_VALUE"""),"")</f>
        <v/>
      </c>
      <c r="F388" s="472" t="str">
        <f ca="1">IFERROR(__xludf.DUMMYFUNCTION("""COMPUTED_VALUE"""),"")</f>
        <v/>
      </c>
      <c r="G388" s="472" t="str">
        <f ca="1">IFERROR(__xludf.DUMMYFUNCTION("""COMPUTED_VALUE"""),"")</f>
        <v/>
      </c>
      <c r="H388" s="472" t="str">
        <f ca="1">IFERROR(__xludf.DUMMYFUNCTION("""COMPUTED_VALUE"""),"")</f>
        <v/>
      </c>
      <c r="I388" s="472" t="str">
        <f ca="1">IFERROR(__xludf.DUMMYFUNCTION("""COMPUTED_VALUE"""),"")</f>
        <v/>
      </c>
      <c r="J388" s="472" t="str">
        <f ca="1">IFERROR(__xludf.DUMMYFUNCTION("""COMPUTED_VALUE"""),"")</f>
        <v/>
      </c>
    </row>
    <row r="389" spans="1:10" ht="15.75">
      <c r="A389" s="472" t="str">
        <f ca="1">IFERROR(__xludf.DUMMYFUNCTION("""COMPUTED_VALUE"""),"")</f>
        <v/>
      </c>
      <c r="B389" s="472" t="str">
        <f ca="1">IFERROR(__xludf.DUMMYFUNCTION("""COMPUTED_VALUE"""),"")</f>
        <v/>
      </c>
      <c r="C389" s="472" t="str">
        <f ca="1">IFERROR(__xludf.DUMMYFUNCTION("""COMPUTED_VALUE"""),"")</f>
        <v/>
      </c>
      <c r="D389" s="472" t="str">
        <f ca="1">IFERROR(__xludf.DUMMYFUNCTION("""COMPUTED_VALUE"""),"")</f>
        <v/>
      </c>
      <c r="E389" s="472" t="str">
        <f ca="1">IFERROR(__xludf.DUMMYFUNCTION("""COMPUTED_VALUE"""),"")</f>
        <v/>
      </c>
      <c r="F389" s="472" t="str">
        <f ca="1">IFERROR(__xludf.DUMMYFUNCTION("""COMPUTED_VALUE"""),"")</f>
        <v/>
      </c>
      <c r="G389" s="472" t="str">
        <f ca="1">IFERROR(__xludf.DUMMYFUNCTION("""COMPUTED_VALUE"""),"")</f>
        <v/>
      </c>
      <c r="H389" s="472" t="str">
        <f ca="1">IFERROR(__xludf.DUMMYFUNCTION("""COMPUTED_VALUE"""),"")</f>
        <v/>
      </c>
      <c r="I389" s="472" t="str">
        <f ca="1">IFERROR(__xludf.DUMMYFUNCTION("""COMPUTED_VALUE"""),"")</f>
        <v/>
      </c>
      <c r="J389" s="472" t="str">
        <f ca="1">IFERROR(__xludf.DUMMYFUNCTION("""COMPUTED_VALUE"""),"")</f>
        <v/>
      </c>
    </row>
    <row r="390" spans="1:10" ht="15.75">
      <c r="A390" s="472" t="str">
        <f ca="1">IFERROR(__xludf.DUMMYFUNCTION("""COMPUTED_VALUE"""),"")</f>
        <v/>
      </c>
      <c r="B390" s="472" t="str">
        <f ca="1">IFERROR(__xludf.DUMMYFUNCTION("""COMPUTED_VALUE"""),"")</f>
        <v/>
      </c>
      <c r="C390" s="472" t="str">
        <f ca="1">IFERROR(__xludf.DUMMYFUNCTION("""COMPUTED_VALUE"""),"")</f>
        <v/>
      </c>
      <c r="D390" s="472" t="str">
        <f ca="1">IFERROR(__xludf.DUMMYFUNCTION("""COMPUTED_VALUE"""),"")</f>
        <v/>
      </c>
      <c r="E390" s="472" t="str">
        <f ca="1">IFERROR(__xludf.DUMMYFUNCTION("""COMPUTED_VALUE"""),"")</f>
        <v/>
      </c>
      <c r="F390" s="472" t="str">
        <f ca="1">IFERROR(__xludf.DUMMYFUNCTION("""COMPUTED_VALUE"""),"")</f>
        <v/>
      </c>
      <c r="G390" s="472" t="str">
        <f ca="1">IFERROR(__xludf.DUMMYFUNCTION("""COMPUTED_VALUE"""),"")</f>
        <v/>
      </c>
      <c r="H390" s="472" t="str">
        <f ca="1">IFERROR(__xludf.DUMMYFUNCTION("""COMPUTED_VALUE"""),"")</f>
        <v/>
      </c>
      <c r="I390" s="472" t="str">
        <f ca="1">IFERROR(__xludf.DUMMYFUNCTION("""COMPUTED_VALUE"""),"")</f>
        <v/>
      </c>
      <c r="J390" s="472" t="str">
        <f ca="1">IFERROR(__xludf.DUMMYFUNCTION("""COMPUTED_VALUE"""),"")</f>
        <v/>
      </c>
    </row>
    <row r="391" spans="1:10" ht="15.75">
      <c r="A391" s="472" t="str">
        <f ca="1">IFERROR(__xludf.DUMMYFUNCTION("""COMPUTED_VALUE"""),"")</f>
        <v/>
      </c>
      <c r="B391" s="472" t="str">
        <f ca="1">IFERROR(__xludf.DUMMYFUNCTION("""COMPUTED_VALUE"""),"")</f>
        <v/>
      </c>
      <c r="C391" s="472" t="str">
        <f ca="1">IFERROR(__xludf.DUMMYFUNCTION("""COMPUTED_VALUE"""),"")</f>
        <v/>
      </c>
      <c r="D391" s="472" t="str">
        <f ca="1">IFERROR(__xludf.DUMMYFUNCTION("""COMPUTED_VALUE"""),"")</f>
        <v/>
      </c>
      <c r="E391" s="472" t="str">
        <f ca="1">IFERROR(__xludf.DUMMYFUNCTION("""COMPUTED_VALUE"""),"")</f>
        <v/>
      </c>
      <c r="F391" s="472" t="str">
        <f ca="1">IFERROR(__xludf.DUMMYFUNCTION("""COMPUTED_VALUE"""),"")</f>
        <v/>
      </c>
      <c r="G391" s="472" t="str">
        <f ca="1">IFERROR(__xludf.DUMMYFUNCTION("""COMPUTED_VALUE"""),"")</f>
        <v/>
      </c>
      <c r="H391" s="472" t="str">
        <f ca="1">IFERROR(__xludf.DUMMYFUNCTION("""COMPUTED_VALUE"""),"")</f>
        <v/>
      </c>
      <c r="I391" s="472" t="str">
        <f ca="1">IFERROR(__xludf.DUMMYFUNCTION("""COMPUTED_VALUE"""),"")</f>
        <v/>
      </c>
      <c r="J391" s="472" t="str">
        <f ca="1">IFERROR(__xludf.DUMMYFUNCTION("""COMPUTED_VALUE"""),"")</f>
        <v/>
      </c>
    </row>
    <row r="392" spans="1:10" ht="15.75">
      <c r="A392" s="472" t="str">
        <f ca="1">IFERROR(__xludf.DUMMYFUNCTION("""COMPUTED_VALUE"""),"")</f>
        <v/>
      </c>
      <c r="B392" s="472" t="str">
        <f ca="1">IFERROR(__xludf.DUMMYFUNCTION("""COMPUTED_VALUE"""),"")</f>
        <v/>
      </c>
      <c r="C392" s="472" t="str">
        <f ca="1">IFERROR(__xludf.DUMMYFUNCTION("""COMPUTED_VALUE"""),"")</f>
        <v/>
      </c>
      <c r="D392" s="472" t="str">
        <f ca="1">IFERROR(__xludf.DUMMYFUNCTION("""COMPUTED_VALUE"""),"")</f>
        <v/>
      </c>
      <c r="E392" s="472" t="str">
        <f ca="1">IFERROR(__xludf.DUMMYFUNCTION("""COMPUTED_VALUE"""),"")</f>
        <v/>
      </c>
      <c r="F392" s="472" t="str">
        <f ca="1">IFERROR(__xludf.DUMMYFUNCTION("""COMPUTED_VALUE"""),"")</f>
        <v/>
      </c>
      <c r="G392" s="472" t="str">
        <f ca="1">IFERROR(__xludf.DUMMYFUNCTION("""COMPUTED_VALUE"""),"")</f>
        <v/>
      </c>
      <c r="H392" s="472" t="str">
        <f ca="1">IFERROR(__xludf.DUMMYFUNCTION("""COMPUTED_VALUE"""),"")</f>
        <v/>
      </c>
      <c r="I392" s="472" t="str">
        <f ca="1">IFERROR(__xludf.DUMMYFUNCTION("""COMPUTED_VALUE"""),"")</f>
        <v/>
      </c>
      <c r="J392" s="472" t="str">
        <f ca="1">IFERROR(__xludf.DUMMYFUNCTION("""COMPUTED_VALUE"""),"")</f>
        <v/>
      </c>
    </row>
    <row r="393" spans="1:10" ht="15.75">
      <c r="A393" s="472" t="str">
        <f ca="1">IFERROR(__xludf.DUMMYFUNCTION("""COMPUTED_VALUE"""),"")</f>
        <v/>
      </c>
      <c r="B393" s="472" t="str">
        <f ca="1">IFERROR(__xludf.DUMMYFUNCTION("""COMPUTED_VALUE"""),"")</f>
        <v/>
      </c>
      <c r="C393" s="472" t="str">
        <f ca="1">IFERROR(__xludf.DUMMYFUNCTION("""COMPUTED_VALUE"""),"")</f>
        <v/>
      </c>
      <c r="D393" s="472" t="str">
        <f ca="1">IFERROR(__xludf.DUMMYFUNCTION("""COMPUTED_VALUE"""),"")</f>
        <v/>
      </c>
      <c r="E393" s="472" t="str">
        <f ca="1">IFERROR(__xludf.DUMMYFUNCTION("""COMPUTED_VALUE"""),"")</f>
        <v/>
      </c>
      <c r="F393" s="472" t="str">
        <f ca="1">IFERROR(__xludf.DUMMYFUNCTION("""COMPUTED_VALUE"""),"")</f>
        <v/>
      </c>
      <c r="G393" s="472" t="str">
        <f ca="1">IFERROR(__xludf.DUMMYFUNCTION("""COMPUTED_VALUE"""),"")</f>
        <v/>
      </c>
      <c r="H393" s="472" t="str">
        <f ca="1">IFERROR(__xludf.DUMMYFUNCTION("""COMPUTED_VALUE"""),"")</f>
        <v/>
      </c>
      <c r="I393" s="472" t="str">
        <f ca="1">IFERROR(__xludf.DUMMYFUNCTION("""COMPUTED_VALUE"""),"")</f>
        <v/>
      </c>
      <c r="J393" s="472" t="str">
        <f ca="1">IFERROR(__xludf.DUMMYFUNCTION("""COMPUTED_VALUE"""),"")</f>
        <v/>
      </c>
    </row>
    <row r="394" spans="1:10" ht="15.75">
      <c r="A394" s="472" t="str">
        <f ca="1">IFERROR(__xludf.DUMMYFUNCTION("""COMPUTED_VALUE"""),"")</f>
        <v/>
      </c>
      <c r="B394" s="472" t="str">
        <f ca="1">IFERROR(__xludf.DUMMYFUNCTION("""COMPUTED_VALUE"""),"")</f>
        <v/>
      </c>
      <c r="C394" s="472" t="str">
        <f ca="1">IFERROR(__xludf.DUMMYFUNCTION("""COMPUTED_VALUE"""),"")</f>
        <v/>
      </c>
      <c r="D394" s="472" t="str">
        <f ca="1">IFERROR(__xludf.DUMMYFUNCTION("""COMPUTED_VALUE"""),"")</f>
        <v/>
      </c>
      <c r="E394" s="472" t="str">
        <f ca="1">IFERROR(__xludf.DUMMYFUNCTION("""COMPUTED_VALUE"""),"")</f>
        <v/>
      </c>
      <c r="F394" s="472" t="str">
        <f ca="1">IFERROR(__xludf.DUMMYFUNCTION("""COMPUTED_VALUE"""),"")</f>
        <v/>
      </c>
      <c r="G394" s="472" t="str">
        <f ca="1">IFERROR(__xludf.DUMMYFUNCTION("""COMPUTED_VALUE"""),"")</f>
        <v/>
      </c>
      <c r="H394" s="472" t="str">
        <f ca="1">IFERROR(__xludf.DUMMYFUNCTION("""COMPUTED_VALUE"""),"")</f>
        <v/>
      </c>
      <c r="I394" s="472" t="str">
        <f ca="1">IFERROR(__xludf.DUMMYFUNCTION("""COMPUTED_VALUE"""),"")</f>
        <v/>
      </c>
      <c r="J394" s="472" t="str">
        <f ca="1">IFERROR(__xludf.DUMMYFUNCTION("""COMPUTED_VALUE"""),"")</f>
        <v/>
      </c>
    </row>
    <row r="395" spans="1:10" ht="15.75">
      <c r="A395" s="472" t="str">
        <f ca="1">IFERROR(__xludf.DUMMYFUNCTION("""COMPUTED_VALUE"""),"")</f>
        <v/>
      </c>
      <c r="B395" s="472" t="str">
        <f ca="1">IFERROR(__xludf.DUMMYFUNCTION("""COMPUTED_VALUE"""),"")</f>
        <v/>
      </c>
      <c r="C395" s="472" t="str">
        <f ca="1">IFERROR(__xludf.DUMMYFUNCTION("""COMPUTED_VALUE"""),"")</f>
        <v/>
      </c>
      <c r="D395" s="472" t="str">
        <f ca="1">IFERROR(__xludf.DUMMYFUNCTION("""COMPUTED_VALUE"""),"")</f>
        <v/>
      </c>
      <c r="E395" s="472" t="str">
        <f ca="1">IFERROR(__xludf.DUMMYFUNCTION("""COMPUTED_VALUE"""),"")</f>
        <v/>
      </c>
      <c r="F395" s="472" t="str">
        <f ca="1">IFERROR(__xludf.DUMMYFUNCTION("""COMPUTED_VALUE"""),"")</f>
        <v/>
      </c>
      <c r="G395" s="472" t="str">
        <f ca="1">IFERROR(__xludf.DUMMYFUNCTION("""COMPUTED_VALUE"""),"")</f>
        <v/>
      </c>
      <c r="H395" s="472" t="str">
        <f ca="1">IFERROR(__xludf.DUMMYFUNCTION("""COMPUTED_VALUE"""),"")</f>
        <v/>
      </c>
      <c r="I395" s="472" t="str">
        <f ca="1">IFERROR(__xludf.DUMMYFUNCTION("""COMPUTED_VALUE"""),"")</f>
        <v/>
      </c>
      <c r="J395" s="472" t="str">
        <f ca="1">IFERROR(__xludf.DUMMYFUNCTION("""COMPUTED_VALUE"""),"")</f>
        <v/>
      </c>
    </row>
    <row r="396" spans="1:10" ht="15.75">
      <c r="A396" s="472" t="str">
        <f ca="1">IFERROR(__xludf.DUMMYFUNCTION("""COMPUTED_VALUE"""),"")</f>
        <v/>
      </c>
      <c r="B396" s="472" t="str">
        <f ca="1">IFERROR(__xludf.DUMMYFUNCTION("""COMPUTED_VALUE"""),"")</f>
        <v/>
      </c>
      <c r="C396" s="472" t="str">
        <f ca="1">IFERROR(__xludf.DUMMYFUNCTION("""COMPUTED_VALUE"""),"")</f>
        <v/>
      </c>
      <c r="D396" s="472" t="str">
        <f ca="1">IFERROR(__xludf.DUMMYFUNCTION("""COMPUTED_VALUE"""),"")</f>
        <v/>
      </c>
      <c r="E396" s="472" t="str">
        <f ca="1">IFERROR(__xludf.DUMMYFUNCTION("""COMPUTED_VALUE"""),"")</f>
        <v/>
      </c>
      <c r="F396" s="472" t="str">
        <f ca="1">IFERROR(__xludf.DUMMYFUNCTION("""COMPUTED_VALUE"""),"")</f>
        <v/>
      </c>
      <c r="G396" s="472" t="str">
        <f ca="1">IFERROR(__xludf.DUMMYFUNCTION("""COMPUTED_VALUE"""),"")</f>
        <v/>
      </c>
      <c r="H396" s="472" t="str">
        <f ca="1">IFERROR(__xludf.DUMMYFUNCTION("""COMPUTED_VALUE"""),"")</f>
        <v/>
      </c>
      <c r="I396" s="472" t="str">
        <f ca="1">IFERROR(__xludf.DUMMYFUNCTION("""COMPUTED_VALUE"""),"")</f>
        <v/>
      </c>
      <c r="J396" s="472" t="str">
        <f ca="1">IFERROR(__xludf.DUMMYFUNCTION("""COMPUTED_VALUE"""),"")</f>
        <v/>
      </c>
    </row>
    <row r="397" spans="1:10" ht="15.75">
      <c r="A397" s="472" t="str">
        <f ca="1">IFERROR(__xludf.DUMMYFUNCTION("""COMPUTED_VALUE"""),"")</f>
        <v/>
      </c>
      <c r="B397" s="472" t="str">
        <f ca="1">IFERROR(__xludf.DUMMYFUNCTION("""COMPUTED_VALUE"""),"")</f>
        <v/>
      </c>
      <c r="C397" s="472" t="str">
        <f ca="1">IFERROR(__xludf.DUMMYFUNCTION("""COMPUTED_VALUE"""),"")</f>
        <v/>
      </c>
      <c r="D397" s="472" t="str">
        <f ca="1">IFERROR(__xludf.DUMMYFUNCTION("""COMPUTED_VALUE"""),"")</f>
        <v/>
      </c>
      <c r="E397" s="472" t="str">
        <f ca="1">IFERROR(__xludf.DUMMYFUNCTION("""COMPUTED_VALUE"""),"")</f>
        <v/>
      </c>
      <c r="F397" s="472" t="str">
        <f ca="1">IFERROR(__xludf.DUMMYFUNCTION("""COMPUTED_VALUE"""),"")</f>
        <v/>
      </c>
      <c r="G397" s="472" t="str">
        <f ca="1">IFERROR(__xludf.DUMMYFUNCTION("""COMPUTED_VALUE"""),"")</f>
        <v/>
      </c>
      <c r="H397" s="472" t="str">
        <f ca="1">IFERROR(__xludf.DUMMYFUNCTION("""COMPUTED_VALUE"""),"")</f>
        <v/>
      </c>
      <c r="I397" s="472" t="str">
        <f ca="1">IFERROR(__xludf.DUMMYFUNCTION("""COMPUTED_VALUE"""),"")</f>
        <v/>
      </c>
      <c r="J397" s="472" t="str">
        <f ca="1">IFERROR(__xludf.DUMMYFUNCTION("""COMPUTED_VALUE"""),"")</f>
        <v/>
      </c>
    </row>
    <row r="398" spans="1:10" ht="15.75">
      <c r="A398" s="472" t="str">
        <f ca="1">IFERROR(__xludf.DUMMYFUNCTION("""COMPUTED_VALUE"""),"")</f>
        <v/>
      </c>
      <c r="B398" s="472" t="str">
        <f ca="1">IFERROR(__xludf.DUMMYFUNCTION("""COMPUTED_VALUE"""),"")</f>
        <v/>
      </c>
      <c r="C398" s="472" t="str">
        <f ca="1">IFERROR(__xludf.DUMMYFUNCTION("""COMPUTED_VALUE"""),"")</f>
        <v/>
      </c>
      <c r="D398" s="472" t="str">
        <f ca="1">IFERROR(__xludf.DUMMYFUNCTION("""COMPUTED_VALUE"""),"")</f>
        <v/>
      </c>
      <c r="E398" s="472" t="str">
        <f ca="1">IFERROR(__xludf.DUMMYFUNCTION("""COMPUTED_VALUE"""),"")</f>
        <v/>
      </c>
      <c r="F398" s="472" t="str">
        <f ca="1">IFERROR(__xludf.DUMMYFUNCTION("""COMPUTED_VALUE"""),"")</f>
        <v/>
      </c>
      <c r="G398" s="472" t="str">
        <f ca="1">IFERROR(__xludf.DUMMYFUNCTION("""COMPUTED_VALUE"""),"")</f>
        <v/>
      </c>
      <c r="H398" s="472" t="str">
        <f ca="1">IFERROR(__xludf.DUMMYFUNCTION("""COMPUTED_VALUE"""),"")</f>
        <v/>
      </c>
      <c r="I398" s="472" t="str">
        <f ca="1">IFERROR(__xludf.DUMMYFUNCTION("""COMPUTED_VALUE"""),"")</f>
        <v/>
      </c>
      <c r="J398" s="472" t="str">
        <f ca="1">IFERROR(__xludf.DUMMYFUNCTION("""COMPUTED_VALUE"""),"")</f>
        <v/>
      </c>
    </row>
    <row r="399" spans="1:10" ht="15.75">
      <c r="A399" s="472" t="str">
        <f ca="1">IFERROR(__xludf.DUMMYFUNCTION("""COMPUTED_VALUE"""),"")</f>
        <v/>
      </c>
      <c r="B399" s="472" t="str">
        <f ca="1">IFERROR(__xludf.DUMMYFUNCTION("""COMPUTED_VALUE"""),"")</f>
        <v/>
      </c>
      <c r="C399" s="472" t="str">
        <f ca="1">IFERROR(__xludf.DUMMYFUNCTION("""COMPUTED_VALUE"""),"")</f>
        <v/>
      </c>
      <c r="D399" s="472" t="str">
        <f ca="1">IFERROR(__xludf.DUMMYFUNCTION("""COMPUTED_VALUE"""),"")</f>
        <v/>
      </c>
      <c r="E399" s="472" t="str">
        <f ca="1">IFERROR(__xludf.DUMMYFUNCTION("""COMPUTED_VALUE"""),"")</f>
        <v/>
      </c>
      <c r="F399" s="472" t="str">
        <f ca="1">IFERROR(__xludf.DUMMYFUNCTION("""COMPUTED_VALUE"""),"")</f>
        <v/>
      </c>
      <c r="G399" s="472" t="str">
        <f ca="1">IFERROR(__xludf.DUMMYFUNCTION("""COMPUTED_VALUE"""),"")</f>
        <v/>
      </c>
      <c r="H399" s="472" t="str">
        <f ca="1">IFERROR(__xludf.DUMMYFUNCTION("""COMPUTED_VALUE"""),"")</f>
        <v/>
      </c>
      <c r="I399" s="472" t="str">
        <f ca="1">IFERROR(__xludf.DUMMYFUNCTION("""COMPUTED_VALUE"""),"")</f>
        <v/>
      </c>
      <c r="J399" s="472" t="str">
        <f ca="1">IFERROR(__xludf.DUMMYFUNCTION("""COMPUTED_VALUE"""),"")</f>
        <v/>
      </c>
    </row>
    <row r="400" spans="1:10" ht="15.75">
      <c r="A400" s="472" t="str">
        <f ca="1">IFERROR(__xludf.DUMMYFUNCTION("""COMPUTED_VALUE"""),"")</f>
        <v/>
      </c>
      <c r="B400" s="472" t="str">
        <f ca="1">IFERROR(__xludf.DUMMYFUNCTION("""COMPUTED_VALUE"""),"")</f>
        <v/>
      </c>
      <c r="C400" s="472" t="str">
        <f ca="1">IFERROR(__xludf.DUMMYFUNCTION("""COMPUTED_VALUE"""),"")</f>
        <v/>
      </c>
      <c r="D400" s="472" t="str">
        <f ca="1">IFERROR(__xludf.DUMMYFUNCTION("""COMPUTED_VALUE"""),"")</f>
        <v/>
      </c>
      <c r="E400" s="472" t="str">
        <f ca="1">IFERROR(__xludf.DUMMYFUNCTION("""COMPUTED_VALUE"""),"")</f>
        <v/>
      </c>
      <c r="F400" s="472" t="str">
        <f ca="1">IFERROR(__xludf.DUMMYFUNCTION("""COMPUTED_VALUE"""),"")</f>
        <v/>
      </c>
      <c r="G400" s="472" t="str">
        <f ca="1">IFERROR(__xludf.DUMMYFUNCTION("""COMPUTED_VALUE"""),"")</f>
        <v/>
      </c>
      <c r="H400" s="472" t="str">
        <f ca="1">IFERROR(__xludf.DUMMYFUNCTION("""COMPUTED_VALUE"""),"")</f>
        <v/>
      </c>
      <c r="I400" s="472" t="str">
        <f ca="1">IFERROR(__xludf.DUMMYFUNCTION("""COMPUTED_VALUE"""),"")</f>
        <v/>
      </c>
      <c r="J400" s="472" t="str">
        <f ca="1">IFERROR(__xludf.DUMMYFUNCTION("""COMPUTED_VALUE"""),"")</f>
        <v/>
      </c>
    </row>
    <row r="401" spans="1:10" ht="15.75">
      <c r="A401" s="472" t="str">
        <f ca="1">IFERROR(__xludf.DUMMYFUNCTION("""COMPUTED_VALUE"""),"")</f>
        <v/>
      </c>
      <c r="B401" s="472" t="str">
        <f ca="1">IFERROR(__xludf.DUMMYFUNCTION("""COMPUTED_VALUE"""),"")</f>
        <v/>
      </c>
      <c r="C401" s="472" t="str">
        <f ca="1">IFERROR(__xludf.DUMMYFUNCTION("""COMPUTED_VALUE"""),"")</f>
        <v/>
      </c>
      <c r="D401" s="472" t="str">
        <f ca="1">IFERROR(__xludf.DUMMYFUNCTION("""COMPUTED_VALUE"""),"")</f>
        <v/>
      </c>
      <c r="E401" s="472" t="str">
        <f ca="1">IFERROR(__xludf.DUMMYFUNCTION("""COMPUTED_VALUE"""),"")</f>
        <v/>
      </c>
      <c r="F401" s="472" t="str">
        <f ca="1">IFERROR(__xludf.DUMMYFUNCTION("""COMPUTED_VALUE"""),"")</f>
        <v/>
      </c>
      <c r="G401" s="472" t="str">
        <f ca="1">IFERROR(__xludf.DUMMYFUNCTION("""COMPUTED_VALUE"""),"")</f>
        <v/>
      </c>
      <c r="H401" s="472" t="str">
        <f ca="1">IFERROR(__xludf.DUMMYFUNCTION("""COMPUTED_VALUE"""),"")</f>
        <v/>
      </c>
      <c r="I401" s="472" t="str">
        <f ca="1">IFERROR(__xludf.DUMMYFUNCTION("""COMPUTED_VALUE"""),"")</f>
        <v/>
      </c>
      <c r="J401" s="472" t="str">
        <f ca="1">IFERROR(__xludf.DUMMYFUNCTION("""COMPUTED_VALUE"""),"")</f>
        <v/>
      </c>
    </row>
    <row r="402" spans="1:10" ht="15.75">
      <c r="A402" s="472" t="str">
        <f ca="1">IFERROR(__xludf.DUMMYFUNCTION("""COMPUTED_VALUE"""),"")</f>
        <v/>
      </c>
      <c r="B402" s="472" t="str">
        <f ca="1">IFERROR(__xludf.DUMMYFUNCTION("""COMPUTED_VALUE"""),"")</f>
        <v/>
      </c>
      <c r="C402" s="472" t="str">
        <f ca="1">IFERROR(__xludf.DUMMYFUNCTION("""COMPUTED_VALUE"""),"")</f>
        <v/>
      </c>
      <c r="D402" s="472" t="str">
        <f ca="1">IFERROR(__xludf.DUMMYFUNCTION("""COMPUTED_VALUE"""),"")</f>
        <v/>
      </c>
      <c r="E402" s="472" t="str">
        <f ca="1">IFERROR(__xludf.DUMMYFUNCTION("""COMPUTED_VALUE"""),"")</f>
        <v/>
      </c>
      <c r="F402" s="472" t="str">
        <f ca="1">IFERROR(__xludf.DUMMYFUNCTION("""COMPUTED_VALUE"""),"")</f>
        <v/>
      </c>
      <c r="G402" s="472" t="str">
        <f ca="1">IFERROR(__xludf.DUMMYFUNCTION("""COMPUTED_VALUE"""),"")</f>
        <v/>
      </c>
      <c r="H402" s="472" t="str">
        <f ca="1">IFERROR(__xludf.DUMMYFUNCTION("""COMPUTED_VALUE"""),"")</f>
        <v/>
      </c>
      <c r="I402" s="472" t="str">
        <f ca="1">IFERROR(__xludf.DUMMYFUNCTION("""COMPUTED_VALUE"""),"")</f>
        <v/>
      </c>
      <c r="J402" s="472" t="str">
        <f ca="1">IFERROR(__xludf.DUMMYFUNCTION("""COMPUTED_VALUE"""),"")</f>
        <v/>
      </c>
    </row>
    <row r="403" spans="1:10" ht="15.75">
      <c r="A403" s="472" t="str">
        <f ca="1">IFERROR(__xludf.DUMMYFUNCTION("""COMPUTED_VALUE"""),"")</f>
        <v/>
      </c>
      <c r="B403" s="472" t="str">
        <f ca="1">IFERROR(__xludf.DUMMYFUNCTION("""COMPUTED_VALUE"""),"")</f>
        <v/>
      </c>
      <c r="C403" s="472" t="str">
        <f ca="1">IFERROR(__xludf.DUMMYFUNCTION("""COMPUTED_VALUE"""),"")</f>
        <v/>
      </c>
      <c r="D403" s="472" t="str">
        <f ca="1">IFERROR(__xludf.DUMMYFUNCTION("""COMPUTED_VALUE"""),"")</f>
        <v/>
      </c>
      <c r="E403" s="472" t="str">
        <f ca="1">IFERROR(__xludf.DUMMYFUNCTION("""COMPUTED_VALUE"""),"")</f>
        <v/>
      </c>
      <c r="F403" s="472" t="str">
        <f ca="1">IFERROR(__xludf.DUMMYFUNCTION("""COMPUTED_VALUE"""),"")</f>
        <v/>
      </c>
      <c r="G403" s="472" t="str">
        <f ca="1">IFERROR(__xludf.DUMMYFUNCTION("""COMPUTED_VALUE"""),"")</f>
        <v/>
      </c>
      <c r="H403" s="472" t="str">
        <f ca="1">IFERROR(__xludf.DUMMYFUNCTION("""COMPUTED_VALUE"""),"")</f>
        <v/>
      </c>
      <c r="I403" s="472" t="str">
        <f ca="1">IFERROR(__xludf.DUMMYFUNCTION("""COMPUTED_VALUE"""),"")</f>
        <v/>
      </c>
      <c r="J403" s="472" t="str">
        <f ca="1">IFERROR(__xludf.DUMMYFUNCTION("""COMPUTED_VALUE"""),"")</f>
        <v/>
      </c>
    </row>
    <row r="404" spans="1:10" ht="15.75">
      <c r="A404" s="472" t="str">
        <f ca="1">IFERROR(__xludf.DUMMYFUNCTION("""COMPUTED_VALUE"""),"")</f>
        <v/>
      </c>
      <c r="B404" s="472" t="str">
        <f ca="1">IFERROR(__xludf.DUMMYFUNCTION("""COMPUTED_VALUE"""),"")</f>
        <v/>
      </c>
      <c r="C404" s="472" t="str">
        <f ca="1">IFERROR(__xludf.DUMMYFUNCTION("""COMPUTED_VALUE"""),"")</f>
        <v/>
      </c>
      <c r="D404" s="472" t="str">
        <f ca="1">IFERROR(__xludf.DUMMYFUNCTION("""COMPUTED_VALUE"""),"")</f>
        <v/>
      </c>
      <c r="E404" s="472" t="str">
        <f ca="1">IFERROR(__xludf.DUMMYFUNCTION("""COMPUTED_VALUE"""),"")</f>
        <v/>
      </c>
      <c r="F404" s="472" t="str">
        <f ca="1">IFERROR(__xludf.DUMMYFUNCTION("""COMPUTED_VALUE"""),"")</f>
        <v/>
      </c>
      <c r="G404" s="472" t="str">
        <f ca="1">IFERROR(__xludf.DUMMYFUNCTION("""COMPUTED_VALUE"""),"")</f>
        <v/>
      </c>
      <c r="H404" s="472" t="str">
        <f ca="1">IFERROR(__xludf.DUMMYFUNCTION("""COMPUTED_VALUE"""),"")</f>
        <v/>
      </c>
      <c r="I404" s="472" t="str">
        <f ca="1">IFERROR(__xludf.DUMMYFUNCTION("""COMPUTED_VALUE"""),"")</f>
        <v/>
      </c>
      <c r="J404" s="472" t="str">
        <f ca="1">IFERROR(__xludf.DUMMYFUNCTION("""COMPUTED_VALUE"""),"")</f>
        <v/>
      </c>
    </row>
    <row r="405" spans="1:10" ht="15.75">
      <c r="A405" s="472" t="str">
        <f ca="1">IFERROR(__xludf.DUMMYFUNCTION("""COMPUTED_VALUE"""),"")</f>
        <v/>
      </c>
      <c r="B405" s="472" t="str">
        <f ca="1">IFERROR(__xludf.DUMMYFUNCTION("""COMPUTED_VALUE"""),"")</f>
        <v/>
      </c>
      <c r="C405" s="472" t="str">
        <f ca="1">IFERROR(__xludf.DUMMYFUNCTION("""COMPUTED_VALUE"""),"")</f>
        <v/>
      </c>
      <c r="D405" s="472" t="str">
        <f ca="1">IFERROR(__xludf.DUMMYFUNCTION("""COMPUTED_VALUE"""),"")</f>
        <v/>
      </c>
      <c r="E405" s="472" t="str">
        <f ca="1">IFERROR(__xludf.DUMMYFUNCTION("""COMPUTED_VALUE"""),"")</f>
        <v/>
      </c>
      <c r="F405" s="472" t="str">
        <f ca="1">IFERROR(__xludf.DUMMYFUNCTION("""COMPUTED_VALUE"""),"")</f>
        <v/>
      </c>
      <c r="G405" s="472" t="str">
        <f ca="1">IFERROR(__xludf.DUMMYFUNCTION("""COMPUTED_VALUE"""),"")</f>
        <v/>
      </c>
      <c r="H405" s="472" t="str">
        <f ca="1">IFERROR(__xludf.DUMMYFUNCTION("""COMPUTED_VALUE"""),"")</f>
        <v/>
      </c>
      <c r="I405" s="472" t="str">
        <f ca="1">IFERROR(__xludf.DUMMYFUNCTION("""COMPUTED_VALUE"""),"")</f>
        <v/>
      </c>
      <c r="J405" s="472" t="str">
        <f ca="1">IFERROR(__xludf.DUMMYFUNCTION("""COMPUTED_VALUE"""),"")</f>
        <v/>
      </c>
    </row>
    <row r="406" spans="1:10" ht="15.75">
      <c r="A406" s="472" t="str">
        <f ca="1">IFERROR(__xludf.DUMMYFUNCTION("""COMPUTED_VALUE"""),"")</f>
        <v/>
      </c>
      <c r="B406" s="472" t="str">
        <f ca="1">IFERROR(__xludf.DUMMYFUNCTION("""COMPUTED_VALUE"""),"")</f>
        <v/>
      </c>
      <c r="C406" s="472" t="str">
        <f ca="1">IFERROR(__xludf.DUMMYFUNCTION("""COMPUTED_VALUE"""),"")</f>
        <v/>
      </c>
      <c r="D406" s="472" t="str">
        <f ca="1">IFERROR(__xludf.DUMMYFUNCTION("""COMPUTED_VALUE"""),"")</f>
        <v/>
      </c>
      <c r="E406" s="472" t="str">
        <f ca="1">IFERROR(__xludf.DUMMYFUNCTION("""COMPUTED_VALUE"""),"")</f>
        <v/>
      </c>
      <c r="F406" s="472" t="str">
        <f ca="1">IFERROR(__xludf.DUMMYFUNCTION("""COMPUTED_VALUE"""),"")</f>
        <v/>
      </c>
      <c r="G406" s="472" t="str">
        <f ca="1">IFERROR(__xludf.DUMMYFUNCTION("""COMPUTED_VALUE"""),"")</f>
        <v/>
      </c>
      <c r="H406" s="472" t="str">
        <f ca="1">IFERROR(__xludf.DUMMYFUNCTION("""COMPUTED_VALUE"""),"")</f>
        <v/>
      </c>
      <c r="I406" s="472" t="str">
        <f ca="1">IFERROR(__xludf.DUMMYFUNCTION("""COMPUTED_VALUE"""),"")</f>
        <v/>
      </c>
      <c r="J406" s="472" t="str">
        <f ca="1">IFERROR(__xludf.DUMMYFUNCTION("""COMPUTED_VALUE"""),"")</f>
        <v/>
      </c>
    </row>
    <row r="407" spans="1:10" ht="15.75">
      <c r="A407" s="472" t="str">
        <f ca="1">IFERROR(__xludf.DUMMYFUNCTION("""COMPUTED_VALUE"""),"")</f>
        <v/>
      </c>
      <c r="B407" s="472" t="str">
        <f ca="1">IFERROR(__xludf.DUMMYFUNCTION("""COMPUTED_VALUE"""),"")</f>
        <v/>
      </c>
      <c r="C407" s="472" t="str">
        <f ca="1">IFERROR(__xludf.DUMMYFUNCTION("""COMPUTED_VALUE"""),"")</f>
        <v/>
      </c>
      <c r="D407" s="472" t="str">
        <f ca="1">IFERROR(__xludf.DUMMYFUNCTION("""COMPUTED_VALUE"""),"")</f>
        <v/>
      </c>
      <c r="E407" s="472" t="str">
        <f ca="1">IFERROR(__xludf.DUMMYFUNCTION("""COMPUTED_VALUE"""),"")</f>
        <v/>
      </c>
      <c r="F407" s="472" t="str">
        <f ca="1">IFERROR(__xludf.DUMMYFUNCTION("""COMPUTED_VALUE"""),"")</f>
        <v/>
      </c>
      <c r="G407" s="472" t="str">
        <f ca="1">IFERROR(__xludf.DUMMYFUNCTION("""COMPUTED_VALUE"""),"")</f>
        <v/>
      </c>
      <c r="H407" s="472" t="str">
        <f ca="1">IFERROR(__xludf.DUMMYFUNCTION("""COMPUTED_VALUE"""),"")</f>
        <v/>
      </c>
      <c r="I407" s="472" t="str">
        <f ca="1">IFERROR(__xludf.DUMMYFUNCTION("""COMPUTED_VALUE"""),"")</f>
        <v/>
      </c>
      <c r="J407" s="472" t="str">
        <f ca="1">IFERROR(__xludf.DUMMYFUNCTION("""COMPUTED_VALUE"""),"")</f>
        <v/>
      </c>
    </row>
    <row r="408" spans="1:10" ht="15.75">
      <c r="A408" s="472" t="str">
        <f ca="1">IFERROR(__xludf.DUMMYFUNCTION("""COMPUTED_VALUE"""),"")</f>
        <v/>
      </c>
      <c r="B408" s="472" t="str">
        <f ca="1">IFERROR(__xludf.DUMMYFUNCTION("""COMPUTED_VALUE"""),"")</f>
        <v/>
      </c>
      <c r="C408" s="472" t="str">
        <f ca="1">IFERROR(__xludf.DUMMYFUNCTION("""COMPUTED_VALUE"""),"")</f>
        <v/>
      </c>
      <c r="D408" s="472" t="str">
        <f ca="1">IFERROR(__xludf.DUMMYFUNCTION("""COMPUTED_VALUE"""),"")</f>
        <v/>
      </c>
      <c r="E408" s="472" t="str">
        <f ca="1">IFERROR(__xludf.DUMMYFUNCTION("""COMPUTED_VALUE"""),"")</f>
        <v/>
      </c>
      <c r="F408" s="472" t="str">
        <f ca="1">IFERROR(__xludf.DUMMYFUNCTION("""COMPUTED_VALUE"""),"")</f>
        <v/>
      </c>
      <c r="G408" s="472" t="str">
        <f ca="1">IFERROR(__xludf.DUMMYFUNCTION("""COMPUTED_VALUE"""),"")</f>
        <v/>
      </c>
      <c r="H408" s="472" t="str">
        <f ca="1">IFERROR(__xludf.DUMMYFUNCTION("""COMPUTED_VALUE"""),"")</f>
        <v/>
      </c>
      <c r="I408" s="472" t="str">
        <f ca="1">IFERROR(__xludf.DUMMYFUNCTION("""COMPUTED_VALUE"""),"")</f>
        <v/>
      </c>
      <c r="J408" s="472" t="str">
        <f ca="1">IFERROR(__xludf.DUMMYFUNCTION("""COMPUTED_VALUE"""),"")</f>
        <v/>
      </c>
    </row>
    <row r="409" spans="1:10" ht="15.75">
      <c r="A409" s="472" t="str">
        <f ca="1">IFERROR(__xludf.DUMMYFUNCTION("""COMPUTED_VALUE"""),"")</f>
        <v/>
      </c>
      <c r="B409" s="472" t="str">
        <f ca="1">IFERROR(__xludf.DUMMYFUNCTION("""COMPUTED_VALUE"""),"")</f>
        <v/>
      </c>
      <c r="C409" s="472" t="str">
        <f ca="1">IFERROR(__xludf.DUMMYFUNCTION("""COMPUTED_VALUE"""),"")</f>
        <v/>
      </c>
      <c r="D409" s="472" t="str">
        <f ca="1">IFERROR(__xludf.DUMMYFUNCTION("""COMPUTED_VALUE"""),"")</f>
        <v/>
      </c>
      <c r="E409" s="472" t="str">
        <f ca="1">IFERROR(__xludf.DUMMYFUNCTION("""COMPUTED_VALUE"""),"")</f>
        <v/>
      </c>
      <c r="F409" s="472" t="str">
        <f ca="1">IFERROR(__xludf.DUMMYFUNCTION("""COMPUTED_VALUE"""),"")</f>
        <v/>
      </c>
      <c r="G409" s="472" t="str">
        <f ca="1">IFERROR(__xludf.DUMMYFUNCTION("""COMPUTED_VALUE"""),"")</f>
        <v/>
      </c>
      <c r="H409" s="472" t="str">
        <f ca="1">IFERROR(__xludf.DUMMYFUNCTION("""COMPUTED_VALUE"""),"")</f>
        <v/>
      </c>
      <c r="I409" s="472" t="str">
        <f ca="1">IFERROR(__xludf.DUMMYFUNCTION("""COMPUTED_VALUE"""),"")</f>
        <v/>
      </c>
      <c r="J409" s="472" t="str">
        <f ca="1">IFERROR(__xludf.DUMMYFUNCTION("""COMPUTED_VALUE"""),"")</f>
        <v/>
      </c>
    </row>
    <row r="410" spans="1:10" ht="15.75">
      <c r="A410" s="472" t="str">
        <f ca="1">IFERROR(__xludf.DUMMYFUNCTION("""COMPUTED_VALUE"""),"")</f>
        <v/>
      </c>
      <c r="B410" s="472" t="str">
        <f ca="1">IFERROR(__xludf.DUMMYFUNCTION("""COMPUTED_VALUE"""),"")</f>
        <v/>
      </c>
      <c r="C410" s="472" t="str">
        <f ca="1">IFERROR(__xludf.DUMMYFUNCTION("""COMPUTED_VALUE"""),"")</f>
        <v/>
      </c>
      <c r="D410" s="472" t="str">
        <f ca="1">IFERROR(__xludf.DUMMYFUNCTION("""COMPUTED_VALUE"""),"")</f>
        <v/>
      </c>
      <c r="E410" s="472" t="str">
        <f ca="1">IFERROR(__xludf.DUMMYFUNCTION("""COMPUTED_VALUE"""),"")</f>
        <v/>
      </c>
      <c r="F410" s="472" t="str">
        <f ca="1">IFERROR(__xludf.DUMMYFUNCTION("""COMPUTED_VALUE"""),"")</f>
        <v/>
      </c>
      <c r="G410" s="472" t="str">
        <f ca="1">IFERROR(__xludf.DUMMYFUNCTION("""COMPUTED_VALUE"""),"")</f>
        <v/>
      </c>
      <c r="H410" s="472" t="str">
        <f ca="1">IFERROR(__xludf.DUMMYFUNCTION("""COMPUTED_VALUE"""),"")</f>
        <v/>
      </c>
      <c r="I410" s="472" t="str">
        <f ca="1">IFERROR(__xludf.DUMMYFUNCTION("""COMPUTED_VALUE"""),"")</f>
        <v/>
      </c>
      <c r="J410" s="472" t="str">
        <f ca="1">IFERROR(__xludf.DUMMYFUNCTION("""COMPUTED_VALUE"""),"")</f>
        <v/>
      </c>
    </row>
    <row r="411" spans="1:10" ht="15.75">
      <c r="A411" s="472" t="str">
        <f ca="1">IFERROR(__xludf.DUMMYFUNCTION("""COMPUTED_VALUE"""),"")</f>
        <v/>
      </c>
      <c r="B411" s="472" t="str">
        <f ca="1">IFERROR(__xludf.DUMMYFUNCTION("""COMPUTED_VALUE"""),"")</f>
        <v/>
      </c>
      <c r="C411" s="472" t="str">
        <f ca="1">IFERROR(__xludf.DUMMYFUNCTION("""COMPUTED_VALUE"""),"")</f>
        <v/>
      </c>
      <c r="D411" s="472" t="str">
        <f ca="1">IFERROR(__xludf.DUMMYFUNCTION("""COMPUTED_VALUE"""),"")</f>
        <v/>
      </c>
      <c r="E411" s="472" t="str">
        <f ca="1">IFERROR(__xludf.DUMMYFUNCTION("""COMPUTED_VALUE"""),"")</f>
        <v/>
      </c>
      <c r="F411" s="472" t="str">
        <f ca="1">IFERROR(__xludf.DUMMYFUNCTION("""COMPUTED_VALUE"""),"")</f>
        <v/>
      </c>
      <c r="G411" s="472" t="str">
        <f ca="1">IFERROR(__xludf.DUMMYFUNCTION("""COMPUTED_VALUE"""),"")</f>
        <v/>
      </c>
      <c r="H411" s="472" t="str">
        <f ca="1">IFERROR(__xludf.DUMMYFUNCTION("""COMPUTED_VALUE"""),"")</f>
        <v/>
      </c>
      <c r="I411" s="472" t="str">
        <f ca="1">IFERROR(__xludf.DUMMYFUNCTION("""COMPUTED_VALUE"""),"")</f>
        <v/>
      </c>
      <c r="J411" s="472" t="str">
        <f ca="1">IFERROR(__xludf.DUMMYFUNCTION("""COMPUTED_VALUE"""),"")</f>
        <v/>
      </c>
    </row>
    <row r="412" spans="1:10" ht="15.75">
      <c r="A412" s="472" t="str">
        <f ca="1">IFERROR(__xludf.DUMMYFUNCTION("""COMPUTED_VALUE"""),"")</f>
        <v/>
      </c>
      <c r="B412" s="472" t="str">
        <f ca="1">IFERROR(__xludf.DUMMYFUNCTION("""COMPUTED_VALUE"""),"")</f>
        <v/>
      </c>
      <c r="C412" s="472" t="str">
        <f ca="1">IFERROR(__xludf.DUMMYFUNCTION("""COMPUTED_VALUE"""),"")</f>
        <v/>
      </c>
      <c r="D412" s="472" t="str">
        <f ca="1">IFERROR(__xludf.DUMMYFUNCTION("""COMPUTED_VALUE"""),"")</f>
        <v/>
      </c>
      <c r="E412" s="472" t="str">
        <f ca="1">IFERROR(__xludf.DUMMYFUNCTION("""COMPUTED_VALUE"""),"")</f>
        <v/>
      </c>
      <c r="F412" s="472" t="str">
        <f ca="1">IFERROR(__xludf.DUMMYFUNCTION("""COMPUTED_VALUE"""),"")</f>
        <v/>
      </c>
      <c r="G412" s="472" t="str">
        <f ca="1">IFERROR(__xludf.DUMMYFUNCTION("""COMPUTED_VALUE"""),"")</f>
        <v/>
      </c>
      <c r="H412" s="472" t="str">
        <f ca="1">IFERROR(__xludf.DUMMYFUNCTION("""COMPUTED_VALUE"""),"")</f>
        <v/>
      </c>
      <c r="I412" s="472" t="str">
        <f ca="1">IFERROR(__xludf.DUMMYFUNCTION("""COMPUTED_VALUE"""),"")</f>
        <v/>
      </c>
      <c r="J412" s="472" t="str">
        <f ca="1">IFERROR(__xludf.DUMMYFUNCTION("""COMPUTED_VALUE"""),"")</f>
        <v/>
      </c>
    </row>
    <row r="413" spans="1:10" ht="15.75">
      <c r="A413" s="472" t="str">
        <f ca="1">IFERROR(__xludf.DUMMYFUNCTION("""COMPUTED_VALUE"""),"")</f>
        <v/>
      </c>
      <c r="B413" s="472" t="str">
        <f ca="1">IFERROR(__xludf.DUMMYFUNCTION("""COMPUTED_VALUE"""),"")</f>
        <v/>
      </c>
      <c r="C413" s="472" t="str">
        <f ca="1">IFERROR(__xludf.DUMMYFUNCTION("""COMPUTED_VALUE"""),"")</f>
        <v/>
      </c>
      <c r="D413" s="472" t="str">
        <f ca="1">IFERROR(__xludf.DUMMYFUNCTION("""COMPUTED_VALUE"""),"")</f>
        <v/>
      </c>
      <c r="E413" s="472" t="str">
        <f ca="1">IFERROR(__xludf.DUMMYFUNCTION("""COMPUTED_VALUE"""),"")</f>
        <v/>
      </c>
      <c r="F413" s="472" t="str">
        <f ca="1">IFERROR(__xludf.DUMMYFUNCTION("""COMPUTED_VALUE"""),"")</f>
        <v/>
      </c>
      <c r="G413" s="472" t="str">
        <f ca="1">IFERROR(__xludf.DUMMYFUNCTION("""COMPUTED_VALUE"""),"")</f>
        <v/>
      </c>
      <c r="H413" s="472" t="str">
        <f ca="1">IFERROR(__xludf.DUMMYFUNCTION("""COMPUTED_VALUE"""),"")</f>
        <v/>
      </c>
      <c r="I413" s="472" t="str">
        <f ca="1">IFERROR(__xludf.DUMMYFUNCTION("""COMPUTED_VALUE"""),"")</f>
        <v/>
      </c>
      <c r="J413" s="472" t="str">
        <f ca="1">IFERROR(__xludf.DUMMYFUNCTION("""COMPUTED_VALUE"""),"")</f>
        <v/>
      </c>
    </row>
    <row r="414" spans="1:10" ht="15.75">
      <c r="A414" s="472" t="str">
        <f ca="1">IFERROR(__xludf.DUMMYFUNCTION("""COMPUTED_VALUE"""),"")</f>
        <v/>
      </c>
      <c r="B414" s="472" t="str">
        <f ca="1">IFERROR(__xludf.DUMMYFUNCTION("""COMPUTED_VALUE"""),"")</f>
        <v/>
      </c>
      <c r="C414" s="472" t="str">
        <f ca="1">IFERROR(__xludf.DUMMYFUNCTION("""COMPUTED_VALUE"""),"")</f>
        <v/>
      </c>
      <c r="D414" s="472" t="str">
        <f ca="1">IFERROR(__xludf.DUMMYFUNCTION("""COMPUTED_VALUE"""),"")</f>
        <v/>
      </c>
      <c r="E414" s="472" t="str">
        <f ca="1">IFERROR(__xludf.DUMMYFUNCTION("""COMPUTED_VALUE"""),"")</f>
        <v/>
      </c>
      <c r="F414" s="472" t="str">
        <f ca="1">IFERROR(__xludf.DUMMYFUNCTION("""COMPUTED_VALUE"""),"")</f>
        <v/>
      </c>
      <c r="G414" s="472" t="str">
        <f ca="1">IFERROR(__xludf.DUMMYFUNCTION("""COMPUTED_VALUE"""),"")</f>
        <v/>
      </c>
      <c r="H414" s="472" t="str">
        <f ca="1">IFERROR(__xludf.DUMMYFUNCTION("""COMPUTED_VALUE"""),"")</f>
        <v/>
      </c>
      <c r="I414" s="472" t="str">
        <f ca="1">IFERROR(__xludf.DUMMYFUNCTION("""COMPUTED_VALUE"""),"")</f>
        <v/>
      </c>
      <c r="J414" s="472" t="str">
        <f ca="1">IFERROR(__xludf.DUMMYFUNCTION("""COMPUTED_VALUE"""),"")</f>
        <v/>
      </c>
    </row>
    <row r="415" spans="1:10" ht="15.75">
      <c r="A415" s="472" t="str">
        <f ca="1">IFERROR(__xludf.DUMMYFUNCTION("""COMPUTED_VALUE"""),"")</f>
        <v/>
      </c>
      <c r="B415" s="472" t="str">
        <f ca="1">IFERROR(__xludf.DUMMYFUNCTION("""COMPUTED_VALUE"""),"")</f>
        <v/>
      </c>
      <c r="C415" s="472" t="str">
        <f ca="1">IFERROR(__xludf.DUMMYFUNCTION("""COMPUTED_VALUE"""),"")</f>
        <v/>
      </c>
      <c r="D415" s="472" t="str">
        <f ca="1">IFERROR(__xludf.DUMMYFUNCTION("""COMPUTED_VALUE"""),"")</f>
        <v/>
      </c>
      <c r="E415" s="472" t="str">
        <f ca="1">IFERROR(__xludf.DUMMYFUNCTION("""COMPUTED_VALUE"""),"")</f>
        <v/>
      </c>
      <c r="F415" s="472" t="str">
        <f ca="1">IFERROR(__xludf.DUMMYFUNCTION("""COMPUTED_VALUE"""),"")</f>
        <v/>
      </c>
      <c r="G415" s="472" t="str">
        <f ca="1">IFERROR(__xludf.DUMMYFUNCTION("""COMPUTED_VALUE"""),"")</f>
        <v/>
      </c>
      <c r="H415" s="472" t="str">
        <f ca="1">IFERROR(__xludf.DUMMYFUNCTION("""COMPUTED_VALUE"""),"")</f>
        <v/>
      </c>
      <c r="I415" s="472" t="str">
        <f ca="1">IFERROR(__xludf.DUMMYFUNCTION("""COMPUTED_VALUE"""),"")</f>
        <v/>
      </c>
      <c r="J415" s="472" t="str">
        <f ca="1">IFERROR(__xludf.DUMMYFUNCTION("""COMPUTED_VALUE"""),"")</f>
        <v/>
      </c>
    </row>
    <row r="416" spans="1:10" ht="15.75">
      <c r="A416" s="472" t="str">
        <f ca="1">IFERROR(__xludf.DUMMYFUNCTION("""COMPUTED_VALUE"""),"")</f>
        <v/>
      </c>
      <c r="B416" s="472" t="str">
        <f ca="1">IFERROR(__xludf.DUMMYFUNCTION("""COMPUTED_VALUE"""),"")</f>
        <v/>
      </c>
      <c r="C416" s="472" t="str">
        <f ca="1">IFERROR(__xludf.DUMMYFUNCTION("""COMPUTED_VALUE"""),"")</f>
        <v/>
      </c>
      <c r="D416" s="472" t="str">
        <f ca="1">IFERROR(__xludf.DUMMYFUNCTION("""COMPUTED_VALUE"""),"")</f>
        <v/>
      </c>
      <c r="E416" s="472" t="str">
        <f ca="1">IFERROR(__xludf.DUMMYFUNCTION("""COMPUTED_VALUE"""),"")</f>
        <v/>
      </c>
      <c r="F416" s="472" t="str">
        <f ca="1">IFERROR(__xludf.DUMMYFUNCTION("""COMPUTED_VALUE"""),"")</f>
        <v/>
      </c>
      <c r="G416" s="472" t="str">
        <f ca="1">IFERROR(__xludf.DUMMYFUNCTION("""COMPUTED_VALUE"""),"")</f>
        <v/>
      </c>
      <c r="H416" s="472" t="str">
        <f ca="1">IFERROR(__xludf.DUMMYFUNCTION("""COMPUTED_VALUE"""),"")</f>
        <v/>
      </c>
      <c r="I416" s="472" t="str">
        <f ca="1">IFERROR(__xludf.DUMMYFUNCTION("""COMPUTED_VALUE"""),"")</f>
        <v/>
      </c>
      <c r="J416" s="472" t="str">
        <f ca="1">IFERROR(__xludf.DUMMYFUNCTION("""COMPUTED_VALUE"""),"")</f>
        <v/>
      </c>
    </row>
    <row r="417" spans="1:10" ht="15.75">
      <c r="A417" s="472" t="str">
        <f ca="1">IFERROR(__xludf.DUMMYFUNCTION("""COMPUTED_VALUE"""),"")</f>
        <v/>
      </c>
      <c r="B417" s="472" t="str">
        <f ca="1">IFERROR(__xludf.DUMMYFUNCTION("""COMPUTED_VALUE"""),"")</f>
        <v/>
      </c>
      <c r="C417" s="472" t="str">
        <f ca="1">IFERROR(__xludf.DUMMYFUNCTION("""COMPUTED_VALUE"""),"")</f>
        <v/>
      </c>
      <c r="D417" s="472" t="str">
        <f ca="1">IFERROR(__xludf.DUMMYFUNCTION("""COMPUTED_VALUE"""),"")</f>
        <v/>
      </c>
      <c r="E417" s="472" t="str">
        <f ca="1">IFERROR(__xludf.DUMMYFUNCTION("""COMPUTED_VALUE"""),"")</f>
        <v/>
      </c>
      <c r="F417" s="472" t="str">
        <f ca="1">IFERROR(__xludf.DUMMYFUNCTION("""COMPUTED_VALUE"""),"")</f>
        <v/>
      </c>
      <c r="G417" s="472" t="str">
        <f ca="1">IFERROR(__xludf.DUMMYFUNCTION("""COMPUTED_VALUE"""),"")</f>
        <v/>
      </c>
      <c r="H417" s="472" t="str">
        <f ca="1">IFERROR(__xludf.DUMMYFUNCTION("""COMPUTED_VALUE"""),"")</f>
        <v/>
      </c>
      <c r="I417" s="472" t="str">
        <f ca="1">IFERROR(__xludf.DUMMYFUNCTION("""COMPUTED_VALUE"""),"")</f>
        <v/>
      </c>
      <c r="J417" s="472" t="str">
        <f ca="1">IFERROR(__xludf.DUMMYFUNCTION("""COMPUTED_VALUE"""),"")</f>
        <v/>
      </c>
    </row>
    <row r="418" spans="1:10" ht="15.75">
      <c r="A418" s="472" t="str">
        <f ca="1">IFERROR(__xludf.DUMMYFUNCTION("""COMPUTED_VALUE"""),"")</f>
        <v/>
      </c>
      <c r="B418" s="472" t="str">
        <f ca="1">IFERROR(__xludf.DUMMYFUNCTION("""COMPUTED_VALUE"""),"")</f>
        <v/>
      </c>
      <c r="C418" s="472" t="str">
        <f ca="1">IFERROR(__xludf.DUMMYFUNCTION("""COMPUTED_VALUE"""),"")</f>
        <v/>
      </c>
      <c r="D418" s="472" t="str">
        <f ca="1">IFERROR(__xludf.DUMMYFUNCTION("""COMPUTED_VALUE"""),"")</f>
        <v/>
      </c>
      <c r="E418" s="472" t="str">
        <f ca="1">IFERROR(__xludf.DUMMYFUNCTION("""COMPUTED_VALUE"""),"")</f>
        <v/>
      </c>
      <c r="F418" s="472" t="str">
        <f ca="1">IFERROR(__xludf.DUMMYFUNCTION("""COMPUTED_VALUE"""),"")</f>
        <v/>
      </c>
      <c r="G418" s="472" t="str">
        <f ca="1">IFERROR(__xludf.DUMMYFUNCTION("""COMPUTED_VALUE"""),"")</f>
        <v/>
      </c>
      <c r="H418" s="472" t="str">
        <f ca="1">IFERROR(__xludf.DUMMYFUNCTION("""COMPUTED_VALUE"""),"")</f>
        <v/>
      </c>
      <c r="I418" s="472" t="str">
        <f ca="1">IFERROR(__xludf.DUMMYFUNCTION("""COMPUTED_VALUE"""),"")</f>
        <v/>
      </c>
      <c r="J418" s="472" t="str">
        <f ca="1">IFERROR(__xludf.DUMMYFUNCTION("""COMPUTED_VALUE"""),"")</f>
        <v/>
      </c>
    </row>
    <row r="419" spans="1:10" ht="15.75">
      <c r="A419" s="472" t="str">
        <f ca="1">IFERROR(__xludf.DUMMYFUNCTION("""COMPUTED_VALUE"""),"")</f>
        <v/>
      </c>
      <c r="B419" s="472" t="str">
        <f ca="1">IFERROR(__xludf.DUMMYFUNCTION("""COMPUTED_VALUE"""),"")</f>
        <v/>
      </c>
      <c r="C419" s="472" t="str">
        <f ca="1">IFERROR(__xludf.DUMMYFUNCTION("""COMPUTED_VALUE"""),"")</f>
        <v/>
      </c>
      <c r="D419" s="472" t="str">
        <f ca="1">IFERROR(__xludf.DUMMYFUNCTION("""COMPUTED_VALUE"""),"")</f>
        <v/>
      </c>
      <c r="E419" s="472" t="str">
        <f ca="1">IFERROR(__xludf.DUMMYFUNCTION("""COMPUTED_VALUE"""),"")</f>
        <v/>
      </c>
      <c r="F419" s="472" t="str">
        <f ca="1">IFERROR(__xludf.DUMMYFUNCTION("""COMPUTED_VALUE"""),"")</f>
        <v/>
      </c>
      <c r="G419" s="472" t="str">
        <f ca="1">IFERROR(__xludf.DUMMYFUNCTION("""COMPUTED_VALUE"""),"")</f>
        <v/>
      </c>
      <c r="H419" s="472" t="str">
        <f ca="1">IFERROR(__xludf.DUMMYFUNCTION("""COMPUTED_VALUE"""),"")</f>
        <v/>
      </c>
      <c r="I419" s="472" t="str">
        <f ca="1">IFERROR(__xludf.DUMMYFUNCTION("""COMPUTED_VALUE"""),"")</f>
        <v/>
      </c>
      <c r="J419" s="472" t="str">
        <f ca="1">IFERROR(__xludf.DUMMYFUNCTION("""COMPUTED_VALUE"""),"")</f>
        <v/>
      </c>
    </row>
    <row r="420" spans="1:10" ht="15.75">
      <c r="A420" s="472" t="str">
        <f ca="1">IFERROR(__xludf.DUMMYFUNCTION("""COMPUTED_VALUE"""),"")</f>
        <v/>
      </c>
      <c r="B420" s="472" t="str">
        <f ca="1">IFERROR(__xludf.DUMMYFUNCTION("""COMPUTED_VALUE"""),"")</f>
        <v/>
      </c>
      <c r="C420" s="472" t="str">
        <f ca="1">IFERROR(__xludf.DUMMYFUNCTION("""COMPUTED_VALUE"""),"")</f>
        <v/>
      </c>
      <c r="D420" s="472" t="str">
        <f ca="1">IFERROR(__xludf.DUMMYFUNCTION("""COMPUTED_VALUE"""),"")</f>
        <v/>
      </c>
      <c r="E420" s="472" t="str">
        <f ca="1">IFERROR(__xludf.DUMMYFUNCTION("""COMPUTED_VALUE"""),"")</f>
        <v/>
      </c>
      <c r="F420" s="472" t="str">
        <f ca="1">IFERROR(__xludf.DUMMYFUNCTION("""COMPUTED_VALUE"""),"")</f>
        <v/>
      </c>
      <c r="G420" s="472" t="str">
        <f ca="1">IFERROR(__xludf.DUMMYFUNCTION("""COMPUTED_VALUE"""),"")</f>
        <v/>
      </c>
      <c r="H420" s="472" t="str">
        <f ca="1">IFERROR(__xludf.DUMMYFUNCTION("""COMPUTED_VALUE"""),"")</f>
        <v/>
      </c>
      <c r="I420" s="472" t="str">
        <f ca="1">IFERROR(__xludf.DUMMYFUNCTION("""COMPUTED_VALUE"""),"")</f>
        <v/>
      </c>
      <c r="J420" s="472" t="str">
        <f ca="1">IFERROR(__xludf.DUMMYFUNCTION("""COMPUTED_VALUE"""),"")</f>
        <v/>
      </c>
    </row>
    <row r="421" spans="1:10" ht="15.75">
      <c r="A421" s="472" t="str">
        <f ca="1">IFERROR(__xludf.DUMMYFUNCTION("""COMPUTED_VALUE"""),"")</f>
        <v/>
      </c>
      <c r="B421" s="472" t="str">
        <f ca="1">IFERROR(__xludf.DUMMYFUNCTION("""COMPUTED_VALUE"""),"")</f>
        <v/>
      </c>
      <c r="C421" s="472" t="str">
        <f ca="1">IFERROR(__xludf.DUMMYFUNCTION("""COMPUTED_VALUE"""),"")</f>
        <v/>
      </c>
      <c r="D421" s="472" t="str">
        <f ca="1">IFERROR(__xludf.DUMMYFUNCTION("""COMPUTED_VALUE"""),"")</f>
        <v/>
      </c>
      <c r="E421" s="472" t="str">
        <f ca="1">IFERROR(__xludf.DUMMYFUNCTION("""COMPUTED_VALUE"""),"")</f>
        <v/>
      </c>
      <c r="F421" s="472" t="str">
        <f ca="1">IFERROR(__xludf.DUMMYFUNCTION("""COMPUTED_VALUE"""),"")</f>
        <v/>
      </c>
      <c r="G421" s="472" t="str">
        <f ca="1">IFERROR(__xludf.DUMMYFUNCTION("""COMPUTED_VALUE"""),"")</f>
        <v/>
      </c>
      <c r="H421" s="472" t="str">
        <f ca="1">IFERROR(__xludf.DUMMYFUNCTION("""COMPUTED_VALUE"""),"")</f>
        <v/>
      </c>
      <c r="I421" s="472" t="str">
        <f ca="1">IFERROR(__xludf.DUMMYFUNCTION("""COMPUTED_VALUE"""),"")</f>
        <v/>
      </c>
      <c r="J421" s="472" t="str">
        <f ca="1">IFERROR(__xludf.DUMMYFUNCTION("""COMPUTED_VALUE"""),"")</f>
        <v/>
      </c>
    </row>
    <row r="422" spans="1:10" ht="15.75">
      <c r="A422" s="472" t="str">
        <f ca="1">IFERROR(__xludf.DUMMYFUNCTION("""COMPUTED_VALUE"""),"")</f>
        <v/>
      </c>
      <c r="B422" s="472" t="str">
        <f ca="1">IFERROR(__xludf.DUMMYFUNCTION("""COMPUTED_VALUE"""),"")</f>
        <v/>
      </c>
      <c r="C422" s="472" t="str">
        <f ca="1">IFERROR(__xludf.DUMMYFUNCTION("""COMPUTED_VALUE"""),"")</f>
        <v/>
      </c>
      <c r="D422" s="472" t="str">
        <f ca="1">IFERROR(__xludf.DUMMYFUNCTION("""COMPUTED_VALUE"""),"")</f>
        <v/>
      </c>
      <c r="E422" s="472" t="str">
        <f ca="1">IFERROR(__xludf.DUMMYFUNCTION("""COMPUTED_VALUE"""),"")</f>
        <v/>
      </c>
      <c r="F422" s="472" t="str">
        <f ca="1">IFERROR(__xludf.DUMMYFUNCTION("""COMPUTED_VALUE"""),"")</f>
        <v/>
      </c>
      <c r="G422" s="472" t="str">
        <f ca="1">IFERROR(__xludf.DUMMYFUNCTION("""COMPUTED_VALUE"""),"")</f>
        <v/>
      </c>
      <c r="H422" s="472" t="str">
        <f ca="1">IFERROR(__xludf.DUMMYFUNCTION("""COMPUTED_VALUE"""),"")</f>
        <v/>
      </c>
      <c r="I422" s="472" t="str">
        <f ca="1">IFERROR(__xludf.DUMMYFUNCTION("""COMPUTED_VALUE"""),"")</f>
        <v/>
      </c>
      <c r="J422" s="472" t="str">
        <f ca="1">IFERROR(__xludf.DUMMYFUNCTION("""COMPUTED_VALUE"""),"")</f>
        <v/>
      </c>
    </row>
    <row r="423" spans="1:10" ht="15.75">
      <c r="C423" s="472" t="str">
        <f ca="1">IFERROR(__xludf.DUMMYFUNCTION("""COMPUTED_VALUE"""),"")</f>
        <v/>
      </c>
      <c r="D423" s="472" t="str">
        <f ca="1">IFERROR(__xludf.DUMMYFUNCTION("""COMPUTED_VALUE"""),"")</f>
        <v/>
      </c>
      <c r="E423" s="472" t="str">
        <f ca="1">IFERROR(__xludf.DUMMYFUNCTION("""COMPUTED_VALUE"""),"")</f>
        <v/>
      </c>
      <c r="F423" s="472" t="str">
        <f ca="1">IFERROR(__xludf.DUMMYFUNCTION("""COMPUTED_VALUE"""),"")</f>
        <v/>
      </c>
      <c r="G423" s="472" t="str">
        <f ca="1">IFERROR(__xludf.DUMMYFUNCTION("""COMPUTED_VALUE"""),"")</f>
        <v/>
      </c>
      <c r="H423" s="472" t="str">
        <f ca="1">IFERROR(__xludf.DUMMYFUNCTION("""COMPUTED_VALUE"""),"")</f>
        <v/>
      </c>
      <c r="I423" s="472" t="str">
        <f ca="1">IFERROR(__xludf.DUMMYFUNCTION("""COMPUTED_VALUE"""),"")</f>
        <v/>
      </c>
      <c r="J423" s="472" t="str">
        <f ca="1">IFERROR(__xludf.DUMMYFUNCTION("""COMPUTED_VALUE"""),"")</f>
        <v/>
      </c>
    </row>
  </sheetData>
  <autoFilter ref="A1:AA1001" xr:uid="{97EDE9F7-DA8E-4FA4-8E1D-CE9B4A15CA31}"/>
  <sortState xmlns:xlrd2="http://schemas.microsoft.com/office/spreadsheetml/2017/richdata2" ref="A2:O43">
    <sortCondition ref="G2:G43"/>
    <sortCondition ref="C2:C43"/>
    <sortCondition descending="1" ref="I2:I43"/>
  </sortState>
  <mergeCells count="2">
    <mergeCell ref="A47:B47"/>
    <mergeCell ref="D47:G4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K410"/>
  <sheetViews>
    <sheetView zoomScale="70" zoomScaleNormal="70" workbookViewId="0">
      <selection activeCell="I19" sqref="I19"/>
    </sheetView>
  </sheetViews>
  <sheetFormatPr defaultColWidth="12.625" defaultRowHeight="15" customHeight="1"/>
  <cols>
    <col min="1" max="1" width="38.625" style="464" customWidth="1"/>
    <col min="2" max="2" width="12.375" style="464" customWidth="1"/>
    <col min="3" max="3" width="10.375" style="464" customWidth="1"/>
    <col min="4" max="4" width="15.75" style="464" customWidth="1"/>
    <col min="5" max="5" width="21" style="464" customWidth="1"/>
    <col min="6" max="6" width="20.125" style="464" customWidth="1"/>
    <col min="7" max="7" width="18.625" style="464" customWidth="1"/>
    <col min="8" max="8" width="9.75" style="464" customWidth="1"/>
    <col min="9" max="9" width="15.5" style="464" customWidth="1"/>
    <col min="10" max="10" width="13.375" style="464" hidden="1" customWidth="1"/>
    <col min="11" max="13" width="0" style="464" hidden="1" customWidth="1"/>
    <col min="14" max="14" width="0" style="465" hidden="1" customWidth="1"/>
    <col min="15" max="16" width="12.625" style="464"/>
    <col min="17" max="17" width="22" style="464" hidden="1" customWidth="1"/>
    <col min="18" max="21" width="0" style="464" hidden="1" customWidth="1"/>
    <col min="22" max="16384" width="12.625" style="464"/>
  </cols>
  <sheetData>
    <row r="1" spans="1:27" s="429" customFormat="1" ht="47.25">
      <c r="A1" s="424" t="s">
        <v>1224</v>
      </c>
      <c r="B1" s="424" t="s">
        <v>1225</v>
      </c>
      <c r="C1" s="424" t="s">
        <v>1228</v>
      </c>
      <c r="D1" s="424" t="s">
        <v>1246</v>
      </c>
      <c r="E1" s="424" t="s">
        <v>1247</v>
      </c>
      <c r="F1" s="424" t="s">
        <v>1248</v>
      </c>
      <c r="G1" s="424" t="s">
        <v>18</v>
      </c>
      <c r="H1" s="424" t="s">
        <v>1249</v>
      </c>
      <c r="I1" s="424" t="s">
        <v>1250</v>
      </c>
      <c r="J1" s="424" t="s">
        <v>10</v>
      </c>
      <c r="K1" s="425" t="s">
        <v>3651</v>
      </c>
      <c r="L1" s="425" t="s">
        <v>3652</v>
      </c>
      <c r="M1" s="425" t="s">
        <v>3653</v>
      </c>
      <c r="N1" s="425" t="s">
        <v>3654</v>
      </c>
      <c r="O1" s="426">
        <v>43991</v>
      </c>
      <c r="P1" s="427" t="s">
        <v>3655</v>
      </c>
      <c r="Q1" s="428" t="s">
        <v>3656</v>
      </c>
      <c r="R1" s="427"/>
      <c r="S1" s="427" t="s">
        <v>3657</v>
      </c>
      <c r="T1" s="425" t="s">
        <v>3658</v>
      </c>
    </row>
    <row r="2" spans="1:27" s="436" customFormat="1" ht="15.75">
      <c r="A2" s="430" t="s">
        <v>392</v>
      </c>
      <c r="B2" s="430" t="s">
        <v>3659</v>
      </c>
      <c r="C2" s="430" t="s">
        <v>1480</v>
      </c>
      <c r="D2" s="430" t="s">
        <v>2107</v>
      </c>
      <c r="E2" s="430" t="s">
        <v>2108</v>
      </c>
      <c r="F2" s="430" t="s">
        <v>2109</v>
      </c>
      <c r="G2" s="430" t="s">
        <v>54</v>
      </c>
      <c r="H2" s="430" t="s">
        <v>30</v>
      </c>
      <c r="I2" s="430">
        <v>300</v>
      </c>
      <c r="J2" s="430" t="s">
        <v>6903</v>
      </c>
      <c r="K2" s="431">
        <v>8.3333333333333339</v>
      </c>
      <c r="L2" s="431">
        <v>9.0833333333333339</v>
      </c>
      <c r="M2" s="496">
        <v>3</v>
      </c>
      <c r="N2" s="433">
        <v>1</v>
      </c>
      <c r="O2" s="434">
        <f>$O$1+N2</f>
        <v>43992</v>
      </c>
      <c r="P2" s="437" t="s">
        <v>3699</v>
      </c>
      <c r="Q2" s="497">
        <f>ROUNDUP(I2/$R$2,0)</f>
        <v>6</v>
      </c>
      <c r="R2" s="436">
        <v>50</v>
      </c>
      <c r="S2" s="436" t="s">
        <v>3661</v>
      </c>
      <c r="T2" s="436">
        <v>5</v>
      </c>
    </row>
    <row r="3" spans="1:27" s="436" customFormat="1" ht="15.75">
      <c r="A3" s="430" t="s">
        <v>787</v>
      </c>
      <c r="B3" s="430" t="s">
        <v>2855</v>
      </c>
      <c r="C3" s="430" t="s">
        <v>1480</v>
      </c>
      <c r="D3" s="430" t="s">
        <v>2857</v>
      </c>
      <c r="E3" s="430" t="s">
        <v>2858</v>
      </c>
      <c r="F3" s="430" t="s">
        <v>2859</v>
      </c>
      <c r="G3" s="430" t="s">
        <v>18</v>
      </c>
      <c r="H3" s="430" t="s">
        <v>30</v>
      </c>
      <c r="I3" s="430">
        <v>230</v>
      </c>
      <c r="J3" s="430" t="s">
        <v>3659</v>
      </c>
      <c r="K3" s="431">
        <v>6.3888888888888893</v>
      </c>
      <c r="L3" s="431">
        <v>7.1388888888888893</v>
      </c>
      <c r="M3" s="496"/>
      <c r="N3" s="435">
        <v>2</v>
      </c>
      <c r="O3" s="434">
        <f t="shared" ref="O3:O19" si="0">$O$1+N3</f>
        <v>43993</v>
      </c>
      <c r="P3" s="437" t="s">
        <v>3700</v>
      </c>
      <c r="Q3" s="497">
        <f t="shared" ref="Q3:Q51" si="1">ROUNDUP(I3/$R$2,0)</f>
        <v>5</v>
      </c>
    </row>
    <row r="4" spans="1:27" s="436" customFormat="1" ht="15.75">
      <c r="A4" s="430" t="s">
        <v>464</v>
      </c>
      <c r="B4" s="430" t="s">
        <v>3659</v>
      </c>
      <c r="C4" s="430" t="s">
        <v>1480</v>
      </c>
      <c r="D4" s="430" t="s">
        <v>2209</v>
      </c>
      <c r="E4" s="430" t="s">
        <v>2210</v>
      </c>
      <c r="F4" s="430" t="s">
        <v>2211</v>
      </c>
      <c r="G4" s="430" t="s">
        <v>18</v>
      </c>
      <c r="H4" s="430" t="s">
        <v>30</v>
      </c>
      <c r="I4" s="430">
        <v>190</v>
      </c>
      <c r="J4" s="430" t="s">
        <v>3659</v>
      </c>
      <c r="K4" s="431">
        <v>5.2777777777777777</v>
      </c>
      <c r="L4" s="431">
        <v>6.0277777777777777</v>
      </c>
      <c r="M4" s="496"/>
      <c r="N4" s="435">
        <v>3</v>
      </c>
      <c r="O4" s="434">
        <f t="shared" si="0"/>
        <v>43994</v>
      </c>
      <c r="P4" s="437" t="s">
        <v>3701</v>
      </c>
      <c r="Q4" s="497">
        <f t="shared" si="1"/>
        <v>4</v>
      </c>
    </row>
    <row r="5" spans="1:27" s="436" customFormat="1" ht="15.75">
      <c r="A5" s="430" t="s">
        <v>3060</v>
      </c>
      <c r="B5" s="430" t="s">
        <v>343</v>
      </c>
      <c r="C5" s="430" t="s">
        <v>1480</v>
      </c>
      <c r="D5" s="430" t="s">
        <v>3061</v>
      </c>
      <c r="E5" s="430" t="s">
        <v>3062</v>
      </c>
      <c r="F5" s="430" t="s">
        <v>2924</v>
      </c>
      <c r="G5" s="430" t="s">
        <v>18</v>
      </c>
      <c r="H5" s="430" t="s">
        <v>1298</v>
      </c>
      <c r="I5" s="430">
        <v>190</v>
      </c>
      <c r="J5" s="430" t="s">
        <v>3659</v>
      </c>
      <c r="K5" s="431">
        <v>5.2777777777777777</v>
      </c>
      <c r="L5" s="431">
        <v>6.0277777777777777</v>
      </c>
      <c r="M5" s="496"/>
      <c r="N5" s="433">
        <v>4</v>
      </c>
      <c r="O5" s="434">
        <f t="shared" si="0"/>
        <v>43995</v>
      </c>
      <c r="P5" s="437" t="s">
        <v>3701</v>
      </c>
      <c r="Q5" s="497">
        <f t="shared" si="1"/>
        <v>4</v>
      </c>
    </row>
    <row r="6" spans="1:27" s="436" customFormat="1" ht="15.75">
      <c r="A6" s="430" t="s">
        <v>820</v>
      </c>
      <c r="B6" s="430" t="s">
        <v>3659</v>
      </c>
      <c r="C6" s="430" t="s">
        <v>1480</v>
      </c>
      <c r="D6" s="430" t="s">
        <v>2935</v>
      </c>
      <c r="E6" s="430" t="s">
        <v>2936</v>
      </c>
      <c r="F6" s="430" t="s">
        <v>1965</v>
      </c>
      <c r="G6" s="430" t="s">
        <v>18</v>
      </c>
      <c r="H6" s="430" t="s">
        <v>19</v>
      </c>
      <c r="I6" s="430">
        <v>150</v>
      </c>
      <c r="J6" s="430" t="s">
        <v>3659</v>
      </c>
      <c r="K6" s="431">
        <v>4.166666666666667</v>
      </c>
      <c r="L6" s="431">
        <v>4.916666666666667</v>
      </c>
      <c r="M6" s="496"/>
      <c r="N6" s="433">
        <v>6</v>
      </c>
      <c r="O6" s="434">
        <f t="shared" si="0"/>
        <v>43997</v>
      </c>
      <c r="P6" s="437" t="s">
        <v>3660</v>
      </c>
      <c r="Q6" s="497">
        <f t="shared" si="1"/>
        <v>3</v>
      </c>
    </row>
    <row r="7" spans="1:27" s="436" customFormat="1" ht="15.75">
      <c r="A7" s="430" t="s">
        <v>816</v>
      </c>
      <c r="B7" s="430" t="s">
        <v>3659</v>
      </c>
      <c r="C7" s="430" t="s">
        <v>1480</v>
      </c>
      <c r="D7" s="430" t="s">
        <v>2922</v>
      </c>
      <c r="E7" s="430" t="s">
        <v>2923</v>
      </c>
      <c r="F7" s="430" t="s">
        <v>2924</v>
      </c>
      <c r="G7" s="430" t="s">
        <v>18</v>
      </c>
      <c r="H7" s="430" t="s">
        <v>30</v>
      </c>
      <c r="I7" s="430">
        <v>145</v>
      </c>
      <c r="J7" s="430" t="s">
        <v>3659</v>
      </c>
      <c r="K7" s="431">
        <v>4.0277777777777777</v>
      </c>
      <c r="L7" s="431">
        <v>4.7777777777777777</v>
      </c>
      <c r="M7" s="496"/>
      <c r="N7" s="433">
        <v>6</v>
      </c>
      <c r="O7" s="434">
        <f t="shared" si="0"/>
        <v>43997</v>
      </c>
      <c r="P7" s="437" t="s">
        <v>3702</v>
      </c>
      <c r="Q7" s="497">
        <f t="shared" si="1"/>
        <v>3</v>
      </c>
    </row>
    <row r="8" spans="1:27" s="436" customFormat="1" ht="15.75">
      <c r="A8" s="430" t="s">
        <v>1743</v>
      </c>
      <c r="B8" s="430" t="s">
        <v>343</v>
      </c>
      <c r="C8" s="430" t="s">
        <v>1480</v>
      </c>
      <c r="D8" s="430" t="s">
        <v>1745</v>
      </c>
      <c r="E8" s="430" t="s">
        <v>1746</v>
      </c>
      <c r="F8" s="430" t="s">
        <v>1747</v>
      </c>
      <c r="G8" s="430" t="s">
        <v>18</v>
      </c>
      <c r="H8" s="430" t="s">
        <v>1298</v>
      </c>
      <c r="I8" s="430">
        <v>142</v>
      </c>
      <c r="J8" s="430" t="s">
        <v>3659</v>
      </c>
      <c r="K8" s="431">
        <v>3.9444444444444446</v>
      </c>
      <c r="L8" s="431">
        <v>4.6944444444444446</v>
      </c>
      <c r="M8" s="496"/>
      <c r="N8" s="433">
        <v>7</v>
      </c>
      <c r="O8" s="434">
        <f t="shared" si="0"/>
        <v>43998</v>
      </c>
      <c r="P8" s="437" t="s">
        <v>3660</v>
      </c>
      <c r="Q8" s="497">
        <f t="shared" si="1"/>
        <v>3</v>
      </c>
    </row>
    <row r="9" spans="1:27" s="436" customFormat="1" ht="15.75">
      <c r="A9" s="430" t="s">
        <v>3201</v>
      </c>
      <c r="B9" s="430" t="s">
        <v>1312</v>
      </c>
      <c r="C9" s="430" t="s">
        <v>1480</v>
      </c>
      <c r="D9" s="430" t="s">
        <v>3202</v>
      </c>
      <c r="E9" s="430" t="s">
        <v>3203</v>
      </c>
      <c r="F9" s="430" t="s">
        <v>2109</v>
      </c>
      <c r="G9" s="430" t="s">
        <v>18</v>
      </c>
      <c r="H9" s="430" t="s">
        <v>1298</v>
      </c>
      <c r="I9" s="430">
        <v>135</v>
      </c>
      <c r="J9" s="430" t="s">
        <v>3659</v>
      </c>
      <c r="K9" s="431">
        <v>3.75</v>
      </c>
      <c r="L9" s="431">
        <v>4.5</v>
      </c>
      <c r="M9" s="496"/>
      <c r="N9" s="433">
        <v>7</v>
      </c>
      <c r="O9" s="434">
        <f t="shared" si="0"/>
        <v>43998</v>
      </c>
      <c r="P9" s="437" t="s">
        <v>3703</v>
      </c>
      <c r="Q9" s="497">
        <f t="shared" si="1"/>
        <v>3</v>
      </c>
    </row>
    <row r="10" spans="1:27" s="436" customFormat="1" ht="15.75">
      <c r="A10" s="430" t="s">
        <v>132</v>
      </c>
      <c r="B10" s="430" t="s">
        <v>3659</v>
      </c>
      <c r="C10" s="430" t="s">
        <v>1480</v>
      </c>
      <c r="D10" s="430" t="s">
        <v>1482</v>
      </c>
      <c r="E10" s="430" t="s">
        <v>1483</v>
      </c>
      <c r="F10" s="430" t="s">
        <v>1484</v>
      </c>
      <c r="G10" s="430" t="s">
        <v>18</v>
      </c>
      <c r="H10" s="430" t="s">
        <v>30</v>
      </c>
      <c r="I10" s="430">
        <v>100</v>
      </c>
      <c r="J10" s="430" t="s">
        <v>3659</v>
      </c>
      <c r="K10" s="431">
        <v>2.7777777777777777</v>
      </c>
      <c r="L10" s="431">
        <v>3.5277777777777777</v>
      </c>
      <c r="M10" s="496"/>
      <c r="N10" s="433">
        <v>8</v>
      </c>
      <c r="O10" s="434">
        <f t="shared" si="0"/>
        <v>43999</v>
      </c>
      <c r="P10" s="437" t="s">
        <v>3679</v>
      </c>
      <c r="Q10" s="497">
        <f t="shared" si="1"/>
        <v>2</v>
      </c>
    </row>
    <row r="11" spans="1:27" s="436" customFormat="1" ht="15.75">
      <c r="A11" s="430" t="s">
        <v>166</v>
      </c>
      <c r="B11" s="430" t="s">
        <v>3659</v>
      </c>
      <c r="C11" s="430" t="s">
        <v>1480</v>
      </c>
      <c r="D11" s="430" t="s">
        <v>1548</v>
      </c>
      <c r="E11" s="430" t="s">
        <v>1549</v>
      </c>
      <c r="F11" s="430" t="s">
        <v>1550</v>
      </c>
      <c r="G11" s="430" t="s">
        <v>18</v>
      </c>
      <c r="H11" s="430" t="s">
        <v>30</v>
      </c>
      <c r="I11" s="430">
        <v>100</v>
      </c>
      <c r="J11" s="430" t="s">
        <v>3659</v>
      </c>
      <c r="K11" s="431">
        <v>2.7777777777777777</v>
      </c>
      <c r="L11" s="431">
        <v>3.5277777777777777</v>
      </c>
      <c r="M11" s="496"/>
      <c r="N11" s="433">
        <v>8</v>
      </c>
      <c r="O11" s="434">
        <f t="shared" si="0"/>
        <v>43999</v>
      </c>
      <c r="P11" s="430" t="s">
        <v>3704</v>
      </c>
      <c r="Q11" s="497">
        <f t="shared" si="1"/>
        <v>2</v>
      </c>
      <c r="R11" s="435"/>
      <c r="S11" s="435"/>
      <c r="T11" s="435"/>
      <c r="U11" s="435"/>
      <c r="V11" s="435"/>
      <c r="W11" s="435"/>
      <c r="X11" s="435"/>
      <c r="Y11" s="435"/>
      <c r="Z11" s="435"/>
      <c r="AA11" s="435"/>
    </row>
    <row r="12" spans="1:27" s="436" customFormat="1" ht="15.75">
      <c r="A12" s="430" t="s">
        <v>1609</v>
      </c>
      <c r="B12" s="430" t="s">
        <v>343</v>
      </c>
      <c r="C12" s="430" t="s">
        <v>1480</v>
      </c>
      <c r="D12" s="430" t="s">
        <v>1610</v>
      </c>
      <c r="E12" s="430" t="s">
        <v>1611</v>
      </c>
      <c r="F12" s="430" t="s">
        <v>1612</v>
      </c>
      <c r="G12" s="430" t="s">
        <v>18</v>
      </c>
      <c r="H12" s="430" t="s">
        <v>1298</v>
      </c>
      <c r="I12" s="430">
        <v>100</v>
      </c>
      <c r="J12" s="430" t="s">
        <v>3659</v>
      </c>
      <c r="K12" s="431">
        <v>2.7777777777777777</v>
      </c>
      <c r="L12" s="431">
        <v>3.5277777777777777</v>
      </c>
      <c r="M12" s="496"/>
      <c r="N12" s="433">
        <v>8</v>
      </c>
      <c r="O12" s="434">
        <f t="shared" si="0"/>
        <v>43999</v>
      </c>
      <c r="P12" s="437" t="s">
        <v>3705</v>
      </c>
      <c r="Q12" s="497">
        <f t="shared" si="1"/>
        <v>2</v>
      </c>
    </row>
    <row r="13" spans="1:27" s="436" customFormat="1" ht="15.75">
      <c r="A13" s="430" t="s">
        <v>3215</v>
      </c>
      <c r="B13" s="430" t="s">
        <v>343</v>
      </c>
      <c r="C13" s="430" t="s">
        <v>1480</v>
      </c>
      <c r="D13" s="430" t="s">
        <v>3216</v>
      </c>
      <c r="E13" s="430" t="s">
        <v>3217</v>
      </c>
      <c r="F13" s="430" t="s">
        <v>1550</v>
      </c>
      <c r="G13" s="430" t="s">
        <v>18</v>
      </c>
      <c r="H13" s="430" t="s">
        <v>1298</v>
      </c>
      <c r="I13" s="430">
        <v>100</v>
      </c>
      <c r="J13" s="430" t="s">
        <v>3659</v>
      </c>
      <c r="K13" s="431">
        <v>2.7777777777777777</v>
      </c>
      <c r="L13" s="431">
        <v>3.5277777777777777</v>
      </c>
      <c r="M13" s="496"/>
      <c r="N13" s="433">
        <v>9</v>
      </c>
      <c r="O13" s="434">
        <f t="shared" si="0"/>
        <v>44000</v>
      </c>
      <c r="P13" s="437" t="s">
        <v>3679</v>
      </c>
      <c r="Q13" s="497">
        <f t="shared" si="1"/>
        <v>2</v>
      </c>
    </row>
    <row r="14" spans="1:27" s="436" customFormat="1" ht="15.75">
      <c r="A14" s="430" t="s">
        <v>2494</v>
      </c>
      <c r="B14" s="430" t="s">
        <v>2423</v>
      </c>
      <c r="C14" s="430" t="s">
        <v>1480</v>
      </c>
      <c r="D14" s="430" t="s">
        <v>2495</v>
      </c>
      <c r="E14" s="430" t="s">
        <v>2496</v>
      </c>
      <c r="F14" s="430" t="s">
        <v>2062</v>
      </c>
      <c r="G14" s="430" t="s">
        <v>18</v>
      </c>
      <c r="H14" s="430" t="s">
        <v>1298</v>
      </c>
      <c r="I14" s="430">
        <v>77</v>
      </c>
      <c r="J14" s="430" t="s">
        <v>3659</v>
      </c>
      <c r="K14" s="431">
        <v>2.1388888888888888</v>
      </c>
      <c r="L14" s="431">
        <v>2.8888888888888888</v>
      </c>
      <c r="M14" s="496"/>
      <c r="N14" s="433">
        <v>10</v>
      </c>
      <c r="O14" s="434">
        <f t="shared" si="0"/>
        <v>44001</v>
      </c>
      <c r="P14" s="430" t="s">
        <v>3664</v>
      </c>
      <c r="Q14" s="497">
        <f t="shared" si="1"/>
        <v>2</v>
      </c>
      <c r="R14" s="435"/>
      <c r="S14" s="435"/>
      <c r="T14" s="435"/>
      <c r="U14" s="435"/>
      <c r="V14" s="435"/>
      <c r="W14" s="435"/>
      <c r="X14" s="435"/>
      <c r="Y14" s="435"/>
      <c r="Z14" s="435"/>
      <c r="AA14" s="435"/>
    </row>
    <row r="15" spans="1:27" s="436" customFormat="1" ht="15.75">
      <c r="A15" s="430" t="s">
        <v>1962</v>
      </c>
      <c r="B15" s="430" t="s">
        <v>1903</v>
      </c>
      <c r="C15" s="430" t="s">
        <v>1480</v>
      </c>
      <c r="D15" s="430" t="s">
        <v>1963</v>
      </c>
      <c r="E15" s="430" t="s">
        <v>3706</v>
      </c>
      <c r="F15" s="430" t="s">
        <v>1965</v>
      </c>
      <c r="G15" s="430" t="s">
        <v>18</v>
      </c>
      <c r="H15" s="430" t="s">
        <v>1298</v>
      </c>
      <c r="I15" s="430">
        <v>70</v>
      </c>
      <c r="J15" s="430" t="s">
        <v>3659</v>
      </c>
      <c r="K15" s="431">
        <v>1.9444444444444444</v>
      </c>
      <c r="L15" s="431">
        <v>2.6944444444444446</v>
      </c>
      <c r="M15" s="496"/>
      <c r="N15" s="433">
        <v>11</v>
      </c>
      <c r="O15" s="434">
        <f t="shared" si="0"/>
        <v>44002</v>
      </c>
      <c r="P15" s="437" t="s">
        <v>3664</v>
      </c>
      <c r="Q15" s="497">
        <f t="shared" si="1"/>
        <v>2</v>
      </c>
    </row>
    <row r="16" spans="1:27" s="436" customFormat="1" ht="15.75">
      <c r="A16" s="430" t="s">
        <v>3707</v>
      </c>
      <c r="B16" s="430" t="s">
        <v>1903</v>
      </c>
      <c r="C16" s="430" t="s">
        <v>1480</v>
      </c>
      <c r="D16" s="498">
        <v>5742772500</v>
      </c>
      <c r="E16" s="430" t="s">
        <v>3708</v>
      </c>
      <c r="F16" s="430" t="s">
        <v>3709</v>
      </c>
      <c r="G16" s="430" t="s">
        <v>18</v>
      </c>
      <c r="H16" s="430" t="s">
        <v>30</v>
      </c>
      <c r="I16" s="430">
        <v>107</v>
      </c>
      <c r="J16" s="430"/>
      <c r="K16" s="431">
        <f>I16/B62</f>
        <v>2.9722222222222223</v>
      </c>
      <c r="L16" s="431">
        <f>K16+(B60+B59)/60</f>
        <v>3.7222222222222223</v>
      </c>
      <c r="M16" s="496"/>
      <c r="N16" s="433">
        <v>11</v>
      </c>
      <c r="O16" s="434">
        <f t="shared" si="0"/>
        <v>44002</v>
      </c>
      <c r="P16" s="437" t="s">
        <v>3710</v>
      </c>
      <c r="Q16" s="497">
        <f t="shared" si="1"/>
        <v>3</v>
      </c>
    </row>
    <row r="17" spans="1:20" s="436" customFormat="1" ht="15.75">
      <c r="A17" s="430" t="s">
        <v>2536</v>
      </c>
      <c r="B17" s="430" t="s">
        <v>2423</v>
      </c>
      <c r="C17" s="430" t="s">
        <v>1723</v>
      </c>
      <c r="D17" s="430" t="s">
        <v>2538</v>
      </c>
      <c r="E17" s="430" t="s">
        <v>2539</v>
      </c>
      <c r="F17" s="430" t="s">
        <v>2540</v>
      </c>
      <c r="G17" s="430" t="s">
        <v>18</v>
      </c>
      <c r="H17" s="430" t="s">
        <v>1298</v>
      </c>
      <c r="I17" s="430">
        <v>164</v>
      </c>
      <c r="J17" s="430" t="s">
        <v>3659</v>
      </c>
      <c r="K17" s="431">
        <v>4.5555555555555554</v>
      </c>
      <c r="L17" s="431">
        <v>5.3055555555555554</v>
      </c>
      <c r="M17" s="496"/>
      <c r="N17" s="433">
        <v>13</v>
      </c>
      <c r="O17" s="434">
        <f t="shared" si="0"/>
        <v>44004</v>
      </c>
      <c r="P17" s="437" t="s">
        <v>3689</v>
      </c>
      <c r="Q17" s="497">
        <f t="shared" si="1"/>
        <v>4</v>
      </c>
    </row>
    <row r="18" spans="1:20" s="436" customFormat="1" ht="15.75">
      <c r="A18" s="430" t="s">
        <v>664</v>
      </c>
      <c r="B18" s="430" t="s">
        <v>3659</v>
      </c>
      <c r="C18" s="430" t="s">
        <v>1480</v>
      </c>
      <c r="D18" s="430" t="s">
        <v>2558</v>
      </c>
      <c r="E18" s="430" t="s">
        <v>2559</v>
      </c>
      <c r="F18" s="430" t="s">
        <v>2560</v>
      </c>
      <c r="G18" s="430" t="s">
        <v>18</v>
      </c>
      <c r="H18" s="430" t="s">
        <v>30</v>
      </c>
      <c r="I18" s="430">
        <v>60</v>
      </c>
      <c r="J18" s="430" t="s">
        <v>3659</v>
      </c>
      <c r="K18" s="431">
        <v>1.6666666666666667</v>
      </c>
      <c r="L18" s="431">
        <v>2.416666666666667</v>
      </c>
      <c r="M18" s="496"/>
      <c r="N18" s="433">
        <v>13</v>
      </c>
      <c r="O18" s="434">
        <f t="shared" si="0"/>
        <v>44004</v>
      </c>
      <c r="P18" s="499" t="s">
        <v>3711</v>
      </c>
      <c r="Q18" s="497">
        <f t="shared" si="1"/>
        <v>2</v>
      </c>
    </row>
    <row r="19" spans="1:20" s="436" customFormat="1" ht="15.75">
      <c r="A19" s="430" t="s">
        <v>2541</v>
      </c>
      <c r="B19" s="430" t="s">
        <v>2423</v>
      </c>
      <c r="C19" s="430" t="s">
        <v>1480</v>
      </c>
      <c r="D19" s="430" t="s">
        <v>2543</v>
      </c>
      <c r="E19" s="430" t="s">
        <v>2544</v>
      </c>
      <c r="F19" s="430" t="s">
        <v>2545</v>
      </c>
      <c r="G19" s="430" t="s">
        <v>18</v>
      </c>
      <c r="H19" s="430" t="s">
        <v>1298</v>
      </c>
      <c r="I19" s="430">
        <v>59</v>
      </c>
      <c r="J19" s="430" t="s">
        <v>3659</v>
      </c>
      <c r="K19" s="431">
        <v>1.6388888888888888</v>
      </c>
      <c r="L19" s="431">
        <v>2.3888888888888888</v>
      </c>
      <c r="M19" s="496"/>
      <c r="N19" s="433">
        <v>13</v>
      </c>
      <c r="O19" s="434">
        <f t="shared" si="0"/>
        <v>44004</v>
      </c>
      <c r="P19" s="437" t="s">
        <v>3664</v>
      </c>
      <c r="Q19" s="497">
        <f t="shared" si="1"/>
        <v>2</v>
      </c>
    </row>
    <row r="20" spans="1:20" s="445" customFormat="1" ht="15.75">
      <c r="A20" s="438" t="s">
        <v>370</v>
      </c>
      <c r="B20" s="438" t="s">
        <v>3659</v>
      </c>
      <c r="C20" s="438" t="s">
        <v>1723</v>
      </c>
      <c r="D20" s="438" t="s">
        <v>2032</v>
      </c>
      <c r="E20" s="438" t="s">
        <v>2033</v>
      </c>
      <c r="F20" s="438" t="s">
        <v>2034</v>
      </c>
      <c r="G20" s="438" t="s">
        <v>18</v>
      </c>
      <c r="H20" s="438" t="s">
        <v>19</v>
      </c>
      <c r="I20" s="438">
        <v>350</v>
      </c>
      <c r="J20" s="438" t="s">
        <v>3659</v>
      </c>
      <c r="K20" s="439">
        <v>9.7222222222222214</v>
      </c>
      <c r="L20" s="439">
        <v>10.472222222222221</v>
      </c>
      <c r="M20" s="500">
        <v>4</v>
      </c>
      <c r="N20" s="441">
        <v>1</v>
      </c>
      <c r="O20" s="501">
        <f>O1+N20</f>
        <v>43992</v>
      </c>
      <c r="P20" s="443" t="s">
        <v>3712</v>
      </c>
      <c r="Q20" s="502">
        <f t="shared" si="1"/>
        <v>7</v>
      </c>
      <c r="S20" s="445" t="s">
        <v>3713</v>
      </c>
      <c r="T20" s="445">
        <v>6</v>
      </c>
    </row>
    <row r="21" spans="1:20" s="445" customFormat="1" ht="15.75">
      <c r="A21" s="438" t="s">
        <v>253</v>
      </c>
      <c r="B21" s="438" t="s">
        <v>3659</v>
      </c>
      <c r="C21" s="438" t="s">
        <v>1723</v>
      </c>
      <c r="D21" s="438" t="s">
        <v>1724</v>
      </c>
      <c r="E21" s="438" t="s">
        <v>1725</v>
      </c>
      <c r="F21" s="438" t="s">
        <v>1726</v>
      </c>
      <c r="G21" s="438" t="s">
        <v>18</v>
      </c>
      <c r="H21" s="438" t="s">
        <v>30</v>
      </c>
      <c r="I21" s="438">
        <v>240</v>
      </c>
      <c r="J21" s="438" t="s">
        <v>3659</v>
      </c>
      <c r="K21" s="439">
        <v>6.666666666666667</v>
      </c>
      <c r="L21" s="439">
        <v>7.416666666666667</v>
      </c>
      <c r="M21" s="439"/>
      <c r="N21" s="441">
        <v>2</v>
      </c>
      <c r="O21" s="501">
        <f t="shared" ref="O21:O43" si="2">$O$1+N21</f>
        <v>43993</v>
      </c>
      <c r="P21" s="503" t="s">
        <v>3714</v>
      </c>
      <c r="Q21" s="502">
        <f t="shared" si="1"/>
        <v>5</v>
      </c>
    </row>
    <row r="22" spans="1:20" s="445" customFormat="1" ht="15.75">
      <c r="A22" s="438" t="s">
        <v>2025</v>
      </c>
      <c r="B22" s="438" t="s">
        <v>3659</v>
      </c>
      <c r="C22" s="438" t="s">
        <v>1723</v>
      </c>
      <c r="D22" s="438" t="s">
        <v>3715</v>
      </c>
      <c r="E22" s="438" t="s">
        <v>2026</v>
      </c>
      <c r="F22" s="438" t="s">
        <v>3716</v>
      </c>
      <c r="G22" s="438" t="s">
        <v>18</v>
      </c>
      <c r="H22" s="438" t="s">
        <v>19</v>
      </c>
      <c r="I22" s="438">
        <v>100</v>
      </c>
      <c r="J22" s="438" t="s">
        <v>3665</v>
      </c>
      <c r="K22" s="439">
        <v>2.7777777777777777</v>
      </c>
      <c r="L22" s="439">
        <v>3.5277777777777777</v>
      </c>
      <c r="M22" s="439"/>
      <c r="N22" s="441">
        <v>3</v>
      </c>
      <c r="O22" s="501">
        <f t="shared" si="2"/>
        <v>43994</v>
      </c>
      <c r="P22" s="443" t="s">
        <v>3679</v>
      </c>
      <c r="Q22" s="502">
        <f t="shared" si="1"/>
        <v>2</v>
      </c>
    </row>
    <row r="23" spans="1:20" s="445" customFormat="1" ht="15.75">
      <c r="A23" s="438" t="s">
        <v>837</v>
      </c>
      <c r="B23" s="438" t="s">
        <v>3659</v>
      </c>
      <c r="C23" s="438" t="s">
        <v>1723</v>
      </c>
      <c r="D23" s="438" t="s">
        <v>3035</v>
      </c>
      <c r="E23" s="438" t="s">
        <v>3036</v>
      </c>
      <c r="F23" s="438" t="s">
        <v>3037</v>
      </c>
      <c r="G23" s="438" t="s">
        <v>18</v>
      </c>
      <c r="H23" s="438" t="s">
        <v>30</v>
      </c>
      <c r="I23" s="438">
        <v>150</v>
      </c>
      <c r="J23" s="438" t="s">
        <v>3659</v>
      </c>
      <c r="K23" s="439">
        <v>4.166666666666667</v>
      </c>
      <c r="L23" s="439">
        <v>4.916666666666667</v>
      </c>
      <c r="M23" s="439"/>
      <c r="N23" s="441">
        <v>3</v>
      </c>
      <c r="O23" s="501">
        <f t="shared" si="2"/>
        <v>43994</v>
      </c>
      <c r="P23" s="443" t="s">
        <v>3717</v>
      </c>
      <c r="Q23" s="502">
        <f t="shared" si="1"/>
        <v>3</v>
      </c>
    </row>
    <row r="24" spans="1:20" s="445" customFormat="1" ht="15.75">
      <c r="A24" s="438" t="s">
        <v>3131</v>
      </c>
      <c r="B24" s="438" t="s">
        <v>1312</v>
      </c>
      <c r="C24" s="438" t="s">
        <v>1723</v>
      </c>
      <c r="D24" s="438" t="s">
        <v>3132</v>
      </c>
      <c r="E24" s="438" t="s">
        <v>3133</v>
      </c>
      <c r="F24" s="438" t="s">
        <v>1726</v>
      </c>
      <c r="G24" s="438" t="s">
        <v>18</v>
      </c>
      <c r="H24" s="438" t="s">
        <v>1298</v>
      </c>
      <c r="I24" s="438">
        <v>130</v>
      </c>
      <c r="J24" s="438" t="s">
        <v>3659</v>
      </c>
      <c r="K24" s="439">
        <v>3.6111111111111112</v>
      </c>
      <c r="L24" s="439">
        <v>4.3611111111111107</v>
      </c>
      <c r="M24" s="439"/>
      <c r="N24" s="441">
        <v>4</v>
      </c>
      <c r="O24" s="501">
        <f t="shared" si="2"/>
        <v>43995</v>
      </c>
      <c r="P24" s="443" t="s">
        <v>3662</v>
      </c>
      <c r="Q24" s="502">
        <f t="shared" si="1"/>
        <v>3</v>
      </c>
    </row>
    <row r="25" spans="1:20" s="445" customFormat="1" ht="15.75">
      <c r="A25" s="438" t="s">
        <v>2805</v>
      </c>
      <c r="B25" s="438" t="s">
        <v>343</v>
      </c>
      <c r="C25" s="438" t="s">
        <v>1723</v>
      </c>
      <c r="D25" s="438" t="s">
        <v>2807</v>
      </c>
      <c r="E25" s="438" t="s">
        <v>2808</v>
      </c>
      <c r="F25" s="438" t="s">
        <v>2809</v>
      </c>
      <c r="G25" s="438" t="s">
        <v>18</v>
      </c>
      <c r="H25" s="438" t="s">
        <v>1298</v>
      </c>
      <c r="I25" s="438">
        <v>125</v>
      </c>
      <c r="J25" s="438" t="s">
        <v>3659</v>
      </c>
      <c r="K25" s="439">
        <v>3.4722222222222223</v>
      </c>
      <c r="L25" s="439">
        <v>4.2222222222222223</v>
      </c>
      <c r="M25" s="439"/>
      <c r="N25" s="444">
        <v>4</v>
      </c>
      <c r="O25" s="501">
        <f t="shared" si="2"/>
        <v>43995</v>
      </c>
      <c r="P25" s="443" t="s">
        <v>3718</v>
      </c>
      <c r="Q25" s="502">
        <f t="shared" si="1"/>
        <v>3</v>
      </c>
    </row>
    <row r="26" spans="1:20" s="445" customFormat="1" ht="15.75">
      <c r="A26" s="438" t="s">
        <v>1933</v>
      </c>
      <c r="B26" s="438" t="s">
        <v>1903</v>
      </c>
      <c r="C26" s="438" t="s">
        <v>1723</v>
      </c>
      <c r="D26" s="438" t="s">
        <v>1936</v>
      </c>
      <c r="E26" s="438" t="s">
        <v>1937</v>
      </c>
      <c r="F26" s="438" t="s">
        <v>1806</v>
      </c>
      <c r="G26" s="438" t="s">
        <v>18</v>
      </c>
      <c r="H26" s="438" t="s">
        <v>1298</v>
      </c>
      <c r="I26" s="438">
        <v>120</v>
      </c>
      <c r="J26" s="438" t="s">
        <v>3659</v>
      </c>
      <c r="K26" s="439">
        <v>3.3333333333333335</v>
      </c>
      <c r="L26" s="439">
        <v>4.0833333333333339</v>
      </c>
      <c r="M26" s="439"/>
      <c r="N26" s="441">
        <v>6</v>
      </c>
      <c r="O26" s="501">
        <f t="shared" si="2"/>
        <v>43997</v>
      </c>
      <c r="P26" s="443" t="s">
        <v>3662</v>
      </c>
      <c r="Q26" s="502">
        <f t="shared" si="1"/>
        <v>3</v>
      </c>
    </row>
    <row r="27" spans="1:20" s="445" customFormat="1" ht="15.75">
      <c r="A27" s="438" t="s">
        <v>1790</v>
      </c>
      <c r="B27" s="438" t="s">
        <v>343</v>
      </c>
      <c r="C27" s="438" t="s">
        <v>1723</v>
      </c>
      <c r="D27" s="438" t="s">
        <v>1791</v>
      </c>
      <c r="E27" s="438" t="s">
        <v>1792</v>
      </c>
      <c r="F27" s="438" t="s">
        <v>1793</v>
      </c>
      <c r="G27" s="438" t="s">
        <v>18</v>
      </c>
      <c r="H27" s="438" t="s">
        <v>1298</v>
      </c>
      <c r="I27" s="438">
        <v>112</v>
      </c>
      <c r="J27" s="438" t="s">
        <v>3659</v>
      </c>
      <c r="K27" s="439">
        <v>3.1111111111111112</v>
      </c>
      <c r="L27" s="439">
        <v>3.8611111111111112</v>
      </c>
      <c r="M27" s="439"/>
      <c r="N27" s="441">
        <v>6</v>
      </c>
      <c r="O27" s="501">
        <f t="shared" si="2"/>
        <v>43997</v>
      </c>
      <c r="P27" s="443" t="s">
        <v>3719</v>
      </c>
      <c r="Q27" s="502">
        <f t="shared" si="1"/>
        <v>3</v>
      </c>
    </row>
    <row r="28" spans="1:20" s="445" customFormat="1" ht="15.75">
      <c r="A28" s="438" t="s">
        <v>1803</v>
      </c>
      <c r="B28" s="438" t="s">
        <v>343</v>
      </c>
      <c r="C28" s="438" t="s">
        <v>1723</v>
      </c>
      <c r="D28" s="438" t="s">
        <v>1804</v>
      </c>
      <c r="E28" s="438" t="s">
        <v>1805</v>
      </c>
      <c r="F28" s="438" t="s">
        <v>1806</v>
      </c>
      <c r="G28" s="438" t="s">
        <v>18</v>
      </c>
      <c r="H28" s="438" t="s">
        <v>1298</v>
      </c>
      <c r="I28" s="438">
        <v>90</v>
      </c>
      <c r="J28" s="438" t="s">
        <v>3659</v>
      </c>
      <c r="K28" s="439">
        <v>2.5</v>
      </c>
      <c r="L28" s="439">
        <v>3.25</v>
      </c>
      <c r="M28" s="439"/>
      <c r="N28" s="441">
        <v>7</v>
      </c>
      <c r="O28" s="501">
        <f t="shared" si="2"/>
        <v>43998</v>
      </c>
      <c r="P28" s="443" t="s">
        <v>3720</v>
      </c>
      <c r="Q28" s="502">
        <f t="shared" si="1"/>
        <v>2</v>
      </c>
    </row>
    <row r="29" spans="1:20" s="445" customFormat="1" ht="15.75">
      <c r="A29" s="438" t="s">
        <v>2039</v>
      </c>
      <c r="B29" s="438" t="s">
        <v>1312</v>
      </c>
      <c r="C29" s="438" t="s">
        <v>1723</v>
      </c>
      <c r="D29" s="438" t="s">
        <v>2040</v>
      </c>
      <c r="E29" s="438" t="s">
        <v>2041</v>
      </c>
      <c r="F29" s="438" t="s">
        <v>1793</v>
      </c>
      <c r="G29" s="438" t="s">
        <v>18</v>
      </c>
      <c r="H29" s="438" t="s">
        <v>1298</v>
      </c>
      <c r="I29" s="438">
        <v>85</v>
      </c>
      <c r="J29" s="438" t="s">
        <v>3659</v>
      </c>
      <c r="K29" s="439">
        <v>2.3611111111111112</v>
      </c>
      <c r="L29" s="439">
        <v>3.1111111111111112</v>
      </c>
      <c r="M29" s="439"/>
      <c r="N29" s="441">
        <v>7</v>
      </c>
      <c r="O29" s="501">
        <f t="shared" si="2"/>
        <v>43998</v>
      </c>
      <c r="P29" s="443" t="s">
        <v>3721</v>
      </c>
      <c r="Q29" s="502">
        <f t="shared" si="1"/>
        <v>2</v>
      </c>
    </row>
    <row r="30" spans="1:20" s="445" customFormat="1" ht="15.75">
      <c r="A30" s="438" t="s">
        <v>349</v>
      </c>
      <c r="B30" s="438" t="s">
        <v>3659</v>
      </c>
      <c r="C30" s="438" t="s">
        <v>2011</v>
      </c>
      <c r="D30" s="438" t="s">
        <v>2013</v>
      </c>
      <c r="E30" s="438" t="s">
        <v>2014</v>
      </c>
      <c r="F30" s="438" t="s">
        <v>2015</v>
      </c>
      <c r="G30" s="438" t="s">
        <v>18</v>
      </c>
      <c r="H30" s="438" t="s">
        <v>30</v>
      </c>
      <c r="I30" s="438">
        <v>200</v>
      </c>
      <c r="J30" s="438" t="s">
        <v>3659</v>
      </c>
      <c r="K30" s="439">
        <v>5.5555555555555554</v>
      </c>
      <c r="L30" s="439">
        <v>6.3055555555555554</v>
      </c>
      <c r="M30" s="439"/>
      <c r="N30" s="441">
        <v>8</v>
      </c>
      <c r="O30" s="501">
        <f t="shared" si="2"/>
        <v>43999</v>
      </c>
      <c r="P30" s="443" t="s">
        <v>3701</v>
      </c>
      <c r="Q30" s="502">
        <f t="shared" si="1"/>
        <v>4</v>
      </c>
    </row>
    <row r="31" spans="1:20" s="445" customFormat="1" ht="15.75">
      <c r="A31" s="438" t="s">
        <v>631</v>
      </c>
      <c r="B31" s="438" t="s">
        <v>1265</v>
      </c>
      <c r="C31" s="438" t="s">
        <v>2011</v>
      </c>
      <c r="D31" s="438" t="s">
        <v>2384</v>
      </c>
      <c r="E31" s="438" t="s">
        <v>2385</v>
      </c>
      <c r="F31" s="438" t="s">
        <v>2386</v>
      </c>
      <c r="G31" s="438" t="s">
        <v>18</v>
      </c>
      <c r="H31" s="438" t="s">
        <v>30</v>
      </c>
      <c r="I31" s="438">
        <v>117</v>
      </c>
      <c r="J31" s="438" t="s">
        <v>3659</v>
      </c>
      <c r="K31" s="439">
        <v>3.25</v>
      </c>
      <c r="L31" s="439">
        <v>4</v>
      </c>
      <c r="M31" s="439"/>
      <c r="N31" s="441">
        <v>8</v>
      </c>
      <c r="O31" s="501">
        <f t="shared" si="2"/>
        <v>43999</v>
      </c>
      <c r="P31" s="443" t="s">
        <v>3722</v>
      </c>
      <c r="Q31" s="502">
        <f t="shared" si="1"/>
        <v>3</v>
      </c>
    </row>
    <row r="32" spans="1:20" s="445" customFormat="1" ht="15.75">
      <c r="A32" s="438" t="s">
        <v>2546</v>
      </c>
      <c r="B32" s="438" t="s">
        <v>2423</v>
      </c>
      <c r="C32" s="438" t="s">
        <v>2011</v>
      </c>
      <c r="D32" s="438" t="s">
        <v>2547</v>
      </c>
      <c r="E32" s="438" t="s">
        <v>2548</v>
      </c>
      <c r="F32" s="438" t="s">
        <v>2386</v>
      </c>
      <c r="G32" s="438" t="s">
        <v>18</v>
      </c>
      <c r="H32" s="438" t="s">
        <v>1298</v>
      </c>
      <c r="I32" s="438">
        <v>144</v>
      </c>
      <c r="J32" s="438" t="s">
        <v>3659</v>
      </c>
      <c r="K32" s="439">
        <v>4</v>
      </c>
      <c r="L32" s="439">
        <v>4.75</v>
      </c>
      <c r="M32" s="439"/>
      <c r="N32" s="441">
        <v>9</v>
      </c>
      <c r="O32" s="501">
        <f t="shared" si="2"/>
        <v>44000</v>
      </c>
      <c r="P32" s="443" t="s">
        <v>3660</v>
      </c>
      <c r="Q32" s="502">
        <f t="shared" si="1"/>
        <v>3</v>
      </c>
    </row>
    <row r="33" spans="1:27" s="445" customFormat="1" ht="15.75">
      <c r="A33" s="438" t="s">
        <v>2672</v>
      </c>
      <c r="B33" s="438" t="s">
        <v>1312</v>
      </c>
      <c r="C33" s="438" t="s">
        <v>2011</v>
      </c>
      <c r="D33" s="438" t="s">
        <v>2673</v>
      </c>
      <c r="E33" s="438" t="s">
        <v>2674</v>
      </c>
      <c r="F33" s="438" t="s">
        <v>2675</v>
      </c>
      <c r="G33" s="438" t="s">
        <v>18</v>
      </c>
      <c r="H33" s="438" t="s">
        <v>1298</v>
      </c>
      <c r="I33" s="438">
        <v>124</v>
      </c>
      <c r="J33" s="438" t="s">
        <v>3659</v>
      </c>
      <c r="K33" s="439">
        <v>3.4444444444444446</v>
      </c>
      <c r="L33" s="439">
        <v>4.1944444444444446</v>
      </c>
      <c r="M33" s="439"/>
      <c r="N33" s="441">
        <v>9</v>
      </c>
      <c r="O33" s="501">
        <f t="shared" si="2"/>
        <v>44000</v>
      </c>
      <c r="P33" s="438" t="s">
        <v>3694</v>
      </c>
      <c r="Q33" s="502">
        <f t="shared" si="1"/>
        <v>3</v>
      </c>
      <c r="R33" s="444"/>
      <c r="S33" s="444"/>
      <c r="T33" s="444"/>
      <c r="U33" s="444"/>
      <c r="V33" s="444"/>
      <c r="W33" s="444"/>
      <c r="X33" s="444"/>
      <c r="Y33" s="444"/>
      <c r="Z33" s="444"/>
      <c r="AA33" s="444"/>
    </row>
    <row r="34" spans="1:27" s="445" customFormat="1" ht="15.75">
      <c r="A34" s="438" t="s">
        <v>2520</v>
      </c>
      <c r="B34" s="438" t="s">
        <v>2423</v>
      </c>
      <c r="C34" s="438" t="s">
        <v>2011</v>
      </c>
      <c r="D34" s="438" t="s">
        <v>2522</v>
      </c>
      <c r="E34" s="438" t="s">
        <v>2523</v>
      </c>
      <c r="F34" s="438" t="s">
        <v>2524</v>
      </c>
      <c r="G34" s="438" t="s">
        <v>18</v>
      </c>
      <c r="H34" s="438" t="s">
        <v>1298</v>
      </c>
      <c r="I34" s="438">
        <v>80</v>
      </c>
      <c r="J34" s="438" t="s">
        <v>3659</v>
      </c>
      <c r="K34" s="439">
        <v>2.2222222222222223</v>
      </c>
      <c r="L34" s="439">
        <v>2.9722222222222223</v>
      </c>
      <c r="M34" s="439"/>
      <c r="N34" s="441">
        <v>9</v>
      </c>
      <c r="O34" s="501">
        <f t="shared" si="2"/>
        <v>44000</v>
      </c>
      <c r="P34" s="443" t="s">
        <v>3723</v>
      </c>
      <c r="Q34" s="502">
        <f t="shared" si="1"/>
        <v>2</v>
      </c>
    </row>
    <row r="35" spans="1:27" s="445" customFormat="1" ht="15.75">
      <c r="A35" s="438" t="s">
        <v>539</v>
      </c>
      <c r="B35" s="438" t="s">
        <v>2274</v>
      </c>
      <c r="C35" s="438" t="s">
        <v>1630</v>
      </c>
      <c r="D35" s="438" t="s">
        <v>2285</v>
      </c>
      <c r="E35" s="438" t="s">
        <v>2286</v>
      </c>
      <c r="F35" s="438" t="s">
        <v>2183</v>
      </c>
      <c r="G35" s="438" t="s">
        <v>18</v>
      </c>
      <c r="H35" s="438" t="s">
        <v>30</v>
      </c>
      <c r="I35" s="438">
        <v>80</v>
      </c>
      <c r="J35" s="438" t="s">
        <v>3659</v>
      </c>
      <c r="K35" s="439">
        <v>2.2222222222222223</v>
      </c>
      <c r="L35" s="439">
        <v>2.9722222222222223</v>
      </c>
      <c r="M35" s="439"/>
      <c r="N35" s="441">
        <v>10</v>
      </c>
      <c r="O35" s="501">
        <f t="shared" si="2"/>
        <v>44001</v>
      </c>
      <c r="P35" s="443" t="s">
        <v>3724</v>
      </c>
      <c r="Q35" s="502">
        <f t="shared" si="1"/>
        <v>2</v>
      </c>
    </row>
    <row r="36" spans="1:27" s="445" customFormat="1" ht="15.75">
      <c r="A36" s="438" t="s">
        <v>2441</v>
      </c>
      <c r="B36" s="438" t="s">
        <v>2423</v>
      </c>
      <c r="C36" s="438" t="s">
        <v>1630</v>
      </c>
      <c r="D36" s="438" t="s">
        <v>2443</v>
      </c>
      <c r="E36" s="438" t="s">
        <v>2444</v>
      </c>
      <c r="F36" s="438" t="s">
        <v>2445</v>
      </c>
      <c r="G36" s="438" t="s">
        <v>18</v>
      </c>
      <c r="H36" s="438" t="s">
        <v>1298</v>
      </c>
      <c r="I36" s="438">
        <v>67</v>
      </c>
      <c r="J36" s="438" t="s">
        <v>3659</v>
      </c>
      <c r="K36" s="439">
        <v>1.8611111111111112</v>
      </c>
      <c r="L36" s="439">
        <v>2.6111111111111112</v>
      </c>
      <c r="M36" s="439"/>
      <c r="N36" s="441">
        <v>10</v>
      </c>
      <c r="O36" s="501">
        <f t="shared" si="2"/>
        <v>44001</v>
      </c>
      <c r="P36" s="443" t="s">
        <v>3725</v>
      </c>
      <c r="Q36" s="502">
        <f t="shared" si="1"/>
        <v>2</v>
      </c>
    </row>
    <row r="37" spans="1:27" s="445" customFormat="1" ht="15.75">
      <c r="A37" s="438" t="s">
        <v>451</v>
      </c>
      <c r="B37" s="438" t="s">
        <v>2148</v>
      </c>
      <c r="C37" s="438" t="s">
        <v>1630</v>
      </c>
      <c r="D37" s="438" t="s">
        <v>2181</v>
      </c>
      <c r="E37" s="438" t="s">
        <v>2182</v>
      </c>
      <c r="F37" s="438" t="s">
        <v>2183</v>
      </c>
      <c r="G37" s="438" t="s">
        <v>18</v>
      </c>
      <c r="H37" s="438" t="s">
        <v>1298</v>
      </c>
      <c r="I37" s="438">
        <v>35</v>
      </c>
      <c r="J37" s="438" t="s">
        <v>3659</v>
      </c>
      <c r="K37" s="439">
        <v>0.97222222222222221</v>
      </c>
      <c r="L37" s="439">
        <v>1.7222222222222223</v>
      </c>
      <c r="M37" s="439"/>
      <c r="N37" s="444">
        <v>10</v>
      </c>
      <c r="O37" s="501">
        <f t="shared" si="2"/>
        <v>44001</v>
      </c>
      <c r="P37" s="504" t="s">
        <v>3726</v>
      </c>
      <c r="Q37" s="502">
        <f t="shared" si="1"/>
        <v>1</v>
      </c>
      <c r="R37" s="444"/>
      <c r="S37" s="444"/>
      <c r="T37" s="444"/>
      <c r="U37" s="444"/>
      <c r="V37" s="444"/>
      <c r="W37" s="444"/>
      <c r="X37" s="444"/>
      <c r="Y37" s="444"/>
      <c r="Z37" s="444"/>
      <c r="AA37" s="444"/>
    </row>
    <row r="38" spans="1:27" s="445" customFormat="1" ht="15.75">
      <c r="A38" s="438" t="s">
        <v>728</v>
      </c>
      <c r="B38" s="438" t="s">
        <v>3659</v>
      </c>
      <c r="C38" s="438" t="s">
        <v>2192</v>
      </c>
      <c r="D38" s="438" t="s">
        <v>2702</v>
      </c>
      <c r="E38" s="438" t="s">
        <v>2703</v>
      </c>
      <c r="F38" s="438" t="s">
        <v>2704</v>
      </c>
      <c r="G38" s="438" t="s">
        <v>18</v>
      </c>
      <c r="H38" s="438" t="s">
        <v>19</v>
      </c>
      <c r="I38" s="438">
        <v>100</v>
      </c>
      <c r="J38" s="438" t="s">
        <v>732</v>
      </c>
      <c r="K38" s="439">
        <v>2.7777777777777777</v>
      </c>
      <c r="L38" s="439">
        <v>3.5277777777777777</v>
      </c>
      <c r="M38" s="439"/>
      <c r="N38" s="441">
        <v>10</v>
      </c>
      <c r="O38" s="501">
        <f t="shared" si="2"/>
        <v>44001</v>
      </c>
      <c r="P38" s="443" t="s">
        <v>3727</v>
      </c>
      <c r="Q38" s="502">
        <f t="shared" si="1"/>
        <v>2</v>
      </c>
    </row>
    <row r="39" spans="1:27" s="445" customFormat="1" ht="15.75">
      <c r="A39" s="438" t="s">
        <v>460</v>
      </c>
      <c r="B39" s="438" t="s">
        <v>2148</v>
      </c>
      <c r="C39" s="438" t="s">
        <v>2192</v>
      </c>
      <c r="D39" s="438" t="s">
        <v>2193</v>
      </c>
      <c r="E39" s="438" t="s">
        <v>2194</v>
      </c>
      <c r="F39" s="438" t="s">
        <v>2195</v>
      </c>
      <c r="G39" s="438" t="s">
        <v>18</v>
      </c>
      <c r="H39" s="438" t="s">
        <v>1298</v>
      </c>
      <c r="I39" s="438">
        <v>29</v>
      </c>
      <c r="J39" s="438" t="s">
        <v>3659</v>
      </c>
      <c r="K39" s="439">
        <v>0.80555555555555558</v>
      </c>
      <c r="L39" s="439">
        <v>1.5555555555555556</v>
      </c>
      <c r="M39" s="439"/>
      <c r="N39" s="441">
        <v>11</v>
      </c>
      <c r="O39" s="501">
        <f t="shared" si="2"/>
        <v>44002</v>
      </c>
      <c r="P39" s="443" t="s">
        <v>3728</v>
      </c>
      <c r="Q39" s="502">
        <f t="shared" si="1"/>
        <v>1</v>
      </c>
    </row>
    <row r="40" spans="1:27" s="445" customFormat="1" ht="15.75">
      <c r="A40" s="438" t="s">
        <v>1949</v>
      </c>
      <c r="B40" s="438" t="s">
        <v>1903</v>
      </c>
      <c r="C40" s="438" t="s">
        <v>1950</v>
      </c>
      <c r="D40" s="438" t="s">
        <v>1951</v>
      </c>
      <c r="E40" s="438" t="s">
        <v>1952</v>
      </c>
      <c r="F40" s="438" t="s">
        <v>1953</v>
      </c>
      <c r="G40" s="438" t="s">
        <v>18</v>
      </c>
      <c r="H40" s="438" t="s">
        <v>1298</v>
      </c>
      <c r="I40" s="438">
        <v>66</v>
      </c>
      <c r="J40" s="438" t="s">
        <v>3659</v>
      </c>
      <c r="K40" s="439">
        <v>1.8333333333333333</v>
      </c>
      <c r="L40" s="439">
        <v>2.583333333333333</v>
      </c>
      <c r="M40" s="439"/>
      <c r="N40" s="441">
        <v>11</v>
      </c>
      <c r="O40" s="501">
        <f t="shared" si="2"/>
        <v>44002</v>
      </c>
      <c r="P40" s="443" t="s">
        <v>3729</v>
      </c>
      <c r="Q40" s="502">
        <f t="shared" si="1"/>
        <v>2</v>
      </c>
    </row>
    <row r="41" spans="1:27" s="445" customFormat="1" ht="15.75">
      <c r="A41" s="438" t="s">
        <v>956</v>
      </c>
      <c r="B41" s="438" t="s">
        <v>1527</v>
      </c>
      <c r="C41" s="438" t="s">
        <v>1950</v>
      </c>
      <c r="D41" s="438" t="s">
        <v>3279</v>
      </c>
      <c r="E41" s="438" t="s">
        <v>3280</v>
      </c>
      <c r="F41" s="438" t="s">
        <v>1953</v>
      </c>
      <c r="G41" s="438" t="s">
        <v>18</v>
      </c>
      <c r="H41" s="438" t="s">
        <v>30</v>
      </c>
      <c r="I41" s="438">
        <v>65</v>
      </c>
      <c r="J41" s="438" t="s">
        <v>960</v>
      </c>
      <c r="K41" s="439">
        <v>1.8055555555555556</v>
      </c>
      <c r="L41" s="439">
        <v>2.5555555555555554</v>
      </c>
      <c r="M41" s="439"/>
      <c r="N41" s="444">
        <v>11</v>
      </c>
      <c r="O41" s="501">
        <f t="shared" si="2"/>
        <v>44002</v>
      </c>
      <c r="P41" s="443" t="s">
        <v>3711</v>
      </c>
      <c r="Q41" s="502">
        <f t="shared" si="1"/>
        <v>2</v>
      </c>
    </row>
    <row r="42" spans="1:27" s="445" customFormat="1" ht="15.75">
      <c r="A42" s="438" t="s">
        <v>2500</v>
      </c>
      <c r="B42" s="438" t="s">
        <v>2423</v>
      </c>
      <c r="C42" s="438" t="s">
        <v>2502</v>
      </c>
      <c r="D42" s="438" t="s">
        <v>2503</v>
      </c>
      <c r="E42" s="438" t="s">
        <v>2504</v>
      </c>
      <c r="F42" s="438" t="s">
        <v>2505</v>
      </c>
      <c r="G42" s="438" t="s">
        <v>18</v>
      </c>
      <c r="H42" s="438" t="s">
        <v>1298</v>
      </c>
      <c r="I42" s="438">
        <v>123</v>
      </c>
      <c r="J42" s="438" t="s">
        <v>3659</v>
      </c>
      <c r="K42" s="439">
        <v>3.4166666666666665</v>
      </c>
      <c r="L42" s="439">
        <v>4.1666666666666661</v>
      </c>
      <c r="M42" s="439"/>
      <c r="N42" s="441">
        <v>13</v>
      </c>
      <c r="O42" s="501">
        <f t="shared" si="2"/>
        <v>44004</v>
      </c>
      <c r="P42" s="443" t="s">
        <v>3662</v>
      </c>
      <c r="Q42" s="502">
        <f t="shared" si="1"/>
        <v>3</v>
      </c>
    </row>
    <row r="43" spans="1:27" s="445" customFormat="1" ht="15.75">
      <c r="A43" s="438" t="s">
        <v>800</v>
      </c>
      <c r="B43" s="438" t="s">
        <v>2880</v>
      </c>
      <c r="C43" s="438" t="s">
        <v>2502</v>
      </c>
      <c r="D43" s="438" t="s">
        <v>2887</v>
      </c>
      <c r="E43" s="438" t="s">
        <v>2888</v>
      </c>
      <c r="F43" s="438" t="s">
        <v>2889</v>
      </c>
      <c r="G43" s="438" t="s">
        <v>18</v>
      </c>
      <c r="H43" s="438" t="s">
        <v>30</v>
      </c>
      <c r="I43" s="438">
        <v>80</v>
      </c>
      <c r="J43" s="438" t="s">
        <v>3659</v>
      </c>
      <c r="K43" s="439">
        <v>2.2222222222222223</v>
      </c>
      <c r="L43" s="439">
        <v>2.9722222222222223</v>
      </c>
      <c r="M43" s="439"/>
      <c r="N43" s="441">
        <v>13</v>
      </c>
      <c r="O43" s="501">
        <f t="shared" si="2"/>
        <v>44004</v>
      </c>
      <c r="P43" s="443" t="s">
        <v>3730</v>
      </c>
      <c r="Q43" s="502">
        <f t="shared" si="1"/>
        <v>2</v>
      </c>
    </row>
    <row r="44" spans="1:27" s="460" customFormat="1" ht="15.75">
      <c r="A44" s="454" t="s">
        <v>1046</v>
      </c>
      <c r="B44" s="454" t="s">
        <v>3659</v>
      </c>
      <c r="C44" s="454" t="s">
        <v>1723</v>
      </c>
      <c r="D44" s="454" t="s">
        <v>3731</v>
      </c>
      <c r="E44" s="454" t="s">
        <v>2233</v>
      </c>
      <c r="F44" s="454" t="s">
        <v>3732</v>
      </c>
      <c r="G44" s="454" t="s">
        <v>91</v>
      </c>
      <c r="H44" s="454" t="s">
        <v>30</v>
      </c>
      <c r="I44" s="454">
        <v>245</v>
      </c>
      <c r="J44" s="454" t="s">
        <v>3665</v>
      </c>
      <c r="K44" s="505">
        <v>15.625</v>
      </c>
      <c r="L44" s="505">
        <v>18.125</v>
      </c>
      <c r="M44" s="505" t="s">
        <v>6927</v>
      </c>
      <c r="N44" s="456" t="s">
        <v>6924</v>
      </c>
      <c r="O44" s="459" t="s">
        <v>6922</v>
      </c>
      <c r="P44" s="454" t="s">
        <v>6940</v>
      </c>
      <c r="Q44" s="459">
        <f t="shared" si="1"/>
        <v>5</v>
      </c>
      <c r="R44" s="459"/>
      <c r="S44" s="459"/>
      <c r="T44" s="459"/>
      <c r="U44" s="459"/>
      <c r="V44" s="459"/>
      <c r="W44" s="459"/>
      <c r="X44" s="459"/>
      <c r="Y44" s="459"/>
      <c r="Z44" s="459"/>
      <c r="AA44" s="459"/>
    </row>
    <row r="45" spans="1:27" s="460" customFormat="1" ht="15.75">
      <c r="A45" s="454" t="s">
        <v>3100</v>
      </c>
      <c r="B45" s="454" t="s">
        <v>1288</v>
      </c>
      <c r="C45" s="454" t="s">
        <v>1723</v>
      </c>
      <c r="D45" s="454" t="s">
        <v>3101</v>
      </c>
      <c r="E45" s="454" t="s">
        <v>3102</v>
      </c>
      <c r="F45" s="454" t="s">
        <v>1806</v>
      </c>
      <c r="G45" s="454" t="s">
        <v>91</v>
      </c>
      <c r="H45" s="454" t="s">
        <v>30</v>
      </c>
      <c r="I45" s="454">
        <v>130</v>
      </c>
      <c r="J45" s="454" t="s">
        <v>3659</v>
      </c>
      <c r="K45" s="505">
        <v>9.375</v>
      </c>
      <c r="L45" s="505">
        <f>K45+(($F$61+$F$62+$F$63)/60)</f>
        <v>11.875</v>
      </c>
      <c r="M45" s="505" t="s">
        <v>6927</v>
      </c>
      <c r="N45" s="456" t="s">
        <v>6925</v>
      </c>
      <c r="O45" s="459" t="s">
        <v>3734</v>
      </c>
      <c r="P45" s="454" t="s">
        <v>3850</v>
      </c>
      <c r="Q45" s="459">
        <f t="shared" si="1"/>
        <v>3</v>
      </c>
      <c r="R45" s="459"/>
      <c r="S45" s="459"/>
      <c r="T45" s="459"/>
      <c r="U45" s="459"/>
      <c r="V45" s="459"/>
      <c r="W45" s="459"/>
      <c r="X45" s="459"/>
      <c r="Y45" s="459"/>
      <c r="Z45" s="459"/>
      <c r="AA45" s="459"/>
    </row>
    <row r="46" spans="1:27" s="460" customFormat="1" ht="15.75">
      <c r="A46" s="454" t="s">
        <v>965</v>
      </c>
      <c r="B46" s="454" t="s">
        <v>1624</v>
      </c>
      <c r="C46" s="454" t="s">
        <v>1723</v>
      </c>
      <c r="D46" s="454" t="s">
        <v>3289</v>
      </c>
      <c r="E46" s="454" t="s">
        <v>3290</v>
      </c>
      <c r="F46" s="454" t="s">
        <v>1793</v>
      </c>
      <c r="G46" s="454" t="s">
        <v>91</v>
      </c>
      <c r="H46" s="454" t="s">
        <v>30</v>
      </c>
      <c r="I46" s="454">
        <v>75</v>
      </c>
      <c r="J46" s="454" t="s">
        <v>3665</v>
      </c>
      <c r="K46" s="505">
        <v>6.25</v>
      </c>
      <c r="L46" s="505">
        <f>K46+(($F$61+$F$62+$F$63)/60)</f>
        <v>8.75</v>
      </c>
      <c r="M46" s="505" t="s">
        <v>6927</v>
      </c>
      <c r="N46" s="456">
        <v>5</v>
      </c>
      <c r="O46" s="457">
        <v>44009</v>
      </c>
      <c r="P46" s="458" t="s">
        <v>6940</v>
      </c>
      <c r="Q46" s="456">
        <f t="shared" si="1"/>
        <v>2</v>
      </c>
    </row>
    <row r="47" spans="1:27" s="511" customFormat="1" ht="15.75">
      <c r="A47" s="506" t="s">
        <v>214</v>
      </c>
      <c r="B47" s="506" t="s">
        <v>3659</v>
      </c>
      <c r="C47" s="506" t="s">
        <v>1630</v>
      </c>
      <c r="D47" s="506" t="s">
        <v>1631</v>
      </c>
      <c r="E47" s="506" t="s">
        <v>1632</v>
      </c>
      <c r="F47" s="506" t="s">
        <v>1633</v>
      </c>
      <c r="G47" s="506" t="s">
        <v>91</v>
      </c>
      <c r="H47" s="506" t="s">
        <v>30</v>
      </c>
      <c r="I47" s="506">
        <v>110</v>
      </c>
      <c r="J47" s="506" t="s">
        <v>3659</v>
      </c>
      <c r="K47" s="507">
        <v>9.375</v>
      </c>
      <c r="L47" s="507">
        <v>11.875</v>
      </c>
      <c r="M47" s="507" t="s">
        <v>3484</v>
      </c>
      <c r="N47" s="508">
        <v>5</v>
      </c>
      <c r="O47" s="509">
        <v>44009</v>
      </c>
      <c r="P47" s="510" t="s">
        <v>3985</v>
      </c>
      <c r="Q47" s="508">
        <f t="shared" si="1"/>
        <v>3</v>
      </c>
    </row>
    <row r="48" spans="1:27" s="511" customFormat="1" ht="15.75">
      <c r="A48" s="506" t="s">
        <v>888</v>
      </c>
      <c r="B48" s="506" t="s">
        <v>1624</v>
      </c>
      <c r="C48" s="506" t="s">
        <v>2011</v>
      </c>
      <c r="D48" s="506" t="s">
        <v>3118</v>
      </c>
      <c r="E48" s="506" t="s">
        <v>3119</v>
      </c>
      <c r="F48" s="506" t="s">
        <v>2386</v>
      </c>
      <c r="G48" s="506" t="s">
        <v>91</v>
      </c>
      <c r="H48" s="506" t="s">
        <v>30</v>
      </c>
      <c r="I48" s="506">
        <v>75</v>
      </c>
      <c r="J48" s="506" t="s">
        <v>3659</v>
      </c>
      <c r="K48" s="507">
        <v>6.25</v>
      </c>
      <c r="L48" s="507">
        <v>8.75</v>
      </c>
      <c r="M48" s="507" t="s">
        <v>3484</v>
      </c>
      <c r="N48" s="508">
        <v>4</v>
      </c>
      <c r="O48" s="509">
        <v>44008</v>
      </c>
      <c r="P48" s="510" t="s">
        <v>6940</v>
      </c>
      <c r="Q48" s="508">
        <f t="shared" si="1"/>
        <v>2</v>
      </c>
    </row>
    <row r="49" spans="1:37" s="511" customFormat="1" ht="15.75">
      <c r="A49" s="506" t="s">
        <v>737</v>
      </c>
      <c r="B49" s="506" t="s">
        <v>3659</v>
      </c>
      <c r="C49" s="506" t="s">
        <v>2502</v>
      </c>
      <c r="D49" s="506" t="s">
        <v>2716</v>
      </c>
      <c r="E49" s="506" t="s">
        <v>2717</v>
      </c>
      <c r="F49" s="506" t="s">
        <v>2505</v>
      </c>
      <c r="G49" s="506" t="s">
        <v>91</v>
      </c>
      <c r="H49" s="506" t="s">
        <v>30</v>
      </c>
      <c r="I49" s="506">
        <v>100</v>
      </c>
      <c r="J49" s="506" t="s">
        <v>3659</v>
      </c>
      <c r="K49" s="507">
        <v>9.375</v>
      </c>
      <c r="L49" s="507">
        <v>11.875</v>
      </c>
      <c r="M49" s="507" t="s">
        <v>3484</v>
      </c>
      <c r="N49" s="508">
        <v>3</v>
      </c>
      <c r="O49" s="509">
        <v>44007</v>
      </c>
      <c r="P49" s="510" t="s">
        <v>3985</v>
      </c>
      <c r="Q49" s="508">
        <f t="shared" si="1"/>
        <v>2</v>
      </c>
    </row>
    <row r="50" spans="1:37" s="511" customFormat="1" ht="15.75">
      <c r="A50" s="506" t="s">
        <v>1174</v>
      </c>
      <c r="B50" s="506" t="s">
        <v>3659</v>
      </c>
      <c r="C50" s="506" t="s">
        <v>2192</v>
      </c>
      <c r="D50" s="506" t="s">
        <v>2758</v>
      </c>
      <c r="E50" s="506" t="s">
        <v>2759</v>
      </c>
      <c r="F50" s="506" t="s">
        <v>2195</v>
      </c>
      <c r="G50" s="506" t="s">
        <v>91</v>
      </c>
      <c r="H50" s="506" t="s">
        <v>30</v>
      </c>
      <c r="I50" s="506">
        <v>80</v>
      </c>
      <c r="J50" s="506" t="s">
        <v>3665</v>
      </c>
      <c r="K50" s="507">
        <v>6.25</v>
      </c>
      <c r="L50" s="507">
        <v>8.75</v>
      </c>
      <c r="M50" s="507" t="s">
        <v>3484</v>
      </c>
      <c r="N50" s="508">
        <v>6</v>
      </c>
      <c r="O50" s="509">
        <v>44010</v>
      </c>
      <c r="P50" s="510" t="s">
        <v>6940</v>
      </c>
      <c r="Q50" s="508">
        <f t="shared" si="1"/>
        <v>2</v>
      </c>
    </row>
    <row r="51" spans="1:37" s="511" customFormat="1" ht="15.75">
      <c r="A51" s="506" t="s">
        <v>2058</v>
      </c>
      <c r="B51" s="506" t="s">
        <v>3659</v>
      </c>
      <c r="C51" s="506" t="s">
        <v>1480</v>
      </c>
      <c r="D51" s="506" t="s">
        <v>2060</v>
      </c>
      <c r="E51" s="506" t="s">
        <v>2061</v>
      </c>
      <c r="F51" s="506" t="s">
        <v>2062</v>
      </c>
      <c r="G51" s="506" t="s">
        <v>91</v>
      </c>
      <c r="H51" s="506" t="s">
        <v>30</v>
      </c>
      <c r="I51" s="506">
        <v>170</v>
      </c>
      <c r="J51" s="506" t="s">
        <v>3665</v>
      </c>
      <c r="K51" s="507">
        <v>12.5</v>
      </c>
      <c r="L51" s="507">
        <v>15</v>
      </c>
      <c r="M51" s="507" t="s">
        <v>3484</v>
      </c>
      <c r="N51" s="508" t="s">
        <v>3736</v>
      </c>
      <c r="O51" s="512" t="s">
        <v>6922</v>
      </c>
      <c r="P51" s="510" t="s">
        <v>3863</v>
      </c>
      <c r="Q51" s="508">
        <f t="shared" si="1"/>
        <v>4</v>
      </c>
    </row>
    <row r="52" spans="1:37" s="514" customFormat="1" ht="15.75">
      <c r="A52" s="513" t="s">
        <v>1110</v>
      </c>
      <c r="B52" s="513" t="s">
        <v>2880</v>
      </c>
      <c r="C52" s="513" t="s">
        <v>1480</v>
      </c>
      <c r="D52" s="513" t="s">
        <v>2897</v>
      </c>
      <c r="E52" s="513" t="s">
        <v>2898</v>
      </c>
      <c r="F52" s="513" t="s">
        <v>2859</v>
      </c>
      <c r="G52" s="513" t="s">
        <v>54</v>
      </c>
      <c r="H52" s="513" t="s">
        <v>30</v>
      </c>
      <c r="I52" s="513" t="s">
        <v>3659</v>
      </c>
      <c r="J52" s="513" t="s">
        <v>3665</v>
      </c>
      <c r="N52" s="515"/>
    </row>
    <row r="53" spans="1:37" ht="15.75" hidden="1">
      <c r="A53" s="472" t="str">
        <f ca="1">IFERROR(__xludf.DUMMYFUNCTION("""COMPUTED_VALUE"""),"")</f>
        <v/>
      </c>
      <c r="B53" s="472" t="str">
        <f ca="1">IFERROR(__xludf.DUMMYFUNCTION("""COMPUTED_VALUE"""),"")</f>
        <v/>
      </c>
      <c r="C53" s="472" t="str">
        <f ca="1">IFERROR(__xludf.DUMMYFUNCTION("""COMPUTED_VALUE"""),"")</f>
        <v/>
      </c>
      <c r="D53" s="472" t="str">
        <f ca="1">IFERROR(__xludf.DUMMYFUNCTION("""COMPUTED_VALUE"""),"")</f>
        <v/>
      </c>
      <c r="E53" s="472" t="str">
        <f ca="1">IFERROR(__xludf.DUMMYFUNCTION("""COMPUTED_VALUE"""),"")</f>
        <v/>
      </c>
      <c r="F53" s="472" t="str">
        <f ca="1">IFERROR(__xludf.DUMMYFUNCTION("""COMPUTED_VALUE"""),"")</f>
        <v/>
      </c>
      <c r="G53" s="472" t="str">
        <f ca="1">IFERROR(__xludf.DUMMYFUNCTION("""COMPUTED_VALUE"""),"")</f>
        <v/>
      </c>
      <c r="H53" s="472" t="str">
        <f ca="1">IFERROR(__xludf.DUMMYFUNCTION("""COMPUTED_VALUE"""),"")</f>
        <v/>
      </c>
      <c r="I53" s="472" t="str">
        <f ca="1">IFERROR(__xludf.DUMMYFUNCTION("""COMPUTED_VALUE"""),"")</f>
        <v/>
      </c>
      <c r="J53" s="472" t="str">
        <f ca="1">IFERROR(__xludf.DUMMYFUNCTION("""COMPUTED_VALUE"""),"")</f>
        <v/>
      </c>
      <c r="K53" s="491"/>
      <c r="L53" s="491"/>
      <c r="M53" s="491"/>
    </row>
    <row r="54" spans="1:37" ht="16.5" hidden="1" thickBot="1">
      <c r="A54" s="472" t="str">
        <f ca="1">IFERROR(__xludf.DUMMYFUNCTION("""COMPUTED_VALUE"""),"")</f>
        <v/>
      </c>
      <c r="B54" s="472" t="str">
        <f ca="1">IFERROR(__xludf.DUMMYFUNCTION("""COMPUTED_VALUE"""),"")</f>
        <v/>
      </c>
      <c r="C54" s="472" t="str">
        <f ca="1">IFERROR(__xludf.DUMMYFUNCTION("""COMPUTED_VALUE"""),"")</f>
        <v/>
      </c>
      <c r="D54" s="472" t="str">
        <f ca="1">IFERROR(__xludf.DUMMYFUNCTION("""COMPUTED_VALUE"""),"")</f>
        <v/>
      </c>
      <c r="E54" s="472" t="str">
        <f ca="1">IFERROR(__xludf.DUMMYFUNCTION("""COMPUTED_VALUE"""),"")</f>
        <v/>
      </c>
      <c r="F54" s="472" t="str">
        <f ca="1">IFERROR(__xludf.DUMMYFUNCTION("""COMPUTED_VALUE"""),"")</f>
        <v/>
      </c>
      <c r="G54" s="472" t="str">
        <f ca="1">IFERROR(__xludf.DUMMYFUNCTION("""COMPUTED_VALUE"""),"")</f>
        <v/>
      </c>
      <c r="H54" s="472" t="str">
        <f ca="1">IFERROR(__xludf.DUMMYFUNCTION("""COMPUTED_VALUE"""),"")</f>
        <v/>
      </c>
      <c r="I54" s="472" t="str">
        <f ca="1">IFERROR(__xludf.DUMMYFUNCTION("""COMPUTED_VALUE"""),"")</f>
        <v/>
      </c>
      <c r="J54" s="472" t="str">
        <f ca="1">IFERROR(__xludf.DUMMYFUNCTION("""COMPUTED_VALUE"""),"")</f>
        <v/>
      </c>
      <c r="K54" s="491"/>
      <c r="L54" s="491"/>
      <c r="M54" s="491"/>
    </row>
    <row r="55" spans="1:37" ht="16.5" hidden="1" thickBot="1">
      <c r="A55" s="473" t="s">
        <v>3695</v>
      </c>
      <c r="B55" s="474"/>
      <c r="C55" s="472" t="str">
        <f ca="1">IFERROR(__xludf.DUMMYFUNCTION("""COMPUTED_VALUE"""),"")</f>
        <v/>
      </c>
      <c r="D55" s="473" t="s">
        <v>3696</v>
      </c>
      <c r="E55" s="475"/>
      <c r="F55" s="475"/>
      <c r="G55" s="474"/>
      <c r="H55" s="472" t="str">
        <f ca="1">IFERROR(__xludf.DUMMYFUNCTION("""COMPUTED_VALUE"""),"")</f>
        <v/>
      </c>
      <c r="I55" s="472">
        <v>60</v>
      </c>
      <c r="J55" s="472" t="s">
        <v>3697</v>
      </c>
      <c r="L55" s="485">
        <v>43992</v>
      </c>
      <c r="M55" s="485"/>
      <c r="N55" s="485">
        <v>43993</v>
      </c>
      <c r="O55" s="485"/>
      <c r="P55" s="485">
        <v>43994</v>
      </c>
      <c r="Q55" s="516"/>
      <c r="R55" s="485">
        <v>43995</v>
      </c>
      <c r="S55" s="485"/>
      <c r="T55" s="485">
        <v>43997</v>
      </c>
      <c r="U55" s="485"/>
      <c r="V55" s="485">
        <v>43998</v>
      </c>
      <c r="W55" s="485"/>
    </row>
    <row r="56" spans="1:37" ht="15.75" hidden="1">
      <c r="A56" s="476"/>
      <c r="B56" s="477" t="s">
        <v>3365</v>
      </c>
      <c r="C56" s="472" t="str">
        <f ca="1">IFERROR(__xludf.DUMMYFUNCTION("""COMPUTED_VALUE"""),"")</f>
        <v/>
      </c>
      <c r="D56" s="476"/>
      <c r="E56" s="478" t="s">
        <v>3366</v>
      </c>
      <c r="F56" s="479" t="s">
        <v>3367</v>
      </c>
      <c r="G56" s="477"/>
      <c r="H56" s="472" t="str">
        <f ca="1">IFERROR(__xludf.DUMMYFUNCTION("""COMPUTED_VALUE"""),"")</f>
        <v/>
      </c>
      <c r="I56" s="472" t="str">
        <f ca="1">IFERROR(__xludf.DUMMYFUNCTION("""COMPUTED_VALUE"""),"")</f>
        <v/>
      </c>
      <c r="J56" s="472" t="str">
        <f ca="1">IFERROR(__xludf.DUMMYFUNCTION("""COMPUTED_VALUE"""),"")</f>
        <v/>
      </c>
      <c r="L56" s="472">
        <f>SUM(I20,I2)</f>
        <v>650</v>
      </c>
      <c r="M56" s="472">
        <f>SUM(Q20,Q2)</f>
        <v>13</v>
      </c>
      <c r="N56" s="472">
        <f>SUM(I3+I21)</f>
        <v>470</v>
      </c>
      <c r="O56" s="472">
        <f>SUM(Q3+Q21)</f>
        <v>10</v>
      </c>
      <c r="P56" s="472">
        <f>SUM(I22,I23,I4)</f>
        <v>440</v>
      </c>
      <c r="Q56" s="517">
        <f>SUM(Q22,Q23,Q4)</f>
        <v>9</v>
      </c>
      <c r="R56" s="472">
        <f>SUM(I24,I25,I5)</f>
        <v>445</v>
      </c>
      <c r="S56" s="472">
        <f>SUM(Q24,Q25,Q5)</f>
        <v>10</v>
      </c>
      <c r="T56" s="472">
        <f>SUM(I26,I27,I6,I7)</f>
        <v>527</v>
      </c>
      <c r="U56" s="472">
        <f>SUM(Q26,Q27,Q6,Q7)</f>
        <v>12</v>
      </c>
      <c r="V56" s="472">
        <f>SUM(I26,I27,I6,I7)</f>
        <v>527</v>
      </c>
      <c r="W56" s="472">
        <f>SUM(Q26,Q27,Q6,Q7)</f>
        <v>12</v>
      </c>
    </row>
    <row r="57" spans="1:37" ht="15.75" hidden="1">
      <c r="A57" s="480" t="s">
        <v>3368</v>
      </c>
      <c r="B57" s="481">
        <v>5</v>
      </c>
      <c r="C57" s="472" t="str">
        <f ca="1">IFERROR(__xludf.DUMMYFUNCTION("""COMPUTED_VALUE"""),"")</f>
        <v/>
      </c>
      <c r="D57" s="480" t="s">
        <v>3369</v>
      </c>
      <c r="E57" s="482">
        <f>(50/$F$60)*60</f>
        <v>187.5</v>
      </c>
      <c r="F57" s="483">
        <v>15</v>
      </c>
      <c r="G57" s="484" t="s">
        <v>3370</v>
      </c>
      <c r="H57" s="472" t="str">
        <f ca="1">IFERROR(__xludf.DUMMYFUNCTION("""COMPUTED_VALUE"""),"")</f>
        <v/>
      </c>
      <c r="I57" s="472" t="str">
        <f ca="1">IFERROR(__xludf.DUMMYFUNCTION("""COMPUTED_VALUE"""),"")</f>
        <v/>
      </c>
      <c r="J57" s="472" t="str">
        <f ca="1">IFERROR(__xludf.DUMMYFUNCTION("""COMPUTED_VALUE"""),"")</f>
        <v/>
      </c>
      <c r="L57" s="472"/>
      <c r="M57" s="472"/>
      <c r="N57" s="472"/>
      <c r="O57" s="472"/>
      <c r="P57" s="295"/>
      <c r="R57" s="472"/>
      <c r="S57" s="472"/>
      <c r="T57" s="472"/>
      <c r="U57" s="472"/>
      <c r="V57" s="472"/>
      <c r="W57" s="472"/>
      <c r="X57" s="472"/>
      <c r="Y57" s="472"/>
      <c r="Z57" s="472"/>
      <c r="AA57" s="472"/>
      <c r="AB57" s="472"/>
      <c r="AC57" s="472"/>
      <c r="AD57" s="472"/>
      <c r="AE57" s="472"/>
      <c r="AF57" s="472"/>
      <c r="AG57" s="472"/>
      <c r="AH57" s="472"/>
      <c r="AI57" s="472"/>
      <c r="AJ57" s="472"/>
      <c r="AK57" s="465"/>
    </row>
    <row r="58" spans="1:37" ht="15.75" hidden="1">
      <c r="A58" s="480" t="s">
        <v>3371</v>
      </c>
      <c r="B58" s="481">
        <v>3</v>
      </c>
      <c r="C58" s="472" t="str">
        <f ca="1">IFERROR(__xludf.DUMMYFUNCTION("""COMPUTED_VALUE"""),"")</f>
        <v/>
      </c>
      <c r="D58" s="480" t="s">
        <v>3372</v>
      </c>
      <c r="E58" s="482">
        <f>(100/$F$60)*60</f>
        <v>375</v>
      </c>
      <c r="F58" s="483">
        <v>5</v>
      </c>
      <c r="G58" s="484" t="s">
        <v>3373</v>
      </c>
      <c r="H58" s="472" t="str">
        <f ca="1">IFERROR(__xludf.DUMMYFUNCTION("""COMPUTED_VALUE"""),"")</f>
        <v/>
      </c>
      <c r="I58" s="472" t="str">
        <f ca="1">IFERROR(__xludf.DUMMYFUNCTION("""COMPUTED_VALUE"""),"")</f>
        <v/>
      </c>
      <c r="J58" s="472" t="str">
        <f ca="1">IFERROR(__xludf.DUMMYFUNCTION("""COMPUTED_VALUE"""),"")</f>
        <v/>
      </c>
      <c r="L58" s="491" t="str">
        <f ca="1">IFERROR(__xludf.DUMMYFUNCTION("""COMPUTED_VALUE"""),"")</f>
        <v/>
      </c>
      <c r="M58" s="491" t="str">
        <f ca="1">IFERROR(__xludf.DUMMYFUNCTION("""COMPUTED_VALUE"""),"")</f>
        <v/>
      </c>
      <c r="N58" s="491" t="str">
        <f ca="1">IFERROR(__xludf.DUMMYFUNCTION("""COMPUTED_VALUE"""),"")</f>
        <v/>
      </c>
      <c r="O58" s="491" t="str">
        <f ca="1">IFERROR(__xludf.DUMMYFUNCTION("""COMPUTED_VALUE"""),"")</f>
        <v/>
      </c>
      <c r="P58" s="491"/>
      <c r="Q58" s="491"/>
      <c r="R58" s="491"/>
      <c r="S58" s="491"/>
      <c r="T58" s="491"/>
      <c r="U58" s="491"/>
      <c r="V58" s="491"/>
      <c r="W58" s="491"/>
      <c r="X58" s="491"/>
      <c r="Y58" s="491"/>
      <c r="Z58" s="491"/>
      <c r="AA58" s="491"/>
      <c r="AB58" s="491"/>
      <c r="AC58" s="491"/>
      <c r="AD58" s="491"/>
      <c r="AE58" s="491"/>
      <c r="AF58" s="491"/>
      <c r="AG58" s="491"/>
      <c r="AH58" s="491"/>
      <c r="AI58" s="491"/>
      <c r="AJ58" s="491"/>
    </row>
    <row r="59" spans="1:37" ht="15.75" hidden="1">
      <c r="A59" s="480" t="s">
        <v>3374</v>
      </c>
      <c r="B59" s="481">
        <v>15</v>
      </c>
      <c r="C59" s="472" t="str">
        <f ca="1">IFERROR(__xludf.DUMMYFUNCTION("""COMPUTED_VALUE"""),"")</f>
        <v/>
      </c>
      <c r="D59" s="480" t="s">
        <v>3375</v>
      </c>
      <c r="E59" s="482">
        <f>(150/$F$60)*60</f>
        <v>562.5</v>
      </c>
      <c r="F59" s="483">
        <v>5.5</v>
      </c>
      <c r="G59" s="484" t="s">
        <v>3376</v>
      </c>
      <c r="H59" s="472" t="str">
        <f ca="1">IFERROR(__xludf.DUMMYFUNCTION("""COMPUTED_VALUE"""),"")</f>
        <v/>
      </c>
      <c r="I59" s="472" t="str">
        <f ca="1">IFERROR(__xludf.DUMMYFUNCTION("""COMPUTED_VALUE"""),"")</f>
        <v/>
      </c>
      <c r="J59" s="472" t="str">
        <f ca="1">IFERROR(__xludf.DUMMYFUNCTION("""COMPUTED_VALUE"""),"")</f>
        <v/>
      </c>
      <c r="L59" s="491" t="str">
        <f ca="1">IFERROR(__xludf.DUMMYFUNCTION("""COMPUTED_VALUE"""),"")</f>
        <v/>
      </c>
      <c r="M59" s="491" t="str">
        <f ca="1">IFERROR(__xludf.DUMMYFUNCTION("""COMPUTED_VALUE"""),"")</f>
        <v/>
      </c>
      <c r="N59" s="491" t="str">
        <f ca="1">IFERROR(__xludf.DUMMYFUNCTION("""COMPUTED_VALUE"""),"")</f>
        <v/>
      </c>
      <c r="O59" s="491" t="str">
        <f ca="1">IFERROR(__xludf.DUMMYFUNCTION("""COMPUTED_VALUE"""),"")</f>
        <v/>
      </c>
      <c r="P59" s="491"/>
      <c r="Q59" s="491"/>
      <c r="R59" s="491"/>
      <c r="S59" s="491"/>
      <c r="T59" s="491"/>
      <c r="U59" s="491"/>
      <c r="V59" s="491"/>
      <c r="W59" s="491"/>
      <c r="X59" s="491"/>
      <c r="Y59" s="491"/>
      <c r="Z59" s="491"/>
      <c r="AA59" s="491"/>
      <c r="AB59" s="491"/>
      <c r="AC59" s="491"/>
      <c r="AD59" s="491"/>
      <c r="AE59" s="491"/>
      <c r="AF59" s="491"/>
      <c r="AG59" s="491"/>
      <c r="AH59" s="491"/>
      <c r="AI59" s="491"/>
      <c r="AJ59" s="491"/>
    </row>
    <row r="60" spans="1:37" ht="15.75" hidden="1">
      <c r="A60" s="480" t="s">
        <v>3377</v>
      </c>
      <c r="B60" s="481">
        <v>30</v>
      </c>
      <c r="C60" s="472" t="str">
        <f ca="1">IFERROR(__xludf.DUMMYFUNCTION("""COMPUTED_VALUE"""),"")</f>
        <v/>
      </c>
      <c r="D60" s="480" t="s">
        <v>3378</v>
      </c>
      <c r="E60" s="482">
        <f>(200/$F$60)*60</f>
        <v>750</v>
      </c>
      <c r="F60" s="483">
        <f>ROUNDDOWN(F59*3,0)</f>
        <v>16</v>
      </c>
      <c r="G60" s="484" t="s">
        <v>3698</v>
      </c>
      <c r="H60" s="472" t="str">
        <f ca="1">IFERROR(__xludf.DUMMYFUNCTION("""COMPUTED_VALUE"""),"")</f>
        <v/>
      </c>
      <c r="I60" s="472" t="str">
        <f ca="1">IFERROR(__xludf.DUMMYFUNCTION("""COMPUTED_VALUE"""),"")</f>
        <v/>
      </c>
      <c r="J60" s="472" t="str">
        <f ca="1">IFERROR(__xludf.DUMMYFUNCTION("""COMPUTED_VALUE"""),"")</f>
        <v/>
      </c>
      <c r="L60" s="485">
        <v>43999</v>
      </c>
      <c r="M60" s="485"/>
      <c r="N60" s="485">
        <v>44000</v>
      </c>
      <c r="O60" s="485"/>
      <c r="P60" s="485">
        <v>44001</v>
      </c>
      <c r="Q60" s="516"/>
      <c r="R60" s="485">
        <v>44002</v>
      </c>
      <c r="S60" s="485"/>
      <c r="T60" s="485">
        <v>44004</v>
      </c>
      <c r="U60" s="485"/>
      <c r="V60" s="485"/>
      <c r="W60" s="485"/>
      <c r="X60" s="485"/>
      <c r="Y60" s="485"/>
      <c r="Z60" s="485"/>
      <c r="AA60" s="485"/>
      <c r="AB60" s="485"/>
    </row>
    <row r="61" spans="1:37" ht="15.75" hidden="1">
      <c r="A61" s="480"/>
      <c r="B61" s="481"/>
      <c r="C61" s="472" t="str">
        <f ca="1">IFERROR(__xludf.DUMMYFUNCTION("""COMPUTED_VALUE"""),"")</f>
        <v/>
      </c>
      <c r="D61" s="480" t="s">
        <v>3381</v>
      </c>
      <c r="E61" s="482">
        <f>(250/$F$60)*60</f>
        <v>937.5</v>
      </c>
      <c r="F61" s="483">
        <v>45</v>
      </c>
      <c r="G61" s="484" t="s">
        <v>3382</v>
      </c>
      <c r="H61" s="472" t="str">
        <f ca="1">IFERROR(__xludf.DUMMYFUNCTION("""COMPUTED_VALUE"""),"")</f>
        <v/>
      </c>
      <c r="I61" s="472" t="str">
        <f ca="1">IFERROR(__xludf.DUMMYFUNCTION("""COMPUTED_VALUE"""),"")</f>
        <v/>
      </c>
      <c r="J61" s="472" t="str">
        <f ca="1">IFERROR(__xludf.DUMMYFUNCTION("""COMPUTED_VALUE"""),"")</f>
        <v/>
      </c>
      <c r="L61" s="495">
        <f>SUM(I10:I12,I30:I31)</f>
        <v>617</v>
      </c>
      <c r="M61" s="495">
        <f>SUM(Q10:Q12,Q30:Q31)</f>
        <v>13</v>
      </c>
      <c r="N61" s="495">
        <f>SUM(I13,I32:I34)</f>
        <v>448</v>
      </c>
      <c r="O61" s="495">
        <f>SUM(Q13,Q32:Q34)</f>
        <v>10</v>
      </c>
      <c r="P61" s="495">
        <f>SUM(I14,I35:I38)</f>
        <v>359</v>
      </c>
      <c r="Q61" s="495">
        <f>SUM(Q14,Q35:Q38)</f>
        <v>9</v>
      </c>
      <c r="R61" s="495">
        <f>SUM(I15,I39:I41)</f>
        <v>230</v>
      </c>
      <c r="S61" s="495">
        <f>SUM(Q15,Q39:Q41)</f>
        <v>7</v>
      </c>
      <c r="T61" s="495">
        <f>SUM(I42:I43,I17:I19)</f>
        <v>486</v>
      </c>
      <c r="U61" s="495"/>
      <c r="V61" s="495"/>
      <c r="W61" s="495"/>
      <c r="X61" s="495"/>
      <c r="Y61" s="495"/>
      <c r="Z61" s="495"/>
      <c r="AA61" s="495"/>
      <c r="AB61" s="495"/>
    </row>
    <row r="62" spans="1:37" ht="15.75" hidden="1">
      <c r="A62" s="480" t="s">
        <v>3380</v>
      </c>
      <c r="B62" s="481">
        <f>(60/B57)*B58</f>
        <v>36</v>
      </c>
      <c r="C62" s="472" t="str">
        <f ca="1">IFERROR(__xludf.DUMMYFUNCTION("""COMPUTED_VALUE"""),"")</f>
        <v/>
      </c>
      <c r="D62" s="480" t="s">
        <v>3385</v>
      </c>
      <c r="E62" s="482">
        <f>(300/$F$60)*60</f>
        <v>1125</v>
      </c>
      <c r="F62" s="486">
        <v>60</v>
      </c>
      <c r="G62" s="487" t="s">
        <v>3386</v>
      </c>
      <c r="H62" s="472" t="str">
        <f ca="1">IFERROR(__xludf.DUMMYFUNCTION("""COMPUTED_VALUE"""),"")</f>
        <v/>
      </c>
      <c r="I62" s="472" t="str">
        <f ca="1">IFERROR(__xludf.DUMMYFUNCTION("""COMPUTED_VALUE"""),"")</f>
        <v/>
      </c>
      <c r="J62" s="472" t="str">
        <f ca="1">IFERROR(__xludf.DUMMYFUNCTION("""COMPUTED_VALUE"""),"")</f>
        <v/>
      </c>
      <c r="N62" s="464"/>
      <c r="W62" s="465"/>
    </row>
    <row r="63" spans="1:37" ht="16.5" hidden="1" thickBot="1">
      <c r="A63" s="489" t="s">
        <v>3383</v>
      </c>
      <c r="B63" s="490" t="s">
        <v>3384</v>
      </c>
      <c r="C63" s="472" t="str">
        <f ca="1">IFERROR(__xludf.DUMMYFUNCTION("""COMPUTED_VALUE"""),"")</f>
        <v/>
      </c>
      <c r="D63" s="489" t="s">
        <v>3387</v>
      </c>
      <c r="E63" s="482">
        <f>(350/$F$60)*60</f>
        <v>1312.5</v>
      </c>
      <c r="F63" s="493">
        <v>45</v>
      </c>
      <c r="G63" s="494" t="s">
        <v>3388</v>
      </c>
      <c r="H63" s="472" t="str">
        <f ca="1">IFERROR(__xludf.DUMMYFUNCTION("""COMPUTED_VALUE"""),"")</f>
        <v/>
      </c>
      <c r="I63" s="472" t="str">
        <f ca="1">IFERROR(__xludf.DUMMYFUNCTION("""COMPUTED_VALUE"""),"")</f>
        <v/>
      </c>
      <c r="J63" s="472" t="str">
        <f ca="1">IFERROR(__xludf.DUMMYFUNCTION("""COMPUTED_VALUE"""),"")</f>
        <v/>
      </c>
    </row>
    <row r="64" spans="1:37" ht="15.75" hidden="1">
      <c r="A64" s="472" t="str">
        <f ca="1">IFERROR(__xludf.DUMMYFUNCTION("""COMPUTED_VALUE"""),"")</f>
        <v/>
      </c>
      <c r="B64" s="472" t="str">
        <f ca="1">IFERROR(__xludf.DUMMYFUNCTION("""COMPUTED_VALUE"""),"")</f>
        <v/>
      </c>
      <c r="C64" s="472" t="str">
        <f ca="1">IFERROR(__xludf.DUMMYFUNCTION("""COMPUTED_VALUE"""),"")</f>
        <v/>
      </c>
      <c r="D64" s="472" t="str">
        <f ca="1">IFERROR(__xludf.DUMMYFUNCTION("""COMPUTED_VALUE"""),"")</f>
        <v/>
      </c>
      <c r="E64" s="472" t="str">
        <f ca="1">IFERROR(__xludf.DUMMYFUNCTION("""COMPUTED_VALUE"""),"")</f>
        <v/>
      </c>
      <c r="F64" s="472" t="str">
        <f ca="1">IFERROR(__xludf.DUMMYFUNCTION("""COMPUTED_VALUE"""),"")</f>
        <v/>
      </c>
      <c r="G64" s="472" t="str">
        <f ca="1">IFERROR(__xludf.DUMMYFUNCTION("""COMPUTED_VALUE"""),"")</f>
        <v/>
      </c>
      <c r="H64" s="472" t="str">
        <f ca="1">IFERROR(__xludf.DUMMYFUNCTION("""COMPUTED_VALUE"""),"")</f>
        <v/>
      </c>
      <c r="I64" s="472" t="str">
        <f ca="1">IFERROR(__xludf.DUMMYFUNCTION("""COMPUTED_VALUE"""),"")</f>
        <v/>
      </c>
      <c r="J64" s="472" t="str">
        <f ca="1">IFERROR(__xludf.DUMMYFUNCTION("""COMPUTED_VALUE"""),"")</f>
        <v/>
      </c>
    </row>
    <row r="65" spans="1:10" ht="15.75" hidden="1">
      <c r="A65" s="472" t="str">
        <f ca="1">IFERROR(__xludf.DUMMYFUNCTION("""COMPUTED_VALUE"""),"")</f>
        <v/>
      </c>
      <c r="B65" s="472" t="str">
        <f ca="1">IFERROR(__xludf.DUMMYFUNCTION("""COMPUTED_VALUE"""),"")</f>
        <v/>
      </c>
      <c r="C65" s="472" t="str">
        <f ca="1">IFERROR(__xludf.DUMMYFUNCTION("""COMPUTED_VALUE"""),"")</f>
        <v/>
      </c>
      <c r="D65" s="472" t="str">
        <f ca="1">IFERROR(__xludf.DUMMYFUNCTION("""COMPUTED_VALUE"""),"")</f>
        <v/>
      </c>
      <c r="E65" s="472" t="str">
        <f ca="1">IFERROR(__xludf.DUMMYFUNCTION("""COMPUTED_VALUE"""),"")</f>
        <v/>
      </c>
      <c r="F65" s="472" t="str">
        <f ca="1">IFERROR(__xludf.DUMMYFUNCTION("""COMPUTED_VALUE"""),"")</f>
        <v/>
      </c>
      <c r="G65" s="472" t="str">
        <f ca="1">IFERROR(__xludf.DUMMYFUNCTION("""COMPUTED_VALUE"""),"")</f>
        <v/>
      </c>
      <c r="H65" s="472" t="str">
        <f ca="1">IFERROR(__xludf.DUMMYFUNCTION("""COMPUTED_VALUE"""),"")</f>
        <v/>
      </c>
      <c r="I65" s="472" t="str">
        <f ca="1">IFERROR(__xludf.DUMMYFUNCTION("""COMPUTED_VALUE"""),"")</f>
        <v/>
      </c>
      <c r="J65" s="472" t="str">
        <f ca="1">IFERROR(__xludf.DUMMYFUNCTION("""COMPUTED_VALUE"""),"")</f>
        <v/>
      </c>
    </row>
    <row r="66" spans="1:10" ht="15.75" hidden="1">
      <c r="A66" s="472" t="str">
        <f ca="1">IFERROR(__xludf.DUMMYFUNCTION("""COMPUTED_VALUE"""),"")</f>
        <v/>
      </c>
      <c r="B66" s="472" t="str">
        <f ca="1">IFERROR(__xludf.DUMMYFUNCTION("""COMPUTED_VALUE"""),"")</f>
        <v/>
      </c>
      <c r="C66" s="472" t="str">
        <f ca="1">IFERROR(__xludf.DUMMYFUNCTION("""COMPUTED_VALUE"""),"")</f>
        <v/>
      </c>
      <c r="D66" s="472" t="str">
        <f ca="1">IFERROR(__xludf.DUMMYFUNCTION("""COMPUTED_VALUE"""),"")</f>
        <v/>
      </c>
      <c r="E66" s="472" t="str">
        <f ca="1">IFERROR(__xludf.DUMMYFUNCTION("""COMPUTED_VALUE"""),"")</f>
        <v/>
      </c>
      <c r="F66" s="472" t="str">
        <f ca="1">IFERROR(__xludf.DUMMYFUNCTION("""COMPUTED_VALUE"""),"")</f>
        <v/>
      </c>
      <c r="G66" s="472" t="str">
        <f ca="1">IFERROR(__xludf.DUMMYFUNCTION("""COMPUTED_VALUE"""),"")</f>
        <v/>
      </c>
      <c r="H66" s="472" t="str">
        <f ca="1">IFERROR(__xludf.DUMMYFUNCTION("""COMPUTED_VALUE"""),"")</f>
        <v/>
      </c>
      <c r="I66" s="472" t="str">
        <f ca="1">IFERROR(__xludf.DUMMYFUNCTION("""COMPUTED_VALUE"""),"")</f>
        <v/>
      </c>
      <c r="J66" s="472" t="str">
        <f ca="1">IFERROR(__xludf.DUMMYFUNCTION("""COMPUTED_VALUE"""),"")</f>
        <v/>
      </c>
    </row>
    <row r="67" spans="1:10" ht="15.75">
      <c r="A67" s="472" t="str">
        <f ca="1">IFERROR(__xludf.DUMMYFUNCTION("""COMPUTED_VALUE"""),"")</f>
        <v/>
      </c>
      <c r="B67" s="472" t="str">
        <f ca="1">IFERROR(__xludf.DUMMYFUNCTION("""COMPUTED_VALUE"""),"")</f>
        <v/>
      </c>
      <c r="C67" s="472" t="str">
        <f ca="1">IFERROR(__xludf.DUMMYFUNCTION("""COMPUTED_VALUE"""),"")</f>
        <v/>
      </c>
      <c r="D67" s="472" t="str">
        <f ca="1">IFERROR(__xludf.DUMMYFUNCTION("""COMPUTED_VALUE"""),"")</f>
        <v/>
      </c>
      <c r="E67" s="472" t="str">
        <f ca="1">IFERROR(__xludf.DUMMYFUNCTION("""COMPUTED_VALUE"""),"")</f>
        <v/>
      </c>
      <c r="F67" s="472" t="str">
        <f ca="1">IFERROR(__xludf.DUMMYFUNCTION("""COMPUTED_VALUE"""),"")</f>
        <v/>
      </c>
      <c r="G67" s="472" t="str">
        <f ca="1">IFERROR(__xludf.DUMMYFUNCTION("""COMPUTED_VALUE"""),"")</f>
        <v/>
      </c>
      <c r="H67" s="472" t="str">
        <f ca="1">IFERROR(__xludf.DUMMYFUNCTION("""COMPUTED_VALUE"""),"")</f>
        <v/>
      </c>
      <c r="I67" s="472" t="str">
        <f ca="1">IFERROR(__xludf.DUMMYFUNCTION("""COMPUTED_VALUE"""),"")</f>
        <v/>
      </c>
      <c r="J67" s="472" t="str">
        <f ca="1">IFERROR(__xludf.DUMMYFUNCTION("""COMPUTED_VALUE"""),"")</f>
        <v/>
      </c>
    </row>
    <row r="68" spans="1:10" ht="15.75">
      <c r="A68" s="472" t="str">
        <f ca="1">IFERROR(__xludf.DUMMYFUNCTION("""COMPUTED_VALUE"""),"")</f>
        <v/>
      </c>
      <c r="B68" s="472" t="str">
        <f ca="1">IFERROR(__xludf.DUMMYFUNCTION("""COMPUTED_VALUE"""),"")</f>
        <v/>
      </c>
      <c r="C68" s="472" t="str">
        <f ca="1">IFERROR(__xludf.DUMMYFUNCTION("""COMPUTED_VALUE"""),"")</f>
        <v/>
      </c>
      <c r="D68" s="472" t="str">
        <f ca="1">IFERROR(__xludf.DUMMYFUNCTION("""COMPUTED_VALUE"""),"")</f>
        <v/>
      </c>
      <c r="E68" s="472" t="str">
        <f ca="1">IFERROR(__xludf.DUMMYFUNCTION("""COMPUTED_VALUE"""),"")</f>
        <v/>
      </c>
      <c r="F68" s="472" t="str">
        <f ca="1">IFERROR(__xludf.DUMMYFUNCTION("""COMPUTED_VALUE"""),"")</f>
        <v/>
      </c>
      <c r="G68" s="472" t="str">
        <f ca="1">IFERROR(__xludf.DUMMYFUNCTION("""COMPUTED_VALUE"""),"")</f>
        <v/>
      </c>
      <c r="H68" s="472" t="str">
        <f ca="1">IFERROR(__xludf.DUMMYFUNCTION("""COMPUTED_VALUE"""),"")</f>
        <v/>
      </c>
      <c r="I68" s="472" t="str">
        <f ca="1">IFERROR(__xludf.DUMMYFUNCTION("""COMPUTED_VALUE"""),"")</f>
        <v/>
      </c>
      <c r="J68" s="472" t="str">
        <f ca="1">IFERROR(__xludf.DUMMYFUNCTION("""COMPUTED_VALUE"""),"")</f>
        <v/>
      </c>
    </row>
    <row r="69" spans="1:10" ht="15.75">
      <c r="A69" s="472" t="str">
        <f ca="1">IFERROR(__xludf.DUMMYFUNCTION("""COMPUTED_VALUE"""),"")</f>
        <v/>
      </c>
      <c r="B69" s="472" t="str">
        <f ca="1">IFERROR(__xludf.DUMMYFUNCTION("""COMPUTED_VALUE"""),"")</f>
        <v/>
      </c>
      <c r="C69" s="472" t="str">
        <f ca="1">IFERROR(__xludf.DUMMYFUNCTION("""COMPUTED_VALUE"""),"")</f>
        <v/>
      </c>
      <c r="D69" s="472" t="str">
        <f ca="1">IFERROR(__xludf.DUMMYFUNCTION("""COMPUTED_VALUE"""),"")</f>
        <v/>
      </c>
      <c r="E69" s="472" t="str">
        <f ca="1">IFERROR(__xludf.DUMMYFUNCTION("""COMPUTED_VALUE"""),"")</f>
        <v/>
      </c>
      <c r="F69" s="472" t="str">
        <f ca="1">IFERROR(__xludf.DUMMYFUNCTION("""COMPUTED_VALUE"""),"")</f>
        <v/>
      </c>
      <c r="G69" s="472" t="str">
        <f ca="1">IFERROR(__xludf.DUMMYFUNCTION("""COMPUTED_VALUE"""),"")</f>
        <v/>
      </c>
      <c r="H69" s="472" t="str">
        <f ca="1">IFERROR(__xludf.DUMMYFUNCTION("""COMPUTED_VALUE"""),"")</f>
        <v/>
      </c>
      <c r="I69" s="472" t="str">
        <f ca="1">IFERROR(__xludf.DUMMYFUNCTION("""COMPUTED_VALUE"""),"")</f>
        <v/>
      </c>
      <c r="J69" s="472" t="str">
        <f ca="1">IFERROR(__xludf.DUMMYFUNCTION("""COMPUTED_VALUE"""),"")</f>
        <v/>
      </c>
    </row>
    <row r="70" spans="1:10" ht="15.75">
      <c r="A70" s="472" t="str">
        <f ca="1">IFERROR(__xludf.DUMMYFUNCTION("""COMPUTED_VALUE"""),"")</f>
        <v/>
      </c>
      <c r="B70" s="472" t="str">
        <f ca="1">IFERROR(__xludf.DUMMYFUNCTION("""COMPUTED_VALUE"""),"")</f>
        <v/>
      </c>
      <c r="C70" s="472" t="str">
        <f ca="1">IFERROR(__xludf.DUMMYFUNCTION("""COMPUTED_VALUE"""),"")</f>
        <v/>
      </c>
      <c r="D70" s="472" t="str">
        <f ca="1">IFERROR(__xludf.DUMMYFUNCTION("""COMPUTED_VALUE"""),"")</f>
        <v/>
      </c>
      <c r="E70" s="472" t="str">
        <f ca="1">IFERROR(__xludf.DUMMYFUNCTION("""COMPUTED_VALUE"""),"")</f>
        <v/>
      </c>
      <c r="F70" s="472" t="str">
        <f ca="1">IFERROR(__xludf.DUMMYFUNCTION("""COMPUTED_VALUE"""),"")</f>
        <v/>
      </c>
      <c r="G70" s="472" t="str">
        <f ca="1">IFERROR(__xludf.DUMMYFUNCTION("""COMPUTED_VALUE"""),"")</f>
        <v/>
      </c>
      <c r="H70" s="472" t="str">
        <f ca="1">IFERROR(__xludf.DUMMYFUNCTION("""COMPUTED_VALUE"""),"")</f>
        <v/>
      </c>
      <c r="I70" s="472" t="str">
        <f ca="1">IFERROR(__xludf.DUMMYFUNCTION("""COMPUTED_VALUE"""),"")</f>
        <v/>
      </c>
      <c r="J70" s="472" t="str">
        <f ca="1">IFERROR(__xludf.DUMMYFUNCTION("""COMPUTED_VALUE"""),"")</f>
        <v/>
      </c>
    </row>
    <row r="71" spans="1:10" ht="15.75">
      <c r="A71" s="472" t="str">
        <f ca="1">IFERROR(__xludf.DUMMYFUNCTION("""COMPUTED_VALUE"""),"")</f>
        <v/>
      </c>
      <c r="B71" s="472" t="str">
        <f ca="1">IFERROR(__xludf.DUMMYFUNCTION("""COMPUTED_VALUE"""),"")</f>
        <v/>
      </c>
      <c r="C71" s="472" t="str">
        <f ca="1">IFERROR(__xludf.DUMMYFUNCTION("""COMPUTED_VALUE"""),"")</f>
        <v/>
      </c>
      <c r="D71" s="472" t="str">
        <f ca="1">IFERROR(__xludf.DUMMYFUNCTION("""COMPUTED_VALUE"""),"")</f>
        <v/>
      </c>
      <c r="E71" s="472" t="str">
        <f ca="1">IFERROR(__xludf.DUMMYFUNCTION("""COMPUTED_VALUE"""),"")</f>
        <v/>
      </c>
      <c r="F71" s="472" t="str">
        <f ca="1">IFERROR(__xludf.DUMMYFUNCTION("""COMPUTED_VALUE"""),"")</f>
        <v/>
      </c>
      <c r="G71" s="472" t="str">
        <f ca="1">IFERROR(__xludf.DUMMYFUNCTION("""COMPUTED_VALUE"""),"")</f>
        <v/>
      </c>
      <c r="H71" s="472" t="str">
        <f ca="1">IFERROR(__xludf.DUMMYFUNCTION("""COMPUTED_VALUE"""),"")</f>
        <v/>
      </c>
      <c r="I71" s="472" t="str">
        <f ca="1">IFERROR(__xludf.DUMMYFUNCTION("""COMPUTED_VALUE"""),"")</f>
        <v/>
      </c>
      <c r="J71" s="472" t="str">
        <f ca="1">IFERROR(__xludf.DUMMYFUNCTION("""COMPUTED_VALUE"""),"")</f>
        <v/>
      </c>
    </row>
    <row r="72" spans="1:10" ht="15.75">
      <c r="A72" s="472" t="str">
        <f ca="1">IFERROR(__xludf.DUMMYFUNCTION("""COMPUTED_VALUE"""),"")</f>
        <v/>
      </c>
      <c r="B72" s="472" t="str">
        <f ca="1">IFERROR(__xludf.DUMMYFUNCTION("""COMPUTED_VALUE"""),"")</f>
        <v/>
      </c>
      <c r="C72" s="472" t="str">
        <f ca="1">IFERROR(__xludf.DUMMYFUNCTION("""COMPUTED_VALUE"""),"")</f>
        <v/>
      </c>
      <c r="D72" s="472" t="str">
        <f ca="1">IFERROR(__xludf.DUMMYFUNCTION("""COMPUTED_VALUE"""),"")</f>
        <v/>
      </c>
      <c r="E72" s="472" t="str">
        <f ca="1">IFERROR(__xludf.DUMMYFUNCTION("""COMPUTED_VALUE"""),"")</f>
        <v/>
      </c>
      <c r="F72" s="472" t="str">
        <f ca="1">IFERROR(__xludf.DUMMYFUNCTION("""COMPUTED_VALUE"""),"")</f>
        <v/>
      </c>
      <c r="G72" s="472" t="str">
        <f ca="1">IFERROR(__xludf.DUMMYFUNCTION("""COMPUTED_VALUE"""),"")</f>
        <v/>
      </c>
      <c r="H72" s="472" t="str">
        <f ca="1">IFERROR(__xludf.DUMMYFUNCTION("""COMPUTED_VALUE"""),"")</f>
        <v/>
      </c>
      <c r="I72" s="472" t="str">
        <f ca="1">IFERROR(__xludf.DUMMYFUNCTION("""COMPUTED_VALUE"""),"")</f>
        <v/>
      </c>
      <c r="J72" s="472" t="str">
        <f ca="1">IFERROR(__xludf.DUMMYFUNCTION("""COMPUTED_VALUE"""),"")</f>
        <v/>
      </c>
    </row>
    <row r="73" spans="1:10" ht="15.75">
      <c r="A73" s="472" t="str">
        <f ca="1">IFERROR(__xludf.DUMMYFUNCTION("""COMPUTED_VALUE"""),"")</f>
        <v/>
      </c>
      <c r="B73" s="472" t="str">
        <f ca="1">IFERROR(__xludf.DUMMYFUNCTION("""COMPUTED_VALUE"""),"")</f>
        <v/>
      </c>
      <c r="C73" s="472" t="str">
        <f ca="1">IFERROR(__xludf.DUMMYFUNCTION("""COMPUTED_VALUE"""),"")</f>
        <v/>
      </c>
      <c r="D73" s="472" t="str">
        <f ca="1">IFERROR(__xludf.DUMMYFUNCTION("""COMPUTED_VALUE"""),"")</f>
        <v/>
      </c>
      <c r="E73" s="472" t="str">
        <f ca="1">IFERROR(__xludf.DUMMYFUNCTION("""COMPUTED_VALUE"""),"")</f>
        <v/>
      </c>
      <c r="F73" s="472" t="str">
        <f ca="1">IFERROR(__xludf.DUMMYFUNCTION("""COMPUTED_VALUE"""),"")</f>
        <v/>
      </c>
      <c r="G73" s="472" t="str">
        <f ca="1">IFERROR(__xludf.DUMMYFUNCTION("""COMPUTED_VALUE"""),"")</f>
        <v/>
      </c>
      <c r="H73" s="472" t="str">
        <f ca="1">IFERROR(__xludf.DUMMYFUNCTION("""COMPUTED_VALUE"""),"")</f>
        <v/>
      </c>
      <c r="I73" s="472" t="str">
        <f ca="1">IFERROR(__xludf.DUMMYFUNCTION("""COMPUTED_VALUE"""),"")</f>
        <v/>
      </c>
      <c r="J73" s="472" t="str">
        <f ca="1">IFERROR(__xludf.DUMMYFUNCTION("""COMPUTED_VALUE"""),"")</f>
        <v/>
      </c>
    </row>
    <row r="74" spans="1:10" ht="15.75">
      <c r="A74" s="472" t="str">
        <f ca="1">IFERROR(__xludf.DUMMYFUNCTION("""COMPUTED_VALUE"""),"")</f>
        <v/>
      </c>
      <c r="B74" s="472" t="str">
        <f ca="1">IFERROR(__xludf.DUMMYFUNCTION("""COMPUTED_VALUE"""),"")</f>
        <v/>
      </c>
      <c r="C74" s="472" t="str">
        <f ca="1">IFERROR(__xludf.DUMMYFUNCTION("""COMPUTED_VALUE"""),"")</f>
        <v/>
      </c>
      <c r="D74" s="472" t="str">
        <f ca="1">IFERROR(__xludf.DUMMYFUNCTION("""COMPUTED_VALUE"""),"")</f>
        <v/>
      </c>
      <c r="E74" s="472" t="str">
        <f ca="1">IFERROR(__xludf.DUMMYFUNCTION("""COMPUTED_VALUE"""),"")</f>
        <v/>
      </c>
      <c r="F74" s="472" t="str">
        <f ca="1">IFERROR(__xludf.DUMMYFUNCTION("""COMPUTED_VALUE"""),"")</f>
        <v/>
      </c>
      <c r="G74" s="472" t="str">
        <f ca="1">IFERROR(__xludf.DUMMYFUNCTION("""COMPUTED_VALUE"""),"")</f>
        <v/>
      </c>
      <c r="H74" s="472" t="str">
        <f ca="1">IFERROR(__xludf.DUMMYFUNCTION("""COMPUTED_VALUE"""),"")</f>
        <v/>
      </c>
      <c r="I74" s="472" t="str">
        <f ca="1">IFERROR(__xludf.DUMMYFUNCTION("""COMPUTED_VALUE"""),"")</f>
        <v/>
      </c>
      <c r="J74" s="472" t="str">
        <f ca="1">IFERROR(__xludf.DUMMYFUNCTION("""COMPUTED_VALUE"""),"")</f>
        <v/>
      </c>
    </row>
    <row r="75" spans="1:10" ht="15.75">
      <c r="A75" s="472" t="str">
        <f ca="1">IFERROR(__xludf.DUMMYFUNCTION("""COMPUTED_VALUE"""),"")</f>
        <v/>
      </c>
      <c r="B75" s="472" t="str">
        <f ca="1">IFERROR(__xludf.DUMMYFUNCTION("""COMPUTED_VALUE"""),"")</f>
        <v/>
      </c>
      <c r="C75" s="472" t="str">
        <f ca="1">IFERROR(__xludf.DUMMYFUNCTION("""COMPUTED_VALUE"""),"")</f>
        <v/>
      </c>
      <c r="D75" s="472" t="str">
        <f ca="1">IFERROR(__xludf.DUMMYFUNCTION("""COMPUTED_VALUE"""),"")</f>
        <v/>
      </c>
      <c r="E75" s="472" t="str">
        <f ca="1">IFERROR(__xludf.DUMMYFUNCTION("""COMPUTED_VALUE"""),"")</f>
        <v/>
      </c>
      <c r="F75" s="472" t="str">
        <f ca="1">IFERROR(__xludf.DUMMYFUNCTION("""COMPUTED_VALUE"""),"")</f>
        <v/>
      </c>
      <c r="G75" s="472" t="str">
        <f ca="1">IFERROR(__xludf.DUMMYFUNCTION("""COMPUTED_VALUE"""),"")</f>
        <v/>
      </c>
      <c r="H75" s="472" t="str">
        <f ca="1">IFERROR(__xludf.DUMMYFUNCTION("""COMPUTED_VALUE"""),"")</f>
        <v/>
      </c>
      <c r="I75" s="472" t="str">
        <f ca="1">IFERROR(__xludf.DUMMYFUNCTION("""COMPUTED_VALUE"""),"")</f>
        <v/>
      </c>
      <c r="J75" s="472" t="str">
        <f ca="1">IFERROR(__xludf.DUMMYFUNCTION("""COMPUTED_VALUE"""),"")</f>
        <v/>
      </c>
    </row>
    <row r="76" spans="1:10" ht="15.75">
      <c r="A76" s="472" t="str">
        <f ca="1">IFERROR(__xludf.DUMMYFUNCTION("""COMPUTED_VALUE"""),"")</f>
        <v/>
      </c>
      <c r="B76" s="472" t="str">
        <f ca="1">IFERROR(__xludf.DUMMYFUNCTION("""COMPUTED_VALUE"""),"")</f>
        <v/>
      </c>
      <c r="C76" s="472" t="str">
        <f ca="1">IFERROR(__xludf.DUMMYFUNCTION("""COMPUTED_VALUE"""),"")</f>
        <v/>
      </c>
      <c r="D76" s="472" t="str">
        <f ca="1">IFERROR(__xludf.DUMMYFUNCTION("""COMPUTED_VALUE"""),"")</f>
        <v/>
      </c>
      <c r="E76" s="472" t="str">
        <f ca="1">IFERROR(__xludf.DUMMYFUNCTION("""COMPUTED_VALUE"""),"")</f>
        <v/>
      </c>
      <c r="F76" s="472" t="str">
        <f ca="1">IFERROR(__xludf.DUMMYFUNCTION("""COMPUTED_VALUE"""),"")</f>
        <v/>
      </c>
      <c r="G76" s="472" t="str">
        <f ca="1">IFERROR(__xludf.DUMMYFUNCTION("""COMPUTED_VALUE"""),"")</f>
        <v/>
      </c>
      <c r="H76" s="472" t="str">
        <f ca="1">IFERROR(__xludf.DUMMYFUNCTION("""COMPUTED_VALUE"""),"")</f>
        <v/>
      </c>
      <c r="I76" s="472" t="str">
        <f ca="1">IFERROR(__xludf.DUMMYFUNCTION("""COMPUTED_VALUE"""),"")</f>
        <v/>
      </c>
      <c r="J76" s="472" t="str">
        <f ca="1">IFERROR(__xludf.DUMMYFUNCTION("""COMPUTED_VALUE"""),"")</f>
        <v/>
      </c>
    </row>
    <row r="77" spans="1:10" ht="15.75">
      <c r="A77" s="472" t="str">
        <f ca="1">IFERROR(__xludf.DUMMYFUNCTION("""COMPUTED_VALUE"""),"")</f>
        <v/>
      </c>
      <c r="B77" s="472" t="str">
        <f ca="1">IFERROR(__xludf.DUMMYFUNCTION("""COMPUTED_VALUE"""),"")</f>
        <v/>
      </c>
      <c r="C77" s="472" t="str">
        <f ca="1">IFERROR(__xludf.DUMMYFUNCTION("""COMPUTED_VALUE"""),"")</f>
        <v/>
      </c>
      <c r="D77" s="472" t="str">
        <f ca="1">IFERROR(__xludf.DUMMYFUNCTION("""COMPUTED_VALUE"""),"")</f>
        <v/>
      </c>
      <c r="E77" s="472" t="str">
        <f ca="1">IFERROR(__xludf.DUMMYFUNCTION("""COMPUTED_VALUE"""),"")</f>
        <v/>
      </c>
      <c r="F77" s="472" t="str">
        <f ca="1">IFERROR(__xludf.DUMMYFUNCTION("""COMPUTED_VALUE"""),"")</f>
        <v/>
      </c>
      <c r="G77" s="472" t="str">
        <f ca="1">IFERROR(__xludf.DUMMYFUNCTION("""COMPUTED_VALUE"""),"")</f>
        <v/>
      </c>
      <c r="H77" s="472" t="str">
        <f ca="1">IFERROR(__xludf.DUMMYFUNCTION("""COMPUTED_VALUE"""),"")</f>
        <v/>
      </c>
      <c r="I77" s="472" t="str">
        <f ca="1">IFERROR(__xludf.DUMMYFUNCTION("""COMPUTED_VALUE"""),"")</f>
        <v/>
      </c>
      <c r="J77" s="472" t="str">
        <f ca="1">IFERROR(__xludf.DUMMYFUNCTION("""COMPUTED_VALUE"""),"")</f>
        <v/>
      </c>
    </row>
    <row r="78" spans="1:10" ht="15.75">
      <c r="A78" s="472" t="str">
        <f ca="1">IFERROR(__xludf.DUMMYFUNCTION("""COMPUTED_VALUE"""),"")</f>
        <v/>
      </c>
      <c r="B78" s="472" t="str">
        <f ca="1">IFERROR(__xludf.DUMMYFUNCTION("""COMPUTED_VALUE"""),"")</f>
        <v/>
      </c>
      <c r="C78" s="472" t="str">
        <f ca="1">IFERROR(__xludf.DUMMYFUNCTION("""COMPUTED_VALUE"""),"")</f>
        <v/>
      </c>
      <c r="D78" s="472" t="str">
        <f ca="1">IFERROR(__xludf.DUMMYFUNCTION("""COMPUTED_VALUE"""),"")</f>
        <v/>
      </c>
      <c r="E78" s="472" t="str">
        <f ca="1">IFERROR(__xludf.DUMMYFUNCTION("""COMPUTED_VALUE"""),"")</f>
        <v/>
      </c>
      <c r="F78" s="472" t="str">
        <f ca="1">IFERROR(__xludf.DUMMYFUNCTION("""COMPUTED_VALUE"""),"")</f>
        <v/>
      </c>
      <c r="G78" s="472" t="str">
        <f ca="1">IFERROR(__xludf.DUMMYFUNCTION("""COMPUTED_VALUE"""),"")</f>
        <v/>
      </c>
      <c r="H78" s="472" t="str">
        <f ca="1">IFERROR(__xludf.DUMMYFUNCTION("""COMPUTED_VALUE"""),"")</f>
        <v/>
      </c>
      <c r="I78" s="472" t="str">
        <f ca="1">IFERROR(__xludf.DUMMYFUNCTION("""COMPUTED_VALUE"""),"")</f>
        <v/>
      </c>
      <c r="J78" s="472" t="str">
        <f ca="1">IFERROR(__xludf.DUMMYFUNCTION("""COMPUTED_VALUE"""),"")</f>
        <v/>
      </c>
    </row>
    <row r="79" spans="1:10" ht="15.75">
      <c r="A79" s="472" t="str">
        <f ca="1">IFERROR(__xludf.DUMMYFUNCTION("""COMPUTED_VALUE"""),"")</f>
        <v/>
      </c>
      <c r="B79" s="472" t="str">
        <f ca="1">IFERROR(__xludf.DUMMYFUNCTION("""COMPUTED_VALUE"""),"")</f>
        <v/>
      </c>
      <c r="C79" s="472" t="str">
        <f ca="1">IFERROR(__xludf.DUMMYFUNCTION("""COMPUTED_VALUE"""),"")</f>
        <v/>
      </c>
      <c r="D79" s="472" t="str">
        <f ca="1">IFERROR(__xludf.DUMMYFUNCTION("""COMPUTED_VALUE"""),"")</f>
        <v/>
      </c>
      <c r="E79" s="472" t="str">
        <f ca="1">IFERROR(__xludf.DUMMYFUNCTION("""COMPUTED_VALUE"""),"")</f>
        <v/>
      </c>
      <c r="F79" s="472" t="str">
        <f ca="1">IFERROR(__xludf.DUMMYFUNCTION("""COMPUTED_VALUE"""),"")</f>
        <v/>
      </c>
      <c r="G79" s="472" t="str">
        <f ca="1">IFERROR(__xludf.DUMMYFUNCTION("""COMPUTED_VALUE"""),"")</f>
        <v/>
      </c>
      <c r="H79" s="472" t="str">
        <f ca="1">IFERROR(__xludf.DUMMYFUNCTION("""COMPUTED_VALUE"""),"")</f>
        <v/>
      </c>
      <c r="I79" s="472" t="str">
        <f ca="1">IFERROR(__xludf.DUMMYFUNCTION("""COMPUTED_VALUE"""),"")</f>
        <v/>
      </c>
      <c r="J79" s="472" t="str">
        <f ca="1">IFERROR(__xludf.DUMMYFUNCTION("""COMPUTED_VALUE"""),"")</f>
        <v/>
      </c>
    </row>
    <row r="80" spans="1:10" ht="15.75">
      <c r="A80" s="472" t="str">
        <f ca="1">IFERROR(__xludf.DUMMYFUNCTION("""COMPUTED_VALUE"""),"")</f>
        <v/>
      </c>
      <c r="B80" s="472" t="str">
        <f ca="1">IFERROR(__xludf.DUMMYFUNCTION("""COMPUTED_VALUE"""),"")</f>
        <v/>
      </c>
      <c r="C80" s="472" t="str">
        <f ca="1">IFERROR(__xludf.DUMMYFUNCTION("""COMPUTED_VALUE"""),"")</f>
        <v/>
      </c>
      <c r="D80" s="472" t="str">
        <f ca="1">IFERROR(__xludf.DUMMYFUNCTION("""COMPUTED_VALUE"""),"")</f>
        <v/>
      </c>
      <c r="E80" s="472" t="str">
        <f ca="1">IFERROR(__xludf.DUMMYFUNCTION("""COMPUTED_VALUE"""),"")</f>
        <v/>
      </c>
      <c r="F80" s="472" t="str">
        <f ca="1">IFERROR(__xludf.DUMMYFUNCTION("""COMPUTED_VALUE"""),"")</f>
        <v/>
      </c>
      <c r="G80" s="472" t="str">
        <f ca="1">IFERROR(__xludf.DUMMYFUNCTION("""COMPUTED_VALUE"""),"")</f>
        <v/>
      </c>
      <c r="H80" s="472" t="str">
        <f ca="1">IFERROR(__xludf.DUMMYFUNCTION("""COMPUTED_VALUE"""),"")</f>
        <v/>
      </c>
      <c r="I80" s="472" t="str">
        <f ca="1">IFERROR(__xludf.DUMMYFUNCTION("""COMPUTED_VALUE"""),"")</f>
        <v/>
      </c>
      <c r="J80" s="472" t="str">
        <f ca="1">IFERROR(__xludf.DUMMYFUNCTION("""COMPUTED_VALUE"""),"")</f>
        <v/>
      </c>
    </row>
    <row r="81" spans="1:10" ht="15.75">
      <c r="A81" s="472" t="str">
        <f ca="1">IFERROR(__xludf.DUMMYFUNCTION("""COMPUTED_VALUE"""),"")</f>
        <v/>
      </c>
      <c r="B81" s="472" t="str">
        <f ca="1">IFERROR(__xludf.DUMMYFUNCTION("""COMPUTED_VALUE"""),"")</f>
        <v/>
      </c>
      <c r="C81" s="472" t="str">
        <f ca="1">IFERROR(__xludf.DUMMYFUNCTION("""COMPUTED_VALUE"""),"")</f>
        <v/>
      </c>
      <c r="D81" s="472" t="str">
        <f ca="1">IFERROR(__xludf.DUMMYFUNCTION("""COMPUTED_VALUE"""),"")</f>
        <v/>
      </c>
      <c r="E81" s="472" t="str">
        <f ca="1">IFERROR(__xludf.DUMMYFUNCTION("""COMPUTED_VALUE"""),"")</f>
        <v/>
      </c>
      <c r="F81" s="472" t="str">
        <f ca="1">IFERROR(__xludf.DUMMYFUNCTION("""COMPUTED_VALUE"""),"")</f>
        <v/>
      </c>
      <c r="G81" s="472" t="str">
        <f ca="1">IFERROR(__xludf.DUMMYFUNCTION("""COMPUTED_VALUE"""),"")</f>
        <v/>
      </c>
      <c r="H81" s="472" t="str">
        <f ca="1">IFERROR(__xludf.DUMMYFUNCTION("""COMPUTED_VALUE"""),"")</f>
        <v/>
      </c>
      <c r="I81" s="472" t="str">
        <f ca="1">IFERROR(__xludf.DUMMYFUNCTION("""COMPUTED_VALUE"""),"")</f>
        <v/>
      </c>
      <c r="J81" s="472" t="str">
        <f ca="1">IFERROR(__xludf.DUMMYFUNCTION("""COMPUTED_VALUE"""),"")</f>
        <v/>
      </c>
    </row>
    <row r="82" spans="1:10" ht="15.75">
      <c r="A82" s="472" t="str">
        <f ca="1">IFERROR(__xludf.DUMMYFUNCTION("""COMPUTED_VALUE"""),"")</f>
        <v/>
      </c>
      <c r="B82" s="472" t="str">
        <f ca="1">IFERROR(__xludf.DUMMYFUNCTION("""COMPUTED_VALUE"""),"")</f>
        <v/>
      </c>
      <c r="C82" s="472" t="str">
        <f ca="1">IFERROR(__xludf.DUMMYFUNCTION("""COMPUTED_VALUE"""),"")</f>
        <v/>
      </c>
      <c r="D82" s="472" t="str">
        <f ca="1">IFERROR(__xludf.DUMMYFUNCTION("""COMPUTED_VALUE"""),"")</f>
        <v/>
      </c>
      <c r="E82" s="472" t="str">
        <f ca="1">IFERROR(__xludf.DUMMYFUNCTION("""COMPUTED_VALUE"""),"")</f>
        <v/>
      </c>
      <c r="F82" s="472" t="str">
        <f ca="1">IFERROR(__xludf.DUMMYFUNCTION("""COMPUTED_VALUE"""),"")</f>
        <v/>
      </c>
      <c r="G82" s="472" t="str">
        <f ca="1">IFERROR(__xludf.DUMMYFUNCTION("""COMPUTED_VALUE"""),"")</f>
        <v/>
      </c>
      <c r="H82" s="472" t="str">
        <f ca="1">IFERROR(__xludf.DUMMYFUNCTION("""COMPUTED_VALUE"""),"")</f>
        <v/>
      </c>
      <c r="I82" s="472" t="str">
        <f ca="1">IFERROR(__xludf.DUMMYFUNCTION("""COMPUTED_VALUE"""),"")</f>
        <v/>
      </c>
      <c r="J82" s="472" t="str">
        <f ca="1">IFERROR(__xludf.DUMMYFUNCTION("""COMPUTED_VALUE"""),"")</f>
        <v/>
      </c>
    </row>
    <row r="83" spans="1:10" ht="15.75">
      <c r="A83" s="472" t="str">
        <f ca="1">IFERROR(__xludf.DUMMYFUNCTION("""COMPUTED_VALUE"""),"")</f>
        <v/>
      </c>
      <c r="B83" s="472" t="str">
        <f ca="1">IFERROR(__xludf.DUMMYFUNCTION("""COMPUTED_VALUE"""),"")</f>
        <v/>
      </c>
      <c r="C83" s="472" t="str">
        <f ca="1">IFERROR(__xludf.DUMMYFUNCTION("""COMPUTED_VALUE"""),"")</f>
        <v/>
      </c>
      <c r="D83" s="472" t="str">
        <f ca="1">IFERROR(__xludf.DUMMYFUNCTION("""COMPUTED_VALUE"""),"")</f>
        <v/>
      </c>
      <c r="E83" s="472" t="str">
        <f ca="1">IFERROR(__xludf.DUMMYFUNCTION("""COMPUTED_VALUE"""),"")</f>
        <v/>
      </c>
      <c r="F83" s="472" t="str">
        <f ca="1">IFERROR(__xludf.DUMMYFUNCTION("""COMPUTED_VALUE"""),"")</f>
        <v/>
      </c>
      <c r="G83" s="472" t="str">
        <f ca="1">IFERROR(__xludf.DUMMYFUNCTION("""COMPUTED_VALUE"""),"")</f>
        <v/>
      </c>
      <c r="H83" s="472" t="str">
        <f ca="1">IFERROR(__xludf.DUMMYFUNCTION("""COMPUTED_VALUE"""),"")</f>
        <v/>
      </c>
      <c r="I83" s="472" t="str">
        <f ca="1">IFERROR(__xludf.DUMMYFUNCTION("""COMPUTED_VALUE"""),"")</f>
        <v/>
      </c>
      <c r="J83" s="472" t="str">
        <f ca="1">IFERROR(__xludf.DUMMYFUNCTION("""COMPUTED_VALUE"""),"")</f>
        <v/>
      </c>
    </row>
    <row r="84" spans="1:10" ht="15.75">
      <c r="A84" s="472" t="str">
        <f ca="1">IFERROR(__xludf.DUMMYFUNCTION("""COMPUTED_VALUE"""),"")</f>
        <v/>
      </c>
      <c r="B84" s="472" t="str">
        <f ca="1">IFERROR(__xludf.DUMMYFUNCTION("""COMPUTED_VALUE"""),"")</f>
        <v/>
      </c>
      <c r="C84" s="472" t="str">
        <f ca="1">IFERROR(__xludf.DUMMYFUNCTION("""COMPUTED_VALUE"""),"")</f>
        <v/>
      </c>
      <c r="D84" s="472" t="str">
        <f ca="1">IFERROR(__xludf.DUMMYFUNCTION("""COMPUTED_VALUE"""),"")</f>
        <v/>
      </c>
      <c r="E84" s="472" t="str">
        <f ca="1">IFERROR(__xludf.DUMMYFUNCTION("""COMPUTED_VALUE"""),"")</f>
        <v/>
      </c>
      <c r="F84" s="472" t="str">
        <f ca="1">IFERROR(__xludf.DUMMYFUNCTION("""COMPUTED_VALUE"""),"")</f>
        <v/>
      </c>
      <c r="G84" s="472" t="str">
        <f ca="1">IFERROR(__xludf.DUMMYFUNCTION("""COMPUTED_VALUE"""),"")</f>
        <v/>
      </c>
      <c r="H84" s="472" t="str">
        <f ca="1">IFERROR(__xludf.DUMMYFUNCTION("""COMPUTED_VALUE"""),"")</f>
        <v/>
      </c>
      <c r="I84" s="472" t="str">
        <f ca="1">IFERROR(__xludf.DUMMYFUNCTION("""COMPUTED_VALUE"""),"")</f>
        <v/>
      </c>
      <c r="J84" s="472" t="str">
        <f ca="1">IFERROR(__xludf.DUMMYFUNCTION("""COMPUTED_VALUE"""),"")</f>
        <v/>
      </c>
    </row>
    <row r="85" spans="1:10" ht="15.75">
      <c r="A85" s="472" t="str">
        <f ca="1">IFERROR(__xludf.DUMMYFUNCTION("""COMPUTED_VALUE"""),"")</f>
        <v/>
      </c>
      <c r="B85" s="472" t="str">
        <f ca="1">IFERROR(__xludf.DUMMYFUNCTION("""COMPUTED_VALUE"""),"")</f>
        <v/>
      </c>
      <c r="C85" s="472" t="str">
        <f ca="1">IFERROR(__xludf.DUMMYFUNCTION("""COMPUTED_VALUE"""),"")</f>
        <v/>
      </c>
      <c r="D85" s="472" t="str">
        <f ca="1">IFERROR(__xludf.DUMMYFUNCTION("""COMPUTED_VALUE"""),"")</f>
        <v/>
      </c>
      <c r="E85" s="472" t="str">
        <f ca="1">IFERROR(__xludf.DUMMYFUNCTION("""COMPUTED_VALUE"""),"")</f>
        <v/>
      </c>
      <c r="F85" s="472" t="str">
        <f ca="1">IFERROR(__xludf.DUMMYFUNCTION("""COMPUTED_VALUE"""),"")</f>
        <v/>
      </c>
      <c r="G85" s="472" t="str">
        <f ca="1">IFERROR(__xludf.DUMMYFUNCTION("""COMPUTED_VALUE"""),"")</f>
        <v/>
      </c>
      <c r="H85" s="472" t="str">
        <f ca="1">IFERROR(__xludf.DUMMYFUNCTION("""COMPUTED_VALUE"""),"")</f>
        <v/>
      </c>
      <c r="I85" s="472" t="str">
        <f ca="1">IFERROR(__xludf.DUMMYFUNCTION("""COMPUTED_VALUE"""),"")</f>
        <v/>
      </c>
      <c r="J85" s="472" t="str">
        <f ca="1">IFERROR(__xludf.DUMMYFUNCTION("""COMPUTED_VALUE"""),"")</f>
        <v/>
      </c>
    </row>
    <row r="86" spans="1:10" ht="15.75">
      <c r="A86" s="472" t="str">
        <f ca="1">IFERROR(__xludf.DUMMYFUNCTION("""COMPUTED_VALUE"""),"")</f>
        <v/>
      </c>
      <c r="B86" s="472" t="str">
        <f ca="1">IFERROR(__xludf.DUMMYFUNCTION("""COMPUTED_VALUE"""),"")</f>
        <v/>
      </c>
      <c r="C86" s="472" t="str">
        <f ca="1">IFERROR(__xludf.DUMMYFUNCTION("""COMPUTED_VALUE"""),"")</f>
        <v/>
      </c>
      <c r="D86" s="472" t="str">
        <f ca="1">IFERROR(__xludf.DUMMYFUNCTION("""COMPUTED_VALUE"""),"")</f>
        <v/>
      </c>
      <c r="E86" s="472" t="str">
        <f ca="1">IFERROR(__xludf.DUMMYFUNCTION("""COMPUTED_VALUE"""),"")</f>
        <v/>
      </c>
      <c r="F86" s="472" t="str">
        <f ca="1">IFERROR(__xludf.DUMMYFUNCTION("""COMPUTED_VALUE"""),"")</f>
        <v/>
      </c>
      <c r="G86" s="472" t="str">
        <f ca="1">IFERROR(__xludf.DUMMYFUNCTION("""COMPUTED_VALUE"""),"")</f>
        <v/>
      </c>
      <c r="H86" s="472" t="str">
        <f ca="1">IFERROR(__xludf.DUMMYFUNCTION("""COMPUTED_VALUE"""),"")</f>
        <v/>
      </c>
      <c r="I86" s="472" t="str">
        <f ca="1">IFERROR(__xludf.DUMMYFUNCTION("""COMPUTED_VALUE"""),"")</f>
        <v/>
      </c>
      <c r="J86" s="472" t="str">
        <f ca="1">IFERROR(__xludf.DUMMYFUNCTION("""COMPUTED_VALUE"""),"")</f>
        <v/>
      </c>
    </row>
    <row r="87" spans="1:10" ht="15.75">
      <c r="A87" s="472" t="str">
        <f ca="1">IFERROR(__xludf.DUMMYFUNCTION("""COMPUTED_VALUE"""),"")</f>
        <v/>
      </c>
      <c r="B87" s="472" t="str">
        <f ca="1">IFERROR(__xludf.DUMMYFUNCTION("""COMPUTED_VALUE"""),"")</f>
        <v/>
      </c>
      <c r="C87" s="472" t="str">
        <f ca="1">IFERROR(__xludf.DUMMYFUNCTION("""COMPUTED_VALUE"""),"")</f>
        <v/>
      </c>
      <c r="D87" s="472" t="str">
        <f ca="1">IFERROR(__xludf.DUMMYFUNCTION("""COMPUTED_VALUE"""),"")</f>
        <v/>
      </c>
      <c r="E87" s="472" t="str">
        <f ca="1">IFERROR(__xludf.DUMMYFUNCTION("""COMPUTED_VALUE"""),"")</f>
        <v/>
      </c>
      <c r="F87" s="472" t="str">
        <f ca="1">IFERROR(__xludf.DUMMYFUNCTION("""COMPUTED_VALUE"""),"")</f>
        <v/>
      </c>
      <c r="G87" s="472" t="str">
        <f ca="1">IFERROR(__xludf.DUMMYFUNCTION("""COMPUTED_VALUE"""),"")</f>
        <v/>
      </c>
      <c r="H87" s="472" t="str">
        <f ca="1">IFERROR(__xludf.DUMMYFUNCTION("""COMPUTED_VALUE"""),"")</f>
        <v/>
      </c>
      <c r="I87" s="472" t="str">
        <f ca="1">IFERROR(__xludf.DUMMYFUNCTION("""COMPUTED_VALUE"""),"")</f>
        <v/>
      </c>
      <c r="J87" s="472" t="str">
        <f ca="1">IFERROR(__xludf.DUMMYFUNCTION("""COMPUTED_VALUE"""),"")</f>
        <v/>
      </c>
    </row>
    <row r="88" spans="1:10" ht="15.75">
      <c r="A88" s="472" t="str">
        <f ca="1">IFERROR(__xludf.DUMMYFUNCTION("""COMPUTED_VALUE"""),"")</f>
        <v/>
      </c>
      <c r="B88" s="472" t="str">
        <f ca="1">IFERROR(__xludf.DUMMYFUNCTION("""COMPUTED_VALUE"""),"")</f>
        <v/>
      </c>
      <c r="C88" s="472" t="str">
        <f ca="1">IFERROR(__xludf.DUMMYFUNCTION("""COMPUTED_VALUE"""),"")</f>
        <v/>
      </c>
      <c r="D88" s="472" t="str">
        <f ca="1">IFERROR(__xludf.DUMMYFUNCTION("""COMPUTED_VALUE"""),"")</f>
        <v/>
      </c>
      <c r="E88" s="472" t="str">
        <f ca="1">IFERROR(__xludf.DUMMYFUNCTION("""COMPUTED_VALUE"""),"")</f>
        <v/>
      </c>
      <c r="F88" s="472" t="str">
        <f ca="1">IFERROR(__xludf.DUMMYFUNCTION("""COMPUTED_VALUE"""),"")</f>
        <v/>
      </c>
      <c r="G88" s="472" t="str">
        <f ca="1">IFERROR(__xludf.DUMMYFUNCTION("""COMPUTED_VALUE"""),"")</f>
        <v/>
      </c>
      <c r="H88" s="472" t="str">
        <f ca="1">IFERROR(__xludf.DUMMYFUNCTION("""COMPUTED_VALUE"""),"")</f>
        <v/>
      </c>
      <c r="I88" s="472" t="str">
        <f ca="1">IFERROR(__xludf.DUMMYFUNCTION("""COMPUTED_VALUE"""),"")</f>
        <v/>
      </c>
      <c r="J88" s="472" t="str">
        <f ca="1">IFERROR(__xludf.DUMMYFUNCTION("""COMPUTED_VALUE"""),"")</f>
        <v/>
      </c>
    </row>
    <row r="89" spans="1:10" ht="15.75">
      <c r="A89" s="472" t="str">
        <f ca="1">IFERROR(__xludf.DUMMYFUNCTION("""COMPUTED_VALUE"""),"")</f>
        <v/>
      </c>
      <c r="B89" s="472" t="str">
        <f ca="1">IFERROR(__xludf.DUMMYFUNCTION("""COMPUTED_VALUE"""),"")</f>
        <v/>
      </c>
      <c r="C89" s="472" t="str">
        <f ca="1">IFERROR(__xludf.DUMMYFUNCTION("""COMPUTED_VALUE"""),"")</f>
        <v/>
      </c>
      <c r="D89" s="472" t="str">
        <f ca="1">IFERROR(__xludf.DUMMYFUNCTION("""COMPUTED_VALUE"""),"")</f>
        <v/>
      </c>
      <c r="E89" s="472" t="str">
        <f ca="1">IFERROR(__xludf.DUMMYFUNCTION("""COMPUTED_VALUE"""),"")</f>
        <v/>
      </c>
      <c r="F89" s="472" t="str">
        <f ca="1">IFERROR(__xludf.DUMMYFUNCTION("""COMPUTED_VALUE"""),"")</f>
        <v/>
      </c>
      <c r="G89" s="472" t="str">
        <f ca="1">IFERROR(__xludf.DUMMYFUNCTION("""COMPUTED_VALUE"""),"")</f>
        <v/>
      </c>
      <c r="H89" s="472" t="str">
        <f ca="1">IFERROR(__xludf.DUMMYFUNCTION("""COMPUTED_VALUE"""),"")</f>
        <v/>
      </c>
      <c r="I89" s="472" t="str">
        <f ca="1">IFERROR(__xludf.DUMMYFUNCTION("""COMPUTED_VALUE"""),"")</f>
        <v/>
      </c>
      <c r="J89" s="472" t="str">
        <f ca="1">IFERROR(__xludf.DUMMYFUNCTION("""COMPUTED_VALUE"""),"")</f>
        <v/>
      </c>
    </row>
    <row r="90" spans="1:10" ht="15.75">
      <c r="A90" s="472" t="str">
        <f ca="1">IFERROR(__xludf.DUMMYFUNCTION("""COMPUTED_VALUE"""),"")</f>
        <v/>
      </c>
      <c r="B90" s="472" t="str">
        <f ca="1">IFERROR(__xludf.DUMMYFUNCTION("""COMPUTED_VALUE"""),"")</f>
        <v/>
      </c>
      <c r="C90" s="472" t="str">
        <f ca="1">IFERROR(__xludf.DUMMYFUNCTION("""COMPUTED_VALUE"""),"")</f>
        <v/>
      </c>
      <c r="D90" s="472" t="str">
        <f ca="1">IFERROR(__xludf.DUMMYFUNCTION("""COMPUTED_VALUE"""),"")</f>
        <v/>
      </c>
      <c r="E90" s="472" t="str">
        <f ca="1">IFERROR(__xludf.DUMMYFUNCTION("""COMPUTED_VALUE"""),"")</f>
        <v/>
      </c>
      <c r="F90" s="472" t="str">
        <f ca="1">IFERROR(__xludf.DUMMYFUNCTION("""COMPUTED_VALUE"""),"")</f>
        <v/>
      </c>
      <c r="G90" s="472" t="str">
        <f ca="1">IFERROR(__xludf.DUMMYFUNCTION("""COMPUTED_VALUE"""),"")</f>
        <v/>
      </c>
      <c r="H90" s="472" t="str">
        <f ca="1">IFERROR(__xludf.DUMMYFUNCTION("""COMPUTED_VALUE"""),"")</f>
        <v/>
      </c>
      <c r="I90" s="472" t="str">
        <f ca="1">IFERROR(__xludf.DUMMYFUNCTION("""COMPUTED_VALUE"""),"")</f>
        <v/>
      </c>
      <c r="J90" s="472" t="str">
        <f ca="1">IFERROR(__xludf.DUMMYFUNCTION("""COMPUTED_VALUE"""),"")</f>
        <v/>
      </c>
    </row>
    <row r="91" spans="1:10" ht="15.75">
      <c r="A91" s="472" t="str">
        <f ca="1">IFERROR(__xludf.DUMMYFUNCTION("""COMPUTED_VALUE"""),"")</f>
        <v/>
      </c>
      <c r="B91" s="472" t="str">
        <f ca="1">IFERROR(__xludf.DUMMYFUNCTION("""COMPUTED_VALUE"""),"")</f>
        <v/>
      </c>
      <c r="C91" s="472" t="str">
        <f ca="1">IFERROR(__xludf.DUMMYFUNCTION("""COMPUTED_VALUE"""),"")</f>
        <v/>
      </c>
      <c r="D91" s="472" t="str">
        <f ca="1">IFERROR(__xludf.DUMMYFUNCTION("""COMPUTED_VALUE"""),"")</f>
        <v/>
      </c>
      <c r="E91" s="472" t="str">
        <f ca="1">IFERROR(__xludf.DUMMYFUNCTION("""COMPUTED_VALUE"""),"")</f>
        <v/>
      </c>
      <c r="F91" s="472" t="str">
        <f ca="1">IFERROR(__xludf.DUMMYFUNCTION("""COMPUTED_VALUE"""),"")</f>
        <v/>
      </c>
      <c r="G91" s="472" t="str">
        <f ca="1">IFERROR(__xludf.DUMMYFUNCTION("""COMPUTED_VALUE"""),"")</f>
        <v/>
      </c>
      <c r="H91" s="472" t="str">
        <f ca="1">IFERROR(__xludf.DUMMYFUNCTION("""COMPUTED_VALUE"""),"")</f>
        <v/>
      </c>
      <c r="I91" s="472" t="str">
        <f ca="1">IFERROR(__xludf.DUMMYFUNCTION("""COMPUTED_VALUE"""),"")</f>
        <v/>
      </c>
      <c r="J91" s="472" t="str">
        <f ca="1">IFERROR(__xludf.DUMMYFUNCTION("""COMPUTED_VALUE"""),"")</f>
        <v/>
      </c>
    </row>
    <row r="92" spans="1:10" ht="15.75">
      <c r="A92" s="472" t="str">
        <f ca="1">IFERROR(__xludf.DUMMYFUNCTION("""COMPUTED_VALUE"""),"")</f>
        <v/>
      </c>
      <c r="B92" s="472" t="str">
        <f ca="1">IFERROR(__xludf.DUMMYFUNCTION("""COMPUTED_VALUE"""),"")</f>
        <v/>
      </c>
      <c r="C92" s="472" t="str">
        <f ca="1">IFERROR(__xludf.DUMMYFUNCTION("""COMPUTED_VALUE"""),"")</f>
        <v/>
      </c>
      <c r="D92" s="472" t="str">
        <f ca="1">IFERROR(__xludf.DUMMYFUNCTION("""COMPUTED_VALUE"""),"")</f>
        <v/>
      </c>
      <c r="E92" s="472" t="str">
        <f ca="1">IFERROR(__xludf.DUMMYFUNCTION("""COMPUTED_VALUE"""),"")</f>
        <v/>
      </c>
      <c r="F92" s="472" t="str">
        <f ca="1">IFERROR(__xludf.DUMMYFUNCTION("""COMPUTED_VALUE"""),"")</f>
        <v/>
      </c>
      <c r="G92" s="472" t="str">
        <f ca="1">IFERROR(__xludf.DUMMYFUNCTION("""COMPUTED_VALUE"""),"")</f>
        <v/>
      </c>
      <c r="H92" s="472" t="str">
        <f ca="1">IFERROR(__xludf.DUMMYFUNCTION("""COMPUTED_VALUE"""),"")</f>
        <v/>
      </c>
      <c r="I92" s="472" t="str">
        <f ca="1">IFERROR(__xludf.DUMMYFUNCTION("""COMPUTED_VALUE"""),"")</f>
        <v/>
      </c>
      <c r="J92" s="472" t="str">
        <f ca="1">IFERROR(__xludf.DUMMYFUNCTION("""COMPUTED_VALUE"""),"")</f>
        <v/>
      </c>
    </row>
    <row r="93" spans="1:10" ht="15.75">
      <c r="A93" s="472" t="str">
        <f ca="1">IFERROR(__xludf.DUMMYFUNCTION("""COMPUTED_VALUE"""),"")</f>
        <v/>
      </c>
      <c r="B93" s="472" t="str">
        <f ca="1">IFERROR(__xludf.DUMMYFUNCTION("""COMPUTED_VALUE"""),"")</f>
        <v/>
      </c>
      <c r="C93" s="472" t="str">
        <f ca="1">IFERROR(__xludf.DUMMYFUNCTION("""COMPUTED_VALUE"""),"")</f>
        <v/>
      </c>
      <c r="D93" s="472" t="str">
        <f ca="1">IFERROR(__xludf.DUMMYFUNCTION("""COMPUTED_VALUE"""),"")</f>
        <v/>
      </c>
      <c r="E93" s="472" t="str">
        <f ca="1">IFERROR(__xludf.DUMMYFUNCTION("""COMPUTED_VALUE"""),"")</f>
        <v/>
      </c>
      <c r="F93" s="472" t="str">
        <f ca="1">IFERROR(__xludf.DUMMYFUNCTION("""COMPUTED_VALUE"""),"")</f>
        <v/>
      </c>
      <c r="G93" s="472" t="str">
        <f ca="1">IFERROR(__xludf.DUMMYFUNCTION("""COMPUTED_VALUE"""),"")</f>
        <v/>
      </c>
      <c r="H93" s="472" t="str">
        <f ca="1">IFERROR(__xludf.DUMMYFUNCTION("""COMPUTED_VALUE"""),"")</f>
        <v/>
      </c>
      <c r="I93" s="472" t="str">
        <f ca="1">IFERROR(__xludf.DUMMYFUNCTION("""COMPUTED_VALUE"""),"")</f>
        <v/>
      </c>
      <c r="J93" s="472" t="str">
        <f ca="1">IFERROR(__xludf.DUMMYFUNCTION("""COMPUTED_VALUE"""),"")</f>
        <v/>
      </c>
    </row>
    <row r="94" spans="1:10" ht="15.75">
      <c r="A94" s="472" t="str">
        <f ca="1">IFERROR(__xludf.DUMMYFUNCTION("""COMPUTED_VALUE"""),"")</f>
        <v/>
      </c>
      <c r="B94" s="472" t="str">
        <f ca="1">IFERROR(__xludf.DUMMYFUNCTION("""COMPUTED_VALUE"""),"")</f>
        <v/>
      </c>
      <c r="C94" s="472" t="str">
        <f ca="1">IFERROR(__xludf.DUMMYFUNCTION("""COMPUTED_VALUE"""),"")</f>
        <v/>
      </c>
      <c r="D94" s="472" t="str">
        <f ca="1">IFERROR(__xludf.DUMMYFUNCTION("""COMPUTED_VALUE"""),"")</f>
        <v/>
      </c>
      <c r="E94" s="472" t="str">
        <f ca="1">IFERROR(__xludf.DUMMYFUNCTION("""COMPUTED_VALUE"""),"")</f>
        <v/>
      </c>
      <c r="F94" s="472" t="str">
        <f ca="1">IFERROR(__xludf.DUMMYFUNCTION("""COMPUTED_VALUE"""),"")</f>
        <v/>
      </c>
      <c r="G94" s="472" t="str">
        <f ca="1">IFERROR(__xludf.DUMMYFUNCTION("""COMPUTED_VALUE"""),"")</f>
        <v/>
      </c>
      <c r="H94" s="472" t="str">
        <f ca="1">IFERROR(__xludf.DUMMYFUNCTION("""COMPUTED_VALUE"""),"")</f>
        <v/>
      </c>
      <c r="I94" s="472" t="str">
        <f ca="1">IFERROR(__xludf.DUMMYFUNCTION("""COMPUTED_VALUE"""),"")</f>
        <v/>
      </c>
      <c r="J94" s="472" t="str">
        <f ca="1">IFERROR(__xludf.DUMMYFUNCTION("""COMPUTED_VALUE"""),"")</f>
        <v/>
      </c>
    </row>
    <row r="95" spans="1:10" ht="15.75">
      <c r="A95" s="472" t="str">
        <f ca="1">IFERROR(__xludf.DUMMYFUNCTION("""COMPUTED_VALUE"""),"")</f>
        <v/>
      </c>
      <c r="B95" s="472" t="str">
        <f ca="1">IFERROR(__xludf.DUMMYFUNCTION("""COMPUTED_VALUE"""),"")</f>
        <v/>
      </c>
      <c r="C95" s="472" t="str">
        <f ca="1">IFERROR(__xludf.DUMMYFUNCTION("""COMPUTED_VALUE"""),"")</f>
        <v/>
      </c>
      <c r="D95" s="472" t="str">
        <f ca="1">IFERROR(__xludf.DUMMYFUNCTION("""COMPUTED_VALUE"""),"")</f>
        <v/>
      </c>
      <c r="E95" s="472" t="str">
        <f ca="1">IFERROR(__xludf.DUMMYFUNCTION("""COMPUTED_VALUE"""),"")</f>
        <v/>
      </c>
      <c r="F95" s="472" t="str">
        <f ca="1">IFERROR(__xludf.DUMMYFUNCTION("""COMPUTED_VALUE"""),"")</f>
        <v/>
      </c>
      <c r="G95" s="472" t="str">
        <f ca="1">IFERROR(__xludf.DUMMYFUNCTION("""COMPUTED_VALUE"""),"")</f>
        <v/>
      </c>
      <c r="H95" s="472" t="str">
        <f ca="1">IFERROR(__xludf.DUMMYFUNCTION("""COMPUTED_VALUE"""),"")</f>
        <v/>
      </c>
      <c r="I95" s="472" t="str">
        <f ca="1">IFERROR(__xludf.DUMMYFUNCTION("""COMPUTED_VALUE"""),"")</f>
        <v/>
      </c>
      <c r="J95" s="472" t="str">
        <f ca="1">IFERROR(__xludf.DUMMYFUNCTION("""COMPUTED_VALUE"""),"")</f>
        <v/>
      </c>
    </row>
    <row r="96" spans="1:10" ht="15.75">
      <c r="A96" s="472" t="str">
        <f ca="1">IFERROR(__xludf.DUMMYFUNCTION("""COMPUTED_VALUE"""),"")</f>
        <v/>
      </c>
      <c r="B96" s="472" t="str">
        <f ca="1">IFERROR(__xludf.DUMMYFUNCTION("""COMPUTED_VALUE"""),"")</f>
        <v/>
      </c>
      <c r="C96" s="472" t="str">
        <f ca="1">IFERROR(__xludf.DUMMYFUNCTION("""COMPUTED_VALUE"""),"")</f>
        <v/>
      </c>
      <c r="D96" s="472" t="str">
        <f ca="1">IFERROR(__xludf.DUMMYFUNCTION("""COMPUTED_VALUE"""),"")</f>
        <v/>
      </c>
      <c r="E96" s="472" t="str">
        <f ca="1">IFERROR(__xludf.DUMMYFUNCTION("""COMPUTED_VALUE"""),"")</f>
        <v/>
      </c>
      <c r="F96" s="472" t="str">
        <f ca="1">IFERROR(__xludf.DUMMYFUNCTION("""COMPUTED_VALUE"""),"")</f>
        <v/>
      </c>
      <c r="G96" s="472" t="str">
        <f ca="1">IFERROR(__xludf.DUMMYFUNCTION("""COMPUTED_VALUE"""),"")</f>
        <v/>
      </c>
      <c r="H96" s="472" t="str">
        <f ca="1">IFERROR(__xludf.DUMMYFUNCTION("""COMPUTED_VALUE"""),"")</f>
        <v/>
      </c>
      <c r="I96" s="472" t="str">
        <f ca="1">IFERROR(__xludf.DUMMYFUNCTION("""COMPUTED_VALUE"""),"")</f>
        <v/>
      </c>
      <c r="J96" s="472" t="str">
        <f ca="1">IFERROR(__xludf.DUMMYFUNCTION("""COMPUTED_VALUE"""),"")</f>
        <v/>
      </c>
    </row>
    <row r="97" spans="1:10" ht="15.75">
      <c r="A97" s="472" t="str">
        <f ca="1">IFERROR(__xludf.DUMMYFUNCTION("""COMPUTED_VALUE"""),"")</f>
        <v/>
      </c>
      <c r="B97" s="472" t="str">
        <f ca="1">IFERROR(__xludf.DUMMYFUNCTION("""COMPUTED_VALUE"""),"")</f>
        <v/>
      </c>
      <c r="C97" s="472" t="str">
        <f ca="1">IFERROR(__xludf.DUMMYFUNCTION("""COMPUTED_VALUE"""),"")</f>
        <v/>
      </c>
      <c r="D97" s="472" t="str">
        <f ca="1">IFERROR(__xludf.DUMMYFUNCTION("""COMPUTED_VALUE"""),"")</f>
        <v/>
      </c>
      <c r="E97" s="472" t="str">
        <f ca="1">IFERROR(__xludf.DUMMYFUNCTION("""COMPUTED_VALUE"""),"")</f>
        <v/>
      </c>
      <c r="F97" s="472" t="str">
        <f ca="1">IFERROR(__xludf.DUMMYFUNCTION("""COMPUTED_VALUE"""),"")</f>
        <v/>
      </c>
      <c r="G97" s="472" t="str">
        <f ca="1">IFERROR(__xludf.DUMMYFUNCTION("""COMPUTED_VALUE"""),"")</f>
        <v/>
      </c>
      <c r="H97" s="472" t="str">
        <f ca="1">IFERROR(__xludf.DUMMYFUNCTION("""COMPUTED_VALUE"""),"")</f>
        <v/>
      </c>
      <c r="I97" s="472" t="str">
        <f ca="1">IFERROR(__xludf.DUMMYFUNCTION("""COMPUTED_VALUE"""),"")</f>
        <v/>
      </c>
      <c r="J97" s="472" t="str">
        <f ca="1">IFERROR(__xludf.DUMMYFUNCTION("""COMPUTED_VALUE"""),"")</f>
        <v/>
      </c>
    </row>
    <row r="98" spans="1:10" ht="15.75">
      <c r="A98" s="472" t="str">
        <f ca="1">IFERROR(__xludf.DUMMYFUNCTION("""COMPUTED_VALUE"""),"")</f>
        <v/>
      </c>
      <c r="B98" s="472" t="str">
        <f ca="1">IFERROR(__xludf.DUMMYFUNCTION("""COMPUTED_VALUE"""),"")</f>
        <v/>
      </c>
      <c r="C98" s="472" t="str">
        <f ca="1">IFERROR(__xludf.DUMMYFUNCTION("""COMPUTED_VALUE"""),"")</f>
        <v/>
      </c>
      <c r="D98" s="472" t="str">
        <f ca="1">IFERROR(__xludf.DUMMYFUNCTION("""COMPUTED_VALUE"""),"")</f>
        <v/>
      </c>
      <c r="E98" s="472" t="str">
        <f ca="1">IFERROR(__xludf.DUMMYFUNCTION("""COMPUTED_VALUE"""),"")</f>
        <v/>
      </c>
      <c r="F98" s="472" t="str">
        <f ca="1">IFERROR(__xludf.DUMMYFUNCTION("""COMPUTED_VALUE"""),"")</f>
        <v/>
      </c>
      <c r="G98" s="472" t="str">
        <f ca="1">IFERROR(__xludf.DUMMYFUNCTION("""COMPUTED_VALUE"""),"")</f>
        <v/>
      </c>
      <c r="H98" s="472" t="str">
        <f ca="1">IFERROR(__xludf.DUMMYFUNCTION("""COMPUTED_VALUE"""),"")</f>
        <v/>
      </c>
      <c r="I98" s="472" t="str">
        <f ca="1">IFERROR(__xludf.DUMMYFUNCTION("""COMPUTED_VALUE"""),"")</f>
        <v/>
      </c>
      <c r="J98" s="472" t="str">
        <f ca="1">IFERROR(__xludf.DUMMYFUNCTION("""COMPUTED_VALUE"""),"")</f>
        <v/>
      </c>
    </row>
    <row r="99" spans="1:10" ht="15.75">
      <c r="A99" s="472" t="str">
        <f ca="1">IFERROR(__xludf.DUMMYFUNCTION("""COMPUTED_VALUE"""),"")</f>
        <v/>
      </c>
      <c r="B99" s="472" t="str">
        <f ca="1">IFERROR(__xludf.DUMMYFUNCTION("""COMPUTED_VALUE"""),"")</f>
        <v/>
      </c>
      <c r="C99" s="472" t="str">
        <f ca="1">IFERROR(__xludf.DUMMYFUNCTION("""COMPUTED_VALUE"""),"")</f>
        <v/>
      </c>
      <c r="D99" s="472" t="str">
        <f ca="1">IFERROR(__xludf.DUMMYFUNCTION("""COMPUTED_VALUE"""),"")</f>
        <v/>
      </c>
      <c r="E99" s="472" t="str">
        <f ca="1">IFERROR(__xludf.DUMMYFUNCTION("""COMPUTED_VALUE"""),"")</f>
        <v/>
      </c>
      <c r="F99" s="472" t="str">
        <f ca="1">IFERROR(__xludf.DUMMYFUNCTION("""COMPUTED_VALUE"""),"")</f>
        <v/>
      </c>
      <c r="G99" s="472" t="str">
        <f ca="1">IFERROR(__xludf.DUMMYFUNCTION("""COMPUTED_VALUE"""),"")</f>
        <v/>
      </c>
      <c r="H99" s="472" t="str">
        <f ca="1">IFERROR(__xludf.DUMMYFUNCTION("""COMPUTED_VALUE"""),"")</f>
        <v/>
      </c>
      <c r="I99" s="472" t="str">
        <f ca="1">IFERROR(__xludf.DUMMYFUNCTION("""COMPUTED_VALUE"""),"")</f>
        <v/>
      </c>
      <c r="J99" s="472" t="str">
        <f ca="1">IFERROR(__xludf.DUMMYFUNCTION("""COMPUTED_VALUE"""),"")</f>
        <v/>
      </c>
    </row>
    <row r="100" spans="1:10" ht="15.75">
      <c r="A100" s="472" t="str">
        <f ca="1">IFERROR(__xludf.DUMMYFUNCTION("""COMPUTED_VALUE"""),"")</f>
        <v/>
      </c>
      <c r="B100" s="472" t="str">
        <f ca="1">IFERROR(__xludf.DUMMYFUNCTION("""COMPUTED_VALUE"""),"")</f>
        <v/>
      </c>
      <c r="C100" s="472" t="str">
        <f ca="1">IFERROR(__xludf.DUMMYFUNCTION("""COMPUTED_VALUE"""),"")</f>
        <v/>
      </c>
      <c r="D100" s="472" t="str">
        <f ca="1">IFERROR(__xludf.DUMMYFUNCTION("""COMPUTED_VALUE"""),"")</f>
        <v/>
      </c>
      <c r="E100" s="472" t="str">
        <f ca="1">IFERROR(__xludf.DUMMYFUNCTION("""COMPUTED_VALUE"""),"")</f>
        <v/>
      </c>
      <c r="F100" s="472" t="str">
        <f ca="1">IFERROR(__xludf.DUMMYFUNCTION("""COMPUTED_VALUE"""),"")</f>
        <v/>
      </c>
      <c r="G100" s="472" t="str">
        <f ca="1">IFERROR(__xludf.DUMMYFUNCTION("""COMPUTED_VALUE"""),"")</f>
        <v/>
      </c>
      <c r="H100" s="472" t="str">
        <f ca="1">IFERROR(__xludf.DUMMYFUNCTION("""COMPUTED_VALUE"""),"")</f>
        <v/>
      </c>
      <c r="I100" s="472" t="str">
        <f ca="1">IFERROR(__xludf.DUMMYFUNCTION("""COMPUTED_VALUE"""),"")</f>
        <v/>
      </c>
      <c r="J100" s="472" t="str">
        <f ca="1">IFERROR(__xludf.DUMMYFUNCTION("""COMPUTED_VALUE"""),"")</f>
        <v/>
      </c>
    </row>
    <row r="101" spans="1:10" ht="15.75">
      <c r="A101" s="472" t="str">
        <f ca="1">IFERROR(__xludf.DUMMYFUNCTION("""COMPUTED_VALUE"""),"")</f>
        <v/>
      </c>
      <c r="B101" s="472" t="str">
        <f ca="1">IFERROR(__xludf.DUMMYFUNCTION("""COMPUTED_VALUE"""),"")</f>
        <v/>
      </c>
      <c r="C101" s="472" t="str">
        <f ca="1">IFERROR(__xludf.DUMMYFUNCTION("""COMPUTED_VALUE"""),"")</f>
        <v/>
      </c>
      <c r="D101" s="472" t="str">
        <f ca="1">IFERROR(__xludf.DUMMYFUNCTION("""COMPUTED_VALUE"""),"")</f>
        <v/>
      </c>
      <c r="E101" s="472" t="str">
        <f ca="1">IFERROR(__xludf.DUMMYFUNCTION("""COMPUTED_VALUE"""),"")</f>
        <v/>
      </c>
      <c r="F101" s="472" t="str">
        <f ca="1">IFERROR(__xludf.DUMMYFUNCTION("""COMPUTED_VALUE"""),"")</f>
        <v/>
      </c>
      <c r="G101" s="472" t="str">
        <f ca="1">IFERROR(__xludf.DUMMYFUNCTION("""COMPUTED_VALUE"""),"")</f>
        <v/>
      </c>
      <c r="H101" s="472" t="str">
        <f ca="1">IFERROR(__xludf.DUMMYFUNCTION("""COMPUTED_VALUE"""),"")</f>
        <v/>
      </c>
      <c r="I101" s="472" t="str">
        <f ca="1">IFERROR(__xludf.DUMMYFUNCTION("""COMPUTED_VALUE"""),"")</f>
        <v/>
      </c>
      <c r="J101" s="472" t="str">
        <f ca="1">IFERROR(__xludf.DUMMYFUNCTION("""COMPUTED_VALUE"""),"")</f>
        <v/>
      </c>
    </row>
    <row r="102" spans="1:10" ht="15.75">
      <c r="A102" s="472" t="str">
        <f ca="1">IFERROR(__xludf.DUMMYFUNCTION("""COMPUTED_VALUE"""),"")</f>
        <v/>
      </c>
      <c r="B102" s="472" t="str">
        <f ca="1">IFERROR(__xludf.DUMMYFUNCTION("""COMPUTED_VALUE"""),"")</f>
        <v/>
      </c>
      <c r="C102" s="472" t="str">
        <f ca="1">IFERROR(__xludf.DUMMYFUNCTION("""COMPUTED_VALUE"""),"")</f>
        <v/>
      </c>
      <c r="D102" s="472" t="str">
        <f ca="1">IFERROR(__xludf.DUMMYFUNCTION("""COMPUTED_VALUE"""),"")</f>
        <v/>
      </c>
      <c r="E102" s="472" t="str">
        <f ca="1">IFERROR(__xludf.DUMMYFUNCTION("""COMPUTED_VALUE"""),"")</f>
        <v/>
      </c>
      <c r="F102" s="472" t="str">
        <f ca="1">IFERROR(__xludf.DUMMYFUNCTION("""COMPUTED_VALUE"""),"")</f>
        <v/>
      </c>
      <c r="G102" s="472" t="str">
        <f ca="1">IFERROR(__xludf.DUMMYFUNCTION("""COMPUTED_VALUE"""),"")</f>
        <v/>
      </c>
      <c r="H102" s="472" t="str">
        <f ca="1">IFERROR(__xludf.DUMMYFUNCTION("""COMPUTED_VALUE"""),"")</f>
        <v/>
      </c>
      <c r="I102" s="472" t="str">
        <f ca="1">IFERROR(__xludf.DUMMYFUNCTION("""COMPUTED_VALUE"""),"")</f>
        <v/>
      </c>
      <c r="J102" s="472" t="str">
        <f ca="1">IFERROR(__xludf.DUMMYFUNCTION("""COMPUTED_VALUE"""),"")</f>
        <v/>
      </c>
    </row>
    <row r="103" spans="1:10" ht="15.75">
      <c r="A103" s="472" t="str">
        <f ca="1">IFERROR(__xludf.DUMMYFUNCTION("""COMPUTED_VALUE"""),"")</f>
        <v/>
      </c>
      <c r="B103" s="472" t="str">
        <f ca="1">IFERROR(__xludf.DUMMYFUNCTION("""COMPUTED_VALUE"""),"")</f>
        <v/>
      </c>
      <c r="C103" s="472" t="str">
        <f ca="1">IFERROR(__xludf.DUMMYFUNCTION("""COMPUTED_VALUE"""),"")</f>
        <v/>
      </c>
      <c r="D103" s="472" t="str">
        <f ca="1">IFERROR(__xludf.DUMMYFUNCTION("""COMPUTED_VALUE"""),"")</f>
        <v/>
      </c>
      <c r="E103" s="472" t="str">
        <f ca="1">IFERROR(__xludf.DUMMYFUNCTION("""COMPUTED_VALUE"""),"")</f>
        <v/>
      </c>
      <c r="F103" s="472" t="str">
        <f ca="1">IFERROR(__xludf.DUMMYFUNCTION("""COMPUTED_VALUE"""),"")</f>
        <v/>
      </c>
      <c r="G103" s="472" t="str">
        <f ca="1">IFERROR(__xludf.DUMMYFUNCTION("""COMPUTED_VALUE"""),"")</f>
        <v/>
      </c>
      <c r="H103" s="472" t="str">
        <f ca="1">IFERROR(__xludf.DUMMYFUNCTION("""COMPUTED_VALUE"""),"")</f>
        <v/>
      </c>
      <c r="I103" s="472" t="str">
        <f ca="1">IFERROR(__xludf.DUMMYFUNCTION("""COMPUTED_VALUE"""),"")</f>
        <v/>
      </c>
      <c r="J103" s="472" t="str">
        <f ca="1">IFERROR(__xludf.DUMMYFUNCTION("""COMPUTED_VALUE"""),"")</f>
        <v/>
      </c>
    </row>
    <row r="104" spans="1:10" ht="15.75">
      <c r="A104" s="472" t="str">
        <f ca="1">IFERROR(__xludf.DUMMYFUNCTION("""COMPUTED_VALUE"""),"")</f>
        <v/>
      </c>
      <c r="B104" s="472" t="str">
        <f ca="1">IFERROR(__xludf.DUMMYFUNCTION("""COMPUTED_VALUE"""),"")</f>
        <v/>
      </c>
      <c r="C104" s="472" t="str">
        <f ca="1">IFERROR(__xludf.DUMMYFUNCTION("""COMPUTED_VALUE"""),"")</f>
        <v/>
      </c>
      <c r="D104" s="472" t="str">
        <f ca="1">IFERROR(__xludf.DUMMYFUNCTION("""COMPUTED_VALUE"""),"")</f>
        <v/>
      </c>
      <c r="E104" s="472" t="str">
        <f ca="1">IFERROR(__xludf.DUMMYFUNCTION("""COMPUTED_VALUE"""),"")</f>
        <v/>
      </c>
      <c r="F104" s="472" t="str">
        <f ca="1">IFERROR(__xludf.DUMMYFUNCTION("""COMPUTED_VALUE"""),"")</f>
        <v/>
      </c>
      <c r="G104" s="472" t="str">
        <f ca="1">IFERROR(__xludf.DUMMYFUNCTION("""COMPUTED_VALUE"""),"")</f>
        <v/>
      </c>
      <c r="H104" s="472" t="str">
        <f ca="1">IFERROR(__xludf.DUMMYFUNCTION("""COMPUTED_VALUE"""),"")</f>
        <v/>
      </c>
      <c r="I104" s="472" t="str">
        <f ca="1">IFERROR(__xludf.DUMMYFUNCTION("""COMPUTED_VALUE"""),"")</f>
        <v/>
      </c>
      <c r="J104" s="472" t="str">
        <f ca="1">IFERROR(__xludf.DUMMYFUNCTION("""COMPUTED_VALUE"""),"")</f>
        <v/>
      </c>
    </row>
    <row r="105" spans="1:10" ht="15.75">
      <c r="A105" s="472" t="str">
        <f ca="1">IFERROR(__xludf.DUMMYFUNCTION("""COMPUTED_VALUE"""),"")</f>
        <v/>
      </c>
      <c r="B105" s="472" t="str">
        <f ca="1">IFERROR(__xludf.DUMMYFUNCTION("""COMPUTED_VALUE"""),"")</f>
        <v/>
      </c>
      <c r="C105" s="472" t="str">
        <f ca="1">IFERROR(__xludf.DUMMYFUNCTION("""COMPUTED_VALUE"""),"")</f>
        <v/>
      </c>
      <c r="D105" s="472" t="str">
        <f ca="1">IFERROR(__xludf.DUMMYFUNCTION("""COMPUTED_VALUE"""),"")</f>
        <v/>
      </c>
      <c r="E105" s="472" t="str">
        <f ca="1">IFERROR(__xludf.DUMMYFUNCTION("""COMPUTED_VALUE"""),"")</f>
        <v/>
      </c>
      <c r="F105" s="472" t="str">
        <f ca="1">IFERROR(__xludf.DUMMYFUNCTION("""COMPUTED_VALUE"""),"")</f>
        <v/>
      </c>
      <c r="G105" s="472" t="str">
        <f ca="1">IFERROR(__xludf.DUMMYFUNCTION("""COMPUTED_VALUE"""),"")</f>
        <v/>
      </c>
      <c r="H105" s="472" t="str">
        <f ca="1">IFERROR(__xludf.DUMMYFUNCTION("""COMPUTED_VALUE"""),"")</f>
        <v/>
      </c>
      <c r="I105" s="472" t="str">
        <f ca="1">IFERROR(__xludf.DUMMYFUNCTION("""COMPUTED_VALUE"""),"")</f>
        <v/>
      </c>
      <c r="J105" s="472" t="str">
        <f ca="1">IFERROR(__xludf.DUMMYFUNCTION("""COMPUTED_VALUE"""),"")</f>
        <v/>
      </c>
    </row>
    <row r="106" spans="1:10" ht="15.75">
      <c r="A106" s="472" t="str">
        <f ca="1">IFERROR(__xludf.DUMMYFUNCTION("""COMPUTED_VALUE"""),"")</f>
        <v/>
      </c>
      <c r="B106" s="472" t="str">
        <f ca="1">IFERROR(__xludf.DUMMYFUNCTION("""COMPUTED_VALUE"""),"")</f>
        <v/>
      </c>
      <c r="C106" s="472" t="str">
        <f ca="1">IFERROR(__xludf.DUMMYFUNCTION("""COMPUTED_VALUE"""),"")</f>
        <v/>
      </c>
      <c r="D106" s="472" t="str">
        <f ca="1">IFERROR(__xludf.DUMMYFUNCTION("""COMPUTED_VALUE"""),"")</f>
        <v/>
      </c>
      <c r="E106" s="472" t="str">
        <f ca="1">IFERROR(__xludf.DUMMYFUNCTION("""COMPUTED_VALUE"""),"")</f>
        <v/>
      </c>
      <c r="F106" s="472" t="str">
        <f ca="1">IFERROR(__xludf.DUMMYFUNCTION("""COMPUTED_VALUE"""),"")</f>
        <v/>
      </c>
      <c r="G106" s="472" t="str">
        <f ca="1">IFERROR(__xludf.DUMMYFUNCTION("""COMPUTED_VALUE"""),"")</f>
        <v/>
      </c>
      <c r="H106" s="472" t="str">
        <f ca="1">IFERROR(__xludf.DUMMYFUNCTION("""COMPUTED_VALUE"""),"")</f>
        <v/>
      </c>
      <c r="I106" s="472" t="str">
        <f ca="1">IFERROR(__xludf.DUMMYFUNCTION("""COMPUTED_VALUE"""),"")</f>
        <v/>
      </c>
      <c r="J106" s="472" t="str">
        <f ca="1">IFERROR(__xludf.DUMMYFUNCTION("""COMPUTED_VALUE"""),"")</f>
        <v/>
      </c>
    </row>
    <row r="107" spans="1:10" ht="15.75">
      <c r="A107" s="472" t="str">
        <f ca="1">IFERROR(__xludf.DUMMYFUNCTION("""COMPUTED_VALUE"""),"")</f>
        <v/>
      </c>
      <c r="B107" s="472" t="str">
        <f ca="1">IFERROR(__xludf.DUMMYFUNCTION("""COMPUTED_VALUE"""),"")</f>
        <v/>
      </c>
      <c r="C107" s="472" t="str">
        <f ca="1">IFERROR(__xludf.DUMMYFUNCTION("""COMPUTED_VALUE"""),"")</f>
        <v/>
      </c>
      <c r="D107" s="472" t="str">
        <f ca="1">IFERROR(__xludf.DUMMYFUNCTION("""COMPUTED_VALUE"""),"")</f>
        <v/>
      </c>
      <c r="E107" s="472" t="str">
        <f ca="1">IFERROR(__xludf.DUMMYFUNCTION("""COMPUTED_VALUE"""),"")</f>
        <v/>
      </c>
      <c r="F107" s="472" t="str">
        <f ca="1">IFERROR(__xludf.DUMMYFUNCTION("""COMPUTED_VALUE"""),"")</f>
        <v/>
      </c>
      <c r="G107" s="472" t="str">
        <f ca="1">IFERROR(__xludf.DUMMYFUNCTION("""COMPUTED_VALUE"""),"")</f>
        <v/>
      </c>
      <c r="H107" s="472" t="str">
        <f ca="1">IFERROR(__xludf.DUMMYFUNCTION("""COMPUTED_VALUE"""),"")</f>
        <v/>
      </c>
      <c r="I107" s="472" t="str">
        <f ca="1">IFERROR(__xludf.DUMMYFUNCTION("""COMPUTED_VALUE"""),"")</f>
        <v/>
      </c>
      <c r="J107" s="472" t="str">
        <f ca="1">IFERROR(__xludf.DUMMYFUNCTION("""COMPUTED_VALUE"""),"")</f>
        <v/>
      </c>
    </row>
    <row r="108" spans="1:10" ht="15.75">
      <c r="A108" s="472" t="str">
        <f ca="1">IFERROR(__xludf.DUMMYFUNCTION("""COMPUTED_VALUE"""),"")</f>
        <v/>
      </c>
      <c r="B108" s="472" t="str">
        <f ca="1">IFERROR(__xludf.DUMMYFUNCTION("""COMPUTED_VALUE"""),"")</f>
        <v/>
      </c>
      <c r="C108" s="472" t="str">
        <f ca="1">IFERROR(__xludf.DUMMYFUNCTION("""COMPUTED_VALUE"""),"")</f>
        <v/>
      </c>
      <c r="D108" s="472" t="str">
        <f ca="1">IFERROR(__xludf.DUMMYFUNCTION("""COMPUTED_VALUE"""),"")</f>
        <v/>
      </c>
      <c r="E108" s="472" t="str">
        <f ca="1">IFERROR(__xludf.DUMMYFUNCTION("""COMPUTED_VALUE"""),"")</f>
        <v/>
      </c>
      <c r="F108" s="472" t="str">
        <f ca="1">IFERROR(__xludf.DUMMYFUNCTION("""COMPUTED_VALUE"""),"")</f>
        <v/>
      </c>
      <c r="G108" s="472" t="str">
        <f ca="1">IFERROR(__xludf.DUMMYFUNCTION("""COMPUTED_VALUE"""),"")</f>
        <v/>
      </c>
      <c r="H108" s="472" t="str">
        <f ca="1">IFERROR(__xludf.DUMMYFUNCTION("""COMPUTED_VALUE"""),"")</f>
        <v/>
      </c>
      <c r="I108" s="472" t="str">
        <f ca="1">IFERROR(__xludf.DUMMYFUNCTION("""COMPUTED_VALUE"""),"")</f>
        <v/>
      </c>
      <c r="J108" s="472" t="str">
        <f ca="1">IFERROR(__xludf.DUMMYFUNCTION("""COMPUTED_VALUE"""),"")</f>
        <v/>
      </c>
    </row>
    <row r="109" spans="1:10" ht="15.75">
      <c r="A109" s="472" t="str">
        <f ca="1">IFERROR(__xludf.DUMMYFUNCTION("""COMPUTED_VALUE"""),"")</f>
        <v/>
      </c>
      <c r="B109" s="472" t="str">
        <f ca="1">IFERROR(__xludf.DUMMYFUNCTION("""COMPUTED_VALUE"""),"")</f>
        <v/>
      </c>
      <c r="C109" s="472" t="str">
        <f ca="1">IFERROR(__xludf.DUMMYFUNCTION("""COMPUTED_VALUE"""),"")</f>
        <v/>
      </c>
      <c r="D109" s="472" t="str">
        <f ca="1">IFERROR(__xludf.DUMMYFUNCTION("""COMPUTED_VALUE"""),"")</f>
        <v/>
      </c>
      <c r="E109" s="472" t="str">
        <f ca="1">IFERROR(__xludf.DUMMYFUNCTION("""COMPUTED_VALUE"""),"")</f>
        <v/>
      </c>
      <c r="F109" s="472" t="str">
        <f ca="1">IFERROR(__xludf.DUMMYFUNCTION("""COMPUTED_VALUE"""),"")</f>
        <v/>
      </c>
      <c r="G109" s="472" t="str">
        <f ca="1">IFERROR(__xludf.DUMMYFUNCTION("""COMPUTED_VALUE"""),"")</f>
        <v/>
      </c>
      <c r="H109" s="472" t="str">
        <f ca="1">IFERROR(__xludf.DUMMYFUNCTION("""COMPUTED_VALUE"""),"")</f>
        <v/>
      </c>
      <c r="I109" s="472" t="str">
        <f ca="1">IFERROR(__xludf.DUMMYFUNCTION("""COMPUTED_VALUE"""),"")</f>
        <v/>
      </c>
      <c r="J109" s="472" t="str">
        <f ca="1">IFERROR(__xludf.DUMMYFUNCTION("""COMPUTED_VALUE"""),"")</f>
        <v/>
      </c>
    </row>
    <row r="110" spans="1:10" ht="15.75">
      <c r="A110" s="472" t="str">
        <f ca="1">IFERROR(__xludf.DUMMYFUNCTION("""COMPUTED_VALUE"""),"")</f>
        <v/>
      </c>
      <c r="B110" s="472" t="str">
        <f ca="1">IFERROR(__xludf.DUMMYFUNCTION("""COMPUTED_VALUE"""),"")</f>
        <v/>
      </c>
      <c r="C110" s="472" t="str">
        <f ca="1">IFERROR(__xludf.DUMMYFUNCTION("""COMPUTED_VALUE"""),"")</f>
        <v/>
      </c>
      <c r="D110" s="472" t="str">
        <f ca="1">IFERROR(__xludf.DUMMYFUNCTION("""COMPUTED_VALUE"""),"")</f>
        <v/>
      </c>
      <c r="E110" s="472" t="str">
        <f ca="1">IFERROR(__xludf.DUMMYFUNCTION("""COMPUTED_VALUE"""),"")</f>
        <v/>
      </c>
      <c r="F110" s="472" t="str">
        <f ca="1">IFERROR(__xludf.DUMMYFUNCTION("""COMPUTED_VALUE"""),"")</f>
        <v/>
      </c>
      <c r="G110" s="472" t="str">
        <f ca="1">IFERROR(__xludf.DUMMYFUNCTION("""COMPUTED_VALUE"""),"")</f>
        <v/>
      </c>
      <c r="H110" s="472" t="str">
        <f ca="1">IFERROR(__xludf.DUMMYFUNCTION("""COMPUTED_VALUE"""),"")</f>
        <v/>
      </c>
      <c r="I110" s="472" t="str">
        <f ca="1">IFERROR(__xludf.DUMMYFUNCTION("""COMPUTED_VALUE"""),"")</f>
        <v/>
      </c>
      <c r="J110" s="472" t="str">
        <f ca="1">IFERROR(__xludf.DUMMYFUNCTION("""COMPUTED_VALUE"""),"")</f>
        <v/>
      </c>
    </row>
    <row r="111" spans="1:10" ht="15.75">
      <c r="A111" s="472" t="str">
        <f ca="1">IFERROR(__xludf.DUMMYFUNCTION("""COMPUTED_VALUE"""),"")</f>
        <v/>
      </c>
      <c r="B111" s="472" t="str">
        <f ca="1">IFERROR(__xludf.DUMMYFUNCTION("""COMPUTED_VALUE"""),"")</f>
        <v/>
      </c>
      <c r="C111" s="472" t="str">
        <f ca="1">IFERROR(__xludf.DUMMYFUNCTION("""COMPUTED_VALUE"""),"")</f>
        <v/>
      </c>
      <c r="D111" s="472" t="str">
        <f ca="1">IFERROR(__xludf.DUMMYFUNCTION("""COMPUTED_VALUE"""),"")</f>
        <v/>
      </c>
      <c r="E111" s="472" t="str">
        <f ca="1">IFERROR(__xludf.DUMMYFUNCTION("""COMPUTED_VALUE"""),"")</f>
        <v/>
      </c>
      <c r="F111" s="472" t="str">
        <f ca="1">IFERROR(__xludf.DUMMYFUNCTION("""COMPUTED_VALUE"""),"")</f>
        <v/>
      </c>
      <c r="G111" s="472" t="str">
        <f ca="1">IFERROR(__xludf.DUMMYFUNCTION("""COMPUTED_VALUE"""),"")</f>
        <v/>
      </c>
      <c r="H111" s="472" t="str">
        <f ca="1">IFERROR(__xludf.DUMMYFUNCTION("""COMPUTED_VALUE"""),"")</f>
        <v/>
      </c>
      <c r="I111" s="472" t="str">
        <f ca="1">IFERROR(__xludf.DUMMYFUNCTION("""COMPUTED_VALUE"""),"")</f>
        <v/>
      </c>
      <c r="J111" s="472" t="str">
        <f ca="1">IFERROR(__xludf.DUMMYFUNCTION("""COMPUTED_VALUE"""),"")</f>
        <v/>
      </c>
    </row>
    <row r="112" spans="1:10" ht="15.75">
      <c r="A112" s="472" t="str">
        <f ca="1">IFERROR(__xludf.DUMMYFUNCTION("""COMPUTED_VALUE"""),"")</f>
        <v/>
      </c>
      <c r="B112" s="472" t="str">
        <f ca="1">IFERROR(__xludf.DUMMYFUNCTION("""COMPUTED_VALUE"""),"")</f>
        <v/>
      </c>
      <c r="C112" s="472" t="str">
        <f ca="1">IFERROR(__xludf.DUMMYFUNCTION("""COMPUTED_VALUE"""),"")</f>
        <v/>
      </c>
      <c r="D112" s="472" t="str">
        <f ca="1">IFERROR(__xludf.DUMMYFUNCTION("""COMPUTED_VALUE"""),"")</f>
        <v/>
      </c>
      <c r="E112" s="472" t="str">
        <f ca="1">IFERROR(__xludf.DUMMYFUNCTION("""COMPUTED_VALUE"""),"")</f>
        <v/>
      </c>
      <c r="F112" s="472" t="str">
        <f ca="1">IFERROR(__xludf.DUMMYFUNCTION("""COMPUTED_VALUE"""),"")</f>
        <v/>
      </c>
      <c r="G112" s="472" t="str">
        <f ca="1">IFERROR(__xludf.DUMMYFUNCTION("""COMPUTED_VALUE"""),"")</f>
        <v/>
      </c>
      <c r="H112" s="472" t="str">
        <f ca="1">IFERROR(__xludf.DUMMYFUNCTION("""COMPUTED_VALUE"""),"")</f>
        <v/>
      </c>
      <c r="I112" s="472" t="str">
        <f ca="1">IFERROR(__xludf.DUMMYFUNCTION("""COMPUTED_VALUE"""),"")</f>
        <v/>
      </c>
      <c r="J112" s="472" t="str">
        <f ca="1">IFERROR(__xludf.DUMMYFUNCTION("""COMPUTED_VALUE"""),"")</f>
        <v/>
      </c>
    </row>
    <row r="113" spans="1:10" ht="15.75">
      <c r="A113" s="472" t="str">
        <f ca="1">IFERROR(__xludf.DUMMYFUNCTION("""COMPUTED_VALUE"""),"")</f>
        <v/>
      </c>
      <c r="B113" s="472" t="str">
        <f ca="1">IFERROR(__xludf.DUMMYFUNCTION("""COMPUTED_VALUE"""),"")</f>
        <v/>
      </c>
      <c r="C113" s="472" t="str">
        <f ca="1">IFERROR(__xludf.DUMMYFUNCTION("""COMPUTED_VALUE"""),"")</f>
        <v/>
      </c>
      <c r="D113" s="472" t="str">
        <f ca="1">IFERROR(__xludf.DUMMYFUNCTION("""COMPUTED_VALUE"""),"")</f>
        <v/>
      </c>
      <c r="E113" s="472" t="str">
        <f ca="1">IFERROR(__xludf.DUMMYFUNCTION("""COMPUTED_VALUE"""),"")</f>
        <v/>
      </c>
      <c r="F113" s="472" t="str">
        <f ca="1">IFERROR(__xludf.DUMMYFUNCTION("""COMPUTED_VALUE"""),"")</f>
        <v/>
      </c>
      <c r="G113" s="472" t="str">
        <f ca="1">IFERROR(__xludf.DUMMYFUNCTION("""COMPUTED_VALUE"""),"")</f>
        <v/>
      </c>
      <c r="H113" s="472" t="str">
        <f ca="1">IFERROR(__xludf.DUMMYFUNCTION("""COMPUTED_VALUE"""),"")</f>
        <v/>
      </c>
      <c r="I113" s="472" t="str">
        <f ca="1">IFERROR(__xludf.DUMMYFUNCTION("""COMPUTED_VALUE"""),"")</f>
        <v/>
      </c>
      <c r="J113" s="472" t="str">
        <f ca="1">IFERROR(__xludf.DUMMYFUNCTION("""COMPUTED_VALUE"""),"")</f>
        <v/>
      </c>
    </row>
    <row r="114" spans="1:10" ht="15.75">
      <c r="A114" s="472" t="str">
        <f ca="1">IFERROR(__xludf.DUMMYFUNCTION("""COMPUTED_VALUE"""),"")</f>
        <v/>
      </c>
      <c r="B114" s="472" t="str">
        <f ca="1">IFERROR(__xludf.DUMMYFUNCTION("""COMPUTED_VALUE"""),"")</f>
        <v/>
      </c>
      <c r="C114" s="472" t="str">
        <f ca="1">IFERROR(__xludf.DUMMYFUNCTION("""COMPUTED_VALUE"""),"")</f>
        <v/>
      </c>
      <c r="D114" s="472" t="str">
        <f ca="1">IFERROR(__xludf.DUMMYFUNCTION("""COMPUTED_VALUE"""),"")</f>
        <v/>
      </c>
      <c r="E114" s="472" t="str">
        <f ca="1">IFERROR(__xludf.DUMMYFUNCTION("""COMPUTED_VALUE"""),"")</f>
        <v/>
      </c>
      <c r="F114" s="472" t="str">
        <f ca="1">IFERROR(__xludf.DUMMYFUNCTION("""COMPUTED_VALUE"""),"")</f>
        <v/>
      </c>
      <c r="G114" s="472" t="str">
        <f ca="1">IFERROR(__xludf.DUMMYFUNCTION("""COMPUTED_VALUE"""),"")</f>
        <v/>
      </c>
      <c r="H114" s="472" t="str">
        <f ca="1">IFERROR(__xludf.DUMMYFUNCTION("""COMPUTED_VALUE"""),"")</f>
        <v/>
      </c>
      <c r="I114" s="472" t="str">
        <f ca="1">IFERROR(__xludf.DUMMYFUNCTION("""COMPUTED_VALUE"""),"")</f>
        <v/>
      </c>
      <c r="J114" s="472" t="str">
        <f ca="1">IFERROR(__xludf.DUMMYFUNCTION("""COMPUTED_VALUE"""),"")</f>
        <v/>
      </c>
    </row>
    <row r="115" spans="1:10" ht="15.75">
      <c r="A115" s="472" t="str">
        <f ca="1">IFERROR(__xludf.DUMMYFUNCTION("""COMPUTED_VALUE"""),"")</f>
        <v/>
      </c>
      <c r="B115" s="472" t="str">
        <f ca="1">IFERROR(__xludf.DUMMYFUNCTION("""COMPUTED_VALUE"""),"")</f>
        <v/>
      </c>
      <c r="C115" s="472" t="str">
        <f ca="1">IFERROR(__xludf.DUMMYFUNCTION("""COMPUTED_VALUE"""),"")</f>
        <v/>
      </c>
      <c r="D115" s="472" t="str">
        <f ca="1">IFERROR(__xludf.DUMMYFUNCTION("""COMPUTED_VALUE"""),"")</f>
        <v/>
      </c>
      <c r="E115" s="472" t="str">
        <f ca="1">IFERROR(__xludf.DUMMYFUNCTION("""COMPUTED_VALUE"""),"")</f>
        <v/>
      </c>
      <c r="F115" s="472" t="str">
        <f ca="1">IFERROR(__xludf.DUMMYFUNCTION("""COMPUTED_VALUE"""),"")</f>
        <v/>
      </c>
      <c r="G115" s="472" t="str">
        <f ca="1">IFERROR(__xludf.DUMMYFUNCTION("""COMPUTED_VALUE"""),"")</f>
        <v/>
      </c>
      <c r="H115" s="472" t="str">
        <f ca="1">IFERROR(__xludf.DUMMYFUNCTION("""COMPUTED_VALUE"""),"")</f>
        <v/>
      </c>
      <c r="I115" s="472" t="str">
        <f ca="1">IFERROR(__xludf.DUMMYFUNCTION("""COMPUTED_VALUE"""),"")</f>
        <v/>
      </c>
      <c r="J115" s="472" t="str">
        <f ca="1">IFERROR(__xludf.DUMMYFUNCTION("""COMPUTED_VALUE"""),"")</f>
        <v/>
      </c>
    </row>
    <row r="116" spans="1:10" ht="15.75">
      <c r="A116" s="472" t="str">
        <f ca="1">IFERROR(__xludf.DUMMYFUNCTION("""COMPUTED_VALUE"""),"")</f>
        <v/>
      </c>
      <c r="B116" s="472" t="str">
        <f ca="1">IFERROR(__xludf.DUMMYFUNCTION("""COMPUTED_VALUE"""),"")</f>
        <v/>
      </c>
      <c r="C116" s="472" t="str">
        <f ca="1">IFERROR(__xludf.DUMMYFUNCTION("""COMPUTED_VALUE"""),"")</f>
        <v/>
      </c>
      <c r="D116" s="472" t="str">
        <f ca="1">IFERROR(__xludf.DUMMYFUNCTION("""COMPUTED_VALUE"""),"")</f>
        <v/>
      </c>
      <c r="E116" s="472" t="str">
        <f ca="1">IFERROR(__xludf.DUMMYFUNCTION("""COMPUTED_VALUE"""),"")</f>
        <v/>
      </c>
      <c r="F116" s="472" t="str">
        <f ca="1">IFERROR(__xludf.DUMMYFUNCTION("""COMPUTED_VALUE"""),"")</f>
        <v/>
      </c>
      <c r="G116" s="472" t="str">
        <f ca="1">IFERROR(__xludf.DUMMYFUNCTION("""COMPUTED_VALUE"""),"")</f>
        <v/>
      </c>
      <c r="H116" s="472" t="str">
        <f ca="1">IFERROR(__xludf.DUMMYFUNCTION("""COMPUTED_VALUE"""),"")</f>
        <v/>
      </c>
      <c r="I116" s="472" t="str">
        <f ca="1">IFERROR(__xludf.DUMMYFUNCTION("""COMPUTED_VALUE"""),"")</f>
        <v/>
      </c>
      <c r="J116" s="472" t="str">
        <f ca="1">IFERROR(__xludf.DUMMYFUNCTION("""COMPUTED_VALUE"""),"")</f>
        <v/>
      </c>
    </row>
    <row r="117" spans="1:10" ht="15.75">
      <c r="A117" s="472" t="str">
        <f ca="1">IFERROR(__xludf.DUMMYFUNCTION("""COMPUTED_VALUE"""),"")</f>
        <v/>
      </c>
      <c r="B117" s="472" t="str">
        <f ca="1">IFERROR(__xludf.DUMMYFUNCTION("""COMPUTED_VALUE"""),"")</f>
        <v/>
      </c>
      <c r="C117" s="472" t="str">
        <f ca="1">IFERROR(__xludf.DUMMYFUNCTION("""COMPUTED_VALUE"""),"")</f>
        <v/>
      </c>
      <c r="D117" s="472" t="str">
        <f ca="1">IFERROR(__xludf.DUMMYFUNCTION("""COMPUTED_VALUE"""),"")</f>
        <v/>
      </c>
      <c r="E117" s="472" t="str">
        <f ca="1">IFERROR(__xludf.DUMMYFUNCTION("""COMPUTED_VALUE"""),"")</f>
        <v/>
      </c>
      <c r="F117" s="472" t="str">
        <f ca="1">IFERROR(__xludf.DUMMYFUNCTION("""COMPUTED_VALUE"""),"")</f>
        <v/>
      </c>
      <c r="G117" s="472" t="str">
        <f ca="1">IFERROR(__xludf.DUMMYFUNCTION("""COMPUTED_VALUE"""),"")</f>
        <v/>
      </c>
      <c r="H117" s="472" t="str">
        <f ca="1">IFERROR(__xludf.DUMMYFUNCTION("""COMPUTED_VALUE"""),"")</f>
        <v/>
      </c>
      <c r="I117" s="472" t="str">
        <f ca="1">IFERROR(__xludf.DUMMYFUNCTION("""COMPUTED_VALUE"""),"")</f>
        <v/>
      </c>
      <c r="J117" s="472" t="str">
        <f ca="1">IFERROR(__xludf.DUMMYFUNCTION("""COMPUTED_VALUE"""),"")</f>
        <v/>
      </c>
    </row>
    <row r="118" spans="1:10" ht="15.75">
      <c r="A118" s="472" t="str">
        <f ca="1">IFERROR(__xludf.DUMMYFUNCTION("""COMPUTED_VALUE"""),"")</f>
        <v/>
      </c>
      <c r="B118" s="472" t="str">
        <f ca="1">IFERROR(__xludf.DUMMYFUNCTION("""COMPUTED_VALUE"""),"")</f>
        <v/>
      </c>
      <c r="C118" s="472" t="str">
        <f ca="1">IFERROR(__xludf.DUMMYFUNCTION("""COMPUTED_VALUE"""),"")</f>
        <v/>
      </c>
      <c r="D118" s="472" t="str">
        <f ca="1">IFERROR(__xludf.DUMMYFUNCTION("""COMPUTED_VALUE"""),"")</f>
        <v/>
      </c>
      <c r="E118" s="472" t="str">
        <f ca="1">IFERROR(__xludf.DUMMYFUNCTION("""COMPUTED_VALUE"""),"")</f>
        <v/>
      </c>
      <c r="F118" s="472" t="str">
        <f ca="1">IFERROR(__xludf.DUMMYFUNCTION("""COMPUTED_VALUE"""),"")</f>
        <v/>
      </c>
      <c r="G118" s="472" t="str">
        <f ca="1">IFERROR(__xludf.DUMMYFUNCTION("""COMPUTED_VALUE"""),"")</f>
        <v/>
      </c>
      <c r="H118" s="472" t="str">
        <f ca="1">IFERROR(__xludf.DUMMYFUNCTION("""COMPUTED_VALUE"""),"")</f>
        <v/>
      </c>
      <c r="I118" s="472" t="str">
        <f ca="1">IFERROR(__xludf.DUMMYFUNCTION("""COMPUTED_VALUE"""),"")</f>
        <v/>
      </c>
      <c r="J118" s="472" t="str">
        <f ca="1">IFERROR(__xludf.DUMMYFUNCTION("""COMPUTED_VALUE"""),"")</f>
        <v/>
      </c>
    </row>
    <row r="119" spans="1:10" ht="15.75">
      <c r="A119" s="472" t="str">
        <f ca="1">IFERROR(__xludf.DUMMYFUNCTION("""COMPUTED_VALUE"""),"")</f>
        <v/>
      </c>
      <c r="B119" s="472" t="str">
        <f ca="1">IFERROR(__xludf.DUMMYFUNCTION("""COMPUTED_VALUE"""),"")</f>
        <v/>
      </c>
      <c r="C119" s="472" t="str">
        <f ca="1">IFERROR(__xludf.DUMMYFUNCTION("""COMPUTED_VALUE"""),"")</f>
        <v/>
      </c>
      <c r="D119" s="472" t="str">
        <f ca="1">IFERROR(__xludf.DUMMYFUNCTION("""COMPUTED_VALUE"""),"")</f>
        <v/>
      </c>
      <c r="E119" s="472" t="str">
        <f ca="1">IFERROR(__xludf.DUMMYFUNCTION("""COMPUTED_VALUE"""),"")</f>
        <v/>
      </c>
      <c r="F119" s="472" t="str">
        <f ca="1">IFERROR(__xludf.DUMMYFUNCTION("""COMPUTED_VALUE"""),"")</f>
        <v/>
      </c>
      <c r="G119" s="472" t="str">
        <f ca="1">IFERROR(__xludf.DUMMYFUNCTION("""COMPUTED_VALUE"""),"")</f>
        <v/>
      </c>
      <c r="H119" s="472" t="str">
        <f ca="1">IFERROR(__xludf.DUMMYFUNCTION("""COMPUTED_VALUE"""),"")</f>
        <v/>
      </c>
      <c r="I119" s="472" t="str">
        <f ca="1">IFERROR(__xludf.DUMMYFUNCTION("""COMPUTED_VALUE"""),"")</f>
        <v/>
      </c>
      <c r="J119" s="472" t="str">
        <f ca="1">IFERROR(__xludf.DUMMYFUNCTION("""COMPUTED_VALUE"""),"")</f>
        <v/>
      </c>
    </row>
    <row r="120" spans="1:10" ht="15.75">
      <c r="A120" s="472" t="str">
        <f ca="1">IFERROR(__xludf.DUMMYFUNCTION("""COMPUTED_VALUE"""),"")</f>
        <v/>
      </c>
      <c r="B120" s="472" t="str">
        <f ca="1">IFERROR(__xludf.DUMMYFUNCTION("""COMPUTED_VALUE"""),"")</f>
        <v/>
      </c>
      <c r="C120" s="472" t="str">
        <f ca="1">IFERROR(__xludf.DUMMYFUNCTION("""COMPUTED_VALUE"""),"")</f>
        <v/>
      </c>
      <c r="D120" s="472" t="str">
        <f ca="1">IFERROR(__xludf.DUMMYFUNCTION("""COMPUTED_VALUE"""),"")</f>
        <v/>
      </c>
      <c r="E120" s="472" t="str">
        <f ca="1">IFERROR(__xludf.DUMMYFUNCTION("""COMPUTED_VALUE"""),"")</f>
        <v/>
      </c>
      <c r="F120" s="472" t="str">
        <f ca="1">IFERROR(__xludf.DUMMYFUNCTION("""COMPUTED_VALUE"""),"")</f>
        <v/>
      </c>
      <c r="G120" s="472" t="str">
        <f ca="1">IFERROR(__xludf.DUMMYFUNCTION("""COMPUTED_VALUE"""),"")</f>
        <v/>
      </c>
      <c r="H120" s="472" t="str">
        <f ca="1">IFERROR(__xludf.DUMMYFUNCTION("""COMPUTED_VALUE"""),"")</f>
        <v/>
      </c>
      <c r="I120" s="472" t="str">
        <f ca="1">IFERROR(__xludf.DUMMYFUNCTION("""COMPUTED_VALUE"""),"")</f>
        <v/>
      </c>
      <c r="J120" s="472" t="str">
        <f ca="1">IFERROR(__xludf.DUMMYFUNCTION("""COMPUTED_VALUE"""),"")</f>
        <v/>
      </c>
    </row>
    <row r="121" spans="1:10" ht="15.75">
      <c r="A121" s="472" t="str">
        <f ca="1">IFERROR(__xludf.DUMMYFUNCTION("""COMPUTED_VALUE"""),"")</f>
        <v/>
      </c>
      <c r="B121" s="472" t="str">
        <f ca="1">IFERROR(__xludf.DUMMYFUNCTION("""COMPUTED_VALUE"""),"")</f>
        <v/>
      </c>
      <c r="C121" s="472" t="str">
        <f ca="1">IFERROR(__xludf.DUMMYFUNCTION("""COMPUTED_VALUE"""),"")</f>
        <v/>
      </c>
      <c r="D121" s="472" t="str">
        <f ca="1">IFERROR(__xludf.DUMMYFUNCTION("""COMPUTED_VALUE"""),"")</f>
        <v/>
      </c>
      <c r="E121" s="472" t="str">
        <f ca="1">IFERROR(__xludf.DUMMYFUNCTION("""COMPUTED_VALUE"""),"")</f>
        <v/>
      </c>
      <c r="F121" s="472" t="str">
        <f ca="1">IFERROR(__xludf.DUMMYFUNCTION("""COMPUTED_VALUE"""),"")</f>
        <v/>
      </c>
      <c r="G121" s="472" t="str">
        <f ca="1">IFERROR(__xludf.DUMMYFUNCTION("""COMPUTED_VALUE"""),"")</f>
        <v/>
      </c>
      <c r="H121" s="472" t="str">
        <f ca="1">IFERROR(__xludf.DUMMYFUNCTION("""COMPUTED_VALUE"""),"")</f>
        <v/>
      </c>
      <c r="I121" s="472" t="str">
        <f ca="1">IFERROR(__xludf.DUMMYFUNCTION("""COMPUTED_VALUE"""),"")</f>
        <v/>
      </c>
      <c r="J121" s="472" t="str">
        <f ca="1">IFERROR(__xludf.DUMMYFUNCTION("""COMPUTED_VALUE"""),"")</f>
        <v/>
      </c>
    </row>
    <row r="122" spans="1:10" ht="15.75">
      <c r="A122" s="472" t="str">
        <f ca="1">IFERROR(__xludf.DUMMYFUNCTION("""COMPUTED_VALUE"""),"")</f>
        <v/>
      </c>
      <c r="B122" s="472" t="str">
        <f ca="1">IFERROR(__xludf.DUMMYFUNCTION("""COMPUTED_VALUE"""),"")</f>
        <v/>
      </c>
      <c r="C122" s="472" t="str">
        <f ca="1">IFERROR(__xludf.DUMMYFUNCTION("""COMPUTED_VALUE"""),"")</f>
        <v/>
      </c>
      <c r="D122" s="472" t="str">
        <f ca="1">IFERROR(__xludf.DUMMYFUNCTION("""COMPUTED_VALUE"""),"")</f>
        <v/>
      </c>
      <c r="E122" s="472" t="str">
        <f ca="1">IFERROR(__xludf.DUMMYFUNCTION("""COMPUTED_VALUE"""),"")</f>
        <v/>
      </c>
      <c r="F122" s="472" t="str">
        <f ca="1">IFERROR(__xludf.DUMMYFUNCTION("""COMPUTED_VALUE"""),"")</f>
        <v/>
      </c>
      <c r="G122" s="472" t="str">
        <f ca="1">IFERROR(__xludf.DUMMYFUNCTION("""COMPUTED_VALUE"""),"")</f>
        <v/>
      </c>
      <c r="H122" s="472" t="str">
        <f ca="1">IFERROR(__xludf.DUMMYFUNCTION("""COMPUTED_VALUE"""),"")</f>
        <v/>
      </c>
      <c r="I122" s="472" t="str">
        <f ca="1">IFERROR(__xludf.DUMMYFUNCTION("""COMPUTED_VALUE"""),"")</f>
        <v/>
      </c>
      <c r="J122" s="472" t="str">
        <f ca="1">IFERROR(__xludf.DUMMYFUNCTION("""COMPUTED_VALUE"""),"")</f>
        <v/>
      </c>
    </row>
    <row r="123" spans="1:10" ht="15.75">
      <c r="A123" s="472" t="str">
        <f ca="1">IFERROR(__xludf.DUMMYFUNCTION("""COMPUTED_VALUE"""),"")</f>
        <v/>
      </c>
      <c r="B123" s="472" t="str">
        <f ca="1">IFERROR(__xludf.DUMMYFUNCTION("""COMPUTED_VALUE"""),"")</f>
        <v/>
      </c>
      <c r="C123" s="472" t="str">
        <f ca="1">IFERROR(__xludf.DUMMYFUNCTION("""COMPUTED_VALUE"""),"")</f>
        <v/>
      </c>
      <c r="D123" s="472" t="str">
        <f ca="1">IFERROR(__xludf.DUMMYFUNCTION("""COMPUTED_VALUE"""),"")</f>
        <v/>
      </c>
      <c r="E123" s="472" t="str">
        <f ca="1">IFERROR(__xludf.DUMMYFUNCTION("""COMPUTED_VALUE"""),"")</f>
        <v/>
      </c>
      <c r="F123" s="472" t="str">
        <f ca="1">IFERROR(__xludf.DUMMYFUNCTION("""COMPUTED_VALUE"""),"")</f>
        <v/>
      </c>
      <c r="G123" s="472" t="str">
        <f ca="1">IFERROR(__xludf.DUMMYFUNCTION("""COMPUTED_VALUE"""),"")</f>
        <v/>
      </c>
      <c r="H123" s="472" t="str">
        <f ca="1">IFERROR(__xludf.DUMMYFUNCTION("""COMPUTED_VALUE"""),"")</f>
        <v/>
      </c>
      <c r="I123" s="472" t="str">
        <f ca="1">IFERROR(__xludf.DUMMYFUNCTION("""COMPUTED_VALUE"""),"")</f>
        <v/>
      </c>
      <c r="J123" s="472" t="str">
        <f ca="1">IFERROR(__xludf.DUMMYFUNCTION("""COMPUTED_VALUE"""),"")</f>
        <v/>
      </c>
    </row>
    <row r="124" spans="1:10" ht="15.75">
      <c r="A124" s="472" t="str">
        <f ca="1">IFERROR(__xludf.DUMMYFUNCTION("""COMPUTED_VALUE"""),"")</f>
        <v/>
      </c>
      <c r="B124" s="472" t="str">
        <f ca="1">IFERROR(__xludf.DUMMYFUNCTION("""COMPUTED_VALUE"""),"")</f>
        <v/>
      </c>
      <c r="C124" s="472" t="str">
        <f ca="1">IFERROR(__xludf.DUMMYFUNCTION("""COMPUTED_VALUE"""),"")</f>
        <v/>
      </c>
      <c r="D124" s="472" t="str">
        <f ca="1">IFERROR(__xludf.DUMMYFUNCTION("""COMPUTED_VALUE"""),"")</f>
        <v/>
      </c>
      <c r="E124" s="472" t="str">
        <f ca="1">IFERROR(__xludf.DUMMYFUNCTION("""COMPUTED_VALUE"""),"")</f>
        <v/>
      </c>
      <c r="F124" s="472" t="str">
        <f ca="1">IFERROR(__xludf.DUMMYFUNCTION("""COMPUTED_VALUE"""),"")</f>
        <v/>
      </c>
      <c r="G124" s="472" t="str">
        <f ca="1">IFERROR(__xludf.DUMMYFUNCTION("""COMPUTED_VALUE"""),"")</f>
        <v/>
      </c>
      <c r="H124" s="472" t="str">
        <f ca="1">IFERROR(__xludf.DUMMYFUNCTION("""COMPUTED_VALUE"""),"")</f>
        <v/>
      </c>
      <c r="I124" s="472" t="str">
        <f ca="1">IFERROR(__xludf.DUMMYFUNCTION("""COMPUTED_VALUE"""),"")</f>
        <v/>
      </c>
      <c r="J124" s="472" t="str">
        <f ca="1">IFERROR(__xludf.DUMMYFUNCTION("""COMPUTED_VALUE"""),"")</f>
        <v/>
      </c>
    </row>
    <row r="125" spans="1:10" ht="15.75">
      <c r="A125" s="472" t="str">
        <f ca="1">IFERROR(__xludf.DUMMYFUNCTION("""COMPUTED_VALUE"""),"")</f>
        <v/>
      </c>
      <c r="B125" s="472" t="str">
        <f ca="1">IFERROR(__xludf.DUMMYFUNCTION("""COMPUTED_VALUE"""),"")</f>
        <v/>
      </c>
      <c r="C125" s="472" t="str">
        <f ca="1">IFERROR(__xludf.DUMMYFUNCTION("""COMPUTED_VALUE"""),"")</f>
        <v/>
      </c>
      <c r="D125" s="472" t="str">
        <f ca="1">IFERROR(__xludf.DUMMYFUNCTION("""COMPUTED_VALUE"""),"")</f>
        <v/>
      </c>
      <c r="E125" s="472" t="str">
        <f ca="1">IFERROR(__xludf.DUMMYFUNCTION("""COMPUTED_VALUE"""),"")</f>
        <v/>
      </c>
      <c r="F125" s="472" t="str">
        <f ca="1">IFERROR(__xludf.DUMMYFUNCTION("""COMPUTED_VALUE"""),"")</f>
        <v/>
      </c>
      <c r="G125" s="472" t="str">
        <f ca="1">IFERROR(__xludf.DUMMYFUNCTION("""COMPUTED_VALUE"""),"")</f>
        <v/>
      </c>
      <c r="H125" s="472" t="str">
        <f ca="1">IFERROR(__xludf.DUMMYFUNCTION("""COMPUTED_VALUE"""),"")</f>
        <v/>
      </c>
      <c r="I125" s="472" t="str">
        <f ca="1">IFERROR(__xludf.DUMMYFUNCTION("""COMPUTED_VALUE"""),"")</f>
        <v/>
      </c>
      <c r="J125" s="472" t="str">
        <f ca="1">IFERROR(__xludf.DUMMYFUNCTION("""COMPUTED_VALUE"""),"")</f>
        <v/>
      </c>
    </row>
    <row r="126" spans="1:10" ht="15.75">
      <c r="A126" s="472" t="str">
        <f ca="1">IFERROR(__xludf.DUMMYFUNCTION("""COMPUTED_VALUE"""),"")</f>
        <v/>
      </c>
      <c r="B126" s="472" t="str">
        <f ca="1">IFERROR(__xludf.DUMMYFUNCTION("""COMPUTED_VALUE"""),"")</f>
        <v/>
      </c>
      <c r="C126" s="472" t="str">
        <f ca="1">IFERROR(__xludf.DUMMYFUNCTION("""COMPUTED_VALUE"""),"")</f>
        <v/>
      </c>
      <c r="D126" s="472" t="str">
        <f ca="1">IFERROR(__xludf.DUMMYFUNCTION("""COMPUTED_VALUE"""),"")</f>
        <v/>
      </c>
      <c r="E126" s="472" t="str">
        <f ca="1">IFERROR(__xludf.DUMMYFUNCTION("""COMPUTED_VALUE"""),"")</f>
        <v/>
      </c>
      <c r="F126" s="472" t="str">
        <f ca="1">IFERROR(__xludf.DUMMYFUNCTION("""COMPUTED_VALUE"""),"")</f>
        <v/>
      </c>
      <c r="G126" s="472" t="str">
        <f ca="1">IFERROR(__xludf.DUMMYFUNCTION("""COMPUTED_VALUE"""),"")</f>
        <v/>
      </c>
      <c r="H126" s="472" t="str">
        <f ca="1">IFERROR(__xludf.DUMMYFUNCTION("""COMPUTED_VALUE"""),"")</f>
        <v/>
      </c>
      <c r="I126" s="472" t="str">
        <f ca="1">IFERROR(__xludf.DUMMYFUNCTION("""COMPUTED_VALUE"""),"")</f>
        <v/>
      </c>
      <c r="J126" s="472" t="str">
        <f ca="1">IFERROR(__xludf.DUMMYFUNCTION("""COMPUTED_VALUE"""),"")</f>
        <v/>
      </c>
    </row>
    <row r="127" spans="1:10" ht="15.75">
      <c r="A127" s="472" t="str">
        <f ca="1">IFERROR(__xludf.DUMMYFUNCTION("""COMPUTED_VALUE"""),"")</f>
        <v/>
      </c>
      <c r="B127" s="472" t="str">
        <f ca="1">IFERROR(__xludf.DUMMYFUNCTION("""COMPUTED_VALUE"""),"")</f>
        <v/>
      </c>
      <c r="C127" s="472" t="str">
        <f ca="1">IFERROR(__xludf.DUMMYFUNCTION("""COMPUTED_VALUE"""),"")</f>
        <v/>
      </c>
      <c r="D127" s="472" t="str">
        <f ca="1">IFERROR(__xludf.DUMMYFUNCTION("""COMPUTED_VALUE"""),"")</f>
        <v/>
      </c>
      <c r="E127" s="472" t="str">
        <f ca="1">IFERROR(__xludf.DUMMYFUNCTION("""COMPUTED_VALUE"""),"")</f>
        <v/>
      </c>
      <c r="F127" s="472" t="str">
        <f ca="1">IFERROR(__xludf.DUMMYFUNCTION("""COMPUTED_VALUE"""),"")</f>
        <v/>
      </c>
      <c r="G127" s="472" t="str">
        <f ca="1">IFERROR(__xludf.DUMMYFUNCTION("""COMPUTED_VALUE"""),"")</f>
        <v/>
      </c>
      <c r="H127" s="472" t="str">
        <f ca="1">IFERROR(__xludf.DUMMYFUNCTION("""COMPUTED_VALUE"""),"")</f>
        <v/>
      </c>
      <c r="I127" s="472" t="str">
        <f ca="1">IFERROR(__xludf.DUMMYFUNCTION("""COMPUTED_VALUE"""),"")</f>
        <v/>
      </c>
      <c r="J127" s="472" t="str">
        <f ca="1">IFERROR(__xludf.DUMMYFUNCTION("""COMPUTED_VALUE"""),"")</f>
        <v/>
      </c>
    </row>
    <row r="128" spans="1:10" ht="15.75">
      <c r="A128" s="472" t="str">
        <f ca="1">IFERROR(__xludf.DUMMYFUNCTION("""COMPUTED_VALUE"""),"")</f>
        <v/>
      </c>
      <c r="B128" s="472" t="str">
        <f ca="1">IFERROR(__xludf.DUMMYFUNCTION("""COMPUTED_VALUE"""),"")</f>
        <v/>
      </c>
      <c r="C128" s="472" t="str">
        <f ca="1">IFERROR(__xludf.DUMMYFUNCTION("""COMPUTED_VALUE"""),"")</f>
        <v/>
      </c>
      <c r="D128" s="472" t="str">
        <f ca="1">IFERROR(__xludf.DUMMYFUNCTION("""COMPUTED_VALUE"""),"")</f>
        <v/>
      </c>
      <c r="E128" s="472" t="str">
        <f ca="1">IFERROR(__xludf.DUMMYFUNCTION("""COMPUTED_VALUE"""),"")</f>
        <v/>
      </c>
      <c r="F128" s="472" t="str">
        <f ca="1">IFERROR(__xludf.DUMMYFUNCTION("""COMPUTED_VALUE"""),"")</f>
        <v/>
      </c>
      <c r="G128" s="472" t="str">
        <f ca="1">IFERROR(__xludf.DUMMYFUNCTION("""COMPUTED_VALUE"""),"")</f>
        <v/>
      </c>
      <c r="H128" s="472" t="str">
        <f ca="1">IFERROR(__xludf.DUMMYFUNCTION("""COMPUTED_VALUE"""),"")</f>
        <v/>
      </c>
      <c r="I128" s="472" t="str">
        <f ca="1">IFERROR(__xludf.DUMMYFUNCTION("""COMPUTED_VALUE"""),"")</f>
        <v/>
      </c>
      <c r="J128" s="472" t="str">
        <f ca="1">IFERROR(__xludf.DUMMYFUNCTION("""COMPUTED_VALUE"""),"")</f>
        <v/>
      </c>
    </row>
    <row r="129" spans="1:10" ht="15.75">
      <c r="A129" s="472" t="str">
        <f ca="1">IFERROR(__xludf.DUMMYFUNCTION("""COMPUTED_VALUE"""),"")</f>
        <v/>
      </c>
      <c r="B129" s="472" t="str">
        <f ca="1">IFERROR(__xludf.DUMMYFUNCTION("""COMPUTED_VALUE"""),"")</f>
        <v/>
      </c>
      <c r="C129" s="472" t="str">
        <f ca="1">IFERROR(__xludf.DUMMYFUNCTION("""COMPUTED_VALUE"""),"")</f>
        <v/>
      </c>
      <c r="D129" s="472" t="str">
        <f ca="1">IFERROR(__xludf.DUMMYFUNCTION("""COMPUTED_VALUE"""),"")</f>
        <v/>
      </c>
      <c r="E129" s="472" t="str">
        <f ca="1">IFERROR(__xludf.DUMMYFUNCTION("""COMPUTED_VALUE"""),"")</f>
        <v/>
      </c>
      <c r="F129" s="472" t="str">
        <f ca="1">IFERROR(__xludf.DUMMYFUNCTION("""COMPUTED_VALUE"""),"")</f>
        <v/>
      </c>
      <c r="G129" s="472" t="str">
        <f ca="1">IFERROR(__xludf.DUMMYFUNCTION("""COMPUTED_VALUE"""),"")</f>
        <v/>
      </c>
      <c r="H129" s="472" t="str">
        <f ca="1">IFERROR(__xludf.DUMMYFUNCTION("""COMPUTED_VALUE"""),"")</f>
        <v/>
      </c>
      <c r="I129" s="472" t="str">
        <f ca="1">IFERROR(__xludf.DUMMYFUNCTION("""COMPUTED_VALUE"""),"")</f>
        <v/>
      </c>
      <c r="J129" s="472" t="str">
        <f ca="1">IFERROR(__xludf.DUMMYFUNCTION("""COMPUTED_VALUE"""),"")</f>
        <v/>
      </c>
    </row>
    <row r="130" spans="1:10" ht="15.75">
      <c r="A130" s="472" t="str">
        <f ca="1">IFERROR(__xludf.DUMMYFUNCTION("""COMPUTED_VALUE"""),"")</f>
        <v/>
      </c>
      <c r="B130" s="472" t="str">
        <f ca="1">IFERROR(__xludf.DUMMYFUNCTION("""COMPUTED_VALUE"""),"")</f>
        <v/>
      </c>
      <c r="C130" s="472" t="str">
        <f ca="1">IFERROR(__xludf.DUMMYFUNCTION("""COMPUTED_VALUE"""),"")</f>
        <v/>
      </c>
      <c r="D130" s="472" t="str">
        <f ca="1">IFERROR(__xludf.DUMMYFUNCTION("""COMPUTED_VALUE"""),"")</f>
        <v/>
      </c>
      <c r="E130" s="472" t="str">
        <f ca="1">IFERROR(__xludf.DUMMYFUNCTION("""COMPUTED_VALUE"""),"")</f>
        <v/>
      </c>
      <c r="F130" s="472" t="str">
        <f ca="1">IFERROR(__xludf.DUMMYFUNCTION("""COMPUTED_VALUE"""),"")</f>
        <v/>
      </c>
      <c r="G130" s="472" t="str">
        <f ca="1">IFERROR(__xludf.DUMMYFUNCTION("""COMPUTED_VALUE"""),"")</f>
        <v/>
      </c>
      <c r="H130" s="472" t="str">
        <f ca="1">IFERROR(__xludf.DUMMYFUNCTION("""COMPUTED_VALUE"""),"")</f>
        <v/>
      </c>
      <c r="I130" s="472" t="str">
        <f ca="1">IFERROR(__xludf.DUMMYFUNCTION("""COMPUTED_VALUE"""),"")</f>
        <v/>
      </c>
      <c r="J130" s="472" t="str">
        <f ca="1">IFERROR(__xludf.DUMMYFUNCTION("""COMPUTED_VALUE"""),"")</f>
        <v/>
      </c>
    </row>
    <row r="131" spans="1:10" ht="15.75">
      <c r="A131" s="472" t="str">
        <f ca="1">IFERROR(__xludf.DUMMYFUNCTION("""COMPUTED_VALUE"""),"")</f>
        <v/>
      </c>
      <c r="B131" s="472" t="str">
        <f ca="1">IFERROR(__xludf.DUMMYFUNCTION("""COMPUTED_VALUE"""),"")</f>
        <v/>
      </c>
      <c r="C131" s="472" t="str">
        <f ca="1">IFERROR(__xludf.DUMMYFUNCTION("""COMPUTED_VALUE"""),"")</f>
        <v/>
      </c>
      <c r="D131" s="472" t="str">
        <f ca="1">IFERROR(__xludf.DUMMYFUNCTION("""COMPUTED_VALUE"""),"")</f>
        <v/>
      </c>
      <c r="E131" s="472" t="str">
        <f ca="1">IFERROR(__xludf.DUMMYFUNCTION("""COMPUTED_VALUE"""),"")</f>
        <v/>
      </c>
      <c r="F131" s="472" t="str">
        <f ca="1">IFERROR(__xludf.DUMMYFUNCTION("""COMPUTED_VALUE"""),"")</f>
        <v/>
      </c>
      <c r="G131" s="472" t="str">
        <f ca="1">IFERROR(__xludf.DUMMYFUNCTION("""COMPUTED_VALUE"""),"")</f>
        <v/>
      </c>
      <c r="H131" s="472" t="str">
        <f ca="1">IFERROR(__xludf.DUMMYFUNCTION("""COMPUTED_VALUE"""),"")</f>
        <v/>
      </c>
      <c r="I131" s="472" t="str">
        <f ca="1">IFERROR(__xludf.DUMMYFUNCTION("""COMPUTED_VALUE"""),"")</f>
        <v/>
      </c>
      <c r="J131" s="472" t="str">
        <f ca="1">IFERROR(__xludf.DUMMYFUNCTION("""COMPUTED_VALUE"""),"")</f>
        <v/>
      </c>
    </row>
    <row r="132" spans="1:10" ht="15.75">
      <c r="A132" s="472" t="str">
        <f ca="1">IFERROR(__xludf.DUMMYFUNCTION("""COMPUTED_VALUE"""),"")</f>
        <v/>
      </c>
      <c r="B132" s="472" t="str">
        <f ca="1">IFERROR(__xludf.DUMMYFUNCTION("""COMPUTED_VALUE"""),"")</f>
        <v/>
      </c>
      <c r="C132" s="472" t="str">
        <f ca="1">IFERROR(__xludf.DUMMYFUNCTION("""COMPUTED_VALUE"""),"")</f>
        <v/>
      </c>
      <c r="D132" s="472" t="str">
        <f ca="1">IFERROR(__xludf.DUMMYFUNCTION("""COMPUTED_VALUE"""),"")</f>
        <v/>
      </c>
      <c r="E132" s="472" t="str">
        <f ca="1">IFERROR(__xludf.DUMMYFUNCTION("""COMPUTED_VALUE"""),"")</f>
        <v/>
      </c>
      <c r="F132" s="472" t="str">
        <f ca="1">IFERROR(__xludf.DUMMYFUNCTION("""COMPUTED_VALUE"""),"")</f>
        <v/>
      </c>
      <c r="G132" s="472" t="str">
        <f ca="1">IFERROR(__xludf.DUMMYFUNCTION("""COMPUTED_VALUE"""),"")</f>
        <v/>
      </c>
      <c r="H132" s="472" t="str">
        <f ca="1">IFERROR(__xludf.DUMMYFUNCTION("""COMPUTED_VALUE"""),"")</f>
        <v/>
      </c>
      <c r="I132" s="472" t="str">
        <f ca="1">IFERROR(__xludf.DUMMYFUNCTION("""COMPUTED_VALUE"""),"")</f>
        <v/>
      </c>
      <c r="J132" s="472" t="str">
        <f ca="1">IFERROR(__xludf.DUMMYFUNCTION("""COMPUTED_VALUE"""),"")</f>
        <v/>
      </c>
    </row>
    <row r="133" spans="1:10" ht="15.75">
      <c r="A133" s="472" t="str">
        <f ca="1">IFERROR(__xludf.DUMMYFUNCTION("""COMPUTED_VALUE"""),"")</f>
        <v/>
      </c>
      <c r="B133" s="472" t="str">
        <f ca="1">IFERROR(__xludf.DUMMYFUNCTION("""COMPUTED_VALUE"""),"")</f>
        <v/>
      </c>
      <c r="C133" s="472" t="str">
        <f ca="1">IFERROR(__xludf.DUMMYFUNCTION("""COMPUTED_VALUE"""),"")</f>
        <v/>
      </c>
      <c r="D133" s="472" t="str">
        <f ca="1">IFERROR(__xludf.DUMMYFUNCTION("""COMPUTED_VALUE"""),"")</f>
        <v/>
      </c>
      <c r="E133" s="472" t="str">
        <f ca="1">IFERROR(__xludf.DUMMYFUNCTION("""COMPUTED_VALUE"""),"")</f>
        <v/>
      </c>
      <c r="F133" s="472" t="str">
        <f ca="1">IFERROR(__xludf.DUMMYFUNCTION("""COMPUTED_VALUE"""),"")</f>
        <v/>
      </c>
      <c r="G133" s="472" t="str">
        <f ca="1">IFERROR(__xludf.DUMMYFUNCTION("""COMPUTED_VALUE"""),"")</f>
        <v/>
      </c>
      <c r="H133" s="472" t="str">
        <f ca="1">IFERROR(__xludf.DUMMYFUNCTION("""COMPUTED_VALUE"""),"")</f>
        <v/>
      </c>
      <c r="I133" s="472" t="str">
        <f ca="1">IFERROR(__xludf.DUMMYFUNCTION("""COMPUTED_VALUE"""),"")</f>
        <v/>
      </c>
      <c r="J133" s="472" t="str">
        <f ca="1">IFERROR(__xludf.DUMMYFUNCTION("""COMPUTED_VALUE"""),"")</f>
        <v/>
      </c>
    </row>
    <row r="134" spans="1:10" ht="15.75">
      <c r="A134" s="472" t="str">
        <f ca="1">IFERROR(__xludf.DUMMYFUNCTION("""COMPUTED_VALUE"""),"")</f>
        <v/>
      </c>
      <c r="B134" s="472" t="str">
        <f ca="1">IFERROR(__xludf.DUMMYFUNCTION("""COMPUTED_VALUE"""),"")</f>
        <v/>
      </c>
      <c r="C134" s="472" t="str">
        <f ca="1">IFERROR(__xludf.DUMMYFUNCTION("""COMPUTED_VALUE"""),"")</f>
        <v/>
      </c>
      <c r="D134" s="472" t="str">
        <f ca="1">IFERROR(__xludf.DUMMYFUNCTION("""COMPUTED_VALUE"""),"")</f>
        <v/>
      </c>
      <c r="E134" s="472" t="str">
        <f ca="1">IFERROR(__xludf.DUMMYFUNCTION("""COMPUTED_VALUE"""),"")</f>
        <v/>
      </c>
      <c r="F134" s="472" t="str">
        <f ca="1">IFERROR(__xludf.DUMMYFUNCTION("""COMPUTED_VALUE"""),"")</f>
        <v/>
      </c>
      <c r="G134" s="472" t="str">
        <f ca="1">IFERROR(__xludf.DUMMYFUNCTION("""COMPUTED_VALUE"""),"")</f>
        <v/>
      </c>
      <c r="H134" s="472" t="str">
        <f ca="1">IFERROR(__xludf.DUMMYFUNCTION("""COMPUTED_VALUE"""),"")</f>
        <v/>
      </c>
      <c r="I134" s="472" t="str">
        <f ca="1">IFERROR(__xludf.DUMMYFUNCTION("""COMPUTED_VALUE"""),"")</f>
        <v/>
      </c>
      <c r="J134" s="472" t="str">
        <f ca="1">IFERROR(__xludf.DUMMYFUNCTION("""COMPUTED_VALUE"""),"")</f>
        <v/>
      </c>
    </row>
    <row r="135" spans="1:10" ht="15.75">
      <c r="A135" s="472" t="str">
        <f ca="1">IFERROR(__xludf.DUMMYFUNCTION("""COMPUTED_VALUE"""),"")</f>
        <v/>
      </c>
      <c r="B135" s="472" t="str">
        <f ca="1">IFERROR(__xludf.DUMMYFUNCTION("""COMPUTED_VALUE"""),"")</f>
        <v/>
      </c>
      <c r="C135" s="472" t="str">
        <f ca="1">IFERROR(__xludf.DUMMYFUNCTION("""COMPUTED_VALUE"""),"")</f>
        <v/>
      </c>
      <c r="D135" s="472" t="str">
        <f ca="1">IFERROR(__xludf.DUMMYFUNCTION("""COMPUTED_VALUE"""),"")</f>
        <v/>
      </c>
      <c r="E135" s="472" t="str">
        <f ca="1">IFERROR(__xludf.DUMMYFUNCTION("""COMPUTED_VALUE"""),"")</f>
        <v/>
      </c>
      <c r="F135" s="472" t="str">
        <f ca="1">IFERROR(__xludf.DUMMYFUNCTION("""COMPUTED_VALUE"""),"")</f>
        <v/>
      </c>
      <c r="G135" s="472" t="str">
        <f ca="1">IFERROR(__xludf.DUMMYFUNCTION("""COMPUTED_VALUE"""),"")</f>
        <v/>
      </c>
      <c r="H135" s="472" t="str">
        <f ca="1">IFERROR(__xludf.DUMMYFUNCTION("""COMPUTED_VALUE"""),"")</f>
        <v/>
      </c>
      <c r="I135" s="472" t="str">
        <f ca="1">IFERROR(__xludf.DUMMYFUNCTION("""COMPUTED_VALUE"""),"")</f>
        <v/>
      </c>
      <c r="J135" s="472" t="str">
        <f ca="1">IFERROR(__xludf.DUMMYFUNCTION("""COMPUTED_VALUE"""),"")</f>
        <v/>
      </c>
    </row>
    <row r="136" spans="1:10" ht="15.75">
      <c r="A136" s="472" t="str">
        <f ca="1">IFERROR(__xludf.DUMMYFUNCTION("""COMPUTED_VALUE"""),"")</f>
        <v/>
      </c>
      <c r="B136" s="472" t="str">
        <f ca="1">IFERROR(__xludf.DUMMYFUNCTION("""COMPUTED_VALUE"""),"")</f>
        <v/>
      </c>
      <c r="C136" s="472" t="str">
        <f ca="1">IFERROR(__xludf.DUMMYFUNCTION("""COMPUTED_VALUE"""),"")</f>
        <v/>
      </c>
      <c r="D136" s="472" t="str">
        <f ca="1">IFERROR(__xludf.DUMMYFUNCTION("""COMPUTED_VALUE"""),"")</f>
        <v/>
      </c>
      <c r="E136" s="472" t="str">
        <f ca="1">IFERROR(__xludf.DUMMYFUNCTION("""COMPUTED_VALUE"""),"")</f>
        <v/>
      </c>
      <c r="F136" s="472" t="str">
        <f ca="1">IFERROR(__xludf.DUMMYFUNCTION("""COMPUTED_VALUE"""),"")</f>
        <v/>
      </c>
      <c r="G136" s="472" t="str">
        <f ca="1">IFERROR(__xludf.DUMMYFUNCTION("""COMPUTED_VALUE"""),"")</f>
        <v/>
      </c>
      <c r="H136" s="472" t="str">
        <f ca="1">IFERROR(__xludf.DUMMYFUNCTION("""COMPUTED_VALUE"""),"")</f>
        <v/>
      </c>
      <c r="I136" s="472" t="str">
        <f ca="1">IFERROR(__xludf.DUMMYFUNCTION("""COMPUTED_VALUE"""),"")</f>
        <v/>
      </c>
      <c r="J136" s="472" t="str">
        <f ca="1">IFERROR(__xludf.DUMMYFUNCTION("""COMPUTED_VALUE"""),"")</f>
        <v/>
      </c>
    </row>
    <row r="137" spans="1:10" ht="15.75">
      <c r="A137" s="472" t="str">
        <f ca="1">IFERROR(__xludf.DUMMYFUNCTION("""COMPUTED_VALUE"""),"")</f>
        <v/>
      </c>
      <c r="B137" s="472" t="str">
        <f ca="1">IFERROR(__xludf.DUMMYFUNCTION("""COMPUTED_VALUE"""),"")</f>
        <v/>
      </c>
      <c r="C137" s="472" t="str">
        <f ca="1">IFERROR(__xludf.DUMMYFUNCTION("""COMPUTED_VALUE"""),"")</f>
        <v/>
      </c>
      <c r="D137" s="472" t="str">
        <f ca="1">IFERROR(__xludf.DUMMYFUNCTION("""COMPUTED_VALUE"""),"")</f>
        <v/>
      </c>
      <c r="E137" s="472" t="str">
        <f ca="1">IFERROR(__xludf.DUMMYFUNCTION("""COMPUTED_VALUE"""),"")</f>
        <v/>
      </c>
      <c r="F137" s="472" t="str">
        <f ca="1">IFERROR(__xludf.DUMMYFUNCTION("""COMPUTED_VALUE"""),"")</f>
        <v/>
      </c>
      <c r="G137" s="472" t="str">
        <f ca="1">IFERROR(__xludf.DUMMYFUNCTION("""COMPUTED_VALUE"""),"")</f>
        <v/>
      </c>
      <c r="H137" s="472" t="str">
        <f ca="1">IFERROR(__xludf.DUMMYFUNCTION("""COMPUTED_VALUE"""),"")</f>
        <v/>
      </c>
      <c r="I137" s="472" t="str">
        <f ca="1">IFERROR(__xludf.DUMMYFUNCTION("""COMPUTED_VALUE"""),"")</f>
        <v/>
      </c>
      <c r="J137" s="472" t="str">
        <f ca="1">IFERROR(__xludf.DUMMYFUNCTION("""COMPUTED_VALUE"""),"")</f>
        <v/>
      </c>
    </row>
    <row r="138" spans="1:10" ht="15.75">
      <c r="A138" s="472" t="str">
        <f ca="1">IFERROR(__xludf.DUMMYFUNCTION("""COMPUTED_VALUE"""),"")</f>
        <v/>
      </c>
      <c r="B138" s="472" t="str">
        <f ca="1">IFERROR(__xludf.DUMMYFUNCTION("""COMPUTED_VALUE"""),"")</f>
        <v/>
      </c>
      <c r="C138" s="472" t="str">
        <f ca="1">IFERROR(__xludf.DUMMYFUNCTION("""COMPUTED_VALUE"""),"")</f>
        <v/>
      </c>
      <c r="D138" s="472" t="str">
        <f ca="1">IFERROR(__xludf.DUMMYFUNCTION("""COMPUTED_VALUE"""),"")</f>
        <v/>
      </c>
      <c r="E138" s="472" t="str">
        <f ca="1">IFERROR(__xludf.DUMMYFUNCTION("""COMPUTED_VALUE"""),"")</f>
        <v/>
      </c>
      <c r="F138" s="472" t="str">
        <f ca="1">IFERROR(__xludf.DUMMYFUNCTION("""COMPUTED_VALUE"""),"")</f>
        <v/>
      </c>
      <c r="G138" s="472" t="str">
        <f ca="1">IFERROR(__xludf.DUMMYFUNCTION("""COMPUTED_VALUE"""),"")</f>
        <v/>
      </c>
      <c r="H138" s="472" t="str">
        <f ca="1">IFERROR(__xludf.DUMMYFUNCTION("""COMPUTED_VALUE"""),"")</f>
        <v/>
      </c>
      <c r="I138" s="472" t="str">
        <f ca="1">IFERROR(__xludf.DUMMYFUNCTION("""COMPUTED_VALUE"""),"")</f>
        <v/>
      </c>
      <c r="J138" s="472" t="str">
        <f ca="1">IFERROR(__xludf.DUMMYFUNCTION("""COMPUTED_VALUE"""),"")</f>
        <v/>
      </c>
    </row>
    <row r="139" spans="1:10" ht="15.75">
      <c r="A139" s="472" t="str">
        <f ca="1">IFERROR(__xludf.DUMMYFUNCTION("""COMPUTED_VALUE"""),"")</f>
        <v/>
      </c>
      <c r="B139" s="472" t="str">
        <f ca="1">IFERROR(__xludf.DUMMYFUNCTION("""COMPUTED_VALUE"""),"")</f>
        <v/>
      </c>
      <c r="C139" s="472" t="str">
        <f ca="1">IFERROR(__xludf.DUMMYFUNCTION("""COMPUTED_VALUE"""),"")</f>
        <v/>
      </c>
      <c r="D139" s="472" t="str">
        <f ca="1">IFERROR(__xludf.DUMMYFUNCTION("""COMPUTED_VALUE"""),"")</f>
        <v/>
      </c>
      <c r="E139" s="472" t="str">
        <f ca="1">IFERROR(__xludf.DUMMYFUNCTION("""COMPUTED_VALUE"""),"")</f>
        <v/>
      </c>
      <c r="F139" s="472" t="str">
        <f ca="1">IFERROR(__xludf.DUMMYFUNCTION("""COMPUTED_VALUE"""),"")</f>
        <v/>
      </c>
      <c r="G139" s="472" t="str">
        <f ca="1">IFERROR(__xludf.DUMMYFUNCTION("""COMPUTED_VALUE"""),"")</f>
        <v/>
      </c>
      <c r="H139" s="472" t="str">
        <f ca="1">IFERROR(__xludf.DUMMYFUNCTION("""COMPUTED_VALUE"""),"")</f>
        <v/>
      </c>
      <c r="I139" s="472" t="str">
        <f ca="1">IFERROR(__xludf.DUMMYFUNCTION("""COMPUTED_VALUE"""),"")</f>
        <v/>
      </c>
      <c r="J139" s="472" t="str">
        <f ca="1">IFERROR(__xludf.DUMMYFUNCTION("""COMPUTED_VALUE"""),"")</f>
        <v/>
      </c>
    </row>
    <row r="140" spans="1:10" ht="15.75">
      <c r="A140" s="472" t="str">
        <f ca="1">IFERROR(__xludf.DUMMYFUNCTION("""COMPUTED_VALUE"""),"")</f>
        <v/>
      </c>
      <c r="B140" s="472" t="str">
        <f ca="1">IFERROR(__xludf.DUMMYFUNCTION("""COMPUTED_VALUE"""),"")</f>
        <v/>
      </c>
      <c r="C140" s="472" t="str">
        <f ca="1">IFERROR(__xludf.DUMMYFUNCTION("""COMPUTED_VALUE"""),"")</f>
        <v/>
      </c>
      <c r="D140" s="472" t="str">
        <f ca="1">IFERROR(__xludf.DUMMYFUNCTION("""COMPUTED_VALUE"""),"")</f>
        <v/>
      </c>
      <c r="E140" s="472" t="str">
        <f ca="1">IFERROR(__xludf.DUMMYFUNCTION("""COMPUTED_VALUE"""),"")</f>
        <v/>
      </c>
      <c r="F140" s="472" t="str">
        <f ca="1">IFERROR(__xludf.DUMMYFUNCTION("""COMPUTED_VALUE"""),"")</f>
        <v/>
      </c>
      <c r="G140" s="472" t="str">
        <f ca="1">IFERROR(__xludf.DUMMYFUNCTION("""COMPUTED_VALUE"""),"")</f>
        <v/>
      </c>
      <c r="H140" s="472" t="str">
        <f ca="1">IFERROR(__xludf.DUMMYFUNCTION("""COMPUTED_VALUE"""),"")</f>
        <v/>
      </c>
      <c r="I140" s="472" t="str">
        <f ca="1">IFERROR(__xludf.DUMMYFUNCTION("""COMPUTED_VALUE"""),"")</f>
        <v/>
      </c>
      <c r="J140" s="472" t="str">
        <f ca="1">IFERROR(__xludf.DUMMYFUNCTION("""COMPUTED_VALUE"""),"")</f>
        <v/>
      </c>
    </row>
    <row r="141" spans="1:10" ht="15.75">
      <c r="A141" s="472" t="str">
        <f ca="1">IFERROR(__xludf.DUMMYFUNCTION("""COMPUTED_VALUE"""),"")</f>
        <v/>
      </c>
      <c r="B141" s="472" t="str">
        <f ca="1">IFERROR(__xludf.DUMMYFUNCTION("""COMPUTED_VALUE"""),"")</f>
        <v/>
      </c>
      <c r="C141" s="472" t="str">
        <f ca="1">IFERROR(__xludf.DUMMYFUNCTION("""COMPUTED_VALUE"""),"")</f>
        <v/>
      </c>
      <c r="D141" s="472" t="str">
        <f ca="1">IFERROR(__xludf.DUMMYFUNCTION("""COMPUTED_VALUE"""),"")</f>
        <v/>
      </c>
      <c r="E141" s="472" t="str">
        <f ca="1">IFERROR(__xludf.DUMMYFUNCTION("""COMPUTED_VALUE"""),"")</f>
        <v/>
      </c>
      <c r="F141" s="472" t="str">
        <f ca="1">IFERROR(__xludf.DUMMYFUNCTION("""COMPUTED_VALUE"""),"")</f>
        <v/>
      </c>
      <c r="G141" s="472" t="str">
        <f ca="1">IFERROR(__xludf.DUMMYFUNCTION("""COMPUTED_VALUE"""),"")</f>
        <v/>
      </c>
      <c r="H141" s="472" t="str">
        <f ca="1">IFERROR(__xludf.DUMMYFUNCTION("""COMPUTED_VALUE"""),"")</f>
        <v/>
      </c>
      <c r="I141" s="472" t="str">
        <f ca="1">IFERROR(__xludf.DUMMYFUNCTION("""COMPUTED_VALUE"""),"")</f>
        <v/>
      </c>
      <c r="J141" s="472" t="str">
        <f ca="1">IFERROR(__xludf.DUMMYFUNCTION("""COMPUTED_VALUE"""),"")</f>
        <v/>
      </c>
    </row>
    <row r="142" spans="1:10" ht="15.75">
      <c r="A142" s="472" t="str">
        <f ca="1">IFERROR(__xludf.DUMMYFUNCTION("""COMPUTED_VALUE"""),"")</f>
        <v/>
      </c>
      <c r="B142" s="472" t="str">
        <f ca="1">IFERROR(__xludf.DUMMYFUNCTION("""COMPUTED_VALUE"""),"")</f>
        <v/>
      </c>
      <c r="C142" s="472" t="str">
        <f ca="1">IFERROR(__xludf.DUMMYFUNCTION("""COMPUTED_VALUE"""),"")</f>
        <v/>
      </c>
      <c r="D142" s="472" t="str">
        <f ca="1">IFERROR(__xludf.DUMMYFUNCTION("""COMPUTED_VALUE"""),"")</f>
        <v/>
      </c>
      <c r="E142" s="472" t="str">
        <f ca="1">IFERROR(__xludf.DUMMYFUNCTION("""COMPUTED_VALUE"""),"")</f>
        <v/>
      </c>
      <c r="F142" s="472" t="str">
        <f ca="1">IFERROR(__xludf.DUMMYFUNCTION("""COMPUTED_VALUE"""),"")</f>
        <v/>
      </c>
      <c r="G142" s="472" t="str">
        <f ca="1">IFERROR(__xludf.DUMMYFUNCTION("""COMPUTED_VALUE"""),"")</f>
        <v/>
      </c>
      <c r="H142" s="472" t="str">
        <f ca="1">IFERROR(__xludf.DUMMYFUNCTION("""COMPUTED_VALUE"""),"")</f>
        <v/>
      </c>
      <c r="I142" s="472" t="str">
        <f ca="1">IFERROR(__xludf.DUMMYFUNCTION("""COMPUTED_VALUE"""),"")</f>
        <v/>
      </c>
      <c r="J142" s="472" t="str">
        <f ca="1">IFERROR(__xludf.DUMMYFUNCTION("""COMPUTED_VALUE"""),"")</f>
        <v/>
      </c>
    </row>
    <row r="143" spans="1:10" ht="15.75">
      <c r="A143" s="472" t="str">
        <f ca="1">IFERROR(__xludf.DUMMYFUNCTION("""COMPUTED_VALUE"""),"")</f>
        <v/>
      </c>
      <c r="B143" s="472" t="str">
        <f ca="1">IFERROR(__xludf.DUMMYFUNCTION("""COMPUTED_VALUE"""),"")</f>
        <v/>
      </c>
      <c r="C143" s="472" t="str">
        <f ca="1">IFERROR(__xludf.DUMMYFUNCTION("""COMPUTED_VALUE"""),"")</f>
        <v/>
      </c>
      <c r="D143" s="472" t="str">
        <f ca="1">IFERROR(__xludf.DUMMYFUNCTION("""COMPUTED_VALUE"""),"")</f>
        <v/>
      </c>
      <c r="E143" s="472" t="str">
        <f ca="1">IFERROR(__xludf.DUMMYFUNCTION("""COMPUTED_VALUE"""),"")</f>
        <v/>
      </c>
      <c r="F143" s="472" t="str">
        <f ca="1">IFERROR(__xludf.DUMMYFUNCTION("""COMPUTED_VALUE"""),"")</f>
        <v/>
      </c>
      <c r="G143" s="472" t="str">
        <f ca="1">IFERROR(__xludf.DUMMYFUNCTION("""COMPUTED_VALUE"""),"")</f>
        <v/>
      </c>
      <c r="H143" s="472" t="str">
        <f ca="1">IFERROR(__xludf.DUMMYFUNCTION("""COMPUTED_VALUE"""),"")</f>
        <v/>
      </c>
      <c r="I143" s="472" t="str">
        <f ca="1">IFERROR(__xludf.DUMMYFUNCTION("""COMPUTED_VALUE"""),"")</f>
        <v/>
      </c>
      <c r="J143" s="472" t="str">
        <f ca="1">IFERROR(__xludf.DUMMYFUNCTION("""COMPUTED_VALUE"""),"")</f>
        <v/>
      </c>
    </row>
    <row r="144" spans="1:10" ht="15.75">
      <c r="A144" s="472" t="str">
        <f ca="1">IFERROR(__xludf.DUMMYFUNCTION("""COMPUTED_VALUE"""),"")</f>
        <v/>
      </c>
      <c r="B144" s="472" t="str">
        <f ca="1">IFERROR(__xludf.DUMMYFUNCTION("""COMPUTED_VALUE"""),"")</f>
        <v/>
      </c>
      <c r="C144" s="472" t="str">
        <f ca="1">IFERROR(__xludf.DUMMYFUNCTION("""COMPUTED_VALUE"""),"")</f>
        <v/>
      </c>
      <c r="D144" s="472" t="str">
        <f ca="1">IFERROR(__xludf.DUMMYFUNCTION("""COMPUTED_VALUE"""),"")</f>
        <v/>
      </c>
      <c r="E144" s="472" t="str">
        <f ca="1">IFERROR(__xludf.DUMMYFUNCTION("""COMPUTED_VALUE"""),"")</f>
        <v/>
      </c>
      <c r="F144" s="472" t="str">
        <f ca="1">IFERROR(__xludf.DUMMYFUNCTION("""COMPUTED_VALUE"""),"")</f>
        <v/>
      </c>
      <c r="G144" s="472" t="str">
        <f ca="1">IFERROR(__xludf.DUMMYFUNCTION("""COMPUTED_VALUE"""),"")</f>
        <v/>
      </c>
      <c r="H144" s="472" t="str">
        <f ca="1">IFERROR(__xludf.DUMMYFUNCTION("""COMPUTED_VALUE"""),"")</f>
        <v/>
      </c>
      <c r="I144" s="472" t="str">
        <f ca="1">IFERROR(__xludf.DUMMYFUNCTION("""COMPUTED_VALUE"""),"")</f>
        <v/>
      </c>
      <c r="J144" s="472" t="str">
        <f ca="1">IFERROR(__xludf.DUMMYFUNCTION("""COMPUTED_VALUE"""),"")</f>
        <v/>
      </c>
    </row>
    <row r="145" spans="1:10" ht="15.75">
      <c r="A145" s="472" t="str">
        <f ca="1">IFERROR(__xludf.DUMMYFUNCTION("""COMPUTED_VALUE"""),"")</f>
        <v/>
      </c>
      <c r="B145" s="472" t="str">
        <f ca="1">IFERROR(__xludf.DUMMYFUNCTION("""COMPUTED_VALUE"""),"")</f>
        <v/>
      </c>
      <c r="C145" s="472" t="str">
        <f ca="1">IFERROR(__xludf.DUMMYFUNCTION("""COMPUTED_VALUE"""),"")</f>
        <v/>
      </c>
      <c r="D145" s="472" t="str">
        <f ca="1">IFERROR(__xludf.DUMMYFUNCTION("""COMPUTED_VALUE"""),"")</f>
        <v/>
      </c>
      <c r="E145" s="472" t="str">
        <f ca="1">IFERROR(__xludf.DUMMYFUNCTION("""COMPUTED_VALUE"""),"")</f>
        <v/>
      </c>
      <c r="F145" s="472" t="str">
        <f ca="1">IFERROR(__xludf.DUMMYFUNCTION("""COMPUTED_VALUE"""),"")</f>
        <v/>
      </c>
      <c r="G145" s="472" t="str">
        <f ca="1">IFERROR(__xludf.DUMMYFUNCTION("""COMPUTED_VALUE"""),"")</f>
        <v/>
      </c>
      <c r="H145" s="472" t="str">
        <f ca="1">IFERROR(__xludf.DUMMYFUNCTION("""COMPUTED_VALUE"""),"")</f>
        <v/>
      </c>
      <c r="I145" s="472" t="str">
        <f ca="1">IFERROR(__xludf.DUMMYFUNCTION("""COMPUTED_VALUE"""),"")</f>
        <v/>
      </c>
      <c r="J145" s="472" t="str">
        <f ca="1">IFERROR(__xludf.DUMMYFUNCTION("""COMPUTED_VALUE"""),"")</f>
        <v/>
      </c>
    </row>
    <row r="146" spans="1:10" ht="15.75">
      <c r="A146" s="472" t="str">
        <f ca="1">IFERROR(__xludf.DUMMYFUNCTION("""COMPUTED_VALUE"""),"")</f>
        <v/>
      </c>
      <c r="B146" s="472" t="str">
        <f ca="1">IFERROR(__xludf.DUMMYFUNCTION("""COMPUTED_VALUE"""),"")</f>
        <v/>
      </c>
      <c r="C146" s="472" t="str">
        <f ca="1">IFERROR(__xludf.DUMMYFUNCTION("""COMPUTED_VALUE"""),"")</f>
        <v/>
      </c>
      <c r="D146" s="472" t="str">
        <f ca="1">IFERROR(__xludf.DUMMYFUNCTION("""COMPUTED_VALUE"""),"")</f>
        <v/>
      </c>
      <c r="E146" s="472" t="str">
        <f ca="1">IFERROR(__xludf.DUMMYFUNCTION("""COMPUTED_VALUE"""),"")</f>
        <v/>
      </c>
      <c r="F146" s="472" t="str">
        <f ca="1">IFERROR(__xludf.DUMMYFUNCTION("""COMPUTED_VALUE"""),"")</f>
        <v/>
      </c>
      <c r="G146" s="472" t="str">
        <f ca="1">IFERROR(__xludf.DUMMYFUNCTION("""COMPUTED_VALUE"""),"")</f>
        <v/>
      </c>
      <c r="H146" s="472" t="str">
        <f ca="1">IFERROR(__xludf.DUMMYFUNCTION("""COMPUTED_VALUE"""),"")</f>
        <v/>
      </c>
      <c r="I146" s="472" t="str">
        <f ca="1">IFERROR(__xludf.DUMMYFUNCTION("""COMPUTED_VALUE"""),"")</f>
        <v/>
      </c>
      <c r="J146" s="472" t="str">
        <f ca="1">IFERROR(__xludf.DUMMYFUNCTION("""COMPUTED_VALUE"""),"")</f>
        <v/>
      </c>
    </row>
    <row r="147" spans="1:10" ht="15.75">
      <c r="A147" s="472" t="str">
        <f ca="1">IFERROR(__xludf.DUMMYFUNCTION("""COMPUTED_VALUE"""),"")</f>
        <v/>
      </c>
      <c r="B147" s="472" t="str">
        <f ca="1">IFERROR(__xludf.DUMMYFUNCTION("""COMPUTED_VALUE"""),"")</f>
        <v/>
      </c>
      <c r="C147" s="472" t="str">
        <f ca="1">IFERROR(__xludf.DUMMYFUNCTION("""COMPUTED_VALUE"""),"")</f>
        <v/>
      </c>
      <c r="D147" s="472" t="str">
        <f ca="1">IFERROR(__xludf.DUMMYFUNCTION("""COMPUTED_VALUE"""),"")</f>
        <v/>
      </c>
      <c r="E147" s="472" t="str">
        <f ca="1">IFERROR(__xludf.DUMMYFUNCTION("""COMPUTED_VALUE"""),"")</f>
        <v/>
      </c>
      <c r="F147" s="472" t="str">
        <f ca="1">IFERROR(__xludf.DUMMYFUNCTION("""COMPUTED_VALUE"""),"")</f>
        <v/>
      </c>
      <c r="G147" s="472" t="str">
        <f ca="1">IFERROR(__xludf.DUMMYFUNCTION("""COMPUTED_VALUE"""),"")</f>
        <v/>
      </c>
      <c r="H147" s="472" t="str">
        <f ca="1">IFERROR(__xludf.DUMMYFUNCTION("""COMPUTED_VALUE"""),"")</f>
        <v/>
      </c>
      <c r="I147" s="472" t="str">
        <f ca="1">IFERROR(__xludf.DUMMYFUNCTION("""COMPUTED_VALUE"""),"")</f>
        <v/>
      </c>
      <c r="J147" s="472" t="str">
        <f ca="1">IFERROR(__xludf.DUMMYFUNCTION("""COMPUTED_VALUE"""),"")</f>
        <v/>
      </c>
    </row>
    <row r="148" spans="1:10" ht="15.75">
      <c r="A148" s="472" t="str">
        <f ca="1">IFERROR(__xludf.DUMMYFUNCTION("""COMPUTED_VALUE"""),"")</f>
        <v/>
      </c>
      <c r="B148" s="472" t="str">
        <f ca="1">IFERROR(__xludf.DUMMYFUNCTION("""COMPUTED_VALUE"""),"")</f>
        <v/>
      </c>
      <c r="C148" s="472" t="str">
        <f ca="1">IFERROR(__xludf.DUMMYFUNCTION("""COMPUTED_VALUE"""),"")</f>
        <v/>
      </c>
      <c r="D148" s="472" t="str">
        <f ca="1">IFERROR(__xludf.DUMMYFUNCTION("""COMPUTED_VALUE"""),"")</f>
        <v/>
      </c>
      <c r="E148" s="472" t="str">
        <f ca="1">IFERROR(__xludf.DUMMYFUNCTION("""COMPUTED_VALUE"""),"")</f>
        <v/>
      </c>
      <c r="F148" s="472" t="str">
        <f ca="1">IFERROR(__xludf.DUMMYFUNCTION("""COMPUTED_VALUE"""),"")</f>
        <v/>
      </c>
      <c r="G148" s="472" t="str">
        <f ca="1">IFERROR(__xludf.DUMMYFUNCTION("""COMPUTED_VALUE"""),"")</f>
        <v/>
      </c>
      <c r="H148" s="472" t="str">
        <f ca="1">IFERROR(__xludf.DUMMYFUNCTION("""COMPUTED_VALUE"""),"")</f>
        <v/>
      </c>
      <c r="I148" s="472" t="str">
        <f ca="1">IFERROR(__xludf.DUMMYFUNCTION("""COMPUTED_VALUE"""),"")</f>
        <v/>
      </c>
      <c r="J148" s="472" t="str">
        <f ca="1">IFERROR(__xludf.DUMMYFUNCTION("""COMPUTED_VALUE"""),"")</f>
        <v/>
      </c>
    </row>
    <row r="149" spans="1:10" ht="15.75">
      <c r="A149" s="472" t="str">
        <f ca="1">IFERROR(__xludf.DUMMYFUNCTION("""COMPUTED_VALUE"""),"")</f>
        <v/>
      </c>
      <c r="B149" s="472" t="str">
        <f ca="1">IFERROR(__xludf.DUMMYFUNCTION("""COMPUTED_VALUE"""),"")</f>
        <v/>
      </c>
      <c r="C149" s="472" t="str">
        <f ca="1">IFERROR(__xludf.DUMMYFUNCTION("""COMPUTED_VALUE"""),"")</f>
        <v/>
      </c>
      <c r="D149" s="472" t="str">
        <f ca="1">IFERROR(__xludf.DUMMYFUNCTION("""COMPUTED_VALUE"""),"")</f>
        <v/>
      </c>
      <c r="E149" s="472" t="str">
        <f ca="1">IFERROR(__xludf.DUMMYFUNCTION("""COMPUTED_VALUE"""),"")</f>
        <v/>
      </c>
      <c r="F149" s="472" t="str">
        <f ca="1">IFERROR(__xludf.DUMMYFUNCTION("""COMPUTED_VALUE"""),"")</f>
        <v/>
      </c>
      <c r="G149" s="472" t="str">
        <f ca="1">IFERROR(__xludf.DUMMYFUNCTION("""COMPUTED_VALUE"""),"")</f>
        <v/>
      </c>
      <c r="H149" s="472" t="str">
        <f ca="1">IFERROR(__xludf.DUMMYFUNCTION("""COMPUTED_VALUE"""),"")</f>
        <v/>
      </c>
      <c r="I149" s="472" t="str">
        <f ca="1">IFERROR(__xludf.DUMMYFUNCTION("""COMPUTED_VALUE"""),"")</f>
        <v/>
      </c>
      <c r="J149" s="472" t="str">
        <f ca="1">IFERROR(__xludf.DUMMYFUNCTION("""COMPUTED_VALUE"""),"")</f>
        <v/>
      </c>
    </row>
    <row r="150" spans="1:10" ht="15.75">
      <c r="A150" s="472" t="str">
        <f ca="1">IFERROR(__xludf.DUMMYFUNCTION("""COMPUTED_VALUE"""),"")</f>
        <v/>
      </c>
      <c r="B150" s="472" t="str">
        <f ca="1">IFERROR(__xludf.DUMMYFUNCTION("""COMPUTED_VALUE"""),"")</f>
        <v/>
      </c>
      <c r="C150" s="472" t="str">
        <f ca="1">IFERROR(__xludf.DUMMYFUNCTION("""COMPUTED_VALUE"""),"")</f>
        <v/>
      </c>
      <c r="D150" s="472" t="str">
        <f ca="1">IFERROR(__xludf.DUMMYFUNCTION("""COMPUTED_VALUE"""),"")</f>
        <v/>
      </c>
      <c r="E150" s="472" t="str">
        <f ca="1">IFERROR(__xludf.DUMMYFUNCTION("""COMPUTED_VALUE"""),"")</f>
        <v/>
      </c>
      <c r="F150" s="472" t="str">
        <f ca="1">IFERROR(__xludf.DUMMYFUNCTION("""COMPUTED_VALUE"""),"")</f>
        <v/>
      </c>
      <c r="G150" s="472" t="str">
        <f ca="1">IFERROR(__xludf.DUMMYFUNCTION("""COMPUTED_VALUE"""),"")</f>
        <v/>
      </c>
      <c r="H150" s="472" t="str">
        <f ca="1">IFERROR(__xludf.DUMMYFUNCTION("""COMPUTED_VALUE"""),"")</f>
        <v/>
      </c>
      <c r="I150" s="472" t="str">
        <f ca="1">IFERROR(__xludf.DUMMYFUNCTION("""COMPUTED_VALUE"""),"")</f>
        <v/>
      </c>
      <c r="J150" s="472" t="str">
        <f ca="1">IFERROR(__xludf.DUMMYFUNCTION("""COMPUTED_VALUE"""),"")</f>
        <v/>
      </c>
    </row>
    <row r="151" spans="1:10" ht="15.75">
      <c r="A151" s="472" t="str">
        <f ca="1">IFERROR(__xludf.DUMMYFUNCTION("""COMPUTED_VALUE"""),"")</f>
        <v/>
      </c>
      <c r="B151" s="472" t="str">
        <f ca="1">IFERROR(__xludf.DUMMYFUNCTION("""COMPUTED_VALUE"""),"")</f>
        <v/>
      </c>
      <c r="C151" s="472" t="str">
        <f ca="1">IFERROR(__xludf.DUMMYFUNCTION("""COMPUTED_VALUE"""),"")</f>
        <v/>
      </c>
      <c r="D151" s="472" t="str">
        <f ca="1">IFERROR(__xludf.DUMMYFUNCTION("""COMPUTED_VALUE"""),"")</f>
        <v/>
      </c>
      <c r="E151" s="472" t="str">
        <f ca="1">IFERROR(__xludf.DUMMYFUNCTION("""COMPUTED_VALUE"""),"")</f>
        <v/>
      </c>
      <c r="F151" s="472" t="str">
        <f ca="1">IFERROR(__xludf.DUMMYFUNCTION("""COMPUTED_VALUE"""),"")</f>
        <v/>
      </c>
      <c r="G151" s="472" t="str">
        <f ca="1">IFERROR(__xludf.DUMMYFUNCTION("""COMPUTED_VALUE"""),"")</f>
        <v/>
      </c>
      <c r="H151" s="472" t="str">
        <f ca="1">IFERROR(__xludf.DUMMYFUNCTION("""COMPUTED_VALUE"""),"")</f>
        <v/>
      </c>
      <c r="I151" s="472" t="str">
        <f ca="1">IFERROR(__xludf.DUMMYFUNCTION("""COMPUTED_VALUE"""),"")</f>
        <v/>
      </c>
      <c r="J151" s="472" t="str">
        <f ca="1">IFERROR(__xludf.DUMMYFUNCTION("""COMPUTED_VALUE"""),"")</f>
        <v/>
      </c>
    </row>
    <row r="152" spans="1:10" ht="15.75">
      <c r="A152" s="472" t="str">
        <f ca="1">IFERROR(__xludf.DUMMYFUNCTION("""COMPUTED_VALUE"""),"")</f>
        <v/>
      </c>
      <c r="B152" s="472" t="str">
        <f ca="1">IFERROR(__xludf.DUMMYFUNCTION("""COMPUTED_VALUE"""),"")</f>
        <v/>
      </c>
      <c r="C152" s="472" t="str">
        <f ca="1">IFERROR(__xludf.DUMMYFUNCTION("""COMPUTED_VALUE"""),"")</f>
        <v/>
      </c>
      <c r="D152" s="472" t="str">
        <f ca="1">IFERROR(__xludf.DUMMYFUNCTION("""COMPUTED_VALUE"""),"")</f>
        <v/>
      </c>
      <c r="E152" s="472" t="str">
        <f ca="1">IFERROR(__xludf.DUMMYFUNCTION("""COMPUTED_VALUE"""),"")</f>
        <v/>
      </c>
      <c r="F152" s="472" t="str">
        <f ca="1">IFERROR(__xludf.DUMMYFUNCTION("""COMPUTED_VALUE"""),"")</f>
        <v/>
      </c>
      <c r="G152" s="472" t="str">
        <f ca="1">IFERROR(__xludf.DUMMYFUNCTION("""COMPUTED_VALUE"""),"")</f>
        <v/>
      </c>
      <c r="H152" s="472" t="str">
        <f ca="1">IFERROR(__xludf.DUMMYFUNCTION("""COMPUTED_VALUE"""),"")</f>
        <v/>
      </c>
      <c r="I152" s="472" t="str">
        <f ca="1">IFERROR(__xludf.DUMMYFUNCTION("""COMPUTED_VALUE"""),"")</f>
        <v/>
      </c>
      <c r="J152" s="472" t="str">
        <f ca="1">IFERROR(__xludf.DUMMYFUNCTION("""COMPUTED_VALUE"""),"")</f>
        <v/>
      </c>
    </row>
    <row r="153" spans="1:10" ht="15.75">
      <c r="A153" s="472" t="str">
        <f ca="1">IFERROR(__xludf.DUMMYFUNCTION("""COMPUTED_VALUE"""),"")</f>
        <v/>
      </c>
      <c r="B153" s="472" t="str">
        <f ca="1">IFERROR(__xludf.DUMMYFUNCTION("""COMPUTED_VALUE"""),"")</f>
        <v/>
      </c>
      <c r="C153" s="472" t="str">
        <f ca="1">IFERROR(__xludf.DUMMYFUNCTION("""COMPUTED_VALUE"""),"")</f>
        <v/>
      </c>
      <c r="D153" s="472" t="str">
        <f ca="1">IFERROR(__xludf.DUMMYFUNCTION("""COMPUTED_VALUE"""),"")</f>
        <v/>
      </c>
      <c r="E153" s="472" t="str">
        <f ca="1">IFERROR(__xludf.DUMMYFUNCTION("""COMPUTED_VALUE"""),"")</f>
        <v/>
      </c>
      <c r="F153" s="472" t="str">
        <f ca="1">IFERROR(__xludf.DUMMYFUNCTION("""COMPUTED_VALUE"""),"")</f>
        <v/>
      </c>
      <c r="G153" s="472" t="str">
        <f ca="1">IFERROR(__xludf.DUMMYFUNCTION("""COMPUTED_VALUE"""),"")</f>
        <v/>
      </c>
      <c r="H153" s="472" t="str">
        <f ca="1">IFERROR(__xludf.DUMMYFUNCTION("""COMPUTED_VALUE"""),"")</f>
        <v/>
      </c>
      <c r="I153" s="472" t="str">
        <f ca="1">IFERROR(__xludf.DUMMYFUNCTION("""COMPUTED_VALUE"""),"")</f>
        <v/>
      </c>
      <c r="J153" s="472" t="str">
        <f ca="1">IFERROR(__xludf.DUMMYFUNCTION("""COMPUTED_VALUE"""),"")</f>
        <v/>
      </c>
    </row>
    <row r="154" spans="1:10" ht="15.75">
      <c r="A154" s="472" t="str">
        <f ca="1">IFERROR(__xludf.DUMMYFUNCTION("""COMPUTED_VALUE"""),"")</f>
        <v/>
      </c>
      <c r="B154" s="472" t="str">
        <f ca="1">IFERROR(__xludf.DUMMYFUNCTION("""COMPUTED_VALUE"""),"")</f>
        <v/>
      </c>
      <c r="C154" s="472" t="str">
        <f ca="1">IFERROR(__xludf.DUMMYFUNCTION("""COMPUTED_VALUE"""),"")</f>
        <v/>
      </c>
      <c r="D154" s="472" t="str">
        <f ca="1">IFERROR(__xludf.DUMMYFUNCTION("""COMPUTED_VALUE"""),"")</f>
        <v/>
      </c>
      <c r="E154" s="472" t="str">
        <f ca="1">IFERROR(__xludf.DUMMYFUNCTION("""COMPUTED_VALUE"""),"")</f>
        <v/>
      </c>
      <c r="F154" s="472" t="str">
        <f ca="1">IFERROR(__xludf.DUMMYFUNCTION("""COMPUTED_VALUE"""),"")</f>
        <v/>
      </c>
      <c r="G154" s="472" t="str">
        <f ca="1">IFERROR(__xludf.DUMMYFUNCTION("""COMPUTED_VALUE"""),"")</f>
        <v/>
      </c>
      <c r="H154" s="472" t="str">
        <f ca="1">IFERROR(__xludf.DUMMYFUNCTION("""COMPUTED_VALUE"""),"")</f>
        <v/>
      </c>
      <c r="I154" s="472" t="str">
        <f ca="1">IFERROR(__xludf.DUMMYFUNCTION("""COMPUTED_VALUE"""),"")</f>
        <v/>
      </c>
      <c r="J154" s="472" t="str">
        <f ca="1">IFERROR(__xludf.DUMMYFUNCTION("""COMPUTED_VALUE"""),"")</f>
        <v/>
      </c>
    </row>
    <row r="155" spans="1:10" ht="15.75">
      <c r="A155" s="472" t="str">
        <f ca="1">IFERROR(__xludf.DUMMYFUNCTION("""COMPUTED_VALUE"""),"")</f>
        <v/>
      </c>
      <c r="B155" s="472" t="str">
        <f ca="1">IFERROR(__xludf.DUMMYFUNCTION("""COMPUTED_VALUE"""),"")</f>
        <v/>
      </c>
      <c r="C155" s="472" t="str">
        <f ca="1">IFERROR(__xludf.DUMMYFUNCTION("""COMPUTED_VALUE"""),"")</f>
        <v/>
      </c>
      <c r="D155" s="472" t="str">
        <f ca="1">IFERROR(__xludf.DUMMYFUNCTION("""COMPUTED_VALUE"""),"")</f>
        <v/>
      </c>
      <c r="E155" s="472" t="str">
        <f ca="1">IFERROR(__xludf.DUMMYFUNCTION("""COMPUTED_VALUE"""),"")</f>
        <v/>
      </c>
      <c r="F155" s="472" t="str">
        <f ca="1">IFERROR(__xludf.DUMMYFUNCTION("""COMPUTED_VALUE"""),"")</f>
        <v/>
      </c>
      <c r="G155" s="472" t="str">
        <f ca="1">IFERROR(__xludf.DUMMYFUNCTION("""COMPUTED_VALUE"""),"")</f>
        <v/>
      </c>
      <c r="H155" s="472" t="str">
        <f ca="1">IFERROR(__xludf.DUMMYFUNCTION("""COMPUTED_VALUE"""),"")</f>
        <v/>
      </c>
      <c r="I155" s="472" t="str">
        <f ca="1">IFERROR(__xludf.DUMMYFUNCTION("""COMPUTED_VALUE"""),"")</f>
        <v/>
      </c>
      <c r="J155" s="472" t="str">
        <f ca="1">IFERROR(__xludf.DUMMYFUNCTION("""COMPUTED_VALUE"""),"")</f>
        <v/>
      </c>
    </row>
    <row r="156" spans="1:10" ht="15.75">
      <c r="A156" s="472" t="str">
        <f ca="1">IFERROR(__xludf.DUMMYFUNCTION("""COMPUTED_VALUE"""),"")</f>
        <v/>
      </c>
      <c r="B156" s="472" t="str">
        <f ca="1">IFERROR(__xludf.DUMMYFUNCTION("""COMPUTED_VALUE"""),"")</f>
        <v/>
      </c>
      <c r="C156" s="472" t="str">
        <f ca="1">IFERROR(__xludf.DUMMYFUNCTION("""COMPUTED_VALUE"""),"")</f>
        <v/>
      </c>
      <c r="D156" s="472" t="str">
        <f ca="1">IFERROR(__xludf.DUMMYFUNCTION("""COMPUTED_VALUE"""),"")</f>
        <v/>
      </c>
      <c r="E156" s="472" t="str">
        <f ca="1">IFERROR(__xludf.DUMMYFUNCTION("""COMPUTED_VALUE"""),"")</f>
        <v/>
      </c>
      <c r="F156" s="472" t="str">
        <f ca="1">IFERROR(__xludf.DUMMYFUNCTION("""COMPUTED_VALUE"""),"")</f>
        <v/>
      </c>
      <c r="G156" s="472" t="str">
        <f ca="1">IFERROR(__xludf.DUMMYFUNCTION("""COMPUTED_VALUE"""),"")</f>
        <v/>
      </c>
      <c r="H156" s="472" t="str">
        <f ca="1">IFERROR(__xludf.DUMMYFUNCTION("""COMPUTED_VALUE"""),"")</f>
        <v/>
      </c>
      <c r="I156" s="472" t="str">
        <f ca="1">IFERROR(__xludf.DUMMYFUNCTION("""COMPUTED_VALUE"""),"")</f>
        <v/>
      </c>
      <c r="J156" s="472" t="str">
        <f ca="1">IFERROR(__xludf.DUMMYFUNCTION("""COMPUTED_VALUE"""),"")</f>
        <v/>
      </c>
    </row>
    <row r="157" spans="1:10" ht="15.75">
      <c r="A157" s="472" t="str">
        <f ca="1">IFERROR(__xludf.DUMMYFUNCTION("""COMPUTED_VALUE"""),"")</f>
        <v/>
      </c>
      <c r="B157" s="472" t="str">
        <f ca="1">IFERROR(__xludf.DUMMYFUNCTION("""COMPUTED_VALUE"""),"")</f>
        <v/>
      </c>
      <c r="C157" s="472" t="str">
        <f ca="1">IFERROR(__xludf.DUMMYFUNCTION("""COMPUTED_VALUE"""),"")</f>
        <v/>
      </c>
      <c r="D157" s="472" t="str">
        <f ca="1">IFERROR(__xludf.DUMMYFUNCTION("""COMPUTED_VALUE"""),"")</f>
        <v/>
      </c>
      <c r="E157" s="472" t="str">
        <f ca="1">IFERROR(__xludf.DUMMYFUNCTION("""COMPUTED_VALUE"""),"")</f>
        <v/>
      </c>
      <c r="F157" s="472" t="str">
        <f ca="1">IFERROR(__xludf.DUMMYFUNCTION("""COMPUTED_VALUE"""),"")</f>
        <v/>
      </c>
      <c r="G157" s="472" t="str">
        <f ca="1">IFERROR(__xludf.DUMMYFUNCTION("""COMPUTED_VALUE"""),"")</f>
        <v/>
      </c>
      <c r="H157" s="472" t="str">
        <f ca="1">IFERROR(__xludf.DUMMYFUNCTION("""COMPUTED_VALUE"""),"")</f>
        <v/>
      </c>
      <c r="I157" s="472" t="str">
        <f ca="1">IFERROR(__xludf.DUMMYFUNCTION("""COMPUTED_VALUE"""),"")</f>
        <v/>
      </c>
      <c r="J157" s="472" t="str">
        <f ca="1">IFERROR(__xludf.DUMMYFUNCTION("""COMPUTED_VALUE"""),"")</f>
        <v/>
      </c>
    </row>
    <row r="158" spans="1:10" ht="15.75">
      <c r="A158" s="472" t="str">
        <f ca="1">IFERROR(__xludf.DUMMYFUNCTION("""COMPUTED_VALUE"""),"")</f>
        <v/>
      </c>
      <c r="B158" s="472" t="str">
        <f ca="1">IFERROR(__xludf.DUMMYFUNCTION("""COMPUTED_VALUE"""),"")</f>
        <v/>
      </c>
      <c r="C158" s="472" t="str">
        <f ca="1">IFERROR(__xludf.DUMMYFUNCTION("""COMPUTED_VALUE"""),"")</f>
        <v/>
      </c>
      <c r="D158" s="472" t="str">
        <f ca="1">IFERROR(__xludf.DUMMYFUNCTION("""COMPUTED_VALUE"""),"")</f>
        <v/>
      </c>
      <c r="E158" s="472" t="str">
        <f ca="1">IFERROR(__xludf.DUMMYFUNCTION("""COMPUTED_VALUE"""),"")</f>
        <v/>
      </c>
      <c r="F158" s="472" t="str">
        <f ca="1">IFERROR(__xludf.DUMMYFUNCTION("""COMPUTED_VALUE"""),"")</f>
        <v/>
      </c>
      <c r="G158" s="472" t="str">
        <f ca="1">IFERROR(__xludf.DUMMYFUNCTION("""COMPUTED_VALUE"""),"")</f>
        <v/>
      </c>
      <c r="H158" s="472" t="str">
        <f ca="1">IFERROR(__xludf.DUMMYFUNCTION("""COMPUTED_VALUE"""),"")</f>
        <v/>
      </c>
      <c r="I158" s="472" t="str">
        <f ca="1">IFERROR(__xludf.DUMMYFUNCTION("""COMPUTED_VALUE"""),"")</f>
        <v/>
      </c>
      <c r="J158" s="472" t="str">
        <f ca="1">IFERROR(__xludf.DUMMYFUNCTION("""COMPUTED_VALUE"""),"")</f>
        <v/>
      </c>
    </row>
    <row r="159" spans="1:10" ht="15.75">
      <c r="A159" s="472" t="str">
        <f ca="1">IFERROR(__xludf.DUMMYFUNCTION("""COMPUTED_VALUE"""),"")</f>
        <v/>
      </c>
      <c r="B159" s="472" t="str">
        <f ca="1">IFERROR(__xludf.DUMMYFUNCTION("""COMPUTED_VALUE"""),"")</f>
        <v/>
      </c>
      <c r="C159" s="472" t="str">
        <f ca="1">IFERROR(__xludf.DUMMYFUNCTION("""COMPUTED_VALUE"""),"")</f>
        <v/>
      </c>
      <c r="D159" s="472" t="str">
        <f ca="1">IFERROR(__xludf.DUMMYFUNCTION("""COMPUTED_VALUE"""),"")</f>
        <v/>
      </c>
      <c r="E159" s="472" t="str">
        <f ca="1">IFERROR(__xludf.DUMMYFUNCTION("""COMPUTED_VALUE"""),"")</f>
        <v/>
      </c>
      <c r="F159" s="472" t="str">
        <f ca="1">IFERROR(__xludf.DUMMYFUNCTION("""COMPUTED_VALUE"""),"")</f>
        <v/>
      </c>
      <c r="G159" s="472" t="str">
        <f ca="1">IFERROR(__xludf.DUMMYFUNCTION("""COMPUTED_VALUE"""),"")</f>
        <v/>
      </c>
      <c r="H159" s="472" t="str">
        <f ca="1">IFERROR(__xludf.DUMMYFUNCTION("""COMPUTED_VALUE"""),"")</f>
        <v/>
      </c>
      <c r="I159" s="472" t="str">
        <f ca="1">IFERROR(__xludf.DUMMYFUNCTION("""COMPUTED_VALUE"""),"")</f>
        <v/>
      </c>
      <c r="J159" s="472" t="str">
        <f ca="1">IFERROR(__xludf.DUMMYFUNCTION("""COMPUTED_VALUE"""),"")</f>
        <v/>
      </c>
    </row>
    <row r="160" spans="1:10" ht="15.75">
      <c r="A160" s="472" t="str">
        <f ca="1">IFERROR(__xludf.DUMMYFUNCTION("""COMPUTED_VALUE"""),"")</f>
        <v/>
      </c>
      <c r="B160" s="472" t="str">
        <f ca="1">IFERROR(__xludf.DUMMYFUNCTION("""COMPUTED_VALUE"""),"")</f>
        <v/>
      </c>
      <c r="C160" s="472" t="str">
        <f ca="1">IFERROR(__xludf.DUMMYFUNCTION("""COMPUTED_VALUE"""),"")</f>
        <v/>
      </c>
      <c r="D160" s="472" t="str">
        <f ca="1">IFERROR(__xludf.DUMMYFUNCTION("""COMPUTED_VALUE"""),"")</f>
        <v/>
      </c>
      <c r="E160" s="472" t="str">
        <f ca="1">IFERROR(__xludf.DUMMYFUNCTION("""COMPUTED_VALUE"""),"")</f>
        <v/>
      </c>
      <c r="F160" s="472" t="str">
        <f ca="1">IFERROR(__xludf.DUMMYFUNCTION("""COMPUTED_VALUE"""),"")</f>
        <v/>
      </c>
      <c r="G160" s="472" t="str">
        <f ca="1">IFERROR(__xludf.DUMMYFUNCTION("""COMPUTED_VALUE"""),"")</f>
        <v/>
      </c>
      <c r="H160" s="472" t="str">
        <f ca="1">IFERROR(__xludf.DUMMYFUNCTION("""COMPUTED_VALUE"""),"")</f>
        <v/>
      </c>
      <c r="I160" s="472" t="str">
        <f ca="1">IFERROR(__xludf.DUMMYFUNCTION("""COMPUTED_VALUE"""),"")</f>
        <v/>
      </c>
      <c r="J160" s="472" t="str">
        <f ca="1">IFERROR(__xludf.DUMMYFUNCTION("""COMPUTED_VALUE"""),"")</f>
        <v/>
      </c>
    </row>
    <row r="161" spans="1:10" ht="15.75">
      <c r="A161" s="472" t="str">
        <f ca="1">IFERROR(__xludf.DUMMYFUNCTION("""COMPUTED_VALUE"""),"")</f>
        <v/>
      </c>
      <c r="B161" s="472" t="str">
        <f ca="1">IFERROR(__xludf.DUMMYFUNCTION("""COMPUTED_VALUE"""),"")</f>
        <v/>
      </c>
      <c r="C161" s="472" t="str">
        <f ca="1">IFERROR(__xludf.DUMMYFUNCTION("""COMPUTED_VALUE"""),"")</f>
        <v/>
      </c>
      <c r="D161" s="472" t="str">
        <f ca="1">IFERROR(__xludf.DUMMYFUNCTION("""COMPUTED_VALUE"""),"")</f>
        <v/>
      </c>
      <c r="E161" s="472" t="str">
        <f ca="1">IFERROR(__xludf.DUMMYFUNCTION("""COMPUTED_VALUE"""),"")</f>
        <v/>
      </c>
      <c r="F161" s="472" t="str">
        <f ca="1">IFERROR(__xludf.DUMMYFUNCTION("""COMPUTED_VALUE"""),"")</f>
        <v/>
      </c>
      <c r="G161" s="472" t="str">
        <f ca="1">IFERROR(__xludf.DUMMYFUNCTION("""COMPUTED_VALUE"""),"")</f>
        <v/>
      </c>
      <c r="H161" s="472" t="str">
        <f ca="1">IFERROR(__xludf.DUMMYFUNCTION("""COMPUTED_VALUE"""),"")</f>
        <v/>
      </c>
      <c r="I161" s="472" t="str">
        <f ca="1">IFERROR(__xludf.DUMMYFUNCTION("""COMPUTED_VALUE"""),"")</f>
        <v/>
      </c>
      <c r="J161" s="472" t="str">
        <f ca="1">IFERROR(__xludf.DUMMYFUNCTION("""COMPUTED_VALUE"""),"")</f>
        <v/>
      </c>
    </row>
    <row r="162" spans="1:10" ht="15.75">
      <c r="A162" s="472" t="str">
        <f ca="1">IFERROR(__xludf.DUMMYFUNCTION("""COMPUTED_VALUE"""),"")</f>
        <v/>
      </c>
      <c r="B162" s="472" t="str">
        <f ca="1">IFERROR(__xludf.DUMMYFUNCTION("""COMPUTED_VALUE"""),"")</f>
        <v/>
      </c>
      <c r="C162" s="472" t="str">
        <f ca="1">IFERROR(__xludf.DUMMYFUNCTION("""COMPUTED_VALUE"""),"")</f>
        <v/>
      </c>
      <c r="D162" s="472" t="str">
        <f ca="1">IFERROR(__xludf.DUMMYFUNCTION("""COMPUTED_VALUE"""),"")</f>
        <v/>
      </c>
      <c r="E162" s="472" t="str">
        <f ca="1">IFERROR(__xludf.DUMMYFUNCTION("""COMPUTED_VALUE"""),"")</f>
        <v/>
      </c>
      <c r="F162" s="472" t="str">
        <f ca="1">IFERROR(__xludf.DUMMYFUNCTION("""COMPUTED_VALUE"""),"")</f>
        <v/>
      </c>
      <c r="G162" s="472" t="str">
        <f ca="1">IFERROR(__xludf.DUMMYFUNCTION("""COMPUTED_VALUE"""),"")</f>
        <v/>
      </c>
      <c r="H162" s="472" t="str">
        <f ca="1">IFERROR(__xludf.DUMMYFUNCTION("""COMPUTED_VALUE"""),"")</f>
        <v/>
      </c>
      <c r="I162" s="472" t="str">
        <f ca="1">IFERROR(__xludf.DUMMYFUNCTION("""COMPUTED_VALUE"""),"")</f>
        <v/>
      </c>
      <c r="J162" s="472" t="str">
        <f ca="1">IFERROR(__xludf.DUMMYFUNCTION("""COMPUTED_VALUE"""),"")</f>
        <v/>
      </c>
    </row>
    <row r="163" spans="1:10" ht="15.75">
      <c r="A163" s="472" t="str">
        <f ca="1">IFERROR(__xludf.DUMMYFUNCTION("""COMPUTED_VALUE"""),"")</f>
        <v/>
      </c>
      <c r="B163" s="472" t="str">
        <f ca="1">IFERROR(__xludf.DUMMYFUNCTION("""COMPUTED_VALUE"""),"")</f>
        <v/>
      </c>
      <c r="C163" s="472" t="str">
        <f ca="1">IFERROR(__xludf.DUMMYFUNCTION("""COMPUTED_VALUE"""),"")</f>
        <v/>
      </c>
      <c r="D163" s="472" t="str">
        <f ca="1">IFERROR(__xludf.DUMMYFUNCTION("""COMPUTED_VALUE"""),"")</f>
        <v/>
      </c>
      <c r="E163" s="472" t="str">
        <f ca="1">IFERROR(__xludf.DUMMYFUNCTION("""COMPUTED_VALUE"""),"")</f>
        <v/>
      </c>
      <c r="F163" s="472" t="str">
        <f ca="1">IFERROR(__xludf.DUMMYFUNCTION("""COMPUTED_VALUE"""),"")</f>
        <v/>
      </c>
      <c r="G163" s="472" t="str">
        <f ca="1">IFERROR(__xludf.DUMMYFUNCTION("""COMPUTED_VALUE"""),"")</f>
        <v/>
      </c>
      <c r="H163" s="472" t="str">
        <f ca="1">IFERROR(__xludf.DUMMYFUNCTION("""COMPUTED_VALUE"""),"")</f>
        <v/>
      </c>
      <c r="I163" s="472" t="str">
        <f ca="1">IFERROR(__xludf.DUMMYFUNCTION("""COMPUTED_VALUE"""),"")</f>
        <v/>
      </c>
      <c r="J163" s="472" t="str">
        <f ca="1">IFERROR(__xludf.DUMMYFUNCTION("""COMPUTED_VALUE"""),"")</f>
        <v/>
      </c>
    </row>
    <row r="164" spans="1:10" ht="15.75">
      <c r="A164" s="472" t="str">
        <f ca="1">IFERROR(__xludf.DUMMYFUNCTION("""COMPUTED_VALUE"""),"")</f>
        <v/>
      </c>
      <c r="B164" s="472" t="str">
        <f ca="1">IFERROR(__xludf.DUMMYFUNCTION("""COMPUTED_VALUE"""),"")</f>
        <v/>
      </c>
      <c r="C164" s="472" t="str">
        <f ca="1">IFERROR(__xludf.DUMMYFUNCTION("""COMPUTED_VALUE"""),"")</f>
        <v/>
      </c>
      <c r="D164" s="472" t="str">
        <f ca="1">IFERROR(__xludf.DUMMYFUNCTION("""COMPUTED_VALUE"""),"")</f>
        <v/>
      </c>
      <c r="E164" s="472" t="str">
        <f ca="1">IFERROR(__xludf.DUMMYFUNCTION("""COMPUTED_VALUE"""),"")</f>
        <v/>
      </c>
      <c r="F164" s="472" t="str">
        <f ca="1">IFERROR(__xludf.DUMMYFUNCTION("""COMPUTED_VALUE"""),"")</f>
        <v/>
      </c>
      <c r="G164" s="472" t="str">
        <f ca="1">IFERROR(__xludf.DUMMYFUNCTION("""COMPUTED_VALUE"""),"")</f>
        <v/>
      </c>
      <c r="H164" s="472" t="str">
        <f ca="1">IFERROR(__xludf.DUMMYFUNCTION("""COMPUTED_VALUE"""),"")</f>
        <v/>
      </c>
      <c r="I164" s="472" t="str">
        <f ca="1">IFERROR(__xludf.DUMMYFUNCTION("""COMPUTED_VALUE"""),"")</f>
        <v/>
      </c>
      <c r="J164" s="472" t="str">
        <f ca="1">IFERROR(__xludf.DUMMYFUNCTION("""COMPUTED_VALUE"""),"")</f>
        <v/>
      </c>
    </row>
    <row r="165" spans="1:10" ht="15.75">
      <c r="A165" s="472" t="str">
        <f ca="1">IFERROR(__xludf.DUMMYFUNCTION("""COMPUTED_VALUE"""),"")</f>
        <v/>
      </c>
      <c r="B165" s="472" t="str">
        <f ca="1">IFERROR(__xludf.DUMMYFUNCTION("""COMPUTED_VALUE"""),"")</f>
        <v/>
      </c>
      <c r="C165" s="472" t="str">
        <f ca="1">IFERROR(__xludf.DUMMYFUNCTION("""COMPUTED_VALUE"""),"")</f>
        <v/>
      </c>
      <c r="D165" s="472" t="str">
        <f ca="1">IFERROR(__xludf.DUMMYFUNCTION("""COMPUTED_VALUE"""),"")</f>
        <v/>
      </c>
      <c r="E165" s="472" t="str">
        <f ca="1">IFERROR(__xludf.DUMMYFUNCTION("""COMPUTED_VALUE"""),"")</f>
        <v/>
      </c>
      <c r="F165" s="472" t="str">
        <f ca="1">IFERROR(__xludf.DUMMYFUNCTION("""COMPUTED_VALUE"""),"")</f>
        <v/>
      </c>
      <c r="G165" s="472" t="str">
        <f ca="1">IFERROR(__xludf.DUMMYFUNCTION("""COMPUTED_VALUE"""),"")</f>
        <v/>
      </c>
      <c r="H165" s="472" t="str">
        <f ca="1">IFERROR(__xludf.DUMMYFUNCTION("""COMPUTED_VALUE"""),"")</f>
        <v/>
      </c>
      <c r="I165" s="472" t="str">
        <f ca="1">IFERROR(__xludf.DUMMYFUNCTION("""COMPUTED_VALUE"""),"")</f>
        <v/>
      </c>
      <c r="J165" s="472" t="str">
        <f ca="1">IFERROR(__xludf.DUMMYFUNCTION("""COMPUTED_VALUE"""),"")</f>
        <v/>
      </c>
    </row>
    <row r="166" spans="1:10" ht="15.75">
      <c r="A166" s="472" t="str">
        <f ca="1">IFERROR(__xludf.DUMMYFUNCTION("""COMPUTED_VALUE"""),"")</f>
        <v/>
      </c>
      <c r="B166" s="472" t="str">
        <f ca="1">IFERROR(__xludf.DUMMYFUNCTION("""COMPUTED_VALUE"""),"")</f>
        <v/>
      </c>
      <c r="C166" s="472" t="str">
        <f ca="1">IFERROR(__xludf.DUMMYFUNCTION("""COMPUTED_VALUE"""),"")</f>
        <v/>
      </c>
      <c r="D166" s="472" t="str">
        <f ca="1">IFERROR(__xludf.DUMMYFUNCTION("""COMPUTED_VALUE"""),"")</f>
        <v/>
      </c>
      <c r="E166" s="472" t="str">
        <f ca="1">IFERROR(__xludf.DUMMYFUNCTION("""COMPUTED_VALUE"""),"")</f>
        <v/>
      </c>
      <c r="F166" s="472" t="str">
        <f ca="1">IFERROR(__xludf.DUMMYFUNCTION("""COMPUTED_VALUE"""),"")</f>
        <v/>
      </c>
      <c r="G166" s="472" t="str">
        <f ca="1">IFERROR(__xludf.DUMMYFUNCTION("""COMPUTED_VALUE"""),"")</f>
        <v/>
      </c>
      <c r="H166" s="472" t="str">
        <f ca="1">IFERROR(__xludf.DUMMYFUNCTION("""COMPUTED_VALUE"""),"")</f>
        <v/>
      </c>
      <c r="I166" s="472" t="str">
        <f ca="1">IFERROR(__xludf.DUMMYFUNCTION("""COMPUTED_VALUE"""),"")</f>
        <v/>
      </c>
      <c r="J166" s="472" t="str">
        <f ca="1">IFERROR(__xludf.DUMMYFUNCTION("""COMPUTED_VALUE"""),"")</f>
        <v/>
      </c>
    </row>
    <row r="167" spans="1:10" ht="15.75">
      <c r="A167" s="472" t="str">
        <f ca="1">IFERROR(__xludf.DUMMYFUNCTION("""COMPUTED_VALUE"""),"")</f>
        <v/>
      </c>
      <c r="B167" s="472" t="str">
        <f ca="1">IFERROR(__xludf.DUMMYFUNCTION("""COMPUTED_VALUE"""),"")</f>
        <v/>
      </c>
      <c r="C167" s="472" t="str">
        <f ca="1">IFERROR(__xludf.DUMMYFUNCTION("""COMPUTED_VALUE"""),"")</f>
        <v/>
      </c>
      <c r="D167" s="472" t="str">
        <f ca="1">IFERROR(__xludf.DUMMYFUNCTION("""COMPUTED_VALUE"""),"")</f>
        <v/>
      </c>
      <c r="E167" s="472" t="str">
        <f ca="1">IFERROR(__xludf.DUMMYFUNCTION("""COMPUTED_VALUE"""),"")</f>
        <v/>
      </c>
      <c r="F167" s="472" t="str">
        <f ca="1">IFERROR(__xludf.DUMMYFUNCTION("""COMPUTED_VALUE"""),"")</f>
        <v/>
      </c>
      <c r="G167" s="472" t="str">
        <f ca="1">IFERROR(__xludf.DUMMYFUNCTION("""COMPUTED_VALUE"""),"")</f>
        <v/>
      </c>
      <c r="H167" s="472" t="str">
        <f ca="1">IFERROR(__xludf.DUMMYFUNCTION("""COMPUTED_VALUE"""),"")</f>
        <v/>
      </c>
      <c r="I167" s="472" t="str">
        <f ca="1">IFERROR(__xludf.DUMMYFUNCTION("""COMPUTED_VALUE"""),"")</f>
        <v/>
      </c>
      <c r="J167" s="472" t="str">
        <f ca="1">IFERROR(__xludf.DUMMYFUNCTION("""COMPUTED_VALUE"""),"")</f>
        <v/>
      </c>
    </row>
    <row r="168" spans="1:10" ht="15.75">
      <c r="A168" s="472" t="str">
        <f ca="1">IFERROR(__xludf.DUMMYFUNCTION("""COMPUTED_VALUE"""),"")</f>
        <v/>
      </c>
      <c r="B168" s="472" t="str">
        <f ca="1">IFERROR(__xludf.DUMMYFUNCTION("""COMPUTED_VALUE"""),"")</f>
        <v/>
      </c>
      <c r="C168" s="472" t="str">
        <f ca="1">IFERROR(__xludf.DUMMYFUNCTION("""COMPUTED_VALUE"""),"")</f>
        <v/>
      </c>
      <c r="D168" s="472" t="str">
        <f ca="1">IFERROR(__xludf.DUMMYFUNCTION("""COMPUTED_VALUE"""),"")</f>
        <v/>
      </c>
      <c r="E168" s="472" t="str">
        <f ca="1">IFERROR(__xludf.DUMMYFUNCTION("""COMPUTED_VALUE"""),"")</f>
        <v/>
      </c>
      <c r="F168" s="472" t="str">
        <f ca="1">IFERROR(__xludf.DUMMYFUNCTION("""COMPUTED_VALUE"""),"")</f>
        <v/>
      </c>
      <c r="G168" s="472" t="str">
        <f ca="1">IFERROR(__xludf.DUMMYFUNCTION("""COMPUTED_VALUE"""),"")</f>
        <v/>
      </c>
      <c r="H168" s="472" t="str">
        <f ca="1">IFERROR(__xludf.DUMMYFUNCTION("""COMPUTED_VALUE"""),"")</f>
        <v/>
      </c>
      <c r="I168" s="472" t="str">
        <f ca="1">IFERROR(__xludf.DUMMYFUNCTION("""COMPUTED_VALUE"""),"")</f>
        <v/>
      </c>
      <c r="J168" s="472" t="str">
        <f ca="1">IFERROR(__xludf.DUMMYFUNCTION("""COMPUTED_VALUE"""),"")</f>
        <v/>
      </c>
    </row>
    <row r="169" spans="1:10" ht="15.75">
      <c r="A169" s="472" t="str">
        <f ca="1">IFERROR(__xludf.DUMMYFUNCTION("""COMPUTED_VALUE"""),"")</f>
        <v/>
      </c>
      <c r="B169" s="472" t="str">
        <f ca="1">IFERROR(__xludf.DUMMYFUNCTION("""COMPUTED_VALUE"""),"")</f>
        <v/>
      </c>
      <c r="C169" s="472" t="str">
        <f ca="1">IFERROR(__xludf.DUMMYFUNCTION("""COMPUTED_VALUE"""),"")</f>
        <v/>
      </c>
      <c r="D169" s="472" t="str">
        <f ca="1">IFERROR(__xludf.DUMMYFUNCTION("""COMPUTED_VALUE"""),"")</f>
        <v/>
      </c>
      <c r="E169" s="472" t="str">
        <f ca="1">IFERROR(__xludf.DUMMYFUNCTION("""COMPUTED_VALUE"""),"")</f>
        <v/>
      </c>
      <c r="F169" s="472" t="str">
        <f ca="1">IFERROR(__xludf.DUMMYFUNCTION("""COMPUTED_VALUE"""),"")</f>
        <v/>
      </c>
      <c r="G169" s="472" t="str">
        <f ca="1">IFERROR(__xludf.DUMMYFUNCTION("""COMPUTED_VALUE"""),"")</f>
        <v/>
      </c>
      <c r="H169" s="472" t="str">
        <f ca="1">IFERROR(__xludf.DUMMYFUNCTION("""COMPUTED_VALUE"""),"")</f>
        <v/>
      </c>
      <c r="I169" s="472" t="str">
        <f ca="1">IFERROR(__xludf.DUMMYFUNCTION("""COMPUTED_VALUE"""),"")</f>
        <v/>
      </c>
      <c r="J169" s="472" t="str">
        <f ca="1">IFERROR(__xludf.DUMMYFUNCTION("""COMPUTED_VALUE"""),"")</f>
        <v/>
      </c>
    </row>
    <row r="170" spans="1:10" ht="15.75">
      <c r="A170" s="472" t="str">
        <f ca="1">IFERROR(__xludf.DUMMYFUNCTION("""COMPUTED_VALUE"""),"")</f>
        <v/>
      </c>
      <c r="B170" s="472" t="str">
        <f ca="1">IFERROR(__xludf.DUMMYFUNCTION("""COMPUTED_VALUE"""),"")</f>
        <v/>
      </c>
      <c r="C170" s="472" t="str">
        <f ca="1">IFERROR(__xludf.DUMMYFUNCTION("""COMPUTED_VALUE"""),"")</f>
        <v/>
      </c>
      <c r="D170" s="472" t="str">
        <f ca="1">IFERROR(__xludf.DUMMYFUNCTION("""COMPUTED_VALUE"""),"")</f>
        <v/>
      </c>
      <c r="E170" s="472" t="str">
        <f ca="1">IFERROR(__xludf.DUMMYFUNCTION("""COMPUTED_VALUE"""),"")</f>
        <v/>
      </c>
      <c r="F170" s="472" t="str">
        <f ca="1">IFERROR(__xludf.DUMMYFUNCTION("""COMPUTED_VALUE"""),"")</f>
        <v/>
      </c>
      <c r="G170" s="472" t="str">
        <f ca="1">IFERROR(__xludf.DUMMYFUNCTION("""COMPUTED_VALUE"""),"")</f>
        <v/>
      </c>
      <c r="H170" s="472" t="str">
        <f ca="1">IFERROR(__xludf.DUMMYFUNCTION("""COMPUTED_VALUE"""),"")</f>
        <v/>
      </c>
      <c r="I170" s="472" t="str">
        <f ca="1">IFERROR(__xludf.DUMMYFUNCTION("""COMPUTED_VALUE"""),"")</f>
        <v/>
      </c>
      <c r="J170" s="472" t="str">
        <f ca="1">IFERROR(__xludf.DUMMYFUNCTION("""COMPUTED_VALUE"""),"")</f>
        <v/>
      </c>
    </row>
    <row r="171" spans="1:10" ht="15.75">
      <c r="A171" s="472" t="str">
        <f ca="1">IFERROR(__xludf.DUMMYFUNCTION("""COMPUTED_VALUE"""),"")</f>
        <v/>
      </c>
      <c r="B171" s="472" t="str">
        <f ca="1">IFERROR(__xludf.DUMMYFUNCTION("""COMPUTED_VALUE"""),"")</f>
        <v/>
      </c>
      <c r="C171" s="472" t="str">
        <f ca="1">IFERROR(__xludf.DUMMYFUNCTION("""COMPUTED_VALUE"""),"")</f>
        <v/>
      </c>
      <c r="D171" s="472" t="str">
        <f ca="1">IFERROR(__xludf.DUMMYFUNCTION("""COMPUTED_VALUE"""),"")</f>
        <v/>
      </c>
      <c r="E171" s="472" t="str">
        <f ca="1">IFERROR(__xludf.DUMMYFUNCTION("""COMPUTED_VALUE"""),"")</f>
        <v/>
      </c>
      <c r="F171" s="472" t="str">
        <f ca="1">IFERROR(__xludf.DUMMYFUNCTION("""COMPUTED_VALUE"""),"")</f>
        <v/>
      </c>
      <c r="G171" s="472" t="str">
        <f ca="1">IFERROR(__xludf.DUMMYFUNCTION("""COMPUTED_VALUE"""),"")</f>
        <v/>
      </c>
      <c r="H171" s="472" t="str">
        <f ca="1">IFERROR(__xludf.DUMMYFUNCTION("""COMPUTED_VALUE"""),"")</f>
        <v/>
      </c>
      <c r="I171" s="472" t="str">
        <f ca="1">IFERROR(__xludf.DUMMYFUNCTION("""COMPUTED_VALUE"""),"")</f>
        <v/>
      </c>
      <c r="J171" s="472" t="str">
        <f ca="1">IFERROR(__xludf.DUMMYFUNCTION("""COMPUTED_VALUE"""),"")</f>
        <v/>
      </c>
    </row>
    <row r="172" spans="1:10" ht="15.75">
      <c r="A172" s="472" t="str">
        <f ca="1">IFERROR(__xludf.DUMMYFUNCTION("""COMPUTED_VALUE"""),"")</f>
        <v/>
      </c>
      <c r="B172" s="472" t="str">
        <f ca="1">IFERROR(__xludf.DUMMYFUNCTION("""COMPUTED_VALUE"""),"")</f>
        <v/>
      </c>
      <c r="C172" s="472" t="str">
        <f ca="1">IFERROR(__xludf.DUMMYFUNCTION("""COMPUTED_VALUE"""),"")</f>
        <v/>
      </c>
      <c r="D172" s="472" t="str">
        <f ca="1">IFERROR(__xludf.DUMMYFUNCTION("""COMPUTED_VALUE"""),"")</f>
        <v/>
      </c>
      <c r="E172" s="472" t="str">
        <f ca="1">IFERROR(__xludf.DUMMYFUNCTION("""COMPUTED_VALUE"""),"")</f>
        <v/>
      </c>
      <c r="F172" s="472" t="str">
        <f ca="1">IFERROR(__xludf.DUMMYFUNCTION("""COMPUTED_VALUE"""),"")</f>
        <v/>
      </c>
      <c r="G172" s="472" t="str">
        <f ca="1">IFERROR(__xludf.DUMMYFUNCTION("""COMPUTED_VALUE"""),"")</f>
        <v/>
      </c>
      <c r="H172" s="472" t="str">
        <f ca="1">IFERROR(__xludf.DUMMYFUNCTION("""COMPUTED_VALUE"""),"")</f>
        <v/>
      </c>
      <c r="I172" s="472" t="str">
        <f ca="1">IFERROR(__xludf.DUMMYFUNCTION("""COMPUTED_VALUE"""),"")</f>
        <v/>
      </c>
      <c r="J172" s="472" t="str">
        <f ca="1">IFERROR(__xludf.DUMMYFUNCTION("""COMPUTED_VALUE"""),"")</f>
        <v/>
      </c>
    </row>
    <row r="173" spans="1:10" ht="15.75">
      <c r="A173" s="472" t="str">
        <f ca="1">IFERROR(__xludf.DUMMYFUNCTION("""COMPUTED_VALUE"""),"")</f>
        <v/>
      </c>
      <c r="B173" s="472" t="str">
        <f ca="1">IFERROR(__xludf.DUMMYFUNCTION("""COMPUTED_VALUE"""),"")</f>
        <v/>
      </c>
      <c r="C173" s="472" t="str">
        <f ca="1">IFERROR(__xludf.DUMMYFUNCTION("""COMPUTED_VALUE"""),"")</f>
        <v/>
      </c>
      <c r="D173" s="472" t="str">
        <f ca="1">IFERROR(__xludf.DUMMYFUNCTION("""COMPUTED_VALUE"""),"")</f>
        <v/>
      </c>
      <c r="E173" s="472" t="str">
        <f ca="1">IFERROR(__xludf.DUMMYFUNCTION("""COMPUTED_VALUE"""),"")</f>
        <v/>
      </c>
      <c r="F173" s="472" t="str">
        <f ca="1">IFERROR(__xludf.DUMMYFUNCTION("""COMPUTED_VALUE"""),"")</f>
        <v/>
      </c>
      <c r="G173" s="472" t="str">
        <f ca="1">IFERROR(__xludf.DUMMYFUNCTION("""COMPUTED_VALUE"""),"")</f>
        <v/>
      </c>
      <c r="H173" s="472" t="str">
        <f ca="1">IFERROR(__xludf.DUMMYFUNCTION("""COMPUTED_VALUE"""),"")</f>
        <v/>
      </c>
      <c r="I173" s="472" t="str">
        <f ca="1">IFERROR(__xludf.DUMMYFUNCTION("""COMPUTED_VALUE"""),"")</f>
        <v/>
      </c>
      <c r="J173" s="472" t="str">
        <f ca="1">IFERROR(__xludf.DUMMYFUNCTION("""COMPUTED_VALUE"""),"")</f>
        <v/>
      </c>
    </row>
    <row r="174" spans="1:10" ht="15.75">
      <c r="A174" s="472" t="str">
        <f ca="1">IFERROR(__xludf.DUMMYFUNCTION("""COMPUTED_VALUE"""),"")</f>
        <v/>
      </c>
      <c r="B174" s="472" t="str">
        <f ca="1">IFERROR(__xludf.DUMMYFUNCTION("""COMPUTED_VALUE"""),"")</f>
        <v/>
      </c>
      <c r="C174" s="472" t="str">
        <f ca="1">IFERROR(__xludf.DUMMYFUNCTION("""COMPUTED_VALUE"""),"")</f>
        <v/>
      </c>
      <c r="D174" s="472" t="str">
        <f ca="1">IFERROR(__xludf.DUMMYFUNCTION("""COMPUTED_VALUE"""),"")</f>
        <v/>
      </c>
      <c r="E174" s="472" t="str">
        <f ca="1">IFERROR(__xludf.DUMMYFUNCTION("""COMPUTED_VALUE"""),"")</f>
        <v/>
      </c>
      <c r="F174" s="472" t="str">
        <f ca="1">IFERROR(__xludf.DUMMYFUNCTION("""COMPUTED_VALUE"""),"")</f>
        <v/>
      </c>
      <c r="G174" s="472" t="str">
        <f ca="1">IFERROR(__xludf.DUMMYFUNCTION("""COMPUTED_VALUE"""),"")</f>
        <v/>
      </c>
      <c r="H174" s="472" t="str">
        <f ca="1">IFERROR(__xludf.DUMMYFUNCTION("""COMPUTED_VALUE"""),"")</f>
        <v/>
      </c>
      <c r="I174" s="472" t="str">
        <f ca="1">IFERROR(__xludf.DUMMYFUNCTION("""COMPUTED_VALUE"""),"")</f>
        <v/>
      </c>
      <c r="J174" s="472" t="str">
        <f ca="1">IFERROR(__xludf.DUMMYFUNCTION("""COMPUTED_VALUE"""),"")</f>
        <v/>
      </c>
    </row>
    <row r="175" spans="1:10" ht="15.75">
      <c r="A175" s="472" t="str">
        <f ca="1">IFERROR(__xludf.DUMMYFUNCTION("""COMPUTED_VALUE"""),"")</f>
        <v/>
      </c>
      <c r="B175" s="472" t="str">
        <f ca="1">IFERROR(__xludf.DUMMYFUNCTION("""COMPUTED_VALUE"""),"")</f>
        <v/>
      </c>
      <c r="C175" s="472" t="str">
        <f ca="1">IFERROR(__xludf.DUMMYFUNCTION("""COMPUTED_VALUE"""),"")</f>
        <v/>
      </c>
      <c r="D175" s="472" t="str">
        <f ca="1">IFERROR(__xludf.DUMMYFUNCTION("""COMPUTED_VALUE"""),"")</f>
        <v/>
      </c>
      <c r="E175" s="472" t="str">
        <f ca="1">IFERROR(__xludf.DUMMYFUNCTION("""COMPUTED_VALUE"""),"")</f>
        <v/>
      </c>
      <c r="F175" s="472" t="str">
        <f ca="1">IFERROR(__xludf.DUMMYFUNCTION("""COMPUTED_VALUE"""),"")</f>
        <v/>
      </c>
      <c r="G175" s="472" t="str">
        <f ca="1">IFERROR(__xludf.DUMMYFUNCTION("""COMPUTED_VALUE"""),"")</f>
        <v/>
      </c>
      <c r="H175" s="472" t="str">
        <f ca="1">IFERROR(__xludf.DUMMYFUNCTION("""COMPUTED_VALUE"""),"")</f>
        <v/>
      </c>
      <c r="I175" s="472" t="str">
        <f ca="1">IFERROR(__xludf.DUMMYFUNCTION("""COMPUTED_VALUE"""),"")</f>
        <v/>
      </c>
      <c r="J175" s="472" t="str">
        <f ca="1">IFERROR(__xludf.DUMMYFUNCTION("""COMPUTED_VALUE"""),"")</f>
        <v/>
      </c>
    </row>
    <row r="176" spans="1:10" ht="15.75">
      <c r="A176" s="472" t="str">
        <f ca="1">IFERROR(__xludf.DUMMYFUNCTION("""COMPUTED_VALUE"""),"")</f>
        <v/>
      </c>
      <c r="B176" s="472" t="str">
        <f ca="1">IFERROR(__xludf.DUMMYFUNCTION("""COMPUTED_VALUE"""),"")</f>
        <v/>
      </c>
      <c r="C176" s="472" t="str">
        <f ca="1">IFERROR(__xludf.DUMMYFUNCTION("""COMPUTED_VALUE"""),"")</f>
        <v/>
      </c>
      <c r="D176" s="472" t="str">
        <f ca="1">IFERROR(__xludf.DUMMYFUNCTION("""COMPUTED_VALUE"""),"")</f>
        <v/>
      </c>
      <c r="E176" s="472" t="str">
        <f ca="1">IFERROR(__xludf.DUMMYFUNCTION("""COMPUTED_VALUE"""),"")</f>
        <v/>
      </c>
      <c r="F176" s="472" t="str">
        <f ca="1">IFERROR(__xludf.DUMMYFUNCTION("""COMPUTED_VALUE"""),"")</f>
        <v/>
      </c>
      <c r="G176" s="472" t="str">
        <f ca="1">IFERROR(__xludf.DUMMYFUNCTION("""COMPUTED_VALUE"""),"")</f>
        <v/>
      </c>
      <c r="H176" s="472" t="str">
        <f ca="1">IFERROR(__xludf.DUMMYFUNCTION("""COMPUTED_VALUE"""),"")</f>
        <v/>
      </c>
      <c r="I176" s="472" t="str">
        <f ca="1">IFERROR(__xludf.DUMMYFUNCTION("""COMPUTED_VALUE"""),"")</f>
        <v/>
      </c>
      <c r="J176" s="472" t="str">
        <f ca="1">IFERROR(__xludf.DUMMYFUNCTION("""COMPUTED_VALUE"""),"")</f>
        <v/>
      </c>
    </row>
    <row r="177" spans="1:10" ht="15.75">
      <c r="A177" s="472" t="str">
        <f ca="1">IFERROR(__xludf.DUMMYFUNCTION("""COMPUTED_VALUE"""),"")</f>
        <v/>
      </c>
      <c r="B177" s="472" t="str">
        <f ca="1">IFERROR(__xludf.DUMMYFUNCTION("""COMPUTED_VALUE"""),"")</f>
        <v/>
      </c>
      <c r="C177" s="472" t="str">
        <f ca="1">IFERROR(__xludf.DUMMYFUNCTION("""COMPUTED_VALUE"""),"")</f>
        <v/>
      </c>
      <c r="D177" s="472" t="str">
        <f ca="1">IFERROR(__xludf.DUMMYFUNCTION("""COMPUTED_VALUE"""),"")</f>
        <v/>
      </c>
      <c r="E177" s="472" t="str">
        <f ca="1">IFERROR(__xludf.DUMMYFUNCTION("""COMPUTED_VALUE"""),"")</f>
        <v/>
      </c>
      <c r="F177" s="472" t="str">
        <f ca="1">IFERROR(__xludf.DUMMYFUNCTION("""COMPUTED_VALUE"""),"")</f>
        <v/>
      </c>
      <c r="G177" s="472" t="str">
        <f ca="1">IFERROR(__xludf.DUMMYFUNCTION("""COMPUTED_VALUE"""),"")</f>
        <v/>
      </c>
      <c r="H177" s="472" t="str">
        <f ca="1">IFERROR(__xludf.DUMMYFUNCTION("""COMPUTED_VALUE"""),"")</f>
        <v/>
      </c>
      <c r="I177" s="472" t="str">
        <f ca="1">IFERROR(__xludf.DUMMYFUNCTION("""COMPUTED_VALUE"""),"")</f>
        <v/>
      </c>
      <c r="J177" s="472" t="str">
        <f ca="1">IFERROR(__xludf.DUMMYFUNCTION("""COMPUTED_VALUE"""),"")</f>
        <v/>
      </c>
    </row>
    <row r="178" spans="1:10" ht="15.75">
      <c r="A178" s="472" t="str">
        <f ca="1">IFERROR(__xludf.DUMMYFUNCTION("""COMPUTED_VALUE"""),"")</f>
        <v/>
      </c>
      <c r="B178" s="472" t="str">
        <f ca="1">IFERROR(__xludf.DUMMYFUNCTION("""COMPUTED_VALUE"""),"")</f>
        <v/>
      </c>
      <c r="C178" s="472" t="str">
        <f ca="1">IFERROR(__xludf.DUMMYFUNCTION("""COMPUTED_VALUE"""),"")</f>
        <v/>
      </c>
      <c r="D178" s="472" t="str">
        <f ca="1">IFERROR(__xludf.DUMMYFUNCTION("""COMPUTED_VALUE"""),"")</f>
        <v/>
      </c>
      <c r="E178" s="472" t="str">
        <f ca="1">IFERROR(__xludf.DUMMYFUNCTION("""COMPUTED_VALUE"""),"")</f>
        <v/>
      </c>
      <c r="F178" s="472" t="str">
        <f ca="1">IFERROR(__xludf.DUMMYFUNCTION("""COMPUTED_VALUE"""),"")</f>
        <v/>
      </c>
      <c r="G178" s="472" t="str">
        <f ca="1">IFERROR(__xludf.DUMMYFUNCTION("""COMPUTED_VALUE"""),"")</f>
        <v/>
      </c>
      <c r="H178" s="472" t="str">
        <f ca="1">IFERROR(__xludf.DUMMYFUNCTION("""COMPUTED_VALUE"""),"")</f>
        <v/>
      </c>
      <c r="I178" s="472" t="str">
        <f ca="1">IFERROR(__xludf.DUMMYFUNCTION("""COMPUTED_VALUE"""),"")</f>
        <v/>
      </c>
      <c r="J178" s="472" t="str">
        <f ca="1">IFERROR(__xludf.DUMMYFUNCTION("""COMPUTED_VALUE"""),"")</f>
        <v/>
      </c>
    </row>
    <row r="179" spans="1:10" ht="15.75">
      <c r="A179" s="472" t="str">
        <f ca="1">IFERROR(__xludf.DUMMYFUNCTION("""COMPUTED_VALUE"""),"")</f>
        <v/>
      </c>
      <c r="B179" s="472" t="str">
        <f ca="1">IFERROR(__xludf.DUMMYFUNCTION("""COMPUTED_VALUE"""),"")</f>
        <v/>
      </c>
      <c r="C179" s="472" t="str">
        <f ca="1">IFERROR(__xludf.DUMMYFUNCTION("""COMPUTED_VALUE"""),"")</f>
        <v/>
      </c>
      <c r="D179" s="472" t="str">
        <f ca="1">IFERROR(__xludf.DUMMYFUNCTION("""COMPUTED_VALUE"""),"")</f>
        <v/>
      </c>
      <c r="E179" s="472" t="str">
        <f ca="1">IFERROR(__xludf.DUMMYFUNCTION("""COMPUTED_VALUE"""),"")</f>
        <v/>
      </c>
      <c r="F179" s="472" t="str">
        <f ca="1">IFERROR(__xludf.DUMMYFUNCTION("""COMPUTED_VALUE"""),"")</f>
        <v/>
      </c>
      <c r="G179" s="472" t="str">
        <f ca="1">IFERROR(__xludf.DUMMYFUNCTION("""COMPUTED_VALUE"""),"")</f>
        <v/>
      </c>
      <c r="H179" s="472" t="str">
        <f ca="1">IFERROR(__xludf.DUMMYFUNCTION("""COMPUTED_VALUE"""),"")</f>
        <v/>
      </c>
      <c r="I179" s="472" t="str">
        <f ca="1">IFERROR(__xludf.DUMMYFUNCTION("""COMPUTED_VALUE"""),"")</f>
        <v/>
      </c>
      <c r="J179" s="472" t="str">
        <f ca="1">IFERROR(__xludf.DUMMYFUNCTION("""COMPUTED_VALUE"""),"")</f>
        <v/>
      </c>
    </row>
    <row r="180" spans="1:10" ht="15.75">
      <c r="A180" s="472" t="str">
        <f ca="1">IFERROR(__xludf.DUMMYFUNCTION("""COMPUTED_VALUE"""),"")</f>
        <v/>
      </c>
      <c r="B180" s="472" t="str">
        <f ca="1">IFERROR(__xludf.DUMMYFUNCTION("""COMPUTED_VALUE"""),"")</f>
        <v/>
      </c>
      <c r="C180" s="472" t="str">
        <f ca="1">IFERROR(__xludf.DUMMYFUNCTION("""COMPUTED_VALUE"""),"")</f>
        <v/>
      </c>
      <c r="D180" s="472" t="str">
        <f ca="1">IFERROR(__xludf.DUMMYFUNCTION("""COMPUTED_VALUE"""),"")</f>
        <v/>
      </c>
      <c r="E180" s="472" t="str">
        <f ca="1">IFERROR(__xludf.DUMMYFUNCTION("""COMPUTED_VALUE"""),"")</f>
        <v/>
      </c>
      <c r="F180" s="472" t="str">
        <f ca="1">IFERROR(__xludf.DUMMYFUNCTION("""COMPUTED_VALUE"""),"")</f>
        <v/>
      </c>
      <c r="G180" s="472" t="str">
        <f ca="1">IFERROR(__xludf.DUMMYFUNCTION("""COMPUTED_VALUE"""),"")</f>
        <v/>
      </c>
      <c r="H180" s="472" t="str">
        <f ca="1">IFERROR(__xludf.DUMMYFUNCTION("""COMPUTED_VALUE"""),"")</f>
        <v/>
      </c>
      <c r="I180" s="472" t="str">
        <f ca="1">IFERROR(__xludf.DUMMYFUNCTION("""COMPUTED_VALUE"""),"")</f>
        <v/>
      </c>
      <c r="J180" s="472" t="str">
        <f ca="1">IFERROR(__xludf.DUMMYFUNCTION("""COMPUTED_VALUE"""),"")</f>
        <v/>
      </c>
    </row>
    <row r="181" spans="1:10" ht="15.75">
      <c r="A181" s="472" t="str">
        <f ca="1">IFERROR(__xludf.DUMMYFUNCTION("""COMPUTED_VALUE"""),"")</f>
        <v/>
      </c>
      <c r="B181" s="472" t="str">
        <f ca="1">IFERROR(__xludf.DUMMYFUNCTION("""COMPUTED_VALUE"""),"")</f>
        <v/>
      </c>
      <c r="C181" s="472" t="str">
        <f ca="1">IFERROR(__xludf.DUMMYFUNCTION("""COMPUTED_VALUE"""),"")</f>
        <v/>
      </c>
      <c r="D181" s="472" t="str">
        <f ca="1">IFERROR(__xludf.DUMMYFUNCTION("""COMPUTED_VALUE"""),"")</f>
        <v/>
      </c>
      <c r="E181" s="472" t="str">
        <f ca="1">IFERROR(__xludf.DUMMYFUNCTION("""COMPUTED_VALUE"""),"")</f>
        <v/>
      </c>
      <c r="F181" s="472" t="str">
        <f ca="1">IFERROR(__xludf.DUMMYFUNCTION("""COMPUTED_VALUE"""),"")</f>
        <v/>
      </c>
      <c r="G181" s="472" t="str">
        <f ca="1">IFERROR(__xludf.DUMMYFUNCTION("""COMPUTED_VALUE"""),"")</f>
        <v/>
      </c>
      <c r="H181" s="472" t="str">
        <f ca="1">IFERROR(__xludf.DUMMYFUNCTION("""COMPUTED_VALUE"""),"")</f>
        <v/>
      </c>
      <c r="I181" s="472" t="str">
        <f ca="1">IFERROR(__xludf.DUMMYFUNCTION("""COMPUTED_VALUE"""),"")</f>
        <v/>
      </c>
      <c r="J181" s="472" t="str">
        <f ca="1">IFERROR(__xludf.DUMMYFUNCTION("""COMPUTED_VALUE"""),"")</f>
        <v/>
      </c>
    </row>
    <row r="182" spans="1:10" ht="15.75">
      <c r="A182" s="472" t="str">
        <f ca="1">IFERROR(__xludf.DUMMYFUNCTION("""COMPUTED_VALUE"""),"")</f>
        <v/>
      </c>
      <c r="B182" s="472" t="str">
        <f ca="1">IFERROR(__xludf.DUMMYFUNCTION("""COMPUTED_VALUE"""),"")</f>
        <v/>
      </c>
      <c r="C182" s="472" t="str">
        <f ca="1">IFERROR(__xludf.DUMMYFUNCTION("""COMPUTED_VALUE"""),"")</f>
        <v/>
      </c>
      <c r="D182" s="472" t="str">
        <f ca="1">IFERROR(__xludf.DUMMYFUNCTION("""COMPUTED_VALUE"""),"")</f>
        <v/>
      </c>
      <c r="E182" s="472" t="str">
        <f ca="1">IFERROR(__xludf.DUMMYFUNCTION("""COMPUTED_VALUE"""),"")</f>
        <v/>
      </c>
      <c r="F182" s="472" t="str">
        <f ca="1">IFERROR(__xludf.DUMMYFUNCTION("""COMPUTED_VALUE"""),"")</f>
        <v/>
      </c>
      <c r="G182" s="472" t="str">
        <f ca="1">IFERROR(__xludf.DUMMYFUNCTION("""COMPUTED_VALUE"""),"")</f>
        <v/>
      </c>
      <c r="H182" s="472" t="str">
        <f ca="1">IFERROR(__xludf.DUMMYFUNCTION("""COMPUTED_VALUE"""),"")</f>
        <v/>
      </c>
      <c r="I182" s="472" t="str">
        <f ca="1">IFERROR(__xludf.DUMMYFUNCTION("""COMPUTED_VALUE"""),"")</f>
        <v/>
      </c>
      <c r="J182" s="472" t="str">
        <f ca="1">IFERROR(__xludf.DUMMYFUNCTION("""COMPUTED_VALUE"""),"")</f>
        <v/>
      </c>
    </row>
    <row r="183" spans="1:10" ht="15.75">
      <c r="A183" s="472" t="str">
        <f ca="1">IFERROR(__xludf.DUMMYFUNCTION("""COMPUTED_VALUE"""),"")</f>
        <v/>
      </c>
      <c r="B183" s="472" t="str">
        <f ca="1">IFERROR(__xludf.DUMMYFUNCTION("""COMPUTED_VALUE"""),"")</f>
        <v/>
      </c>
      <c r="C183" s="472" t="str">
        <f ca="1">IFERROR(__xludf.DUMMYFUNCTION("""COMPUTED_VALUE"""),"")</f>
        <v/>
      </c>
      <c r="D183" s="472" t="str">
        <f ca="1">IFERROR(__xludf.DUMMYFUNCTION("""COMPUTED_VALUE"""),"")</f>
        <v/>
      </c>
      <c r="E183" s="472" t="str">
        <f ca="1">IFERROR(__xludf.DUMMYFUNCTION("""COMPUTED_VALUE"""),"")</f>
        <v/>
      </c>
      <c r="F183" s="472" t="str">
        <f ca="1">IFERROR(__xludf.DUMMYFUNCTION("""COMPUTED_VALUE"""),"")</f>
        <v/>
      </c>
      <c r="G183" s="472" t="str">
        <f ca="1">IFERROR(__xludf.DUMMYFUNCTION("""COMPUTED_VALUE"""),"")</f>
        <v/>
      </c>
      <c r="H183" s="472" t="str">
        <f ca="1">IFERROR(__xludf.DUMMYFUNCTION("""COMPUTED_VALUE"""),"")</f>
        <v/>
      </c>
      <c r="I183" s="472" t="str">
        <f ca="1">IFERROR(__xludf.DUMMYFUNCTION("""COMPUTED_VALUE"""),"")</f>
        <v/>
      </c>
      <c r="J183" s="472" t="str">
        <f ca="1">IFERROR(__xludf.DUMMYFUNCTION("""COMPUTED_VALUE"""),"")</f>
        <v/>
      </c>
    </row>
    <row r="184" spans="1:10" ht="15.75">
      <c r="A184" s="472" t="str">
        <f ca="1">IFERROR(__xludf.DUMMYFUNCTION("""COMPUTED_VALUE"""),"")</f>
        <v/>
      </c>
      <c r="B184" s="472" t="str">
        <f ca="1">IFERROR(__xludf.DUMMYFUNCTION("""COMPUTED_VALUE"""),"")</f>
        <v/>
      </c>
      <c r="C184" s="472" t="str">
        <f ca="1">IFERROR(__xludf.DUMMYFUNCTION("""COMPUTED_VALUE"""),"")</f>
        <v/>
      </c>
      <c r="D184" s="472" t="str">
        <f ca="1">IFERROR(__xludf.DUMMYFUNCTION("""COMPUTED_VALUE"""),"")</f>
        <v/>
      </c>
      <c r="E184" s="472" t="str">
        <f ca="1">IFERROR(__xludf.DUMMYFUNCTION("""COMPUTED_VALUE"""),"")</f>
        <v/>
      </c>
      <c r="F184" s="472" t="str">
        <f ca="1">IFERROR(__xludf.DUMMYFUNCTION("""COMPUTED_VALUE"""),"")</f>
        <v/>
      </c>
      <c r="G184" s="472" t="str">
        <f ca="1">IFERROR(__xludf.DUMMYFUNCTION("""COMPUTED_VALUE"""),"")</f>
        <v/>
      </c>
      <c r="H184" s="472" t="str">
        <f ca="1">IFERROR(__xludf.DUMMYFUNCTION("""COMPUTED_VALUE"""),"")</f>
        <v/>
      </c>
      <c r="I184" s="472" t="str">
        <f ca="1">IFERROR(__xludf.DUMMYFUNCTION("""COMPUTED_VALUE"""),"")</f>
        <v/>
      </c>
      <c r="J184" s="472" t="str">
        <f ca="1">IFERROR(__xludf.DUMMYFUNCTION("""COMPUTED_VALUE"""),"")</f>
        <v/>
      </c>
    </row>
    <row r="185" spans="1:10" ht="15.75">
      <c r="A185" s="472" t="str">
        <f ca="1">IFERROR(__xludf.DUMMYFUNCTION("""COMPUTED_VALUE"""),"")</f>
        <v/>
      </c>
      <c r="B185" s="472" t="str">
        <f ca="1">IFERROR(__xludf.DUMMYFUNCTION("""COMPUTED_VALUE"""),"")</f>
        <v/>
      </c>
      <c r="C185" s="472" t="str">
        <f ca="1">IFERROR(__xludf.DUMMYFUNCTION("""COMPUTED_VALUE"""),"")</f>
        <v/>
      </c>
      <c r="D185" s="472" t="str">
        <f ca="1">IFERROR(__xludf.DUMMYFUNCTION("""COMPUTED_VALUE"""),"")</f>
        <v/>
      </c>
      <c r="E185" s="472" t="str">
        <f ca="1">IFERROR(__xludf.DUMMYFUNCTION("""COMPUTED_VALUE"""),"")</f>
        <v/>
      </c>
      <c r="F185" s="472" t="str">
        <f ca="1">IFERROR(__xludf.DUMMYFUNCTION("""COMPUTED_VALUE"""),"")</f>
        <v/>
      </c>
      <c r="G185" s="472" t="str">
        <f ca="1">IFERROR(__xludf.DUMMYFUNCTION("""COMPUTED_VALUE"""),"")</f>
        <v/>
      </c>
      <c r="H185" s="472" t="str">
        <f ca="1">IFERROR(__xludf.DUMMYFUNCTION("""COMPUTED_VALUE"""),"")</f>
        <v/>
      </c>
      <c r="I185" s="472" t="str">
        <f ca="1">IFERROR(__xludf.DUMMYFUNCTION("""COMPUTED_VALUE"""),"")</f>
        <v/>
      </c>
      <c r="J185" s="472" t="str">
        <f ca="1">IFERROR(__xludf.DUMMYFUNCTION("""COMPUTED_VALUE"""),"")</f>
        <v/>
      </c>
    </row>
    <row r="186" spans="1:10" ht="15.75">
      <c r="A186" s="472" t="str">
        <f ca="1">IFERROR(__xludf.DUMMYFUNCTION("""COMPUTED_VALUE"""),"")</f>
        <v/>
      </c>
      <c r="B186" s="472" t="str">
        <f ca="1">IFERROR(__xludf.DUMMYFUNCTION("""COMPUTED_VALUE"""),"")</f>
        <v/>
      </c>
      <c r="C186" s="472" t="str">
        <f ca="1">IFERROR(__xludf.DUMMYFUNCTION("""COMPUTED_VALUE"""),"")</f>
        <v/>
      </c>
      <c r="D186" s="472" t="str">
        <f ca="1">IFERROR(__xludf.DUMMYFUNCTION("""COMPUTED_VALUE"""),"")</f>
        <v/>
      </c>
      <c r="E186" s="472" t="str">
        <f ca="1">IFERROR(__xludf.DUMMYFUNCTION("""COMPUTED_VALUE"""),"")</f>
        <v/>
      </c>
      <c r="F186" s="472" t="str">
        <f ca="1">IFERROR(__xludf.DUMMYFUNCTION("""COMPUTED_VALUE"""),"")</f>
        <v/>
      </c>
      <c r="G186" s="472" t="str">
        <f ca="1">IFERROR(__xludf.DUMMYFUNCTION("""COMPUTED_VALUE"""),"")</f>
        <v/>
      </c>
      <c r="H186" s="472" t="str">
        <f ca="1">IFERROR(__xludf.DUMMYFUNCTION("""COMPUTED_VALUE"""),"")</f>
        <v/>
      </c>
      <c r="I186" s="472" t="str">
        <f ca="1">IFERROR(__xludf.DUMMYFUNCTION("""COMPUTED_VALUE"""),"")</f>
        <v/>
      </c>
      <c r="J186" s="472" t="str">
        <f ca="1">IFERROR(__xludf.DUMMYFUNCTION("""COMPUTED_VALUE"""),"")</f>
        <v/>
      </c>
    </row>
    <row r="187" spans="1:10" ht="15.75">
      <c r="A187" s="472" t="str">
        <f ca="1">IFERROR(__xludf.DUMMYFUNCTION("""COMPUTED_VALUE"""),"")</f>
        <v/>
      </c>
      <c r="B187" s="472" t="str">
        <f ca="1">IFERROR(__xludf.DUMMYFUNCTION("""COMPUTED_VALUE"""),"")</f>
        <v/>
      </c>
      <c r="C187" s="472" t="str">
        <f ca="1">IFERROR(__xludf.DUMMYFUNCTION("""COMPUTED_VALUE"""),"")</f>
        <v/>
      </c>
      <c r="D187" s="472" t="str">
        <f ca="1">IFERROR(__xludf.DUMMYFUNCTION("""COMPUTED_VALUE"""),"")</f>
        <v/>
      </c>
      <c r="E187" s="472" t="str">
        <f ca="1">IFERROR(__xludf.DUMMYFUNCTION("""COMPUTED_VALUE"""),"")</f>
        <v/>
      </c>
      <c r="F187" s="472" t="str">
        <f ca="1">IFERROR(__xludf.DUMMYFUNCTION("""COMPUTED_VALUE"""),"")</f>
        <v/>
      </c>
      <c r="G187" s="472" t="str">
        <f ca="1">IFERROR(__xludf.DUMMYFUNCTION("""COMPUTED_VALUE"""),"")</f>
        <v/>
      </c>
      <c r="H187" s="472" t="str">
        <f ca="1">IFERROR(__xludf.DUMMYFUNCTION("""COMPUTED_VALUE"""),"")</f>
        <v/>
      </c>
      <c r="I187" s="472" t="str">
        <f ca="1">IFERROR(__xludf.DUMMYFUNCTION("""COMPUTED_VALUE"""),"")</f>
        <v/>
      </c>
      <c r="J187" s="472" t="str">
        <f ca="1">IFERROR(__xludf.DUMMYFUNCTION("""COMPUTED_VALUE"""),"")</f>
        <v/>
      </c>
    </row>
    <row r="188" spans="1:10" ht="15.75">
      <c r="A188" s="472" t="str">
        <f ca="1">IFERROR(__xludf.DUMMYFUNCTION("""COMPUTED_VALUE"""),"")</f>
        <v/>
      </c>
      <c r="B188" s="472" t="str">
        <f ca="1">IFERROR(__xludf.DUMMYFUNCTION("""COMPUTED_VALUE"""),"")</f>
        <v/>
      </c>
      <c r="C188" s="472" t="str">
        <f ca="1">IFERROR(__xludf.DUMMYFUNCTION("""COMPUTED_VALUE"""),"")</f>
        <v/>
      </c>
      <c r="D188" s="472" t="str">
        <f ca="1">IFERROR(__xludf.DUMMYFUNCTION("""COMPUTED_VALUE"""),"")</f>
        <v/>
      </c>
      <c r="E188" s="472" t="str">
        <f ca="1">IFERROR(__xludf.DUMMYFUNCTION("""COMPUTED_VALUE"""),"")</f>
        <v/>
      </c>
      <c r="F188" s="472" t="str">
        <f ca="1">IFERROR(__xludf.DUMMYFUNCTION("""COMPUTED_VALUE"""),"")</f>
        <v/>
      </c>
      <c r="G188" s="472" t="str">
        <f ca="1">IFERROR(__xludf.DUMMYFUNCTION("""COMPUTED_VALUE"""),"")</f>
        <v/>
      </c>
      <c r="H188" s="472" t="str">
        <f ca="1">IFERROR(__xludf.DUMMYFUNCTION("""COMPUTED_VALUE"""),"")</f>
        <v/>
      </c>
      <c r="I188" s="472" t="str">
        <f ca="1">IFERROR(__xludf.DUMMYFUNCTION("""COMPUTED_VALUE"""),"")</f>
        <v/>
      </c>
      <c r="J188" s="472" t="str">
        <f ca="1">IFERROR(__xludf.DUMMYFUNCTION("""COMPUTED_VALUE"""),"")</f>
        <v/>
      </c>
    </row>
    <row r="189" spans="1:10" ht="15.75">
      <c r="A189" s="472" t="str">
        <f ca="1">IFERROR(__xludf.DUMMYFUNCTION("""COMPUTED_VALUE"""),"")</f>
        <v/>
      </c>
      <c r="B189" s="472" t="str">
        <f ca="1">IFERROR(__xludf.DUMMYFUNCTION("""COMPUTED_VALUE"""),"")</f>
        <v/>
      </c>
      <c r="C189" s="472" t="str">
        <f ca="1">IFERROR(__xludf.DUMMYFUNCTION("""COMPUTED_VALUE"""),"")</f>
        <v/>
      </c>
      <c r="D189" s="472" t="str">
        <f ca="1">IFERROR(__xludf.DUMMYFUNCTION("""COMPUTED_VALUE"""),"")</f>
        <v/>
      </c>
      <c r="E189" s="472" t="str">
        <f ca="1">IFERROR(__xludf.DUMMYFUNCTION("""COMPUTED_VALUE"""),"")</f>
        <v/>
      </c>
      <c r="F189" s="472" t="str">
        <f ca="1">IFERROR(__xludf.DUMMYFUNCTION("""COMPUTED_VALUE"""),"")</f>
        <v/>
      </c>
      <c r="G189" s="472" t="str">
        <f ca="1">IFERROR(__xludf.DUMMYFUNCTION("""COMPUTED_VALUE"""),"")</f>
        <v/>
      </c>
      <c r="H189" s="472" t="str">
        <f ca="1">IFERROR(__xludf.DUMMYFUNCTION("""COMPUTED_VALUE"""),"")</f>
        <v/>
      </c>
      <c r="I189" s="472" t="str">
        <f ca="1">IFERROR(__xludf.DUMMYFUNCTION("""COMPUTED_VALUE"""),"")</f>
        <v/>
      </c>
      <c r="J189" s="472" t="str">
        <f ca="1">IFERROR(__xludf.DUMMYFUNCTION("""COMPUTED_VALUE"""),"")</f>
        <v/>
      </c>
    </row>
    <row r="190" spans="1:10" ht="15.75">
      <c r="A190" s="472" t="str">
        <f ca="1">IFERROR(__xludf.DUMMYFUNCTION("""COMPUTED_VALUE"""),"")</f>
        <v/>
      </c>
      <c r="B190" s="472" t="str">
        <f ca="1">IFERROR(__xludf.DUMMYFUNCTION("""COMPUTED_VALUE"""),"")</f>
        <v/>
      </c>
      <c r="C190" s="472" t="str">
        <f ca="1">IFERROR(__xludf.DUMMYFUNCTION("""COMPUTED_VALUE"""),"")</f>
        <v/>
      </c>
      <c r="D190" s="472" t="str">
        <f ca="1">IFERROR(__xludf.DUMMYFUNCTION("""COMPUTED_VALUE"""),"")</f>
        <v/>
      </c>
      <c r="E190" s="472" t="str">
        <f ca="1">IFERROR(__xludf.DUMMYFUNCTION("""COMPUTED_VALUE"""),"")</f>
        <v/>
      </c>
      <c r="F190" s="472" t="str">
        <f ca="1">IFERROR(__xludf.DUMMYFUNCTION("""COMPUTED_VALUE"""),"")</f>
        <v/>
      </c>
      <c r="G190" s="472" t="str">
        <f ca="1">IFERROR(__xludf.DUMMYFUNCTION("""COMPUTED_VALUE"""),"")</f>
        <v/>
      </c>
      <c r="H190" s="472" t="str">
        <f ca="1">IFERROR(__xludf.DUMMYFUNCTION("""COMPUTED_VALUE"""),"")</f>
        <v/>
      </c>
      <c r="I190" s="472" t="str">
        <f ca="1">IFERROR(__xludf.DUMMYFUNCTION("""COMPUTED_VALUE"""),"")</f>
        <v/>
      </c>
      <c r="J190" s="472" t="str">
        <f ca="1">IFERROR(__xludf.DUMMYFUNCTION("""COMPUTED_VALUE"""),"")</f>
        <v/>
      </c>
    </row>
    <row r="191" spans="1:10" ht="15.75">
      <c r="A191" s="472" t="str">
        <f ca="1">IFERROR(__xludf.DUMMYFUNCTION("""COMPUTED_VALUE"""),"")</f>
        <v/>
      </c>
      <c r="B191" s="472" t="str">
        <f ca="1">IFERROR(__xludf.DUMMYFUNCTION("""COMPUTED_VALUE"""),"")</f>
        <v/>
      </c>
      <c r="C191" s="472" t="str">
        <f ca="1">IFERROR(__xludf.DUMMYFUNCTION("""COMPUTED_VALUE"""),"")</f>
        <v/>
      </c>
      <c r="D191" s="472" t="str">
        <f ca="1">IFERROR(__xludf.DUMMYFUNCTION("""COMPUTED_VALUE"""),"")</f>
        <v/>
      </c>
      <c r="E191" s="472" t="str">
        <f ca="1">IFERROR(__xludf.DUMMYFUNCTION("""COMPUTED_VALUE"""),"")</f>
        <v/>
      </c>
      <c r="F191" s="472" t="str">
        <f ca="1">IFERROR(__xludf.DUMMYFUNCTION("""COMPUTED_VALUE"""),"")</f>
        <v/>
      </c>
      <c r="G191" s="472" t="str">
        <f ca="1">IFERROR(__xludf.DUMMYFUNCTION("""COMPUTED_VALUE"""),"")</f>
        <v/>
      </c>
      <c r="H191" s="472" t="str">
        <f ca="1">IFERROR(__xludf.DUMMYFUNCTION("""COMPUTED_VALUE"""),"")</f>
        <v/>
      </c>
      <c r="I191" s="472" t="str">
        <f ca="1">IFERROR(__xludf.DUMMYFUNCTION("""COMPUTED_VALUE"""),"")</f>
        <v/>
      </c>
      <c r="J191" s="472" t="str">
        <f ca="1">IFERROR(__xludf.DUMMYFUNCTION("""COMPUTED_VALUE"""),"")</f>
        <v/>
      </c>
    </row>
    <row r="192" spans="1:10" ht="15.75">
      <c r="A192" s="472" t="str">
        <f ca="1">IFERROR(__xludf.DUMMYFUNCTION("""COMPUTED_VALUE"""),"")</f>
        <v/>
      </c>
      <c r="B192" s="472" t="str">
        <f ca="1">IFERROR(__xludf.DUMMYFUNCTION("""COMPUTED_VALUE"""),"")</f>
        <v/>
      </c>
      <c r="C192" s="472" t="str">
        <f ca="1">IFERROR(__xludf.DUMMYFUNCTION("""COMPUTED_VALUE"""),"")</f>
        <v/>
      </c>
      <c r="D192" s="472" t="str">
        <f ca="1">IFERROR(__xludf.DUMMYFUNCTION("""COMPUTED_VALUE"""),"")</f>
        <v/>
      </c>
      <c r="E192" s="472" t="str">
        <f ca="1">IFERROR(__xludf.DUMMYFUNCTION("""COMPUTED_VALUE"""),"")</f>
        <v/>
      </c>
      <c r="F192" s="472" t="str">
        <f ca="1">IFERROR(__xludf.DUMMYFUNCTION("""COMPUTED_VALUE"""),"")</f>
        <v/>
      </c>
      <c r="G192" s="472" t="str">
        <f ca="1">IFERROR(__xludf.DUMMYFUNCTION("""COMPUTED_VALUE"""),"")</f>
        <v/>
      </c>
      <c r="H192" s="472" t="str">
        <f ca="1">IFERROR(__xludf.DUMMYFUNCTION("""COMPUTED_VALUE"""),"")</f>
        <v/>
      </c>
      <c r="I192" s="472" t="str">
        <f ca="1">IFERROR(__xludf.DUMMYFUNCTION("""COMPUTED_VALUE"""),"")</f>
        <v/>
      </c>
      <c r="J192" s="472" t="str">
        <f ca="1">IFERROR(__xludf.DUMMYFUNCTION("""COMPUTED_VALUE"""),"")</f>
        <v/>
      </c>
    </row>
    <row r="193" spans="1:10" ht="15.75">
      <c r="A193" s="472" t="str">
        <f ca="1">IFERROR(__xludf.DUMMYFUNCTION("""COMPUTED_VALUE"""),"")</f>
        <v/>
      </c>
      <c r="B193" s="472" t="str">
        <f ca="1">IFERROR(__xludf.DUMMYFUNCTION("""COMPUTED_VALUE"""),"")</f>
        <v/>
      </c>
      <c r="C193" s="472" t="str">
        <f ca="1">IFERROR(__xludf.DUMMYFUNCTION("""COMPUTED_VALUE"""),"")</f>
        <v/>
      </c>
      <c r="D193" s="472" t="str">
        <f ca="1">IFERROR(__xludf.DUMMYFUNCTION("""COMPUTED_VALUE"""),"")</f>
        <v/>
      </c>
      <c r="E193" s="472" t="str">
        <f ca="1">IFERROR(__xludf.DUMMYFUNCTION("""COMPUTED_VALUE"""),"")</f>
        <v/>
      </c>
      <c r="F193" s="472" t="str">
        <f ca="1">IFERROR(__xludf.DUMMYFUNCTION("""COMPUTED_VALUE"""),"")</f>
        <v/>
      </c>
      <c r="G193" s="472" t="str">
        <f ca="1">IFERROR(__xludf.DUMMYFUNCTION("""COMPUTED_VALUE"""),"")</f>
        <v/>
      </c>
      <c r="H193" s="472" t="str">
        <f ca="1">IFERROR(__xludf.DUMMYFUNCTION("""COMPUTED_VALUE"""),"")</f>
        <v/>
      </c>
      <c r="I193" s="472" t="str">
        <f ca="1">IFERROR(__xludf.DUMMYFUNCTION("""COMPUTED_VALUE"""),"")</f>
        <v/>
      </c>
      <c r="J193" s="472" t="str">
        <f ca="1">IFERROR(__xludf.DUMMYFUNCTION("""COMPUTED_VALUE"""),"")</f>
        <v/>
      </c>
    </row>
    <row r="194" spans="1:10" ht="15.75">
      <c r="A194" s="472" t="str">
        <f ca="1">IFERROR(__xludf.DUMMYFUNCTION("""COMPUTED_VALUE"""),"")</f>
        <v/>
      </c>
      <c r="B194" s="472" t="str">
        <f ca="1">IFERROR(__xludf.DUMMYFUNCTION("""COMPUTED_VALUE"""),"")</f>
        <v/>
      </c>
      <c r="C194" s="472" t="str">
        <f ca="1">IFERROR(__xludf.DUMMYFUNCTION("""COMPUTED_VALUE"""),"")</f>
        <v/>
      </c>
      <c r="D194" s="472" t="str">
        <f ca="1">IFERROR(__xludf.DUMMYFUNCTION("""COMPUTED_VALUE"""),"")</f>
        <v/>
      </c>
      <c r="E194" s="472" t="str">
        <f ca="1">IFERROR(__xludf.DUMMYFUNCTION("""COMPUTED_VALUE"""),"")</f>
        <v/>
      </c>
      <c r="F194" s="472" t="str">
        <f ca="1">IFERROR(__xludf.DUMMYFUNCTION("""COMPUTED_VALUE"""),"")</f>
        <v/>
      </c>
      <c r="G194" s="472" t="str">
        <f ca="1">IFERROR(__xludf.DUMMYFUNCTION("""COMPUTED_VALUE"""),"")</f>
        <v/>
      </c>
      <c r="H194" s="472" t="str">
        <f ca="1">IFERROR(__xludf.DUMMYFUNCTION("""COMPUTED_VALUE"""),"")</f>
        <v/>
      </c>
      <c r="I194" s="472" t="str">
        <f ca="1">IFERROR(__xludf.DUMMYFUNCTION("""COMPUTED_VALUE"""),"")</f>
        <v/>
      </c>
      <c r="J194" s="472" t="str">
        <f ca="1">IFERROR(__xludf.DUMMYFUNCTION("""COMPUTED_VALUE"""),"")</f>
        <v/>
      </c>
    </row>
    <row r="195" spans="1:10" ht="15.75">
      <c r="A195" s="472" t="str">
        <f ca="1">IFERROR(__xludf.DUMMYFUNCTION("""COMPUTED_VALUE"""),"")</f>
        <v/>
      </c>
      <c r="B195" s="472" t="str">
        <f ca="1">IFERROR(__xludf.DUMMYFUNCTION("""COMPUTED_VALUE"""),"")</f>
        <v/>
      </c>
      <c r="C195" s="472" t="str">
        <f ca="1">IFERROR(__xludf.DUMMYFUNCTION("""COMPUTED_VALUE"""),"")</f>
        <v/>
      </c>
      <c r="D195" s="472" t="str">
        <f ca="1">IFERROR(__xludf.DUMMYFUNCTION("""COMPUTED_VALUE"""),"")</f>
        <v/>
      </c>
      <c r="E195" s="472" t="str">
        <f ca="1">IFERROR(__xludf.DUMMYFUNCTION("""COMPUTED_VALUE"""),"")</f>
        <v/>
      </c>
      <c r="F195" s="472" t="str">
        <f ca="1">IFERROR(__xludf.DUMMYFUNCTION("""COMPUTED_VALUE"""),"")</f>
        <v/>
      </c>
      <c r="G195" s="472" t="str">
        <f ca="1">IFERROR(__xludf.DUMMYFUNCTION("""COMPUTED_VALUE"""),"")</f>
        <v/>
      </c>
      <c r="H195" s="472" t="str">
        <f ca="1">IFERROR(__xludf.DUMMYFUNCTION("""COMPUTED_VALUE"""),"")</f>
        <v/>
      </c>
      <c r="I195" s="472" t="str">
        <f ca="1">IFERROR(__xludf.DUMMYFUNCTION("""COMPUTED_VALUE"""),"")</f>
        <v/>
      </c>
      <c r="J195" s="472" t="str">
        <f ca="1">IFERROR(__xludf.DUMMYFUNCTION("""COMPUTED_VALUE"""),"")</f>
        <v/>
      </c>
    </row>
    <row r="196" spans="1:10" ht="15.75">
      <c r="A196" s="472" t="str">
        <f ca="1">IFERROR(__xludf.DUMMYFUNCTION("""COMPUTED_VALUE"""),"")</f>
        <v/>
      </c>
      <c r="B196" s="472" t="str">
        <f ca="1">IFERROR(__xludf.DUMMYFUNCTION("""COMPUTED_VALUE"""),"")</f>
        <v/>
      </c>
      <c r="C196" s="472" t="str">
        <f ca="1">IFERROR(__xludf.DUMMYFUNCTION("""COMPUTED_VALUE"""),"")</f>
        <v/>
      </c>
      <c r="D196" s="472" t="str">
        <f ca="1">IFERROR(__xludf.DUMMYFUNCTION("""COMPUTED_VALUE"""),"")</f>
        <v/>
      </c>
      <c r="E196" s="472" t="str">
        <f ca="1">IFERROR(__xludf.DUMMYFUNCTION("""COMPUTED_VALUE"""),"")</f>
        <v/>
      </c>
      <c r="F196" s="472" t="str">
        <f ca="1">IFERROR(__xludf.DUMMYFUNCTION("""COMPUTED_VALUE"""),"")</f>
        <v/>
      </c>
      <c r="G196" s="472" t="str">
        <f ca="1">IFERROR(__xludf.DUMMYFUNCTION("""COMPUTED_VALUE"""),"")</f>
        <v/>
      </c>
      <c r="H196" s="472" t="str">
        <f ca="1">IFERROR(__xludf.DUMMYFUNCTION("""COMPUTED_VALUE"""),"")</f>
        <v/>
      </c>
      <c r="I196" s="472" t="str">
        <f ca="1">IFERROR(__xludf.DUMMYFUNCTION("""COMPUTED_VALUE"""),"")</f>
        <v/>
      </c>
      <c r="J196" s="472" t="str">
        <f ca="1">IFERROR(__xludf.DUMMYFUNCTION("""COMPUTED_VALUE"""),"")</f>
        <v/>
      </c>
    </row>
    <row r="197" spans="1:10" ht="15.75">
      <c r="A197" s="472" t="str">
        <f ca="1">IFERROR(__xludf.DUMMYFUNCTION("""COMPUTED_VALUE"""),"")</f>
        <v/>
      </c>
      <c r="B197" s="472" t="str">
        <f ca="1">IFERROR(__xludf.DUMMYFUNCTION("""COMPUTED_VALUE"""),"")</f>
        <v/>
      </c>
      <c r="C197" s="472" t="str">
        <f ca="1">IFERROR(__xludf.DUMMYFUNCTION("""COMPUTED_VALUE"""),"")</f>
        <v/>
      </c>
      <c r="D197" s="472" t="str">
        <f ca="1">IFERROR(__xludf.DUMMYFUNCTION("""COMPUTED_VALUE"""),"")</f>
        <v/>
      </c>
      <c r="E197" s="472" t="str">
        <f ca="1">IFERROR(__xludf.DUMMYFUNCTION("""COMPUTED_VALUE"""),"")</f>
        <v/>
      </c>
      <c r="F197" s="472" t="str">
        <f ca="1">IFERROR(__xludf.DUMMYFUNCTION("""COMPUTED_VALUE"""),"")</f>
        <v/>
      </c>
      <c r="G197" s="472" t="str">
        <f ca="1">IFERROR(__xludf.DUMMYFUNCTION("""COMPUTED_VALUE"""),"")</f>
        <v/>
      </c>
      <c r="H197" s="472" t="str">
        <f ca="1">IFERROR(__xludf.DUMMYFUNCTION("""COMPUTED_VALUE"""),"")</f>
        <v/>
      </c>
      <c r="I197" s="472" t="str">
        <f ca="1">IFERROR(__xludf.DUMMYFUNCTION("""COMPUTED_VALUE"""),"")</f>
        <v/>
      </c>
      <c r="J197" s="472" t="str">
        <f ca="1">IFERROR(__xludf.DUMMYFUNCTION("""COMPUTED_VALUE"""),"")</f>
        <v/>
      </c>
    </row>
    <row r="198" spans="1:10" ht="15.75">
      <c r="A198" s="472" t="str">
        <f ca="1">IFERROR(__xludf.DUMMYFUNCTION("""COMPUTED_VALUE"""),"")</f>
        <v/>
      </c>
      <c r="B198" s="472" t="str">
        <f ca="1">IFERROR(__xludf.DUMMYFUNCTION("""COMPUTED_VALUE"""),"")</f>
        <v/>
      </c>
      <c r="C198" s="472" t="str">
        <f ca="1">IFERROR(__xludf.DUMMYFUNCTION("""COMPUTED_VALUE"""),"")</f>
        <v/>
      </c>
      <c r="D198" s="472" t="str">
        <f ca="1">IFERROR(__xludf.DUMMYFUNCTION("""COMPUTED_VALUE"""),"")</f>
        <v/>
      </c>
      <c r="E198" s="472" t="str">
        <f ca="1">IFERROR(__xludf.DUMMYFUNCTION("""COMPUTED_VALUE"""),"")</f>
        <v/>
      </c>
      <c r="F198" s="472" t="str">
        <f ca="1">IFERROR(__xludf.DUMMYFUNCTION("""COMPUTED_VALUE"""),"")</f>
        <v/>
      </c>
      <c r="G198" s="472" t="str">
        <f ca="1">IFERROR(__xludf.DUMMYFUNCTION("""COMPUTED_VALUE"""),"")</f>
        <v/>
      </c>
      <c r="H198" s="472" t="str">
        <f ca="1">IFERROR(__xludf.DUMMYFUNCTION("""COMPUTED_VALUE"""),"")</f>
        <v/>
      </c>
      <c r="I198" s="472" t="str">
        <f ca="1">IFERROR(__xludf.DUMMYFUNCTION("""COMPUTED_VALUE"""),"")</f>
        <v/>
      </c>
      <c r="J198" s="472" t="str">
        <f ca="1">IFERROR(__xludf.DUMMYFUNCTION("""COMPUTED_VALUE"""),"")</f>
        <v/>
      </c>
    </row>
    <row r="199" spans="1:10" ht="15.75">
      <c r="A199" s="472" t="str">
        <f ca="1">IFERROR(__xludf.DUMMYFUNCTION("""COMPUTED_VALUE"""),"")</f>
        <v/>
      </c>
      <c r="B199" s="472" t="str">
        <f ca="1">IFERROR(__xludf.DUMMYFUNCTION("""COMPUTED_VALUE"""),"")</f>
        <v/>
      </c>
      <c r="C199" s="472" t="str">
        <f ca="1">IFERROR(__xludf.DUMMYFUNCTION("""COMPUTED_VALUE"""),"")</f>
        <v/>
      </c>
      <c r="D199" s="472" t="str">
        <f ca="1">IFERROR(__xludf.DUMMYFUNCTION("""COMPUTED_VALUE"""),"")</f>
        <v/>
      </c>
      <c r="E199" s="472" t="str">
        <f ca="1">IFERROR(__xludf.DUMMYFUNCTION("""COMPUTED_VALUE"""),"")</f>
        <v/>
      </c>
      <c r="F199" s="472" t="str">
        <f ca="1">IFERROR(__xludf.DUMMYFUNCTION("""COMPUTED_VALUE"""),"")</f>
        <v/>
      </c>
      <c r="G199" s="472" t="str">
        <f ca="1">IFERROR(__xludf.DUMMYFUNCTION("""COMPUTED_VALUE"""),"")</f>
        <v/>
      </c>
      <c r="H199" s="472" t="str">
        <f ca="1">IFERROR(__xludf.DUMMYFUNCTION("""COMPUTED_VALUE"""),"")</f>
        <v/>
      </c>
      <c r="I199" s="472" t="str">
        <f ca="1">IFERROR(__xludf.DUMMYFUNCTION("""COMPUTED_VALUE"""),"")</f>
        <v/>
      </c>
      <c r="J199" s="472" t="str">
        <f ca="1">IFERROR(__xludf.DUMMYFUNCTION("""COMPUTED_VALUE"""),"")</f>
        <v/>
      </c>
    </row>
    <row r="200" spans="1:10" ht="15.75">
      <c r="A200" s="472" t="str">
        <f ca="1">IFERROR(__xludf.DUMMYFUNCTION("""COMPUTED_VALUE"""),"")</f>
        <v/>
      </c>
      <c r="B200" s="472" t="str">
        <f ca="1">IFERROR(__xludf.DUMMYFUNCTION("""COMPUTED_VALUE"""),"")</f>
        <v/>
      </c>
      <c r="C200" s="472" t="str">
        <f ca="1">IFERROR(__xludf.DUMMYFUNCTION("""COMPUTED_VALUE"""),"")</f>
        <v/>
      </c>
      <c r="D200" s="472" t="str">
        <f ca="1">IFERROR(__xludf.DUMMYFUNCTION("""COMPUTED_VALUE"""),"")</f>
        <v/>
      </c>
      <c r="E200" s="472" t="str">
        <f ca="1">IFERROR(__xludf.DUMMYFUNCTION("""COMPUTED_VALUE"""),"")</f>
        <v/>
      </c>
      <c r="F200" s="472" t="str">
        <f ca="1">IFERROR(__xludf.DUMMYFUNCTION("""COMPUTED_VALUE"""),"")</f>
        <v/>
      </c>
      <c r="G200" s="472" t="str">
        <f ca="1">IFERROR(__xludf.DUMMYFUNCTION("""COMPUTED_VALUE"""),"")</f>
        <v/>
      </c>
      <c r="H200" s="472" t="str">
        <f ca="1">IFERROR(__xludf.DUMMYFUNCTION("""COMPUTED_VALUE"""),"")</f>
        <v/>
      </c>
      <c r="I200" s="472" t="str">
        <f ca="1">IFERROR(__xludf.DUMMYFUNCTION("""COMPUTED_VALUE"""),"")</f>
        <v/>
      </c>
      <c r="J200" s="472" t="str">
        <f ca="1">IFERROR(__xludf.DUMMYFUNCTION("""COMPUTED_VALUE"""),"")</f>
        <v/>
      </c>
    </row>
    <row r="201" spans="1:10" ht="15.75">
      <c r="A201" s="472" t="str">
        <f ca="1">IFERROR(__xludf.DUMMYFUNCTION("""COMPUTED_VALUE"""),"")</f>
        <v/>
      </c>
      <c r="B201" s="472" t="str">
        <f ca="1">IFERROR(__xludf.DUMMYFUNCTION("""COMPUTED_VALUE"""),"")</f>
        <v/>
      </c>
      <c r="C201" s="472" t="str">
        <f ca="1">IFERROR(__xludf.DUMMYFUNCTION("""COMPUTED_VALUE"""),"")</f>
        <v/>
      </c>
      <c r="D201" s="472" t="str">
        <f ca="1">IFERROR(__xludf.DUMMYFUNCTION("""COMPUTED_VALUE"""),"")</f>
        <v/>
      </c>
      <c r="E201" s="472" t="str">
        <f ca="1">IFERROR(__xludf.DUMMYFUNCTION("""COMPUTED_VALUE"""),"")</f>
        <v/>
      </c>
      <c r="F201" s="472" t="str">
        <f ca="1">IFERROR(__xludf.DUMMYFUNCTION("""COMPUTED_VALUE"""),"")</f>
        <v/>
      </c>
      <c r="G201" s="472" t="str">
        <f ca="1">IFERROR(__xludf.DUMMYFUNCTION("""COMPUTED_VALUE"""),"")</f>
        <v/>
      </c>
      <c r="H201" s="472" t="str">
        <f ca="1">IFERROR(__xludf.DUMMYFUNCTION("""COMPUTED_VALUE"""),"")</f>
        <v/>
      </c>
      <c r="I201" s="472" t="str">
        <f ca="1">IFERROR(__xludf.DUMMYFUNCTION("""COMPUTED_VALUE"""),"")</f>
        <v/>
      </c>
      <c r="J201" s="472" t="str">
        <f ca="1">IFERROR(__xludf.DUMMYFUNCTION("""COMPUTED_VALUE"""),"")</f>
        <v/>
      </c>
    </row>
    <row r="202" spans="1:10" ht="15.75">
      <c r="A202" s="472" t="str">
        <f ca="1">IFERROR(__xludf.DUMMYFUNCTION("""COMPUTED_VALUE"""),"")</f>
        <v/>
      </c>
      <c r="B202" s="472" t="str">
        <f ca="1">IFERROR(__xludf.DUMMYFUNCTION("""COMPUTED_VALUE"""),"")</f>
        <v/>
      </c>
      <c r="C202" s="472" t="str">
        <f ca="1">IFERROR(__xludf.DUMMYFUNCTION("""COMPUTED_VALUE"""),"")</f>
        <v/>
      </c>
      <c r="D202" s="472" t="str">
        <f ca="1">IFERROR(__xludf.DUMMYFUNCTION("""COMPUTED_VALUE"""),"")</f>
        <v/>
      </c>
      <c r="E202" s="472" t="str">
        <f ca="1">IFERROR(__xludf.DUMMYFUNCTION("""COMPUTED_VALUE"""),"")</f>
        <v/>
      </c>
      <c r="F202" s="472" t="str">
        <f ca="1">IFERROR(__xludf.DUMMYFUNCTION("""COMPUTED_VALUE"""),"")</f>
        <v/>
      </c>
      <c r="G202" s="472" t="str">
        <f ca="1">IFERROR(__xludf.DUMMYFUNCTION("""COMPUTED_VALUE"""),"")</f>
        <v/>
      </c>
      <c r="H202" s="472" t="str">
        <f ca="1">IFERROR(__xludf.DUMMYFUNCTION("""COMPUTED_VALUE"""),"")</f>
        <v/>
      </c>
      <c r="I202" s="472" t="str">
        <f ca="1">IFERROR(__xludf.DUMMYFUNCTION("""COMPUTED_VALUE"""),"")</f>
        <v/>
      </c>
      <c r="J202" s="472" t="str">
        <f ca="1">IFERROR(__xludf.DUMMYFUNCTION("""COMPUTED_VALUE"""),"")</f>
        <v/>
      </c>
    </row>
    <row r="203" spans="1:10" ht="15.75">
      <c r="A203" s="472" t="str">
        <f ca="1">IFERROR(__xludf.DUMMYFUNCTION("""COMPUTED_VALUE"""),"")</f>
        <v/>
      </c>
      <c r="B203" s="472" t="str">
        <f ca="1">IFERROR(__xludf.DUMMYFUNCTION("""COMPUTED_VALUE"""),"")</f>
        <v/>
      </c>
      <c r="C203" s="472" t="str">
        <f ca="1">IFERROR(__xludf.DUMMYFUNCTION("""COMPUTED_VALUE"""),"")</f>
        <v/>
      </c>
      <c r="D203" s="472" t="str">
        <f ca="1">IFERROR(__xludf.DUMMYFUNCTION("""COMPUTED_VALUE"""),"")</f>
        <v/>
      </c>
      <c r="E203" s="472" t="str">
        <f ca="1">IFERROR(__xludf.DUMMYFUNCTION("""COMPUTED_VALUE"""),"")</f>
        <v/>
      </c>
      <c r="F203" s="472" t="str">
        <f ca="1">IFERROR(__xludf.DUMMYFUNCTION("""COMPUTED_VALUE"""),"")</f>
        <v/>
      </c>
      <c r="G203" s="472" t="str">
        <f ca="1">IFERROR(__xludf.DUMMYFUNCTION("""COMPUTED_VALUE"""),"")</f>
        <v/>
      </c>
      <c r="H203" s="472" t="str">
        <f ca="1">IFERROR(__xludf.DUMMYFUNCTION("""COMPUTED_VALUE"""),"")</f>
        <v/>
      </c>
      <c r="I203" s="472" t="str">
        <f ca="1">IFERROR(__xludf.DUMMYFUNCTION("""COMPUTED_VALUE"""),"")</f>
        <v/>
      </c>
      <c r="J203" s="472" t="str">
        <f ca="1">IFERROR(__xludf.DUMMYFUNCTION("""COMPUTED_VALUE"""),"")</f>
        <v/>
      </c>
    </row>
    <row r="204" spans="1:10" ht="15.75">
      <c r="A204" s="472" t="str">
        <f ca="1">IFERROR(__xludf.DUMMYFUNCTION("""COMPUTED_VALUE"""),"")</f>
        <v/>
      </c>
      <c r="B204" s="472" t="str">
        <f ca="1">IFERROR(__xludf.DUMMYFUNCTION("""COMPUTED_VALUE"""),"")</f>
        <v/>
      </c>
      <c r="C204" s="472" t="str">
        <f ca="1">IFERROR(__xludf.DUMMYFUNCTION("""COMPUTED_VALUE"""),"")</f>
        <v/>
      </c>
      <c r="D204" s="472" t="str">
        <f ca="1">IFERROR(__xludf.DUMMYFUNCTION("""COMPUTED_VALUE"""),"")</f>
        <v/>
      </c>
      <c r="E204" s="472" t="str">
        <f ca="1">IFERROR(__xludf.DUMMYFUNCTION("""COMPUTED_VALUE"""),"")</f>
        <v/>
      </c>
      <c r="F204" s="472" t="str">
        <f ca="1">IFERROR(__xludf.DUMMYFUNCTION("""COMPUTED_VALUE"""),"")</f>
        <v/>
      </c>
      <c r="G204" s="472" t="str">
        <f ca="1">IFERROR(__xludf.DUMMYFUNCTION("""COMPUTED_VALUE"""),"")</f>
        <v/>
      </c>
      <c r="H204" s="472" t="str">
        <f ca="1">IFERROR(__xludf.DUMMYFUNCTION("""COMPUTED_VALUE"""),"")</f>
        <v/>
      </c>
      <c r="I204" s="472" t="str">
        <f ca="1">IFERROR(__xludf.DUMMYFUNCTION("""COMPUTED_VALUE"""),"")</f>
        <v/>
      </c>
      <c r="J204" s="472" t="str">
        <f ca="1">IFERROR(__xludf.DUMMYFUNCTION("""COMPUTED_VALUE"""),"")</f>
        <v/>
      </c>
    </row>
    <row r="205" spans="1:10" ht="15.75">
      <c r="A205" s="472" t="str">
        <f ca="1">IFERROR(__xludf.DUMMYFUNCTION("""COMPUTED_VALUE"""),"")</f>
        <v/>
      </c>
      <c r="B205" s="472" t="str">
        <f ca="1">IFERROR(__xludf.DUMMYFUNCTION("""COMPUTED_VALUE"""),"")</f>
        <v/>
      </c>
      <c r="C205" s="472" t="str">
        <f ca="1">IFERROR(__xludf.DUMMYFUNCTION("""COMPUTED_VALUE"""),"")</f>
        <v/>
      </c>
      <c r="D205" s="472" t="str">
        <f ca="1">IFERROR(__xludf.DUMMYFUNCTION("""COMPUTED_VALUE"""),"")</f>
        <v/>
      </c>
      <c r="E205" s="472" t="str">
        <f ca="1">IFERROR(__xludf.DUMMYFUNCTION("""COMPUTED_VALUE"""),"")</f>
        <v/>
      </c>
      <c r="F205" s="472" t="str">
        <f ca="1">IFERROR(__xludf.DUMMYFUNCTION("""COMPUTED_VALUE"""),"")</f>
        <v/>
      </c>
      <c r="G205" s="472" t="str">
        <f ca="1">IFERROR(__xludf.DUMMYFUNCTION("""COMPUTED_VALUE"""),"")</f>
        <v/>
      </c>
      <c r="H205" s="472" t="str">
        <f ca="1">IFERROR(__xludf.DUMMYFUNCTION("""COMPUTED_VALUE"""),"")</f>
        <v/>
      </c>
      <c r="I205" s="472" t="str">
        <f ca="1">IFERROR(__xludf.DUMMYFUNCTION("""COMPUTED_VALUE"""),"")</f>
        <v/>
      </c>
      <c r="J205" s="472" t="str">
        <f ca="1">IFERROR(__xludf.DUMMYFUNCTION("""COMPUTED_VALUE"""),"")</f>
        <v/>
      </c>
    </row>
    <row r="206" spans="1:10" ht="15.75">
      <c r="A206" s="472" t="str">
        <f ca="1">IFERROR(__xludf.DUMMYFUNCTION("""COMPUTED_VALUE"""),"")</f>
        <v/>
      </c>
      <c r="B206" s="472" t="str">
        <f ca="1">IFERROR(__xludf.DUMMYFUNCTION("""COMPUTED_VALUE"""),"")</f>
        <v/>
      </c>
      <c r="C206" s="472" t="str">
        <f ca="1">IFERROR(__xludf.DUMMYFUNCTION("""COMPUTED_VALUE"""),"")</f>
        <v/>
      </c>
      <c r="D206" s="472" t="str">
        <f ca="1">IFERROR(__xludf.DUMMYFUNCTION("""COMPUTED_VALUE"""),"")</f>
        <v/>
      </c>
      <c r="E206" s="472" t="str">
        <f ca="1">IFERROR(__xludf.DUMMYFUNCTION("""COMPUTED_VALUE"""),"")</f>
        <v/>
      </c>
      <c r="F206" s="472" t="str">
        <f ca="1">IFERROR(__xludf.DUMMYFUNCTION("""COMPUTED_VALUE"""),"")</f>
        <v/>
      </c>
      <c r="G206" s="472" t="str">
        <f ca="1">IFERROR(__xludf.DUMMYFUNCTION("""COMPUTED_VALUE"""),"")</f>
        <v/>
      </c>
      <c r="H206" s="472" t="str">
        <f ca="1">IFERROR(__xludf.DUMMYFUNCTION("""COMPUTED_VALUE"""),"")</f>
        <v/>
      </c>
      <c r="I206" s="472" t="str">
        <f ca="1">IFERROR(__xludf.DUMMYFUNCTION("""COMPUTED_VALUE"""),"")</f>
        <v/>
      </c>
      <c r="J206" s="472" t="str">
        <f ca="1">IFERROR(__xludf.DUMMYFUNCTION("""COMPUTED_VALUE"""),"")</f>
        <v/>
      </c>
    </row>
    <row r="207" spans="1:10" ht="15.75">
      <c r="A207" s="472" t="str">
        <f ca="1">IFERROR(__xludf.DUMMYFUNCTION("""COMPUTED_VALUE"""),"")</f>
        <v/>
      </c>
      <c r="B207" s="472" t="str">
        <f ca="1">IFERROR(__xludf.DUMMYFUNCTION("""COMPUTED_VALUE"""),"")</f>
        <v/>
      </c>
      <c r="C207" s="472" t="str">
        <f ca="1">IFERROR(__xludf.DUMMYFUNCTION("""COMPUTED_VALUE"""),"")</f>
        <v/>
      </c>
      <c r="D207" s="472" t="str">
        <f ca="1">IFERROR(__xludf.DUMMYFUNCTION("""COMPUTED_VALUE"""),"")</f>
        <v/>
      </c>
      <c r="E207" s="472" t="str">
        <f ca="1">IFERROR(__xludf.DUMMYFUNCTION("""COMPUTED_VALUE"""),"")</f>
        <v/>
      </c>
      <c r="F207" s="472" t="str">
        <f ca="1">IFERROR(__xludf.DUMMYFUNCTION("""COMPUTED_VALUE"""),"")</f>
        <v/>
      </c>
      <c r="G207" s="472" t="str">
        <f ca="1">IFERROR(__xludf.DUMMYFUNCTION("""COMPUTED_VALUE"""),"")</f>
        <v/>
      </c>
      <c r="H207" s="472" t="str">
        <f ca="1">IFERROR(__xludf.DUMMYFUNCTION("""COMPUTED_VALUE"""),"")</f>
        <v/>
      </c>
      <c r="I207" s="472" t="str">
        <f ca="1">IFERROR(__xludf.DUMMYFUNCTION("""COMPUTED_VALUE"""),"")</f>
        <v/>
      </c>
      <c r="J207" s="472" t="str">
        <f ca="1">IFERROR(__xludf.DUMMYFUNCTION("""COMPUTED_VALUE"""),"")</f>
        <v/>
      </c>
    </row>
    <row r="208" spans="1:10" ht="15.75">
      <c r="A208" s="472" t="str">
        <f ca="1">IFERROR(__xludf.DUMMYFUNCTION("""COMPUTED_VALUE"""),"")</f>
        <v/>
      </c>
      <c r="B208" s="472" t="str">
        <f ca="1">IFERROR(__xludf.DUMMYFUNCTION("""COMPUTED_VALUE"""),"")</f>
        <v/>
      </c>
      <c r="C208" s="472" t="str">
        <f ca="1">IFERROR(__xludf.DUMMYFUNCTION("""COMPUTED_VALUE"""),"")</f>
        <v/>
      </c>
      <c r="D208" s="472" t="str">
        <f ca="1">IFERROR(__xludf.DUMMYFUNCTION("""COMPUTED_VALUE"""),"")</f>
        <v/>
      </c>
      <c r="E208" s="472" t="str">
        <f ca="1">IFERROR(__xludf.DUMMYFUNCTION("""COMPUTED_VALUE"""),"")</f>
        <v/>
      </c>
      <c r="F208" s="472" t="str">
        <f ca="1">IFERROR(__xludf.DUMMYFUNCTION("""COMPUTED_VALUE"""),"")</f>
        <v/>
      </c>
      <c r="G208" s="472" t="str">
        <f ca="1">IFERROR(__xludf.DUMMYFUNCTION("""COMPUTED_VALUE"""),"")</f>
        <v/>
      </c>
      <c r="H208" s="472" t="str">
        <f ca="1">IFERROR(__xludf.DUMMYFUNCTION("""COMPUTED_VALUE"""),"")</f>
        <v/>
      </c>
      <c r="I208" s="472" t="str">
        <f ca="1">IFERROR(__xludf.DUMMYFUNCTION("""COMPUTED_VALUE"""),"")</f>
        <v/>
      </c>
      <c r="J208" s="472" t="str">
        <f ca="1">IFERROR(__xludf.DUMMYFUNCTION("""COMPUTED_VALUE"""),"")</f>
        <v/>
      </c>
    </row>
    <row r="209" spans="1:10" ht="15.75">
      <c r="A209" s="472" t="str">
        <f ca="1">IFERROR(__xludf.DUMMYFUNCTION("""COMPUTED_VALUE"""),"")</f>
        <v/>
      </c>
      <c r="B209" s="472" t="str">
        <f ca="1">IFERROR(__xludf.DUMMYFUNCTION("""COMPUTED_VALUE"""),"")</f>
        <v/>
      </c>
      <c r="C209" s="472" t="str">
        <f ca="1">IFERROR(__xludf.DUMMYFUNCTION("""COMPUTED_VALUE"""),"")</f>
        <v/>
      </c>
      <c r="D209" s="472" t="str">
        <f ca="1">IFERROR(__xludf.DUMMYFUNCTION("""COMPUTED_VALUE"""),"")</f>
        <v/>
      </c>
      <c r="E209" s="472" t="str">
        <f ca="1">IFERROR(__xludf.DUMMYFUNCTION("""COMPUTED_VALUE"""),"")</f>
        <v/>
      </c>
      <c r="F209" s="472" t="str">
        <f ca="1">IFERROR(__xludf.DUMMYFUNCTION("""COMPUTED_VALUE"""),"")</f>
        <v/>
      </c>
      <c r="G209" s="472" t="str">
        <f ca="1">IFERROR(__xludf.DUMMYFUNCTION("""COMPUTED_VALUE"""),"")</f>
        <v/>
      </c>
      <c r="H209" s="472" t="str">
        <f ca="1">IFERROR(__xludf.DUMMYFUNCTION("""COMPUTED_VALUE"""),"")</f>
        <v/>
      </c>
      <c r="I209" s="472" t="str">
        <f ca="1">IFERROR(__xludf.DUMMYFUNCTION("""COMPUTED_VALUE"""),"")</f>
        <v/>
      </c>
      <c r="J209" s="472" t="str">
        <f ca="1">IFERROR(__xludf.DUMMYFUNCTION("""COMPUTED_VALUE"""),"")</f>
        <v/>
      </c>
    </row>
    <row r="210" spans="1:10" ht="15.75">
      <c r="A210" s="472" t="str">
        <f ca="1">IFERROR(__xludf.DUMMYFUNCTION("""COMPUTED_VALUE"""),"")</f>
        <v/>
      </c>
      <c r="B210" s="472" t="str">
        <f ca="1">IFERROR(__xludf.DUMMYFUNCTION("""COMPUTED_VALUE"""),"")</f>
        <v/>
      </c>
      <c r="C210" s="472" t="str">
        <f ca="1">IFERROR(__xludf.DUMMYFUNCTION("""COMPUTED_VALUE"""),"")</f>
        <v/>
      </c>
      <c r="D210" s="472" t="str">
        <f ca="1">IFERROR(__xludf.DUMMYFUNCTION("""COMPUTED_VALUE"""),"")</f>
        <v/>
      </c>
      <c r="E210" s="472" t="str">
        <f ca="1">IFERROR(__xludf.DUMMYFUNCTION("""COMPUTED_VALUE"""),"")</f>
        <v/>
      </c>
      <c r="F210" s="472" t="str">
        <f ca="1">IFERROR(__xludf.DUMMYFUNCTION("""COMPUTED_VALUE"""),"")</f>
        <v/>
      </c>
      <c r="G210" s="472" t="str">
        <f ca="1">IFERROR(__xludf.DUMMYFUNCTION("""COMPUTED_VALUE"""),"")</f>
        <v/>
      </c>
      <c r="H210" s="472" t="str">
        <f ca="1">IFERROR(__xludf.DUMMYFUNCTION("""COMPUTED_VALUE"""),"")</f>
        <v/>
      </c>
      <c r="I210" s="472" t="str">
        <f ca="1">IFERROR(__xludf.DUMMYFUNCTION("""COMPUTED_VALUE"""),"")</f>
        <v/>
      </c>
      <c r="J210" s="472" t="str">
        <f ca="1">IFERROR(__xludf.DUMMYFUNCTION("""COMPUTED_VALUE"""),"")</f>
        <v/>
      </c>
    </row>
    <row r="211" spans="1:10" ht="15.75">
      <c r="A211" s="472" t="str">
        <f ca="1">IFERROR(__xludf.DUMMYFUNCTION("""COMPUTED_VALUE"""),"")</f>
        <v/>
      </c>
      <c r="B211" s="472" t="str">
        <f ca="1">IFERROR(__xludf.DUMMYFUNCTION("""COMPUTED_VALUE"""),"")</f>
        <v/>
      </c>
      <c r="C211" s="472" t="str">
        <f ca="1">IFERROR(__xludf.DUMMYFUNCTION("""COMPUTED_VALUE"""),"")</f>
        <v/>
      </c>
      <c r="D211" s="472" t="str">
        <f ca="1">IFERROR(__xludf.DUMMYFUNCTION("""COMPUTED_VALUE"""),"")</f>
        <v/>
      </c>
      <c r="E211" s="472" t="str">
        <f ca="1">IFERROR(__xludf.DUMMYFUNCTION("""COMPUTED_VALUE"""),"")</f>
        <v/>
      </c>
      <c r="F211" s="472" t="str">
        <f ca="1">IFERROR(__xludf.DUMMYFUNCTION("""COMPUTED_VALUE"""),"")</f>
        <v/>
      </c>
      <c r="G211" s="472" t="str">
        <f ca="1">IFERROR(__xludf.DUMMYFUNCTION("""COMPUTED_VALUE"""),"")</f>
        <v/>
      </c>
      <c r="H211" s="472" t="str">
        <f ca="1">IFERROR(__xludf.DUMMYFUNCTION("""COMPUTED_VALUE"""),"")</f>
        <v/>
      </c>
      <c r="I211" s="472" t="str">
        <f ca="1">IFERROR(__xludf.DUMMYFUNCTION("""COMPUTED_VALUE"""),"")</f>
        <v/>
      </c>
      <c r="J211" s="472" t="str">
        <f ca="1">IFERROR(__xludf.DUMMYFUNCTION("""COMPUTED_VALUE"""),"")</f>
        <v/>
      </c>
    </row>
    <row r="212" spans="1:10" ht="15.75">
      <c r="A212" s="472" t="str">
        <f ca="1">IFERROR(__xludf.DUMMYFUNCTION("""COMPUTED_VALUE"""),"")</f>
        <v/>
      </c>
      <c r="B212" s="472" t="str">
        <f ca="1">IFERROR(__xludf.DUMMYFUNCTION("""COMPUTED_VALUE"""),"")</f>
        <v/>
      </c>
      <c r="C212" s="472" t="str">
        <f ca="1">IFERROR(__xludf.DUMMYFUNCTION("""COMPUTED_VALUE"""),"")</f>
        <v/>
      </c>
      <c r="D212" s="472" t="str">
        <f ca="1">IFERROR(__xludf.DUMMYFUNCTION("""COMPUTED_VALUE"""),"")</f>
        <v/>
      </c>
      <c r="E212" s="472" t="str">
        <f ca="1">IFERROR(__xludf.DUMMYFUNCTION("""COMPUTED_VALUE"""),"")</f>
        <v/>
      </c>
      <c r="F212" s="472" t="str">
        <f ca="1">IFERROR(__xludf.DUMMYFUNCTION("""COMPUTED_VALUE"""),"")</f>
        <v/>
      </c>
      <c r="G212" s="472" t="str">
        <f ca="1">IFERROR(__xludf.DUMMYFUNCTION("""COMPUTED_VALUE"""),"")</f>
        <v/>
      </c>
      <c r="H212" s="472" t="str">
        <f ca="1">IFERROR(__xludf.DUMMYFUNCTION("""COMPUTED_VALUE"""),"")</f>
        <v/>
      </c>
      <c r="I212" s="472" t="str">
        <f ca="1">IFERROR(__xludf.DUMMYFUNCTION("""COMPUTED_VALUE"""),"")</f>
        <v/>
      </c>
      <c r="J212" s="472" t="str">
        <f ca="1">IFERROR(__xludf.DUMMYFUNCTION("""COMPUTED_VALUE"""),"")</f>
        <v/>
      </c>
    </row>
    <row r="213" spans="1:10" ht="15.75">
      <c r="A213" s="472" t="str">
        <f ca="1">IFERROR(__xludf.DUMMYFUNCTION("""COMPUTED_VALUE"""),"")</f>
        <v/>
      </c>
      <c r="B213" s="472" t="str">
        <f ca="1">IFERROR(__xludf.DUMMYFUNCTION("""COMPUTED_VALUE"""),"")</f>
        <v/>
      </c>
      <c r="C213" s="472" t="str">
        <f ca="1">IFERROR(__xludf.DUMMYFUNCTION("""COMPUTED_VALUE"""),"")</f>
        <v/>
      </c>
      <c r="D213" s="472" t="str">
        <f ca="1">IFERROR(__xludf.DUMMYFUNCTION("""COMPUTED_VALUE"""),"")</f>
        <v/>
      </c>
      <c r="E213" s="472" t="str">
        <f ca="1">IFERROR(__xludf.DUMMYFUNCTION("""COMPUTED_VALUE"""),"")</f>
        <v/>
      </c>
      <c r="F213" s="472" t="str">
        <f ca="1">IFERROR(__xludf.DUMMYFUNCTION("""COMPUTED_VALUE"""),"")</f>
        <v/>
      </c>
      <c r="G213" s="472" t="str">
        <f ca="1">IFERROR(__xludf.DUMMYFUNCTION("""COMPUTED_VALUE"""),"")</f>
        <v/>
      </c>
      <c r="H213" s="472" t="str">
        <f ca="1">IFERROR(__xludf.DUMMYFUNCTION("""COMPUTED_VALUE"""),"")</f>
        <v/>
      </c>
      <c r="I213" s="472" t="str">
        <f ca="1">IFERROR(__xludf.DUMMYFUNCTION("""COMPUTED_VALUE"""),"")</f>
        <v/>
      </c>
      <c r="J213" s="472" t="str">
        <f ca="1">IFERROR(__xludf.DUMMYFUNCTION("""COMPUTED_VALUE"""),"")</f>
        <v/>
      </c>
    </row>
    <row r="214" spans="1:10" ht="15.75">
      <c r="A214" s="472" t="str">
        <f ca="1">IFERROR(__xludf.DUMMYFUNCTION("""COMPUTED_VALUE"""),"")</f>
        <v/>
      </c>
      <c r="B214" s="472" t="str">
        <f ca="1">IFERROR(__xludf.DUMMYFUNCTION("""COMPUTED_VALUE"""),"")</f>
        <v/>
      </c>
      <c r="C214" s="472" t="str">
        <f ca="1">IFERROR(__xludf.DUMMYFUNCTION("""COMPUTED_VALUE"""),"")</f>
        <v/>
      </c>
      <c r="D214" s="472" t="str">
        <f ca="1">IFERROR(__xludf.DUMMYFUNCTION("""COMPUTED_VALUE"""),"")</f>
        <v/>
      </c>
      <c r="E214" s="472" t="str">
        <f ca="1">IFERROR(__xludf.DUMMYFUNCTION("""COMPUTED_VALUE"""),"")</f>
        <v/>
      </c>
      <c r="F214" s="472" t="str">
        <f ca="1">IFERROR(__xludf.DUMMYFUNCTION("""COMPUTED_VALUE"""),"")</f>
        <v/>
      </c>
      <c r="G214" s="472" t="str">
        <f ca="1">IFERROR(__xludf.DUMMYFUNCTION("""COMPUTED_VALUE"""),"")</f>
        <v/>
      </c>
      <c r="H214" s="472" t="str">
        <f ca="1">IFERROR(__xludf.DUMMYFUNCTION("""COMPUTED_VALUE"""),"")</f>
        <v/>
      </c>
      <c r="I214" s="472" t="str">
        <f ca="1">IFERROR(__xludf.DUMMYFUNCTION("""COMPUTED_VALUE"""),"")</f>
        <v/>
      </c>
      <c r="J214" s="472" t="str">
        <f ca="1">IFERROR(__xludf.DUMMYFUNCTION("""COMPUTED_VALUE"""),"")</f>
        <v/>
      </c>
    </row>
    <row r="215" spans="1:10" ht="15.75">
      <c r="A215" s="472" t="str">
        <f ca="1">IFERROR(__xludf.DUMMYFUNCTION("""COMPUTED_VALUE"""),"")</f>
        <v/>
      </c>
      <c r="B215" s="472" t="str">
        <f ca="1">IFERROR(__xludf.DUMMYFUNCTION("""COMPUTED_VALUE"""),"")</f>
        <v/>
      </c>
      <c r="C215" s="472" t="str">
        <f ca="1">IFERROR(__xludf.DUMMYFUNCTION("""COMPUTED_VALUE"""),"")</f>
        <v/>
      </c>
      <c r="D215" s="472" t="str">
        <f ca="1">IFERROR(__xludf.DUMMYFUNCTION("""COMPUTED_VALUE"""),"")</f>
        <v/>
      </c>
      <c r="E215" s="472" t="str">
        <f ca="1">IFERROR(__xludf.DUMMYFUNCTION("""COMPUTED_VALUE"""),"")</f>
        <v/>
      </c>
      <c r="F215" s="472" t="str">
        <f ca="1">IFERROR(__xludf.DUMMYFUNCTION("""COMPUTED_VALUE"""),"")</f>
        <v/>
      </c>
      <c r="G215" s="472" t="str">
        <f ca="1">IFERROR(__xludf.DUMMYFUNCTION("""COMPUTED_VALUE"""),"")</f>
        <v/>
      </c>
      <c r="H215" s="472" t="str">
        <f ca="1">IFERROR(__xludf.DUMMYFUNCTION("""COMPUTED_VALUE"""),"")</f>
        <v/>
      </c>
      <c r="I215" s="472" t="str">
        <f ca="1">IFERROR(__xludf.DUMMYFUNCTION("""COMPUTED_VALUE"""),"")</f>
        <v/>
      </c>
      <c r="J215" s="472" t="str">
        <f ca="1">IFERROR(__xludf.DUMMYFUNCTION("""COMPUTED_VALUE"""),"")</f>
        <v/>
      </c>
    </row>
    <row r="216" spans="1:10" ht="15.75">
      <c r="A216" s="472" t="str">
        <f ca="1">IFERROR(__xludf.DUMMYFUNCTION("""COMPUTED_VALUE"""),"")</f>
        <v/>
      </c>
      <c r="B216" s="472" t="str">
        <f ca="1">IFERROR(__xludf.DUMMYFUNCTION("""COMPUTED_VALUE"""),"")</f>
        <v/>
      </c>
      <c r="C216" s="472" t="str">
        <f ca="1">IFERROR(__xludf.DUMMYFUNCTION("""COMPUTED_VALUE"""),"")</f>
        <v/>
      </c>
      <c r="D216" s="472" t="str">
        <f ca="1">IFERROR(__xludf.DUMMYFUNCTION("""COMPUTED_VALUE"""),"")</f>
        <v/>
      </c>
      <c r="E216" s="472" t="str">
        <f ca="1">IFERROR(__xludf.DUMMYFUNCTION("""COMPUTED_VALUE"""),"")</f>
        <v/>
      </c>
      <c r="F216" s="472" t="str">
        <f ca="1">IFERROR(__xludf.DUMMYFUNCTION("""COMPUTED_VALUE"""),"")</f>
        <v/>
      </c>
      <c r="G216" s="472" t="str">
        <f ca="1">IFERROR(__xludf.DUMMYFUNCTION("""COMPUTED_VALUE"""),"")</f>
        <v/>
      </c>
      <c r="H216" s="472" t="str">
        <f ca="1">IFERROR(__xludf.DUMMYFUNCTION("""COMPUTED_VALUE"""),"")</f>
        <v/>
      </c>
      <c r="I216" s="472" t="str">
        <f ca="1">IFERROR(__xludf.DUMMYFUNCTION("""COMPUTED_VALUE"""),"")</f>
        <v/>
      </c>
      <c r="J216" s="472" t="str">
        <f ca="1">IFERROR(__xludf.DUMMYFUNCTION("""COMPUTED_VALUE"""),"")</f>
        <v/>
      </c>
    </row>
    <row r="217" spans="1:10" ht="15.75">
      <c r="A217" s="472" t="str">
        <f ca="1">IFERROR(__xludf.DUMMYFUNCTION("""COMPUTED_VALUE"""),"")</f>
        <v/>
      </c>
      <c r="B217" s="472" t="str">
        <f ca="1">IFERROR(__xludf.DUMMYFUNCTION("""COMPUTED_VALUE"""),"")</f>
        <v/>
      </c>
      <c r="C217" s="472" t="str">
        <f ca="1">IFERROR(__xludf.DUMMYFUNCTION("""COMPUTED_VALUE"""),"")</f>
        <v/>
      </c>
      <c r="D217" s="472" t="str">
        <f ca="1">IFERROR(__xludf.DUMMYFUNCTION("""COMPUTED_VALUE"""),"")</f>
        <v/>
      </c>
      <c r="E217" s="472" t="str">
        <f ca="1">IFERROR(__xludf.DUMMYFUNCTION("""COMPUTED_VALUE"""),"")</f>
        <v/>
      </c>
      <c r="F217" s="472" t="str">
        <f ca="1">IFERROR(__xludf.DUMMYFUNCTION("""COMPUTED_VALUE"""),"")</f>
        <v/>
      </c>
      <c r="G217" s="472" t="str">
        <f ca="1">IFERROR(__xludf.DUMMYFUNCTION("""COMPUTED_VALUE"""),"")</f>
        <v/>
      </c>
      <c r="H217" s="472" t="str">
        <f ca="1">IFERROR(__xludf.DUMMYFUNCTION("""COMPUTED_VALUE"""),"")</f>
        <v/>
      </c>
      <c r="I217" s="472" t="str">
        <f ca="1">IFERROR(__xludf.DUMMYFUNCTION("""COMPUTED_VALUE"""),"")</f>
        <v/>
      </c>
      <c r="J217" s="472" t="str">
        <f ca="1">IFERROR(__xludf.DUMMYFUNCTION("""COMPUTED_VALUE"""),"")</f>
        <v/>
      </c>
    </row>
    <row r="218" spans="1:10" ht="15.75">
      <c r="A218" s="472" t="str">
        <f ca="1">IFERROR(__xludf.DUMMYFUNCTION("""COMPUTED_VALUE"""),"")</f>
        <v/>
      </c>
      <c r="B218" s="472" t="str">
        <f ca="1">IFERROR(__xludf.DUMMYFUNCTION("""COMPUTED_VALUE"""),"")</f>
        <v/>
      </c>
      <c r="C218" s="472" t="str">
        <f ca="1">IFERROR(__xludf.DUMMYFUNCTION("""COMPUTED_VALUE"""),"")</f>
        <v/>
      </c>
      <c r="D218" s="472" t="str">
        <f ca="1">IFERROR(__xludf.DUMMYFUNCTION("""COMPUTED_VALUE"""),"")</f>
        <v/>
      </c>
      <c r="E218" s="472" t="str">
        <f ca="1">IFERROR(__xludf.DUMMYFUNCTION("""COMPUTED_VALUE"""),"")</f>
        <v/>
      </c>
      <c r="F218" s="472" t="str">
        <f ca="1">IFERROR(__xludf.DUMMYFUNCTION("""COMPUTED_VALUE"""),"")</f>
        <v/>
      </c>
      <c r="G218" s="472" t="str">
        <f ca="1">IFERROR(__xludf.DUMMYFUNCTION("""COMPUTED_VALUE"""),"")</f>
        <v/>
      </c>
      <c r="H218" s="472" t="str">
        <f ca="1">IFERROR(__xludf.DUMMYFUNCTION("""COMPUTED_VALUE"""),"")</f>
        <v/>
      </c>
      <c r="I218" s="472" t="str">
        <f ca="1">IFERROR(__xludf.DUMMYFUNCTION("""COMPUTED_VALUE"""),"")</f>
        <v/>
      </c>
      <c r="J218" s="472" t="str">
        <f ca="1">IFERROR(__xludf.DUMMYFUNCTION("""COMPUTED_VALUE"""),"")</f>
        <v/>
      </c>
    </row>
    <row r="219" spans="1:10" ht="15.75">
      <c r="A219" s="472" t="str">
        <f ca="1">IFERROR(__xludf.DUMMYFUNCTION("""COMPUTED_VALUE"""),"")</f>
        <v/>
      </c>
      <c r="B219" s="472" t="str">
        <f ca="1">IFERROR(__xludf.DUMMYFUNCTION("""COMPUTED_VALUE"""),"")</f>
        <v/>
      </c>
      <c r="C219" s="472" t="str">
        <f ca="1">IFERROR(__xludf.DUMMYFUNCTION("""COMPUTED_VALUE"""),"")</f>
        <v/>
      </c>
      <c r="D219" s="472" t="str">
        <f ca="1">IFERROR(__xludf.DUMMYFUNCTION("""COMPUTED_VALUE"""),"")</f>
        <v/>
      </c>
      <c r="E219" s="472" t="str">
        <f ca="1">IFERROR(__xludf.DUMMYFUNCTION("""COMPUTED_VALUE"""),"")</f>
        <v/>
      </c>
      <c r="F219" s="472" t="str">
        <f ca="1">IFERROR(__xludf.DUMMYFUNCTION("""COMPUTED_VALUE"""),"")</f>
        <v/>
      </c>
      <c r="G219" s="472" t="str">
        <f ca="1">IFERROR(__xludf.DUMMYFUNCTION("""COMPUTED_VALUE"""),"")</f>
        <v/>
      </c>
      <c r="H219" s="472" t="str">
        <f ca="1">IFERROR(__xludf.DUMMYFUNCTION("""COMPUTED_VALUE"""),"")</f>
        <v/>
      </c>
      <c r="I219" s="472" t="str">
        <f ca="1">IFERROR(__xludf.DUMMYFUNCTION("""COMPUTED_VALUE"""),"")</f>
        <v/>
      </c>
      <c r="J219" s="472" t="str">
        <f ca="1">IFERROR(__xludf.DUMMYFUNCTION("""COMPUTED_VALUE"""),"")</f>
        <v/>
      </c>
    </row>
    <row r="220" spans="1:10" ht="15.75">
      <c r="A220" s="472" t="str">
        <f ca="1">IFERROR(__xludf.DUMMYFUNCTION("""COMPUTED_VALUE"""),"")</f>
        <v/>
      </c>
      <c r="B220" s="472" t="str">
        <f ca="1">IFERROR(__xludf.DUMMYFUNCTION("""COMPUTED_VALUE"""),"")</f>
        <v/>
      </c>
      <c r="C220" s="472" t="str">
        <f ca="1">IFERROR(__xludf.DUMMYFUNCTION("""COMPUTED_VALUE"""),"")</f>
        <v/>
      </c>
      <c r="D220" s="472" t="str">
        <f ca="1">IFERROR(__xludf.DUMMYFUNCTION("""COMPUTED_VALUE"""),"")</f>
        <v/>
      </c>
      <c r="E220" s="472" t="str">
        <f ca="1">IFERROR(__xludf.DUMMYFUNCTION("""COMPUTED_VALUE"""),"")</f>
        <v/>
      </c>
      <c r="F220" s="472" t="str">
        <f ca="1">IFERROR(__xludf.DUMMYFUNCTION("""COMPUTED_VALUE"""),"")</f>
        <v/>
      </c>
      <c r="G220" s="472" t="str">
        <f ca="1">IFERROR(__xludf.DUMMYFUNCTION("""COMPUTED_VALUE"""),"")</f>
        <v/>
      </c>
      <c r="H220" s="472" t="str">
        <f ca="1">IFERROR(__xludf.DUMMYFUNCTION("""COMPUTED_VALUE"""),"")</f>
        <v/>
      </c>
      <c r="I220" s="472" t="str">
        <f ca="1">IFERROR(__xludf.DUMMYFUNCTION("""COMPUTED_VALUE"""),"")</f>
        <v/>
      </c>
      <c r="J220" s="472" t="str">
        <f ca="1">IFERROR(__xludf.DUMMYFUNCTION("""COMPUTED_VALUE"""),"")</f>
        <v/>
      </c>
    </row>
    <row r="221" spans="1:10" ht="15.75">
      <c r="A221" s="472" t="str">
        <f ca="1">IFERROR(__xludf.DUMMYFUNCTION("""COMPUTED_VALUE"""),"")</f>
        <v/>
      </c>
      <c r="B221" s="472" t="str">
        <f ca="1">IFERROR(__xludf.DUMMYFUNCTION("""COMPUTED_VALUE"""),"")</f>
        <v/>
      </c>
      <c r="C221" s="472" t="str">
        <f ca="1">IFERROR(__xludf.DUMMYFUNCTION("""COMPUTED_VALUE"""),"")</f>
        <v/>
      </c>
      <c r="D221" s="472" t="str">
        <f ca="1">IFERROR(__xludf.DUMMYFUNCTION("""COMPUTED_VALUE"""),"")</f>
        <v/>
      </c>
      <c r="E221" s="472" t="str">
        <f ca="1">IFERROR(__xludf.DUMMYFUNCTION("""COMPUTED_VALUE"""),"")</f>
        <v/>
      </c>
      <c r="F221" s="472" t="str">
        <f ca="1">IFERROR(__xludf.DUMMYFUNCTION("""COMPUTED_VALUE"""),"")</f>
        <v/>
      </c>
      <c r="G221" s="472" t="str">
        <f ca="1">IFERROR(__xludf.DUMMYFUNCTION("""COMPUTED_VALUE"""),"")</f>
        <v/>
      </c>
      <c r="H221" s="472" t="str">
        <f ca="1">IFERROR(__xludf.DUMMYFUNCTION("""COMPUTED_VALUE"""),"")</f>
        <v/>
      </c>
      <c r="I221" s="472" t="str">
        <f ca="1">IFERROR(__xludf.DUMMYFUNCTION("""COMPUTED_VALUE"""),"")</f>
        <v/>
      </c>
      <c r="J221" s="472" t="str">
        <f ca="1">IFERROR(__xludf.DUMMYFUNCTION("""COMPUTED_VALUE"""),"")</f>
        <v/>
      </c>
    </row>
    <row r="222" spans="1:10" ht="15.75">
      <c r="A222" s="472" t="str">
        <f ca="1">IFERROR(__xludf.DUMMYFUNCTION("""COMPUTED_VALUE"""),"")</f>
        <v/>
      </c>
      <c r="B222" s="472" t="str">
        <f ca="1">IFERROR(__xludf.DUMMYFUNCTION("""COMPUTED_VALUE"""),"")</f>
        <v/>
      </c>
      <c r="C222" s="472" t="str">
        <f ca="1">IFERROR(__xludf.DUMMYFUNCTION("""COMPUTED_VALUE"""),"")</f>
        <v/>
      </c>
      <c r="D222" s="472" t="str">
        <f ca="1">IFERROR(__xludf.DUMMYFUNCTION("""COMPUTED_VALUE"""),"")</f>
        <v/>
      </c>
      <c r="E222" s="472" t="str">
        <f ca="1">IFERROR(__xludf.DUMMYFUNCTION("""COMPUTED_VALUE"""),"")</f>
        <v/>
      </c>
      <c r="F222" s="472" t="str">
        <f ca="1">IFERROR(__xludf.DUMMYFUNCTION("""COMPUTED_VALUE"""),"")</f>
        <v/>
      </c>
      <c r="G222" s="472" t="str">
        <f ca="1">IFERROR(__xludf.DUMMYFUNCTION("""COMPUTED_VALUE"""),"")</f>
        <v/>
      </c>
      <c r="H222" s="472" t="str">
        <f ca="1">IFERROR(__xludf.DUMMYFUNCTION("""COMPUTED_VALUE"""),"")</f>
        <v/>
      </c>
      <c r="I222" s="472" t="str">
        <f ca="1">IFERROR(__xludf.DUMMYFUNCTION("""COMPUTED_VALUE"""),"")</f>
        <v/>
      </c>
      <c r="J222" s="472" t="str">
        <f ca="1">IFERROR(__xludf.DUMMYFUNCTION("""COMPUTED_VALUE"""),"")</f>
        <v/>
      </c>
    </row>
    <row r="223" spans="1:10" ht="15.75">
      <c r="A223" s="472" t="str">
        <f ca="1">IFERROR(__xludf.DUMMYFUNCTION("""COMPUTED_VALUE"""),"")</f>
        <v/>
      </c>
      <c r="B223" s="472" t="str">
        <f ca="1">IFERROR(__xludf.DUMMYFUNCTION("""COMPUTED_VALUE"""),"")</f>
        <v/>
      </c>
      <c r="C223" s="472" t="str">
        <f ca="1">IFERROR(__xludf.DUMMYFUNCTION("""COMPUTED_VALUE"""),"")</f>
        <v/>
      </c>
      <c r="D223" s="472" t="str">
        <f ca="1">IFERROR(__xludf.DUMMYFUNCTION("""COMPUTED_VALUE"""),"")</f>
        <v/>
      </c>
      <c r="E223" s="472" t="str">
        <f ca="1">IFERROR(__xludf.DUMMYFUNCTION("""COMPUTED_VALUE"""),"")</f>
        <v/>
      </c>
      <c r="F223" s="472" t="str">
        <f ca="1">IFERROR(__xludf.DUMMYFUNCTION("""COMPUTED_VALUE"""),"")</f>
        <v/>
      </c>
      <c r="G223" s="472" t="str">
        <f ca="1">IFERROR(__xludf.DUMMYFUNCTION("""COMPUTED_VALUE"""),"")</f>
        <v/>
      </c>
      <c r="H223" s="472" t="str">
        <f ca="1">IFERROR(__xludf.DUMMYFUNCTION("""COMPUTED_VALUE"""),"")</f>
        <v/>
      </c>
      <c r="I223" s="472" t="str">
        <f ca="1">IFERROR(__xludf.DUMMYFUNCTION("""COMPUTED_VALUE"""),"")</f>
        <v/>
      </c>
      <c r="J223" s="472" t="str">
        <f ca="1">IFERROR(__xludf.DUMMYFUNCTION("""COMPUTED_VALUE"""),"")</f>
        <v/>
      </c>
    </row>
    <row r="224" spans="1:10" ht="15.75">
      <c r="A224" s="472" t="str">
        <f ca="1">IFERROR(__xludf.DUMMYFUNCTION("""COMPUTED_VALUE"""),"")</f>
        <v/>
      </c>
      <c r="B224" s="472" t="str">
        <f ca="1">IFERROR(__xludf.DUMMYFUNCTION("""COMPUTED_VALUE"""),"")</f>
        <v/>
      </c>
      <c r="C224" s="472" t="str">
        <f ca="1">IFERROR(__xludf.DUMMYFUNCTION("""COMPUTED_VALUE"""),"")</f>
        <v/>
      </c>
      <c r="D224" s="472" t="str">
        <f ca="1">IFERROR(__xludf.DUMMYFUNCTION("""COMPUTED_VALUE"""),"")</f>
        <v/>
      </c>
      <c r="E224" s="472" t="str">
        <f ca="1">IFERROR(__xludf.DUMMYFUNCTION("""COMPUTED_VALUE"""),"")</f>
        <v/>
      </c>
      <c r="F224" s="472" t="str">
        <f ca="1">IFERROR(__xludf.DUMMYFUNCTION("""COMPUTED_VALUE"""),"")</f>
        <v/>
      </c>
      <c r="G224" s="472" t="str">
        <f ca="1">IFERROR(__xludf.DUMMYFUNCTION("""COMPUTED_VALUE"""),"")</f>
        <v/>
      </c>
      <c r="H224" s="472" t="str">
        <f ca="1">IFERROR(__xludf.DUMMYFUNCTION("""COMPUTED_VALUE"""),"")</f>
        <v/>
      </c>
      <c r="I224" s="472" t="str">
        <f ca="1">IFERROR(__xludf.DUMMYFUNCTION("""COMPUTED_VALUE"""),"")</f>
        <v/>
      </c>
      <c r="J224" s="472" t="str">
        <f ca="1">IFERROR(__xludf.DUMMYFUNCTION("""COMPUTED_VALUE"""),"")</f>
        <v/>
      </c>
    </row>
    <row r="225" spans="1:10" ht="15.75">
      <c r="A225" s="472" t="str">
        <f ca="1">IFERROR(__xludf.DUMMYFUNCTION("""COMPUTED_VALUE"""),"")</f>
        <v/>
      </c>
      <c r="B225" s="472" t="str">
        <f ca="1">IFERROR(__xludf.DUMMYFUNCTION("""COMPUTED_VALUE"""),"")</f>
        <v/>
      </c>
      <c r="C225" s="472" t="str">
        <f ca="1">IFERROR(__xludf.DUMMYFUNCTION("""COMPUTED_VALUE"""),"")</f>
        <v/>
      </c>
      <c r="D225" s="472" t="str">
        <f ca="1">IFERROR(__xludf.DUMMYFUNCTION("""COMPUTED_VALUE"""),"")</f>
        <v/>
      </c>
      <c r="E225" s="472" t="str">
        <f ca="1">IFERROR(__xludf.DUMMYFUNCTION("""COMPUTED_VALUE"""),"")</f>
        <v/>
      </c>
      <c r="F225" s="472" t="str">
        <f ca="1">IFERROR(__xludf.DUMMYFUNCTION("""COMPUTED_VALUE"""),"")</f>
        <v/>
      </c>
      <c r="G225" s="472" t="str">
        <f ca="1">IFERROR(__xludf.DUMMYFUNCTION("""COMPUTED_VALUE"""),"")</f>
        <v/>
      </c>
      <c r="H225" s="472" t="str">
        <f ca="1">IFERROR(__xludf.DUMMYFUNCTION("""COMPUTED_VALUE"""),"")</f>
        <v/>
      </c>
      <c r="I225" s="472" t="str">
        <f ca="1">IFERROR(__xludf.DUMMYFUNCTION("""COMPUTED_VALUE"""),"")</f>
        <v/>
      </c>
      <c r="J225" s="472" t="str">
        <f ca="1">IFERROR(__xludf.DUMMYFUNCTION("""COMPUTED_VALUE"""),"")</f>
        <v/>
      </c>
    </row>
    <row r="226" spans="1:10" ht="15.75">
      <c r="A226" s="472" t="str">
        <f ca="1">IFERROR(__xludf.DUMMYFUNCTION("""COMPUTED_VALUE"""),"")</f>
        <v/>
      </c>
      <c r="B226" s="472" t="str">
        <f ca="1">IFERROR(__xludf.DUMMYFUNCTION("""COMPUTED_VALUE"""),"")</f>
        <v/>
      </c>
      <c r="C226" s="472" t="str">
        <f ca="1">IFERROR(__xludf.DUMMYFUNCTION("""COMPUTED_VALUE"""),"")</f>
        <v/>
      </c>
      <c r="D226" s="472" t="str">
        <f ca="1">IFERROR(__xludf.DUMMYFUNCTION("""COMPUTED_VALUE"""),"")</f>
        <v/>
      </c>
      <c r="E226" s="472" t="str">
        <f ca="1">IFERROR(__xludf.DUMMYFUNCTION("""COMPUTED_VALUE"""),"")</f>
        <v/>
      </c>
      <c r="F226" s="472" t="str">
        <f ca="1">IFERROR(__xludf.DUMMYFUNCTION("""COMPUTED_VALUE"""),"")</f>
        <v/>
      </c>
      <c r="G226" s="472" t="str">
        <f ca="1">IFERROR(__xludf.DUMMYFUNCTION("""COMPUTED_VALUE"""),"")</f>
        <v/>
      </c>
      <c r="H226" s="472" t="str">
        <f ca="1">IFERROR(__xludf.DUMMYFUNCTION("""COMPUTED_VALUE"""),"")</f>
        <v/>
      </c>
      <c r="I226" s="472" t="str">
        <f ca="1">IFERROR(__xludf.DUMMYFUNCTION("""COMPUTED_VALUE"""),"")</f>
        <v/>
      </c>
      <c r="J226" s="472" t="str">
        <f ca="1">IFERROR(__xludf.DUMMYFUNCTION("""COMPUTED_VALUE"""),"")</f>
        <v/>
      </c>
    </row>
    <row r="227" spans="1:10" ht="15.75">
      <c r="A227" s="472" t="str">
        <f ca="1">IFERROR(__xludf.DUMMYFUNCTION("""COMPUTED_VALUE"""),"")</f>
        <v/>
      </c>
      <c r="B227" s="472" t="str">
        <f ca="1">IFERROR(__xludf.DUMMYFUNCTION("""COMPUTED_VALUE"""),"")</f>
        <v/>
      </c>
      <c r="C227" s="472" t="str">
        <f ca="1">IFERROR(__xludf.DUMMYFUNCTION("""COMPUTED_VALUE"""),"")</f>
        <v/>
      </c>
      <c r="D227" s="472" t="str">
        <f ca="1">IFERROR(__xludf.DUMMYFUNCTION("""COMPUTED_VALUE"""),"")</f>
        <v/>
      </c>
      <c r="E227" s="472" t="str">
        <f ca="1">IFERROR(__xludf.DUMMYFUNCTION("""COMPUTED_VALUE"""),"")</f>
        <v/>
      </c>
      <c r="F227" s="472" t="str">
        <f ca="1">IFERROR(__xludf.DUMMYFUNCTION("""COMPUTED_VALUE"""),"")</f>
        <v/>
      </c>
      <c r="G227" s="472" t="str">
        <f ca="1">IFERROR(__xludf.DUMMYFUNCTION("""COMPUTED_VALUE"""),"")</f>
        <v/>
      </c>
      <c r="H227" s="472" t="str">
        <f ca="1">IFERROR(__xludf.DUMMYFUNCTION("""COMPUTED_VALUE"""),"")</f>
        <v/>
      </c>
      <c r="I227" s="472" t="str">
        <f ca="1">IFERROR(__xludf.DUMMYFUNCTION("""COMPUTED_VALUE"""),"")</f>
        <v/>
      </c>
      <c r="J227" s="472" t="str">
        <f ca="1">IFERROR(__xludf.DUMMYFUNCTION("""COMPUTED_VALUE"""),"")</f>
        <v/>
      </c>
    </row>
    <row r="228" spans="1:10" ht="15.75">
      <c r="A228" s="472" t="str">
        <f ca="1">IFERROR(__xludf.DUMMYFUNCTION("""COMPUTED_VALUE"""),"")</f>
        <v/>
      </c>
      <c r="B228" s="472" t="str">
        <f ca="1">IFERROR(__xludf.DUMMYFUNCTION("""COMPUTED_VALUE"""),"")</f>
        <v/>
      </c>
      <c r="C228" s="472" t="str">
        <f ca="1">IFERROR(__xludf.DUMMYFUNCTION("""COMPUTED_VALUE"""),"")</f>
        <v/>
      </c>
      <c r="D228" s="472" t="str">
        <f ca="1">IFERROR(__xludf.DUMMYFUNCTION("""COMPUTED_VALUE"""),"")</f>
        <v/>
      </c>
      <c r="E228" s="472" t="str">
        <f ca="1">IFERROR(__xludf.DUMMYFUNCTION("""COMPUTED_VALUE"""),"")</f>
        <v/>
      </c>
      <c r="F228" s="472" t="str">
        <f ca="1">IFERROR(__xludf.DUMMYFUNCTION("""COMPUTED_VALUE"""),"")</f>
        <v/>
      </c>
      <c r="G228" s="472" t="str">
        <f ca="1">IFERROR(__xludf.DUMMYFUNCTION("""COMPUTED_VALUE"""),"")</f>
        <v/>
      </c>
      <c r="H228" s="472" t="str">
        <f ca="1">IFERROR(__xludf.DUMMYFUNCTION("""COMPUTED_VALUE"""),"")</f>
        <v/>
      </c>
      <c r="I228" s="472" t="str">
        <f ca="1">IFERROR(__xludf.DUMMYFUNCTION("""COMPUTED_VALUE"""),"")</f>
        <v/>
      </c>
      <c r="J228" s="472" t="str">
        <f ca="1">IFERROR(__xludf.DUMMYFUNCTION("""COMPUTED_VALUE"""),"")</f>
        <v/>
      </c>
    </row>
    <row r="229" spans="1:10" ht="15.75">
      <c r="A229" s="472" t="str">
        <f ca="1">IFERROR(__xludf.DUMMYFUNCTION("""COMPUTED_VALUE"""),"")</f>
        <v/>
      </c>
      <c r="B229" s="472" t="str">
        <f ca="1">IFERROR(__xludf.DUMMYFUNCTION("""COMPUTED_VALUE"""),"")</f>
        <v/>
      </c>
      <c r="C229" s="472" t="str">
        <f ca="1">IFERROR(__xludf.DUMMYFUNCTION("""COMPUTED_VALUE"""),"")</f>
        <v/>
      </c>
      <c r="D229" s="472" t="str">
        <f ca="1">IFERROR(__xludf.DUMMYFUNCTION("""COMPUTED_VALUE"""),"")</f>
        <v/>
      </c>
      <c r="E229" s="472" t="str">
        <f ca="1">IFERROR(__xludf.DUMMYFUNCTION("""COMPUTED_VALUE"""),"")</f>
        <v/>
      </c>
      <c r="F229" s="472" t="str">
        <f ca="1">IFERROR(__xludf.DUMMYFUNCTION("""COMPUTED_VALUE"""),"")</f>
        <v/>
      </c>
      <c r="G229" s="472" t="str">
        <f ca="1">IFERROR(__xludf.DUMMYFUNCTION("""COMPUTED_VALUE"""),"")</f>
        <v/>
      </c>
      <c r="H229" s="472" t="str">
        <f ca="1">IFERROR(__xludf.DUMMYFUNCTION("""COMPUTED_VALUE"""),"")</f>
        <v/>
      </c>
      <c r="I229" s="472" t="str">
        <f ca="1">IFERROR(__xludf.DUMMYFUNCTION("""COMPUTED_VALUE"""),"")</f>
        <v/>
      </c>
      <c r="J229" s="472" t="str">
        <f ca="1">IFERROR(__xludf.DUMMYFUNCTION("""COMPUTED_VALUE"""),"")</f>
        <v/>
      </c>
    </row>
    <row r="230" spans="1:10" ht="15.75">
      <c r="A230" s="472" t="str">
        <f ca="1">IFERROR(__xludf.DUMMYFUNCTION("""COMPUTED_VALUE"""),"")</f>
        <v/>
      </c>
      <c r="B230" s="472" t="str">
        <f ca="1">IFERROR(__xludf.DUMMYFUNCTION("""COMPUTED_VALUE"""),"")</f>
        <v/>
      </c>
      <c r="C230" s="472" t="str">
        <f ca="1">IFERROR(__xludf.DUMMYFUNCTION("""COMPUTED_VALUE"""),"")</f>
        <v/>
      </c>
      <c r="D230" s="472" t="str">
        <f ca="1">IFERROR(__xludf.DUMMYFUNCTION("""COMPUTED_VALUE"""),"")</f>
        <v/>
      </c>
      <c r="E230" s="472" t="str">
        <f ca="1">IFERROR(__xludf.DUMMYFUNCTION("""COMPUTED_VALUE"""),"")</f>
        <v/>
      </c>
      <c r="F230" s="472" t="str">
        <f ca="1">IFERROR(__xludf.DUMMYFUNCTION("""COMPUTED_VALUE"""),"")</f>
        <v/>
      </c>
      <c r="G230" s="472" t="str">
        <f ca="1">IFERROR(__xludf.DUMMYFUNCTION("""COMPUTED_VALUE"""),"")</f>
        <v/>
      </c>
      <c r="H230" s="472" t="str">
        <f ca="1">IFERROR(__xludf.DUMMYFUNCTION("""COMPUTED_VALUE"""),"")</f>
        <v/>
      </c>
      <c r="I230" s="472" t="str">
        <f ca="1">IFERROR(__xludf.DUMMYFUNCTION("""COMPUTED_VALUE"""),"")</f>
        <v/>
      </c>
      <c r="J230" s="472" t="str">
        <f ca="1">IFERROR(__xludf.DUMMYFUNCTION("""COMPUTED_VALUE"""),"")</f>
        <v/>
      </c>
    </row>
    <row r="231" spans="1:10" ht="15.75">
      <c r="A231" s="472" t="str">
        <f ca="1">IFERROR(__xludf.DUMMYFUNCTION("""COMPUTED_VALUE"""),"")</f>
        <v/>
      </c>
      <c r="B231" s="472" t="str">
        <f ca="1">IFERROR(__xludf.DUMMYFUNCTION("""COMPUTED_VALUE"""),"")</f>
        <v/>
      </c>
      <c r="C231" s="472" t="str">
        <f ca="1">IFERROR(__xludf.DUMMYFUNCTION("""COMPUTED_VALUE"""),"")</f>
        <v/>
      </c>
      <c r="D231" s="472" t="str">
        <f ca="1">IFERROR(__xludf.DUMMYFUNCTION("""COMPUTED_VALUE"""),"")</f>
        <v/>
      </c>
      <c r="E231" s="472" t="str">
        <f ca="1">IFERROR(__xludf.DUMMYFUNCTION("""COMPUTED_VALUE"""),"")</f>
        <v/>
      </c>
      <c r="F231" s="472" t="str">
        <f ca="1">IFERROR(__xludf.DUMMYFUNCTION("""COMPUTED_VALUE"""),"")</f>
        <v/>
      </c>
      <c r="G231" s="472" t="str">
        <f ca="1">IFERROR(__xludf.DUMMYFUNCTION("""COMPUTED_VALUE"""),"")</f>
        <v/>
      </c>
      <c r="H231" s="472" t="str">
        <f ca="1">IFERROR(__xludf.DUMMYFUNCTION("""COMPUTED_VALUE"""),"")</f>
        <v/>
      </c>
      <c r="I231" s="472" t="str">
        <f ca="1">IFERROR(__xludf.DUMMYFUNCTION("""COMPUTED_VALUE"""),"")</f>
        <v/>
      </c>
      <c r="J231" s="472" t="str">
        <f ca="1">IFERROR(__xludf.DUMMYFUNCTION("""COMPUTED_VALUE"""),"")</f>
        <v/>
      </c>
    </row>
    <row r="232" spans="1:10" ht="15.75">
      <c r="A232" s="472" t="str">
        <f ca="1">IFERROR(__xludf.DUMMYFUNCTION("""COMPUTED_VALUE"""),"")</f>
        <v/>
      </c>
      <c r="B232" s="472" t="str">
        <f ca="1">IFERROR(__xludf.DUMMYFUNCTION("""COMPUTED_VALUE"""),"")</f>
        <v/>
      </c>
      <c r="C232" s="472" t="str">
        <f ca="1">IFERROR(__xludf.DUMMYFUNCTION("""COMPUTED_VALUE"""),"")</f>
        <v/>
      </c>
      <c r="D232" s="472" t="str">
        <f ca="1">IFERROR(__xludf.DUMMYFUNCTION("""COMPUTED_VALUE"""),"")</f>
        <v/>
      </c>
      <c r="E232" s="472" t="str">
        <f ca="1">IFERROR(__xludf.DUMMYFUNCTION("""COMPUTED_VALUE"""),"")</f>
        <v/>
      </c>
      <c r="F232" s="472" t="str">
        <f ca="1">IFERROR(__xludf.DUMMYFUNCTION("""COMPUTED_VALUE"""),"")</f>
        <v/>
      </c>
      <c r="G232" s="472" t="str">
        <f ca="1">IFERROR(__xludf.DUMMYFUNCTION("""COMPUTED_VALUE"""),"")</f>
        <v/>
      </c>
      <c r="H232" s="472" t="str">
        <f ca="1">IFERROR(__xludf.DUMMYFUNCTION("""COMPUTED_VALUE"""),"")</f>
        <v/>
      </c>
      <c r="I232" s="472" t="str">
        <f ca="1">IFERROR(__xludf.DUMMYFUNCTION("""COMPUTED_VALUE"""),"")</f>
        <v/>
      </c>
      <c r="J232" s="472" t="str">
        <f ca="1">IFERROR(__xludf.DUMMYFUNCTION("""COMPUTED_VALUE"""),"")</f>
        <v/>
      </c>
    </row>
    <row r="233" spans="1:10" ht="15.75">
      <c r="A233" s="472" t="str">
        <f ca="1">IFERROR(__xludf.DUMMYFUNCTION("""COMPUTED_VALUE"""),"")</f>
        <v/>
      </c>
      <c r="B233" s="472" t="str">
        <f ca="1">IFERROR(__xludf.DUMMYFUNCTION("""COMPUTED_VALUE"""),"")</f>
        <v/>
      </c>
      <c r="C233" s="472" t="str">
        <f ca="1">IFERROR(__xludf.DUMMYFUNCTION("""COMPUTED_VALUE"""),"")</f>
        <v/>
      </c>
      <c r="D233" s="472" t="str">
        <f ca="1">IFERROR(__xludf.DUMMYFUNCTION("""COMPUTED_VALUE"""),"")</f>
        <v/>
      </c>
      <c r="E233" s="472" t="str">
        <f ca="1">IFERROR(__xludf.DUMMYFUNCTION("""COMPUTED_VALUE"""),"")</f>
        <v/>
      </c>
      <c r="F233" s="472" t="str">
        <f ca="1">IFERROR(__xludf.DUMMYFUNCTION("""COMPUTED_VALUE"""),"")</f>
        <v/>
      </c>
      <c r="G233" s="472" t="str">
        <f ca="1">IFERROR(__xludf.DUMMYFUNCTION("""COMPUTED_VALUE"""),"")</f>
        <v/>
      </c>
      <c r="H233" s="472" t="str">
        <f ca="1">IFERROR(__xludf.DUMMYFUNCTION("""COMPUTED_VALUE"""),"")</f>
        <v/>
      </c>
      <c r="I233" s="472" t="str">
        <f ca="1">IFERROR(__xludf.DUMMYFUNCTION("""COMPUTED_VALUE"""),"")</f>
        <v/>
      </c>
      <c r="J233" s="472" t="str">
        <f ca="1">IFERROR(__xludf.DUMMYFUNCTION("""COMPUTED_VALUE"""),"")</f>
        <v/>
      </c>
    </row>
    <row r="234" spans="1:10" ht="15.75">
      <c r="A234" s="472" t="str">
        <f ca="1">IFERROR(__xludf.DUMMYFUNCTION("""COMPUTED_VALUE"""),"")</f>
        <v/>
      </c>
      <c r="B234" s="472" t="str">
        <f ca="1">IFERROR(__xludf.DUMMYFUNCTION("""COMPUTED_VALUE"""),"")</f>
        <v/>
      </c>
      <c r="C234" s="472" t="str">
        <f ca="1">IFERROR(__xludf.DUMMYFUNCTION("""COMPUTED_VALUE"""),"")</f>
        <v/>
      </c>
      <c r="D234" s="472" t="str">
        <f ca="1">IFERROR(__xludf.DUMMYFUNCTION("""COMPUTED_VALUE"""),"")</f>
        <v/>
      </c>
      <c r="E234" s="472" t="str">
        <f ca="1">IFERROR(__xludf.DUMMYFUNCTION("""COMPUTED_VALUE"""),"")</f>
        <v/>
      </c>
      <c r="F234" s="472" t="str">
        <f ca="1">IFERROR(__xludf.DUMMYFUNCTION("""COMPUTED_VALUE"""),"")</f>
        <v/>
      </c>
      <c r="G234" s="472" t="str">
        <f ca="1">IFERROR(__xludf.DUMMYFUNCTION("""COMPUTED_VALUE"""),"")</f>
        <v/>
      </c>
      <c r="H234" s="472" t="str">
        <f ca="1">IFERROR(__xludf.DUMMYFUNCTION("""COMPUTED_VALUE"""),"")</f>
        <v/>
      </c>
      <c r="I234" s="472" t="str">
        <f ca="1">IFERROR(__xludf.DUMMYFUNCTION("""COMPUTED_VALUE"""),"")</f>
        <v/>
      </c>
      <c r="J234" s="472" t="str">
        <f ca="1">IFERROR(__xludf.DUMMYFUNCTION("""COMPUTED_VALUE"""),"")</f>
        <v/>
      </c>
    </row>
    <row r="235" spans="1:10" ht="15.75">
      <c r="A235" s="472" t="str">
        <f ca="1">IFERROR(__xludf.DUMMYFUNCTION("""COMPUTED_VALUE"""),"")</f>
        <v/>
      </c>
      <c r="B235" s="472" t="str">
        <f ca="1">IFERROR(__xludf.DUMMYFUNCTION("""COMPUTED_VALUE"""),"")</f>
        <v/>
      </c>
      <c r="C235" s="472" t="str">
        <f ca="1">IFERROR(__xludf.DUMMYFUNCTION("""COMPUTED_VALUE"""),"")</f>
        <v/>
      </c>
      <c r="D235" s="472" t="str">
        <f ca="1">IFERROR(__xludf.DUMMYFUNCTION("""COMPUTED_VALUE"""),"")</f>
        <v/>
      </c>
      <c r="E235" s="472" t="str">
        <f ca="1">IFERROR(__xludf.DUMMYFUNCTION("""COMPUTED_VALUE"""),"")</f>
        <v/>
      </c>
      <c r="F235" s="472" t="str">
        <f ca="1">IFERROR(__xludf.DUMMYFUNCTION("""COMPUTED_VALUE"""),"")</f>
        <v/>
      </c>
      <c r="G235" s="472" t="str">
        <f ca="1">IFERROR(__xludf.DUMMYFUNCTION("""COMPUTED_VALUE"""),"")</f>
        <v/>
      </c>
      <c r="H235" s="472" t="str">
        <f ca="1">IFERROR(__xludf.DUMMYFUNCTION("""COMPUTED_VALUE"""),"")</f>
        <v/>
      </c>
      <c r="I235" s="472" t="str">
        <f ca="1">IFERROR(__xludf.DUMMYFUNCTION("""COMPUTED_VALUE"""),"")</f>
        <v/>
      </c>
      <c r="J235" s="472" t="str">
        <f ca="1">IFERROR(__xludf.DUMMYFUNCTION("""COMPUTED_VALUE"""),"")</f>
        <v/>
      </c>
    </row>
    <row r="236" spans="1:10" ht="15.75">
      <c r="A236" s="472" t="str">
        <f ca="1">IFERROR(__xludf.DUMMYFUNCTION("""COMPUTED_VALUE"""),"")</f>
        <v/>
      </c>
      <c r="B236" s="472" t="str">
        <f ca="1">IFERROR(__xludf.DUMMYFUNCTION("""COMPUTED_VALUE"""),"")</f>
        <v/>
      </c>
      <c r="C236" s="472" t="str">
        <f ca="1">IFERROR(__xludf.DUMMYFUNCTION("""COMPUTED_VALUE"""),"")</f>
        <v/>
      </c>
      <c r="D236" s="472" t="str">
        <f ca="1">IFERROR(__xludf.DUMMYFUNCTION("""COMPUTED_VALUE"""),"")</f>
        <v/>
      </c>
      <c r="E236" s="472" t="str">
        <f ca="1">IFERROR(__xludf.DUMMYFUNCTION("""COMPUTED_VALUE"""),"")</f>
        <v/>
      </c>
      <c r="F236" s="472" t="str">
        <f ca="1">IFERROR(__xludf.DUMMYFUNCTION("""COMPUTED_VALUE"""),"")</f>
        <v/>
      </c>
      <c r="G236" s="472" t="str">
        <f ca="1">IFERROR(__xludf.DUMMYFUNCTION("""COMPUTED_VALUE"""),"")</f>
        <v/>
      </c>
      <c r="H236" s="472" t="str">
        <f ca="1">IFERROR(__xludf.DUMMYFUNCTION("""COMPUTED_VALUE"""),"")</f>
        <v/>
      </c>
      <c r="I236" s="472" t="str">
        <f ca="1">IFERROR(__xludf.DUMMYFUNCTION("""COMPUTED_VALUE"""),"")</f>
        <v/>
      </c>
      <c r="J236" s="472" t="str">
        <f ca="1">IFERROR(__xludf.DUMMYFUNCTION("""COMPUTED_VALUE"""),"")</f>
        <v/>
      </c>
    </row>
    <row r="237" spans="1:10" ht="15.75">
      <c r="A237" s="472" t="str">
        <f ca="1">IFERROR(__xludf.DUMMYFUNCTION("""COMPUTED_VALUE"""),"")</f>
        <v/>
      </c>
      <c r="B237" s="472" t="str">
        <f ca="1">IFERROR(__xludf.DUMMYFUNCTION("""COMPUTED_VALUE"""),"")</f>
        <v/>
      </c>
      <c r="C237" s="472" t="str">
        <f ca="1">IFERROR(__xludf.DUMMYFUNCTION("""COMPUTED_VALUE"""),"")</f>
        <v/>
      </c>
      <c r="D237" s="472" t="str">
        <f ca="1">IFERROR(__xludf.DUMMYFUNCTION("""COMPUTED_VALUE"""),"")</f>
        <v/>
      </c>
      <c r="E237" s="472" t="str">
        <f ca="1">IFERROR(__xludf.DUMMYFUNCTION("""COMPUTED_VALUE"""),"")</f>
        <v/>
      </c>
      <c r="F237" s="472" t="str">
        <f ca="1">IFERROR(__xludf.DUMMYFUNCTION("""COMPUTED_VALUE"""),"")</f>
        <v/>
      </c>
      <c r="G237" s="472" t="str">
        <f ca="1">IFERROR(__xludf.DUMMYFUNCTION("""COMPUTED_VALUE"""),"")</f>
        <v/>
      </c>
      <c r="H237" s="472" t="str">
        <f ca="1">IFERROR(__xludf.DUMMYFUNCTION("""COMPUTED_VALUE"""),"")</f>
        <v/>
      </c>
      <c r="I237" s="472" t="str">
        <f ca="1">IFERROR(__xludf.DUMMYFUNCTION("""COMPUTED_VALUE"""),"")</f>
        <v/>
      </c>
      <c r="J237" s="472" t="str">
        <f ca="1">IFERROR(__xludf.DUMMYFUNCTION("""COMPUTED_VALUE"""),"")</f>
        <v/>
      </c>
    </row>
    <row r="238" spans="1:10" ht="15.75">
      <c r="A238" s="472" t="str">
        <f ca="1">IFERROR(__xludf.DUMMYFUNCTION("""COMPUTED_VALUE"""),"")</f>
        <v/>
      </c>
      <c r="B238" s="472" t="str">
        <f ca="1">IFERROR(__xludf.DUMMYFUNCTION("""COMPUTED_VALUE"""),"")</f>
        <v/>
      </c>
      <c r="C238" s="472" t="str">
        <f ca="1">IFERROR(__xludf.DUMMYFUNCTION("""COMPUTED_VALUE"""),"")</f>
        <v/>
      </c>
      <c r="D238" s="472" t="str">
        <f ca="1">IFERROR(__xludf.DUMMYFUNCTION("""COMPUTED_VALUE"""),"")</f>
        <v/>
      </c>
      <c r="E238" s="472" t="str">
        <f ca="1">IFERROR(__xludf.DUMMYFUNCTION("""COMPUTED_VALUE"""),"")</f>
        <v/>
      </c>
      <c r="F238" s="472" t="str">
        <f ca="1">IFERROR(__xludf.DUMMYFUNCTION("""COMPUTED_VALUE"""),"")</f>
        <v/>
      </c>
      <c r="G238" s="472" t="str">
        <f ca="1">IFERROR(__xludf.DUMMYFUNCTION("""COMPUTED_VALUE"""),"")</f>
        <v/>
      </c>
      <c r="H238" s="472" t="str">
        <f ca="1">IFERROR(__xludf.DUMMYFUNCTION("""COMPUTED_VALUE"""),"")</f>
        <v/>
      </c>
      <c r="I238" s="472" t="str">
        <f ca="1">IFERROR(__xludf.DUMMYFUNCTION("""COMPUTED_VALUE"""),"")</f>
        <v/>
      </c>
      <c r="J238" s="472" t="str">
        <f ca="1">IFERROR(__xludf.DUMMYFUNCTION("""COMPUTED_VALUE"""),"")</f>
        <v/>
      </c>
    </row>
    <row r="239" spans="1:10" ht="15.75">
      <c r="A239" s="472" t="str">
        <f ca="1">IFERROR(__xludf.DUMMYFUNCTION("""COMPUTED_VALUE"""),"")</f>
        <v/>
      </c>
      <c r="B239" s="472" t="str">
        <f ca="1">IFERROR(__xludf.DUMMYFUNCTION("""COMPUTED_VALUE"""),"")</f>
        <v/>
      </c>
      <c r="C239" s="472" t="str">
        <f ca="1">IFERROR(__xludf.DUMMYFUNCTION("""COMPUTED_VALUE"""),"")</f>
        <v/>
      </c>
      <c r="D239" s="472" t="str">
        <f ca="1">IFERROR(__xludf.DUMMYFUNCTION("""COMPUTED_VALUE"""),"")</f>
        <v/>
      </c>
      <c r="E239" s="472" t="str">
        <f ca="1">IFERROR(__xludf.DUMMYFUNCTION("""COMPUTED_VALUE"""),"")</f>
        <v/>
      </c>
      <c r="F239" s="472" t="str">
        <f ca="1">IFERROR(__xludf.DUMMYFUNCTION("""COMPUTED_VALUE"""),"")</f>
        <v/>
      </c>
      <c r="G239" s="472" t="str">
        <f ca="1">IFERROR(__xludf.DUMMYFUNCTION("""COMPUTED_VALUE"""),"")</f>
        <v/>
      </c>
      <c r="H239" s="472" t="str">
        <f ca="1">IFERROR(__xludf.DUMMYFUNCTION("""COMPUTED_VALUE"""),"")</f>
        <v/>
      </c>
      <c r="I239" s="472" t="str">
        <f ca="1">IFERROR(__xludf.DUMMYFUNCTION("""COMPUTED_VALUE"""),"")</f>
        <v/>
      </c>
      <c r="J239" s="472" t="str">
        <f ca="1">IFERROR(__xludf.DUMMYFUNCTION("""COMPUTED_VALUE"""),"")</f>
        <v/>
      </c>
    </row>
    <row r="240" spans="1:10" ht="15.75">
      <c r="A240" s="472" t="str">
        <f ca="1">IFERROR(__xludf.DUMMYFUNCTION("""COMPUTED_VALUE"""),"")</f>
        <v/>
      </c>
      <c r="B240" s="472" t="str">
        <f ca="1">IFERROR(__xludf.DUMMYFUNCTION("""COMPUTED_VALUE"""),"")</f>
        <v/>
      </c>
      <c r="C240" s="472" t="str">
        <f ca="1">IFERROR(__xludf.DUMMYFUNCTION("""COMPUTED_VALUE"""),"")</f>
        <v/>
      </c>
      <c r="D240" s="472" t="str">
        <f ca="1">IFERROR(__xludf.DUMMYFUNCTION("""COMPUTED_VALUE"""),"")</f>
        <v/>
      </c>
      <c r="E240" s="472" t="str">
        <f ca="1">IFERROR(__xludf.DUMMYFUNCTION("""COMPUTED_VALUE"""),"")</f>
        <v/>
      </c>
      <c r="F240" s="472" t="str">
        <f ca="1">IFERROR(__xludf.DUMMYFUNCTION("""COMPUTED_VALUE"""),"")</f>
        <v/>
      </c>
      <c r="G240" s="472" t="str">
        <f ca="1">IFERROR(__xludf.DUMMYFUNCTION("""COMPUTED_VALUE"""),"")</f>
        <v/>
      </c>
      <c r="H240" s="472" t="str">
        <f ca="1">IFERROR(__xludf.DUMMYFUNCTION("""COMPUTED_VALUE"""),"")</f>
        <v/>
      </c>
      <c r="I240" s="472" t="str">
        <f ca="1">IFERROR(__xludf.DUMMYFUNCTION("""COMPUTED_VALUE"""),"")</f>
        <v/>
      </c>
      <c r="J240" s="472" t="str">
        <f ca="1">IFERROR(__xludf.DUMMYFUNCTION("""COMPUTED_VALUE"""),"")</f>
        <v/>
      </c>
    </row>
    <row r="241" spans="1:10" ht="15.75">
      <c r="A241" s="472" t="str">
        <f ca="1">IFERROR(__xludf.DUMMYFUNCTION("""COMPUTED_VALUE"""),"")</f>
        <v/>
      </c>
      <c r="B241" s="472" t="str">
        <f ca="1">IFERROR(__xludf.DUMMYFUNCTION("""COMPUTED_VALUE"""),"")</f>
        <v/>
      </c>
      <c r="C241" s="472" t="str">
        <f ca="1">IFERROR(__xludf.DUMMYFUNCTION("""COMPUTED_VALUE"""),"")</f>
        <v/>
      </c>
      <c r="D241" s="472" t="str">
        <f ca="1">IFERROR(__xludf.DUMMYFUNCTION("""COMPUTED_VALUE"""),"")</f>
        <v/>
      </c>
      <c r="E241" s="472" t="str">
        <f ca="1">IFERROR(__xludf.DUMMYFUNCTION("""COMPUTED_VALUE"""),"")</f>
        <v/>
      </c>
      <c r="F241" s="472" t="str">
        <f ca="1">IFERROR(__xludf.DUMMYFUNCTION("""COMPUTED_VALUE"""),"")</f>
        <v/>
      </c>
      <c r="G241" s="472" t="str">
        <f ca="1">IFERROR(__xludf.DUMMYFUNCTION("""COMPUTED_VALUE"""),"")</f>
        <v/>
      </c>
      <c r="H241" s="472" t="str">
        <f ca="1">IFERROR(__xludf.DUMMYFUNCTION("""COMPUTED_VALUE"""),"")</f>
        <v/>
      </c>
      <c r="I241" s="472" t="str">
        <f ca="1">IFERROR(__xludf.DUMMYFUNCTION("""COMPUTED_VALUE"""),"")</f>
        <v/>
      </c>
      <c r="J241" s="472" t="str">
        <f ca="1">IFERROR(__xludf.DUMMYFUNCTION("""COMPUTED_VALUE"""),"")</f>
        <v/>
      </c>
    </row>
    <row r="242" spans="1:10" ht="15.75">
      <c r="A242" s="472" t="str">
        <f ca="1">IFERROR(__xludf.DUMMYFUNCTION("""COMPUTED_VALUE"""),"")</f>
        <v/>
      </c>
      <c r="B242" s="472" t="str">
        <f ca="1">IFERROR(__xludf.DUMMYFUNCTION("""COMPUTED_VALUE"""),"")</f>
        <v/>
      </c>
      <c r="C242" s="472" t="str">
        <f ca="1">IFERROR(__xludf.DUMMYFUNCTION("""COMPUTED_VALUE"""),"")</f>
        <v/>
      </c>
      <c r="D242" s="472" t="str">
        <f ca="1">IFERROR(__xludf.DUMMYFUNCTION("""COMPUTED_VALUE"""),"")</f>
        <v/>
      </c>
      <c r="E242" s="472" t="str">
        <f ca="1">IFERROR(__xludf.DUMMYFUNCTION("""COMPUTED_VALUE"""),"")</f>
        <v/>
      </c>
      <c r="F242" s="472" t="str">
        <f ca="1">IFERROR(__xludf.DUMMYFUNCTION("""COMPUTED_VALUE"""),"")</f>
        <v/>
      </c>
      <c r="G242" s="472" t="str">
        <f ca="1">IFERROR(__xludf.DUMMYFUNCTION("""COMPUTED_VALUE"""),"")</f>
        <v/>
      </c>
      <c r="H242" s="472" t="str">
        <f ca="1">IFERROR(__xludf.DUMMYFUNCTION("""COMPUTED_VALUE"""),"")</f>
        <v/>
      </c>
      <c r="I242" s="472" t="str">
        <f ca="1">IFERROR(__xludf.DUMMYFUNCTION("""COMPUTED_VALUE"""),"")</f>
        <v/>
      </c>
      <c r="J242" s="472" t="str">
        <f ca="1">IFERROR(__xludf.DUMMYFUNCTION("""COMPUTED_VALUE"""),"")</f>
        <v/>
      </c>
    </row>
    <row r="243" spans="1:10" ht="15.75">
      <c r="A243" s="472" t="str">
        <f ca="1">IFERROR(__xludf.DUMMYFUNCTION("""COMPUTED_VALUE"""),"")</f>
        <v/>
      </c>
      <c r="B243" s="472" t="str">
        <f ca="1">IFERROR(__xludf.DUMMYFUNCTION("""COMPUTED_VALUE"""),"")</f>
        <v/>
      </c>
      <c r="C243" s="472" t="str">
        <f ca="1">IFERROR(__xludf.DUMMYFUNCTION("""COMPUTED_VALUE"""),"")</f>
        <v/>
      </c>
      <c r="D243" s="472" t="str">
        <f ca="1">IFERROR(__xludf.DUMMYFUNCTION("""COMPUTED_VALUE"""),"")</f>
        <v/>
      </c>
      <c r="E243" s="472" t="str">
        <f ca="1">IFERROR(__xludf.DUMMYFUNCTION("""COMPUTED_VALUE"""),"")</f>
        <v/>
      </c>
      <c r="F243" s="472" t="str">
        <f ca="1">IFERROR(__xludf.DUMMYFUNCTION("""COMPUTED_VALUE"""),"")</f>
        <v/>
      </c>
      <c r="G243" s="472" t="str">
        <f ca="1">IFERROR(__xludf.DUMMYFUNCTION("""COMPUTED_VALUE"""),"")</f>
        <v/>
      </c>
      <c r="H243" s="472" t="str">
        <f ca="1">IFERROR(__xludf.DUMMYFUNCTION("""COMPUTED_VALUE"""),"")</f>
        <v/>
      </c>
      <c r="I243" s="472" t="str">
        <f ca="1">IFERROR(__xludf.DUMMYFUNCTION("""COMPUTED_VALUE"""),"")</f>
        <v/>
      </c>
      <c r="J243" s="472" t="str">
        <f ca="1">IFERROR(__xludf.DUMMYFUNCTION("""COMPUTED_VALUE"""),"")</f>
        <v/>
      </c>
    </row>
    <row r="244" spans="1:10" ht="15.75">
      <c r="A244" s="472" t="str">
        <f ca="1">IFERROR(__xludf.DUMMYFUNCTION("""COMPUTED_VALUE"""),"")</f>
        <v/>
      </c>
      <c r="B244" s="472" t="str">
        <f ca="1">IFERROR(__xludf.DUMMYFUNCTION("""COMPUTED_VALUE"""),"")</f>
        <v/>
      </c>
      <c r="C244" s="472" t="str">
        <f ca="1">IFERROR(__xludf.DUMMYFUNCTION("""COMPUTED_VALUE"""),"")</f>
        <v/>
      </c>
      <c r="D244" s="472" t="str">
        <f ca="1">IFERROR(__xludf.DUMMYFUNCTION("""COMPUTED_VALUE"""),"")</f>
        <v/>
      </c>
      <c r="E244" s="472" t="str">
        <f ca="1">IFERROR(__xludf.DUMMYFUNCTION("""COMPUTED_VALUE"""),"")</f>
        <v/>
      </c>
      <c r="F244" s="472" t="str">
        <f ca="1">IFERROR(__xludf.DUMMYFUNCTION("""COMPUTED_VALUE"""),"")</f>
        <v/>
      </c>
      <c r="G244" s="472" t="str">
        <f ca="1">IFERROR(__xludf.DUMMYFUNCTION("""COMPUTED_VALUE"""),"")</f>
        <v/>
      </c>
      <c r="H244" s="472" t="str">
        <f ca="1">IFERROR(__xludf.DUMMYFUNCTION("""COMPUTED_VALUE"""),"")</f>
        <v/>
      </c>
      <c r="I244" s="472" t="str">
        <f ca="1">IFERROR(__xludf.DUMMYFUNCTION("""COMPUTED_VALUE"""),"")</f>
        <v/>
      </c>
      <c r="J244" s="472" t="str">
        <f ca="1">IFERROR(__xludf.DUMMYFUNCTION("""COMPUTED_VALUE"""),"")</f>
        <v/>
      </c>
    </row>
    <row r="245" spans="1:10" ht="15.75">
      <c r="A245" s="472" t="str">
        <f ca="1">IFERROR(__xludf.DUMMYFUNCTION("""COMPUTED_VALUE"""),"")</f>
        <v/>
      </c>
      <c r="B245" s="472" t="str">
        <f ca="1">IFERROR(__xludf.DUMMYFUNCTION("""COMPUTED_VALUE"""),"")</f>
        <v/>
      </c>
      <c r="C245" s="472" t="str">
        <f ca="1">IFERROR(__xludf.DUMMYFUNCTION("""COMPUTED_VALUE"""),"")</f>
        <v/>
      </c>
      <c r="D245" s="472" t="str">
        <f ca="1">IFERROR(__xludf.DUMMYFUNCTION("""COMPUTED_VALUE"""),"")</f>
        <v/>
      </c>
      <c r="E245" s="472" t="str">
        <f ca="1">IFERROR(__xludf.DUMMYFUNCTION("""COMPUTED_VALUE"""),"")</f>
        <v/>
      </c>
      <c r="F245" s="472" t="str">
        <f ca="1">IFERROR(__xludf.DUMMYFUNCTION("""COMPUTED_VALUE"""),"")</f>
        <v/>
      </c>
      <c r="G245" s="472" t="str">
        <f ca="1">IFERROR(__xludf.DUMMYFUNCTION("""COMPUTED_VALUE"""),"")</f>
        <v/>
      </c>
      <c r="H245" s="472" t="str">
        <f ca="1">IFERROR(__xludf.DUMMYFUNCTION("""COMPUTED_VALUE"""),"")</f>
        <v/>
      </c>
      <c r="I245" s="472" t="str">
        <f ca="1">IFERROR(__xludf.DUMMYFUNCTION("""COMPUTED_VALUE"""),"")</f>
        <v/>
      </c>
      <c r="J245" s="472" t="str">
        <f ca="1">IFERROR(__xludf.DUMMYFUNCTION("""COMPUTED_VALUE"""),"")</f>
        <v/>
      </c>
    </row>
    <row r="246" spans="1:10" ht="15.75">
      <c r="A246" s="472" t="str">
        <f ca="1">IFERROR(__xludf.DUMMYFUNCTION("""COMPUTED_VALUE"""),"")</f>
        <v/>
      </c>
      <c r="B246" s="472" t="str">
        <f ca="1">IFERROR(__xludf.DUMMYFUNCTION("""COMPUTED_VALUE"""),"")</f>
        <v/>
      </c>
      <c r="C246" s="472" t="str">
        <f ca="1">IFERROR(__xludf.DUMMYFUNCTION("""COMPUTED_VALUE"""),"")</f>
        <v/>
      </c>
      <c r="D246" s="472" t="str">
        <f ca="1">IFERROR(__xludf.DUMMYFUNCTION("""COMPUTED_VALUE"""),"")</f>
        <v/>
      </c>
      <c r="E246" s="472" t="str">
        <f ca="1">IFERROR(__xludf.DUMMYFUNCTION("""COMPUTED_VALUE"""),"")</f>
        <v/>
      </c>
      <c r="F246" s="472" t="str">
        <f ca="1">IFERROR(__xludf.DUMMYFUNCTION("""COMPUTED_VALUE"""),"")</f>
        <v/>
      </c>
      <c r="G246" s="472" t="str">
        <f ca="1">IFERROR(__xludf.DUMMYFUNCTION("""COMPUTED_VALUE"""),"")</f>
        <v/>
      </c>
      <c r="H246" s="472" t="str">
        <f ca="1">IFERROR(__xludf.DUMMYFUNCTION("""COMPUTED_VALUE"""),"")</f>
        <v/>
      </c>
      <c r="I246" s="472" t="str">
        <f ca="1">IFERROR(__xludf.DUMMYFUNCTION("""COMPUTED_VALUE"""),"")</f>
        <v/>
      </c>
      <c r="J246" s="472" t="str">
        <f ca="1">IFERROR(__xludf.DUMMYFUNCTION("""COMPUTED_VALUE"""),"")</f>
        <v/>
      </c>
    </row>
    <row r="247" spans="1:10" ht="15.75">
      <c r="A247" s="472" t="str">
        <f ca="1">IFERROR(__xludf.DUMMYFUNCTION("""COMPUTED_VALUE"""),"")</f>
        <v/>
      </c>
      <c r="B247" s="472" t="str">
        <f ca="1">IFERROR(__xludf.DUMMYFUNCTION("""COMPUTED_VALUE"""),"")</f>
        <v/>
      </c>
      <c r="C247" s="472" t="str">
        <f ca="1">IFERROR(__xludf.DUMMYFUNCTION("""COMPUTED_VALUE"""),"")</f>
        <v/>
      </c>
      <c r="D247" s="472" t="str">
        <f ca="1">IFERROR(__xludf.DUMMYFUNCTION("""COMPUTED_VALUE"""),"")</f>
        <v/>
      </c>
      <c r="E247" s="472" t="str">
        <f ca="1">IFERROR(__xludf.DUMMYFUNCTION("""COMPUTED_VALUE"""),"")</f>
        <v/>
      </c>
      <c r="F247" s="472" t="str">
        <f ca="1">IFERROR(__xludf.DUMMYFUNCTION("""COMPUTED_VALUE"""),"")</f>
        <v/>
      </c>
      <c r="G247" s="472" t="str">
        <f ca="1">IFERROR(__xludf.DUMMYFUNCTION("""COMPUTED_VALUE"""),"")</f>
        <v/>
      </c>
      <c r="H247" s="472" t="str">
        <f ca="1">IFERROR(__xludf.DUMMYFUNCTION("""COMPUTED_VALUE"""),"")</f>
        <v/>
      </c>
      <c r="I247" s="472" t="str">
        <f ca="1">IFERROR(__xludf.DUMMYFUNCTION("""COMPUTED_VALUE"""),"")</f>
        <v/>
      </c>
      <c r="J247" s="472" t="str">
        <f ca="1">IFERROR(__xludf.DUMMYFUNCTION("""COMPUTED_VALUE"""),"")</f>
        <v/>
      </c>
    </row>
    <row r="248" spans="1:10" ht="15.75">
      <c r="A248" s="472" t="str">
        <f ca="1">IFERROR(__xludf.DUMMYFUNCTION("""COMPUTED_VALUE"""),"")</f>
        <v/>
      </c>
      <c r="B248" s="472" t="str">
        <f ca="1">IFERROR(__xludf.DUMMYFUNCTION("""COMPUTED_VALUE"""),"")</f>
        <v/>
      </c>
      <c r="C248" s="472" t="str">
        <f ca="1">IFERROR(__xludf.DUMMYFUNCTION("""COMPUTED_VALUE"""),"")</f>
        <v/>
      </c>
      <c r="D248" s="472" t="str">
        <f ca="1">IFERROR(__xludf.DUMMYFUNCTION("""COMPUTED_VALUE"""),"")</f>
        <v/>
      </c>
      <c r="E248" s="472" t="str">
        <f ca="1">IFERROR(__xludf.DUMMYFUNCTION("""COMPUTED_VALUE"""),"")</f>
        <v/>
      </c>
      <c r="F248" s="472" t="str">
        <f ca="1">IFERROR(__xludf.DUMMYFUNCTION("""COMPUTED_VALUE"""),"")</f>
        <v/>
      </c>
      <c r="G248" s="472" t="str">
        <f ca="1">IFERROR(__xludf.DUMMYFUNCTION("""COMPUTED_VALUE"""),"")</f>
        <v/>
      </c>
      <c r="H248" s="472" t="str">
        <f ca="1">IFERROR(__xludf.DUMMYFUNCTION("""COMPUTED_VALUE"""),"")</f>
        <v/>
      </c>
      <c r="I248" s="472" t="str">
        <f ca="1">IFERROR(__xludf.DUMMYFUNCTION("""COMPUTED_VALUE"""),"")</f>
        <v/>
      </c>
      <c r="J248" s="472" t="str">
        <f ca="1">IFERROR(__xludf.DUMMYFUNCTION("""COMPUTED_VALUE"""),"")</f>
        <v/>
      </c>
    </row>
    <row r="249" spans="1:10" ht="15.75">
      <c r="A249" s="472" t="str">
        <f ca="1">IFERROR(__xludf.DUMMYFUNCTION("""COMPUTED_VALUE"""),"")</f>
        <v/>
      </c>
      <c r="B249" s="472" t="str">
        <f ca="1">IFERROR(__xludf.DUMMYFUNCTION("""COMPUTED_VALUE"""),"")</f>
        <v/>
      </c>
      <c r="C249" s="472" t="str">
        <f ca="1">IFERROR(__xludf.DUMMYFUNCTION("""COMPUTED_VALUE"""),"")</f>
        <v/>
      </c>
      <c r="D249" s="472" t="str">
        <f ca="1">IFERROR(__xludf.DUMMYFUNCTION("""COMPUTED_VALUE"""),"")</f>
        <v/>
      </c>
      <c r="E249" s="472" t="str">
        <f ca="1">IFERROR(__xludf.DUMMYFUNCTION("""COMPUTED_VALUE"""),"")</f>
        <v/>
      </c>
      <c r="F249" s="472" t="str">
        <f ca="1">IFERROR(__xludf.DUMMYFUNCTION("""COMPUTED_VALUE"""),"")</f>
        <v/>
      </c>
      <c r="G249" s="472" t="str">
        <f ca="1">IFERROR(__xludf.DUMMYFUNCTION("""COMPUTED_VALUE"""),"")</f>
        <v/>
      </c>
      <c r="H249" s="472" t="str">
        <f ca="1">IFERROR(__xludf.DUMMYFUNCTION("""COMPUTED_VALUE"""),"")</f>
        <v/>
      </c>
      <c r="I249" s="472" t="str">
        <f ca="1">IFERROR(__xludf.DUMMYFUNCTION("""COMPUTED_VALUE"""),"")</f>
        <v/>
      </c>
      <c r="J249" s="472" t="str">
        <f ca="1">IFERROR(__xludf.DUMMYFUNCTION("""COMPUTED_VALUE"""),"")</f>
        <v/>
      </c>
    </row>
    <row r="250" spans="1:10" ht="15.75">
      <c r="A250" s="472" t="str">
        <f ca="1">IFERROR(__xludf.DUMMYFUNCTION("""COMPUTED_VALUE"""),"")</f>
        <v/>
      </c>
      <c r="B250" s="472" t="str">
        <f ca="1">IFERROR(__xludf.DUMMYFUNCTION("""COMPUTED_VALUE"""),"")</f>
        <v/>
      </c>
      <c r="C250" s="472" t="str">
        <f ca="1">IFERROR(__xludf.DUMMYFUNCTION("""COMPUTED_VALUE"""),"")</f>
        <v/>
      </c>
      <c r="D250" s="472" t="str">
        <f ca="1">IFERROR(__xludf.DUMMYFUNCTION("""COMPUTED_VALUE"""),"")</f>
        <v/>
      </c>
      <c r="E250" s="472" t="str">
        <f ca="1">IFERROR(__xludf.DUMMYFUNCTION("""COMPUTED_VALUE"""),"")</f>
        <v/>
      </c>
      <c r="F250" s="472" t="str">
        <f ca="1">IFERROR(__xludf.DUMMYFUNCTION("""COMPUTED_VALUE"""),"")</f>
        <v/>
      </c>
      <c r="G250" s="472" t="str">
        <f ca="1">IFERROR(__xludf.DUMMYFUNCTION("""COMPUTED_VALUE"""),"")</f>
        <v/>
      </c>
      <c r="H250" s="472" t="str">
        <f ca="1">IFERROR(__xludf.DUMMYFUNCTION("""COMPUTED_VALUE"""),"")</f>
        <v/>
      </c>
      <c r="I250" s="472" t="str">
        <f ca="1">IFERROR(__xludf.DUMMYFUNCTION("""COMPUTED_VALUE"""),"")</f>
        <v/>
      </c>
      <c r="J250" s="472" t="str">
        <f ca="1">IFERROR(__xludf.DUMMYFUNCTION("""COMPUTED_VALUE"""),"")</f>
        <v/>
      </c>
    </row>
    <row r="251" spans="1:10" ht="15.75">
      <c r="A251" s="472" t="str">
        <f ca="1">IFERROR(__xludf.DUMMYFUNCTION("""COMPUTED_VALUE"""),"")</f>
        <v/>
      </c>
      <c r="B251" s="472" t="str">
        <f ca="1">IFERROR(__xludf.DUMMYFUNCTION("""COMPUTED_VALUE"""),"")</f>
        <v/>
      </c>
      <c r="C251" s="472" t="str">
        <f ca="1">IFERROR(__xludf.DUMMYFUNCTION("""COMPUTED_VALUE"""),"")</f>
        <v/>
      </c>
      <c r="D251" s="472" t="str">
        <f ca="1">IFERROR(__xludf.DUMMYFUNCTION("""COMPUTED_VALUE"""),"")</f>
        <v/>
      </c>
      <c r="E251" s="472" t="str">
        <f ca="1">IFERROR(__xludf.DUMMYFUNCTION("""COMPUTED_VALUE"""),"")</f>
        <v/>
      </c>
      <c r="F251" s="472" t="str">
        <f ca="1">IFERROR(__xludf.DUMMYFUNCTION("""COMPUTED_VALUE"""),"")</f>
        <v/>
      </c>
      <c r="G251" s="472" t="str">
        <f ca="1">IFERROR(__xludf.DUMMYFUNCTION("""COMPUTED_VALUE"""),"")</f>
        <v/>
      </c>
      <c r="H251" s="472" t="str">
        <f ca="1">IFERROR(__xludf.DUMMYFUNCTION("""COMPUTED_VALUE"""),"")</f>
        <v/>
      </c>
      <c r="I251" s="472" t="str">
        <f ca="1">IFERROR(__xludf.DUMMYFUNCTION("""COMPUTED_VALUE"""),"")</f>
        <v/>
      </c>
      <c r="J251" s="472" t="str">
        <f ca="1">IFERROR(__xludf.DUMMYFUNCTION("""COMPUTED_VALUE"""),"")</f>
        <v/>
      </c>
    </row>
    <row r="252" spans="1:10" ht="15.75">
      <c r="A252" s="472" t="str">
        <f ca="1">IFERROR(__xludf.DUMMYFUNCTION("""COMPUTED_VALUE"""),"")</f>
        <v/>
      </c>
      <c r="B252" s="472" t="str">
        <f ca="1">IFERROR(__xludf.DUMMYFUNCTION("""COMPUTED_VALUE"""),"")</f>
        <v/>
      </c>
      <c r="C252" s="472" t="str">
        <f ca="1">IFERROR(__xludf.DUMMYFUNCTION("""COMPUTED_VALUE"""),"")</f>
        <v/>
      </c>
      <c r="D252" s="472" t="str">
        <f ca="1">IFERROR(__xludf.DUMMYFUNCTION("""COMPUTED_VALUE"""),"")</f>
        <v/>
      </c>
      <c r="E252" s="472" t="str">
        <f ca="1">IFERROR(__xludf.DUMMYFUNCTION("""COMPUTED_VALUE"""),"")</f>
        <v/>
      </c>
      <c r="F252" s="472" t="str">
        <f ca="1">IFERROR(__xludf.DUMMYFUNCTION("""COMPUTED_VALUE"""),"")</f>
        <v/>
      </c>
      <c r="G252" s="472" t="str">
        <f ca="1">IFERROR(__xludf.DUMMYFUNCTION("""COMPUTED_VALUE"""),"")</f>
        <v/>
      </c>
      <c r="H252" s="472" t="str">
        <f ca="1">IFERROR(__xludf.DUMMYFUNCTION("""COMPUTED_VALUE"""),"")</f>
        <v/>
      </c>
      <c r="I252" s="472" t="str">
        <f ca="1">IFERROR(__xludf.DUMMYFUNCTION("""COMPUTED_VALUE"""),"")</f>
        <v/>
      </c>
      <c r="J252" s="472" t="str">
        <f ca="1">IFERROR(__xludf.DUMMYFUNCTION("""COMPUTED_VALUE"""),"")</f>
        <v/>
      </c>
    </row>
    <row r="253" spans="1:10" ht="15.75">
      <c r="A253" s="472" t="str">
        <f ca="1">IFERROR(__xludf.DUMMYFUNCTION("""COMPUTED_VALUE"""),"")</f>
        <v/>
      </c>
      <c r="B253" s="472" t="str">
        <f ca="1">IFERROR(__xludf.DUMMYFUNCTION("""COMPUTED_VALUE"""),"")</f>
        <v/>
      </c>
      <c r="C253" s="472" t="str">
        <f ca="1">IFERROR(__xludf.DUMMYFUNCTION("""COMPUTED_VALUE"""),"")</f>
        <v/>
      </c>
      <c r="D253" s="472" t="str">
        <f ca="1">IFERROR(__xludf.DUMMYFUNCTION("""COMPUTED_VALUE"""),"")</f>
        <v/>
      </c>
      <c r="E253" s="472" t="str">
        <f ca="1">IFERROR(__xludf.DUMMYFUNCTION("""COMPUTED_VALUE"""),"")</f>
        <v/>
      </c>
      <c r="F253" s="472" t="str">
        <f ca="1">IFERROR(__xludf.DUMMYFUNCTION("""COMPUTED_VALUE"""),"")</f>
        <v/>
      </c>
      <c r="G253" s="472" t="str">
        <f ca="1">IFERROR(__xludf.DUMMYFUNCTION("""COMPUTED_VALUE"""),"")</f>
        <v/>
      </c>
      <c r="H253" s="472" t="str">
        <f ca="1">IFERROR(__xludf.DUMMYFUNCTION("""COMPUTED_VALUE"""),"")</f>
        <v/>
      </c>
      <c r="I253" s="472" t="str">
        <f ca="1">IFERROR(__xludf.DUMMYFUNCTION("""COMPUTED_VALUE"""),"")</f>
        <v/>
      </c>
      <c r="J253" s="472" t="str">
        <f ca="1">IFERROR(__xludf.DUMMYFUNCTION("""COMPUTED_VALUE"""),"")</f>
        <v/>
      </c>
    </row>
    <row r="254" spans="1:10" ht="15.75">
      <c r="A254" s="472" t="str">
        <f ca="1">IFERROR(__xludf.DUMMYFUNCTION("""COMPUTED_VALUE"""),"")</f>
        <v/>
      </c>
      <c r="B254" s="472" t="str">
        <f ca="1">IFERROR(__xludf.DUMMYFUNCTION("""COMPUTED_VALUE"""),"")</f>
        <v/>
      </c>
      <c r="C254" s="472" t="str">
        <f ca="1">IFERROR(__xludf.DUMMYFUNCTION("""COMPUTED_VALUE"""),"")</f>
        <v/>
      </c>
      <c r="D254" s="472" t="str">
        <f ca="1">IFERROR(__xludf.DUMMYFUNCTION("""COMPUTED_VALUE"""),"")</f>
        <v/>
      </c>
      <c r="E254" s="472" t="str">
        <f ca="1">IFERROR(__xludf.DUMMYFUNCTION("""COMPUTED_VALUE"""),"")</f>
        <v/>
      </c>
      <c r="F254" s="472" t="str">
        <f ca="1">IFERROR(__xludf.DUMMYFUNCTION("""COMPUTED_VALUE"""),"")</f>
        <v/>
      </c>
      <c r="G254" s="472" t="str">
        <f ca="1">IFERROR(__xludf.DUMMYFUNCTION("""COMPUTED_VALUE"""),"")</f>
        <v/>
      </c>
      <c r="H254" s="472" t="str">
        <f ca="1">IFERROR(__xludf.DUMMYFUNCTION("""COMPUTED_VALUE"""),"")</f>
        <v/>
      </c>
      <c r="I254" s="472" t="str">
        <f ca="1">IFERROR(__xludf.DUMMYFUNCTION("""COMPUTED_VALUE"""),"")</f>
        <v/>
      </c>
      <c r="J254" s="472" t="str">
        <f ca="1">IFERROR(__xludf.DUMMYFUNCTION("""COMPUTED_VALUE"""),"")</f>
        <v/>
      </c>
    </row>
    <row r="255" spans="1:10" ht="15.75">
      <c r="A255" s="472" t="str">
        <f ca="1">IFERROR(__xludf.DUMMYFUNCTION("""COMPUTED_VALUE"""),"")</f>
        <v/>
      </c>
      <c r="B255" s="472" t="str">
        <f ca="1">IFERROR(__xludf.DUMMYFUNCTION("""COMPUTED_VALUE"""),"")</f>
        <v/>
      </c>
      <c r="C255" s="472" t="str">
        <f ca="1">IFERROR(__xludf.DUMMYFUNCTION("""COMPUTED_VALUE"""),"")</f>
        <v/>
      </c>
      <c r="D255" s="472" t="str">
        <f ca="1">IFERROR(__xludf.DUMMYFUNCTION("""COMPUTED_VALUE"""),"")</f>
        <v/>
      </c>
      <c r="E255" s="472" t="str">
        <f ca="1">IFERROR(__xludf.DUMMYFUNCTION("""COMPUTED_VALUE"""),"")</f>
        <v/>
      </c>
      <c r="F255" s="472" t="str">
        <f ca="1">IFERROR(__xludf.DUMMYFUNCTION("""COMPUTED_VALUE"""),"")</f>
        <v/>
      </c>
      <c r="G255" s="472" t="str">
        <f ca="1">IFERROR(__xludf.DUMMYFUNCTION("""COMPUTED_VALUE"""),"")</f>
        <v/>
      </c>
      <c r="H255" s="472" t="str">
        <f ca="1">IFERROR(__xludf.DUMMYFUNCTION("""COMPUTED_VALUE"""),"")</f>
        <v/>
      </c>
      <c r="I255" s="472" t="str">
        <f ca="1">IFERROR(__xludf.DUMMYFUNCTION("""COMPUTED_VALUE"""),"")</f>
        <v/>
      </c>
      <c r="J255" s="472" t="str">
        <f ca="1">IFERROR(__xludf.DUMMYFUNCTION("""COMPUTED_VALUE"""),"")</f>
        <v/>
      </c>
    </row>
    <row r="256" spans="1:10" ht="15.75">
      <c r="A256" s="472" t="str">
        <f ca="1">IFERROR(__xludf.DUMMYFUNCTION("""COMPUTED_VALUE"""),"")</f>
        <v/>
      </c>
      <c r="B256" s="472" t="str">
        <f ca="1">IFERROR(__xludf.DUMMYFUNCTION("""COMPUTED_VALUE"""),"")</f>
        <v/>
      </c>
      <c r="C256" s="472" t="str">
        <f ca="1">IFERROR(__xludf.DUMMYFUNCTION("""COMPUTED_VALUE"""),"")</f>
        <v/>
      </c>
      <c r="D256" s="472" t="str">
        <f ca="1">IFERROR(__xludf.DUMMYFUNCTION("""COMPUTED_VALUE"""),"")</f>
        <v/>
      </c>
      <c r="E256" s="472" t="str">
        <f ca="1">IFERROR(__xludf.DUMMYFUNCTION("""COMPUTED_VALUE"""),"")</f>
        <v/>
      </c>
      <c r="F256" s="472" t="str">
        <f ca="1">IFERROR(__xludf.DUMMYFUNCTION("""COMPUTED_VALUE"""),"")</f>
        <v/>
      </c>
      <c r="G256" s="472" t="str">
        <f ca="1">IFERROR(__xludf.DUMMYFUNCTION("""COMPUTED_VALUE"""),"")</f>
        <v/>
      </c>
      <c r="H256" s="472" t="str">
        <f ca="1">IFERROR(__xludf.DUMMYFUNCTION("""COMPUTED_VALUE"""),"")</f>
        <v/>
      </c>
      <c r="I256" s="472" t="str">
        <f ca="1">IFERROR(__xludf.DUMMYFUNCTION("""COMPUTED_VALUE"""),"")</f>
        <v/>
      </c>
      <c r="J256" s="472" t="str">
        <f ca="1">IFERROR(__xludf.DUMMYFUNCTION("""COMPUTED_VALUE"""),"")</f>
        <v/>
      </c>
    </row>
    <row r="257" spans="1:10" ht="15.75">
      <c r="A257" s="472" t="str">
        <f ca="1">IFERROR(__xludf.DUMMYFUNCTION("""COMPUTED_VALUE"""),"")</f>
        <v/>
      </c>
      <c r="B257" s="472" t="str">
        <f ca="1">IFERROR(__xludf.DUMMYFUNCTION("""COMPUTED_VALUE"""),"")</f>
        <v/>
      </c>
      <c r="C257" s="472" t="str">
        <f ca="1">IFERROR(__xludf.DUMMYFUNCTION("""COMPUTED_VALUE"""),"")</f>
        <v/>
      </c>
      <c r="D257" s="472" t="str">
        <f ca="1">IFERROR(__xludf.DUMMYFUNCTION("""COMPUTED_VALUE"""),"")</f>
        <v/>
      </c>
      <c r="E257" s="472" t="str">
        <f ca="1">IFERROR(__xludf.DUMMYFUNCTION("""COMPUTED_VALUE"""),"")</f>
        <v/>
      </c>
      <c r="F257" s="472" t="str">
        <f ca="1">IFERROR(__xludf.DUMMYFUNCTION("""COMPUTED_VALUE"""),"")</f>
        <v/>
      </c>
      <c r="G257" s="472" t="str">
        <f ca="1">IFERROR(__xludf.DUMMYFUNCTION("""COMPUTED_VALUE"""),"")</f>
        <v/>
      </c>
      <c r="H257" s="472" t="str">
        <f ca="1">IFERROR(__xludf.DUMMYFUNCTION("""COMPUTED_VALUE"""),"")</f>
        <v/>
      </c>
      <c r="I257" s="472" t="str">
        <f ca="1">IFERROR(__xludf.DUMMYFUNCTION("""COMPUTED_VALUE"""),"")</f>
        <v/>
      </c>
      <c r="J257" s="472" t="str">
        <f ca="1">IFERROR(__xludf.DUMMYFUNCTION("""COMPUTED_VALUE"""),"")</f>
        <v/>
      </c>
    </row>
    <row r="258" spans="1:10" ht="15.75">
      <c r="A258" s="472" t="str">
        <f ca="1">IFERROR(__xludf.DUMMYFUNCTION("""COMPUTED_VALUE"""),"")</f>
        <v/>
      </c>
      <c r="B258" s="472" t="str">
        <f ca="1">IFERROR(__xludf.DUMMYFUNCTION("""COMPUTED_VALUE"""),"")</f>
        <v/>
      </c>
      <c r="C258" s="472" t="str">
        <f ca="1">IFERROR(__xludf.DUMMYFUNCTION("""COMPUTED_VALUE"""),"")</f>
        <v/>
      </c>
      <c r="D258" s="472" t="str">
        <f ca="1">IFERROR(__xludf.DUMMYFUNCTION("""COMPUTED_VALUE"""),"")</f>
        <v/>
      </c>
      <c r="E258" s="472" t="str">
        <f ca="1">IFERROR(__xludf.DUMMYFUNCTION("""COMPUTED_VALUE"""),"")</f>
        <v/>
      </c>
      <c r="F258" s="472" t="str">
        <f ca="1">IFERROR(__xludf.DUMMYFUNCTION("""COMPUTED_VALUE"""),"")</f>
        <v/>
      </c>
      <c r="G258" s="472" t="str">
        <f ca="1">IFERROR(__xludf.DUMMYFUNCTION("""COMPUTED_VALUE"""),"")</f>
        <v/>
      </c>
      <c r="H258" s="472" t="str">
        <f ca="1">IFERROR(__xludf.DUMMYFUNCTION("""COMPUTED_VALUE"""),"")</f>
        <v/>
      </c>
      <c r="I258" s="472" t="str">
        <f ca="1">IFERROR(__xludf.DUMMYFUNCTION("""COMPUTED_VALUE"""),"")</f>
        <v/>
      </c>
      <c r="J258" s="472" t="str">
        <f ca="1">IFERROR(__xludf.DUMMYFUNCTION("""COMPUTED_VALUE"""),"")</f>
        <v/>
      </c>
    </row>
    <row r="259" spans="1:10" ht="15.75">
      <c r="A259" s="472" t="str">
        <f ca="1">IFERROR(__xludf.DUMMYFUNCTION("""COMPUTED_VALUE"""),"")</f>
        <v/>
      </c>
      <c r="B259" s="472" t="str">
        <f ca="1">IFERROR(__xludf.DUMMYFUNCTION("""COMPUTED_VALUE"""),"")</f>
        <v/>
      </c>
      <c r="C259" s="472" t="str">
        <f ca="1">IFERROR(__xludf.DUMMYFUNCTION("""COMPUTED_VALUE"""),"")</f>
        <v/>
      </c>
      <c r="D259" s="472" t="str">
        <f ca="1">IFERROR(__xludf.DUMMYFUNCTION("""COMPUTED_VALUE"""),"")</f>
        <v/>
      </c>
      <c r="E259" s="472" t="str">
        <f ca="1">IFERROR(__xludf.DUMMYFUNCTION("""COMPUTED_VALUE"""),"")</f>
        <v/>
      </c>
      <c r="F259" s="472" t="str">
        <f ca="1">IFERROR(__xludf.DUMMYFUNCTION("""COMPUTED_VALUE"""),"")</f>
        <v/>
      </c>
      <c r="G259" s="472" t="str">
        <f ca="1">IFERROR(__xludf.DUMMYFUNCTION("""COMPUTED_VALUE"""),"")</f>
        <v/>
      </c>
      <c r="H259" s="472" t="str">
        <f ca="1">IFERROR(__xludf.DUMMYFUNCTION("""COMPUTED_VALUE"""),"")</f>
        <v/>
      </c>
      <c r="I259" s="472" t="str">
        <f ca="1">IFERROR(__xludf.DUMMYFUNCTION("""COMPUTED_VALUE"""),"")</f>
        <v/>
      </c>
      <c r="J259" s="472" t="str">
        <f ca="1">IFERROR(__xludf.DUMMYFUNCTION("""COMPUTED_VALUE"""),"")</f>
        <v/>
      </c>
    </row>
    <row r="260" spans="1:10" ht="15.75">
      <c r="A260" s="472" t="str">
        <f ca="1">IFERROR(__xludf.DUMMYFUNCTION("""COMPUTED_VALUE"""),"")</f>
        <v/>
      </c>
      <c r="B260" s="472" t="str">
        <f ca="1">IFERROR(__xludf.DUMMYFUNCTION("""COMPUTED_VALUE"""),"")</f>
        <v/>
      </c>
      <c r="C260" s="472" t="str">
        <f ca="1">IFERROR(__xludf.DUMMYFUNCTION("""COMPUTED_VALUE"""),"")</f>
        <v/>
      </c>
      <c r="D260" s="472" t="str">
        <f ca="1">IFERROR(__xludf.DUMMYFUNCTION("""COMPUTED_VALUE"""),"")</f>
        <v/>
      </c>
      <c r="E260" s="472" t="str">
        <f ca="1">IFERROR(__xludf.DUMMYFUNCTION("""COMPUTED_VALUE"""),"")</f>
        <v/>
      </c>
      <c r="F260" s="472" t="str">
        <f ca="1">IFERROR(__xludf.DUMMYFUNCTION("""COMPUTED_VALUE"""),"")</f>
        <v/>
      </c>
      <c r="G260" s="472" t="str">
        <f ca="1">IFERROR(__xludf.DUMMYFUNCTION("""COMPUTED_VALUE"""),"")</f>
        <v/>
      </c>
      <c r="H260" s="472" t="str">
        <f ca="1">IFERROR(__xludf.DUMMYFUNCTION("""COMPUTED_VALUE"""),"")</f>
        <v/>
      </c>
      <c r="I260" s="472" t="str">
        <f ca="1">IFERROR(__xludf.DUMMYFUNCTION("""COMPUTED_VALUE"""),"")</f>
        <v/>
      </c>
      <c r="J260" s="472" t="str">
        <f ca="1">IFERROR(__xludf.DUMMYFUNCTION("""COMPUTED_VALUE"""),"")</f>
        <v/>
      </c>
    </row>
    <row r="261" spans="1:10" ht="15.75">
      <c r="A261" s="472" t="str">
        <f ca="1">IFERROR(__xludf.DUMMYFUNCTION("""COMPUTED_VALUE"""),"")</f>
        <v/>
      </c>
      <c r="B261" s="472" t="str">
        <f ca="1">IFERROR(__xludf.DUMMYFUNCTION("""COMPUTED_VALUE"""),"")</f>
        <v/>
      </c>
      <c r="C261" s="472" t="str">
        <f ca="1">IFERROR(__xludf.DUMMYFUNCTION("""COMPUTED_VALUE"""),"")</f>
        <v/>
      </c>
      <c r="D261" s="472" t="str">
        <f ca="1">IFERROR(__xludf.DUMMYFUNCTION("""COMPUTED_VALUE"""),"")</f>
        <v/>
      </c>
      <c r="E261" s="472" t="str">
        <f ca="1">IFERROR(__xludf.DUMMYFUNCTION("""COMPUTED_VALUE"""),"")</f>
        <v/>
      </c>
      <c r="F261" s="472" t="str">
        <f ca="1">IFERROR(__xludf.DUMMYFUNCTION("""COMPUTED_VALUE"""),"")</f>
        <v/>
      </c>
      <c r="G261" s="472" t="str">
        <f ca="1">IFERROR(__xludf.DUMMYFUNCTION("""COMPUTED_VALUE"""),"")</f>
        <v/>
      </c>
      <c r="H261" s="472" t="str">
        <f ca="1">IFERROR(__xludf.DUMMYFUNCTION("""COMPUTED_VALUE"""),"")</f>
        <v/>
      </c>
      <c r="I261" s="472" t="str">
        <f ca="1">IFERROR(__xludf.DUMMYFUNCTION("""COMPUTED_VALUE"""),"")</f>
        <v/>
      </c>
      <c r="J261" s="472" t="str">
        <f ca="1">IFERROR(__xludf.DUMMYFUNCTION("""COMPUTED_VALUE"""),"")</f>
        <v/>
      </c>
    </row>
    <row r="262" spans="1:10" ht="15.75">
      <c r="A262" s="472" t="str">
        <f ca="1">IFERROR(__xludf.DUMMYFUNCTION("""COMPUTED_VALUE"""),"")</f>
        <v/>
      </c>
      <c r="B262" s="472" t="str">
        <f ca="1">IFERROR(__xludf.DUMMYFUNCTION("""COMPUTED_VALUE"""),"")</f>
        <v/>
      </c>
      <c r="C262" s="472" t="str">
        <f ca="1">IFERROR(__xludf.DUMMYFUNCTION("""COMPUTED_VALUE"""),"")</f>
        <v/>
      </c>
      <c r="D262" s="472" t="str">
        <f ca="1">IFERROR(__xludf.DUMMYFUNCTION("""COMPUTED_VALUE"""),"")</f>
        <v/>
      </c>
      <c r="E262" s="472" t="str">
        <f ca="1">IFERROR(__xludf.DUMMYFUNCTION("""COMPUTED_VALUE"""),"")</f>
        <v/>
      </c>
      <c r="F262" s="472" t="str">
        <f ca="1">IFERROR(__xludf.DUMMYFUNCTION("""COMPUTED_VALUE"""),"")</f>
        <v/>
      </c>
      <c r="G262" s="472" t="str">
        <f ca="1">IFERROR(__xludf.DUMMYFUNCTION("""COMPUTED_VALUE"""),"")</f>
        <v/>
      </c>
      <c r="H262" s="472" t="str">
        <f ca="1">IFERROR(__xludf.DUMMYFUNCTION("""COMPUTED_VALUE"""),"")</f>
        <v/>
      </c>
      <c r="I262" s="472" t="str">
        <f ca="1">IFERROR(__xludf.DUMMYFUNCTION("""COMPUTED_VALUE"""),"")</f>
        <v/>
      </c>
      <c r="J262" s="472" t="str">
        <f ca="1">IFERROR(__xludf.DUMMYFUNCTION("""COMPUTED_VALUE"""),"")</f>
        <v/>
      </c>
    </row>
    <row r="263" spans="1:10" ht="15.75">
      <c r="A263" s="472" t="str">
        <f ca="1">IFERROR(__xludf.DUMMYFUNCTION("""COMPUTED_VALUE"""),"")</f>
        <v/>
      </c>
      <c r="B263" s="472" t="str">
        <f ca="1">IFERROR(__xludf.DUMMYFUNCTION("""COMPUTED_VALUE"""),"")</f>
        <v/>
      </c>
      <c r="C263" s="472" t="str">
        <f ca="1">IFERROR(__xludf.DUMMYFUNCTION("""COMPUTED_VALUE"""),"")</f>
        <v/>
      </c>
      <c r="D263" s="472" t="str">
        <f ca="1">IFERROR(__xludf.DUMMYFUNCTION("""COMPUTED_VALUE"""),"")</f>
        <v/>
      </c>
      <c r="E263" s="472" t="str">
        <f ca="1">IFERROR(__xludf.DUMMYFUNCTION("""COMPUTED_VALUE"""),"")</f>
        <v/>
      </c>
      <c r="F263" s="472" t="str">
        <f ca="1">IFERROR(__xludf.DUMMYFUNCTION("""COMPUTED_VALUE"""),"")</f>
        <v/>
      </c>
      <c r="G263" s="472" t="str">
        <f ca="1">IFERROR(__xludf.DUMMYFUNCTION("""COMPUTED_VALUE"""),"")</f>
        <v/>
      </c>
      <c r="H263" s="472" t="str">
        <f ca="1">IFERROR(__xludf.DUMMYFUNCTION("""COMPUTED_VALUE"""),"")</f>
        <v/>
      </c>
      <c r="I263" s="472" t="str">
        <f ca="1">IFERROR(__xludf.DUMMYFUNCTION("""COMPUTED_VALUE"""),"")</f>
        <v/>
      </c>
      <c r="J263" s="472" t="str">
        <f ca="1">IFERROR(__xludf.DUMMYFUNCTION("""COMPUTED_VALUE"""),"")</f>
        <v/>
      </c>
    </row>
    <row r="264" spans="1:10" ht="15.75">
      <c r="A264" s="472" t="str">
        <f ca="1">IFERROR(__xludf.DUMMYFUNCTION("""COMPUTED_VALUE"""),"")</f>
        <v/>
      </c>
      <c r="B264" s="472" t="str">
        <f ca="1">IFERROR(__xludf.DUMMYFUNCTION("""COMPUTED_VALUE"""),"")</f>
        <v/>
      </c>
      <c r="C264" s="472" t="str">
        <f ca="1">IFERROR(__xludf.DUMMYFUNCTION("""COMPUTED_VALUE"""),"")</f>
        <v/>
      </c>
      <c r="D264" s="472" t="str">
        <f ca="1">IFERROR(__xludf.DUMMYFUNCTION("""COMPUTED_VALUE"""),"")</f>
        <v/>
      </c>
      <c r="E264" s="472" t="str">
        <f ca="1">IFERROR(__xludf.DUMMYFUNCTION("""COMPUTED_VALUE"""),"")</f>
        <v/>
      </c>
      <c r="F264" s="472" t="str">
        <f ca="1">IFERROR(__xludf.DUMMYFUNCTION("""COMPUTED_VALUE"""),"")</f>
        <v/>
      </c>
      <c r="G264" s="472" t="str">
        <f ca="1">IFERROR(__xludf.DUMMYFUNCTION("""COMPUTED_VALUE"""),"")</f>
        <v/>
      </c>
      <c r="H264" s="472" t="str">
        <f ca="1">IFERROR(__xludf.DUMMYFUNCTION("""COMPUTED_VALUE"""),"")</f>
        <v/>
      </c>
      <c r="I264" s="472" t="str">
        <f ca="1">IFERROR(__xludf.DUMMYFUNCTION("""COMPUTED_VALUE"""),"")</f>
        <v/>
      </c>
      <c r="J264" s="472" t="str">
        <f ca="1">IFERROR(__xludf.DUMMYFUNCTION("""COMPUTED_VALUE"""),"")</f>
        <v/>
      </c>
    </row>
    <row r="265" spans="1:10" ht="15.75">
      <c r="A265" s="472" t="str">
        <f ca="1">IFERROR(__xludf.DUMMYFUNCTION("""COMPUTED_VALUE"""),"")</f>
        <v/>
      </c>
      <c r="B265" s="472" t="str">
        <f ca="1">IFERROR(__xludf.DUMMYFUNCTION("""COMPUTED_VALUE"""),"")</f>
        <v/>
      </c>
      <c r="C265" s="472" t="str">
        <f ca="1">IFERROR(__xludf.DUMMYFUNCTION("""COMPUTED_VALUE"""),"")</f>
        <v/>
      </c>
      <c r="D265" s="472" t="str">
        <f ca="1">IFERROR(__xludf.DUMMYFUNCTION("""COMPUTED_VALUE"""),"")</f>
        <v/>
      </c>
      <c r="E265" s="472" t="str">
        <f ca="1">IFERROR(__xludf.DUMMYFUNCTION("""COMPUTED_VALUE"""),"")</f>
        <v/>
      </c>
      <c r="F265" s="472" t="str">
        <f ca="1">IFERROR(__xludf.DUMMYFUNCTION("""COMPUTED_VALUE"""),"")</f>
        <v/>
      </c>
      <c r="G265" s="472" t="str">
        <f ca="1">IFERROR(__xludf.DUMMYFUNCTION("""COMPUTED_VALUE"""),"")</f>
        <v/>
      </c>
      <c r="H265" s="472" t="str">
        <f ca="1">IFERROR(__xludf.DUMMYFUNCTION("""COMPUTED_VALUE"""),"")</f>
        <v/>
      </c>
      <c r="I265" s="472" t="str">
        <f ca="1">IFERROR(__xludf.DUMMYFUNCTION("""COMPUTED_VALUE"""),"")</f>
        <v/>
      </c>
      <c r="J265" s="472" t="str">
        <f ca="1">IFERROR(__xludf.DUMMYFUNCTION("""COMPUTED_VALUE"""),"")</f>
        <v/>
      </c>
    </row>
    <row r="266" spans="1:10" ht="15.75">
      <c r="A266" s="472" t="str">
        <f ca="1">IFERROR(__xludf.DUMMYFUNCTION("""COMPUTED_VALUE"""),"")</f>
        <v/>
      </c>
      <c r="B266" s="472" t="str">
        <f ca="1">IFERROR(__xludf.DUMMYFUNCTION("""COMPUTED_VALUE"""),"")</f>
        <v/>
      </c>
      <c r="C266" s="472" t="str">
        <f ca="1">IFERROR(__xludf.DUMMYFUNCTION("""COMPUTED_VALUE"""),"")</f>
        <v/>
      </c>
      <c r="D266" s="472" t="str">
        <f ca="1">IFERROR(__xludf.DUMMYFUNCTION("""COMPUTED_VALUE"""),"")</f>
        <v/>
      </c>
      <c r="E266" s="472" t="str">
        <f ca="1">IFERROR(__xludf.DUMMYFUNCTION("""COMPUTED_VALUE"""),"")</f>
        <v/>
      </c>
      <c r="F266" s="472" t="str">
        <f ca="1">IFERROR(__xludf.DUMMYFUNCTION("""COMPUTED_VALUE"""),"")</f>
        <v/>
      </c>
      <c r="G266" s="472" t="str">
        <f ca="1">IFERROR(__xludf.DUMMYFUNCTION("""COMPUTED_VALUE"""),"")</f>
        <v/>
      </c>
      <c r="H266" s="472" t="str">
        <f ca="1">IFERROR(__xludf.DUMMYFUNCTION("""COMPUTED_VALUE"""),"")</f>
        <v/>
      </c>
      <c r="I266" s="472" t="str">
        <f ca="1">IFERROR(__xludf.DUMMYFUNCTION("""COMPUTED_VALUE"""),"")</f>
        <v/>
      </c>
      <c r="J266" s="472" t="str">
        <f ca="1">IFERROR(__xludf.DUMMYFUNCTION("""COMPUTED_VALUE"""),"")</f>
        <v/>
      </c>
    </row>
    <row r="267" spans="1:10" ht="15.75">
      <c r="A267" s="472" t="str">
        <f ca="1">IFERROR(__xludf.DUMMYFUNCTION("""COMPUTED_VALUE"""),"")</f>
        <v/>
      </c>
      <c r="B267" s="472" t="str">
        <f ca="1">IFERROR(__xludf.DUMMYFUNCTION("""COMPUTED_VALUE"""),"")</f>
        <v/>
      </c>
      <c r="C267" s="472" t="str">
        <f ca="1">IFERROR(__xludf.DUMMYFUNCTION("""COMPUTED_VALUE"""),"")</f>
        <v/>
      </c>
      <c r="D267" s="472" t="str">
        <f ca="1">IFERROR(__xludf.DUMMYFUNCTION("""COMPUTED_VALUE"""),"")</f>
        <v/>
      </c>
      <c r="E267" s="472" t="str">
        <f ca="1">IFERROR(__xludf.DUMMYFUNCTION("""COMPUTED_VALUE"""),"")</f>
        <v/>
      </c>
      <c r="F267" s="472" t="str">
        <f ca="1">IFERROR(__xludf.DUMMYFUNCTION("""COMPUTED_VALUE"""),"")</f>
        <v/>
      </c>
      <c r="G267" s="472" t="str">
        <f ca="1">IFERROR(__xludf.DUMMYFUNCTION("""COMPUTED_VALUE"""),"")</f>
        <v/>
      </c>
      <c r="H267" s="472" t="str">
        <f ca="1">IFERROR(__xludf.DUMMYFUNCTION("""COMPUTED_VALUE"""),"")</f>
        <v/>
      </c>
      <c r="I267" s="472" t="str">
        <f ca="1">IFERROR(__xludf.DUMMYFUNCTION("""COMPUTED_VALUE"""),"")</f>
        <v/>
      </c>
      <c r="J267" s="472" t="str">
        <f ca="1">IFERROR(__xludf.DUMMYFUNCTION("""COMPUTED_VALUE"""),"")</f>
        <v/>
      </c>
    </row>
    <row r="268" spans="1:10" ht="15.75">
      <c r="A268" s="472" t="str">
        <f ca="1">IFERROR(__xludf.DUMMYFUNCTION("""COMPUTED_VALUE"""),"")</f>
        <v/>
      </c>
      <c r="B268" s="472" t="str">
        <f ca="1">IFERROR(__xludf.DUMMYFUNCTION("""COMPUTED_VALUE"""),"")</f>
        <v/>
      </c>
      <c r="C268" s="472" t="str">
        <f ca="1">IFERROR(__xludf.DUMMYFUNCTION("""COMPUTED_VALUE"""),"")</f>
        <v/>
      </c>
      <c r="D268" s="472" t="str">
        <f ca="1">IFERROR(__xludf.DUMMYFUNCTION("""COMPUTED_VALUE"""),"")</f>
        <v/>
      </c>
      <c r="E268" s="472" t="str">
        <f ca="1">IFERROR(__xludf.DUMMYFUNCTION("""COMPUTED_VALUE"""),"")</f>
        <v/>
      </c>
      <c r="F268" s="472" t="str">
        <f ca="1">IFERROR(__xludf.DUMMYFUNCTION("""COMPUTED_VALUE"""),"")</f>
        <v/>
      </c>
      <c r="G268" s="472" t="str">
        <f ca="1">IFERROR(__xludf.DUMMYFUNCTION("""COMPUTED_VALUE"""),"")</f>
        <v/>
      </c>
      <c r="H268" s="472" t="str">
        <f ca="1">IFERROR(__xludf.DUMMYFUNCTION("""COMPUTED_VALUE"""),"")</f>
        <v/>
      </c>
      <c r="I268" s="472" t="str">
        <f ca="1">IFERROR(__xludf.DUMMYFUNCTION("""COMPUTED_VALUE"""),"")</f>
        <v/>
      </c>
      <c r="J268" s="472" t="str">
        <f ca="1">IFERROR(__xludf.DUMMYFUNCTION("""COMPUTED_VALUE"""),"")</f>
        <v/>
      </c>
    </row>
    <row r="269" spans="1:10" ht="15.75">
      <c r="A269" s="472" t="str">
        <f ca="1">IFERROR(__xludf.DUMMYFUNCTION("""COMPUTED_VALUE"""),"")</f>
        <v/>
      </c>
      <c r="B269" s="472" t="str">
        <f ca="1">IFERROR(__xludf.DUMMYFUNCTION("""COMPUTED_VALUE"""),"")</f>
        <v/>
      </c>
      <c r="C269" s="472" t="str">
        <f ca="1">IFERROR(__xludf.DUMMYFUNCTION("""COMPUTED_VALUE"""),"")</f>
        <v/>
      </c>
      <c r="D269" s="472" t="str">
        <f ca="1">IFERROR(__xludf.DUMMYFUNCTION("""COMPUTED_VALUE"""),"")</f>
        <v/>
      </c>
      <c r="E269" s="472" t="str">
        <f ca="1">IFERROR(__xludf.DUMMYFUNCTION("""COMPUTED_VALUE"""),"")</f>
        <v/>
      </c>
      <c r="F269" s="472" t="str">
        <f ca="1">IFERROR(__xludf.DUMMYFUNCTION("""COMPUTED_VALUE"""),"")</f>
        <v/>
      </c>
      <c r="G269" s="472" t="str">
        <f ca="1">IFERROR(__xludf.DUMMYFUNCTION("""COMPUTED_VALUE"""),"")</f>
        <v/>
      </c>
      <c r="H269" s="472" t="str">
        <f ca="1">IFERROR(__xludf.DUMMYFUNCTION("""COMPUTED_VALUE"""),"")</f>
        <v/>
      </c>
      <c r="I269" s="472" t="str">
        <f ca="1">IFERROR(__xludf.DUMMYFUNCTION("""COMPUTED_VALUE"""),"")</f>
        <v/>
      </c>
      <c r="J269" s="472" t="str">
        <f ca="1">IFERROR(__xludf.DUMMYFUNCTION("""COMPUTED_VALUE"""),"")</f>
        <v/>
      </c>
    </row>
    <row r="270" spans="1:10" ht="15.75">
      <c r="A270" s="472" t="str">
        <f ca="1">IFERROR(__xludf.DUMMYFUNCTION("""COMPUTED_VALUE"""),"")</f>
        <v/>
      </c>
      <c r="B270" s="472" t="str">
        <f ca="1">IFERROR(__xludf.DUMMYFUNCTION("""COMPUTED_VALUE"""),"")</f>
        <v/>
      </c>
      <c r="C270" s="472" t="str">
        <f ca="1">IFERROR(__xludf.DUMMYFUNCTION("""COMPUTED_VALUE"""),"")</f>
        <v/>
      </c>
      <c r="D270" s="472" t="str">
        <f ca="1">IFERROR(__xludf.DUMMYFUNCTION("""COMPUTED_VALUE"""),"")</f>
        <v/>
      </c>
      <c r="E270" s="472" t="str">
        <f ca="1">IFERROR(__xludf.DUMMYFUNCTION("""COMPUTED_VALUE"""),"")</f>
        <v/>
      </c>
      <c r="F270" s="472" t="str">
        <f ca="1">IFERROR(__xludf.DUMMYFUNCTION("""COMPUTED_VALUE"""),"")</f>
        <v/>
      </c>
      <c r="G270" s="472" t="str">
        <f ca="1">IFERROR(__xludf.DUMMYFUNCTION("""COMPUTED_VALUE"""),"")</f>
        <v/>
      </c>
      <c r="H270" s="472" t="str">
        <f ca="1">IFERROR(__xludf.DUMMYFUNCTION("""COMPUTED_VALUE"""),"")</f>
        <v/>
      </c>
      <c r="I270" s="472" t="str">
        <f ca="1">IFERROR(__xludf.DUMMYFUNCTION("""COMPUTED_VALUE"""),"")</f>
        <v/>
      </c>
      <c r="J270" s="472" t="str">
        <f ca="1">IFERROR(__xludf.DUMMYFUNCTION("""COMPUTED_VALUE"""),"")</f>
        <v/>
      </c>
    </row>
    <row r="271" spans="1:10" ht="15.75">
      <c r="A271" s="472" t="str">
        <f ca="1">IFERROR(__xludf.DUMMYFUNCTION("""COMPUTED_VALUE"""),"")</f>
        <v/>
      </c>
      <c r="B271" s="472" t="str">
        <f ca="1">IFERROR(__xludf.DUMMYFUNCTION("""COMPUTED_VALUE"""),"")</f>
        <v/>
      </c>
      <c r="C271" s="472" t="str">
        <f ca="1">IFERROR(__xludf.DUMMYFUNCTION("""COMPUTED_VALUE"""),"")</f>
        <v/>
      </c>
      <c r="D271" s="472" t="str">
        <f ca="1">IFERROR(__xludf.DUMMYFUNCTION("""COMPUTED_VALUE"""),"")</f>
        <v/>
      </c>
      <c r="E271" s="472" t="str">
        <f ca="1">IFERROR(__xludf.DUMMYFUNCTION("""COMPUTED_VALUE"""),"")</f>
        <v/>
      </c>
      <c r="F271" s="472" t="str">
        <f ca="1">IFERROR(__xludf.DUMMYFUNCTION("""COMPUTED_VALUE"""),"")</f>
        <v/>
      </c>
      <c r="G271" s="472" t="str">
        <f ca="1">IFERROR(__xludf.DUMMYFUNCTION("""COMPUTED_VALUE"""),"")</f>
        <v/>
      </c>
      <c r="H271" s="472" t="str">
        <f ca="1">IFERROR(__xludf.DUMMYFUNCTION("""COMPUTED_VALUE"""),"")</f>
        <v/>
      </c>
      <c r="I271" s="472" t="str">
        <f ca="1">IFERROR(__xludf.DUMMYFUNCTION("""COMPUTED_VALUE"""),"")</f>
        <v/>
      </c>
      <c r="J271" s="472" t="str">
        <f ca="1">IFERROR(__xludf.DUMMYFUNCTION("""COMPUTED_VALUE"""),"")</f>
        <v/>
      </c>
    </row>
    <row r="272" spans="1:10" ht="15.75">
      <c r="A272" s="472" t="str">
        <f ca="1">IFERROR(__xludf.DUMMYFUNCTION("""COMPUTED_VALUE"""),"")</f>
        <v/>
      </c>
      <c r="B272" s="472" t="str">
        <f ca="1">IFERROR(__xludf.DUMMYFUNCTION("""COMPUTED_VALUE"""),"")</f>
        <v/>
      </c>
      <c r="C272" s="472" t="str">
        <f ca="1">IFERROR(__xludf.DUMMYFUNCTION("""COMPUTED_VALUE"""),"")</f>
        <v/>
      </c>
      <c r="D272" s="472" t="str">
        <f ca="1">IFERROR(__xludf.DUMMYFUNCTION("""COMPUTED_VALUE"""),"")</f>
        <v/>
      </c>
      <c r="E272" s="472" t="str">
        <f ca="1">IFERROR(__xludf.DUMMYFUNCTION("""COMPUTED_VALUE"""),"")</f>
        <v/>
      </c>
      <c r="F272" s="472" t="str">
        <f ca="1">IFERROR(__xludf.DUMMYFUNCTION("""COMPUTED_VALUE"""),"")</f>
        <v/>
      </c>
      <c r="G272" s="472" t="str">
        <f ca="1">IFERROR(__xludf.DUMMYFUNCTION("""COMPUTED_VALUE"""),"")</f>
        <v/>
      </c>
      <c r="H272" s="472" t="str">
        <f ca="1">IFERROR(__xludf.DUMMYFUNCTION("""COMPUTED_VALUE"""),"")</f>
        <v/>
      </c>
      <c r="I272" s="472" t="str">
        <f ca="1">IFERROR(__xludf.DUMMYFUNCTION("""COMPUTED_VALUE"""),"")</f>
        <v/>
      </c>
      <c r="J272" s="472" t="str">
        <f ca="1">IFERROR(__xludf.DUMMYFUNCTION("""COMPUTED_VALUE"""),"")</f>
        <v/>
      </c>
    </row>
    <row r="273" spans="1:10" ht="15.75">
      <c r="A273" s="472" t="str">
        <f ca="1">IFERROR(__xludf.DUMMYFUNCTION("""COMPUTED_VALUE"""),"")</f>
        <v/>
      </c>
      <c r="B273" s="472" t="str">
        <f ca="1">IFERROR(__xludf.DUMMYFUNCTION("""COMPUTED_VALUE"""),"")</f>
        <v/>
      </c>
      <c r="C273" s="472" t="str">
        <f ca="1">IFERROR(__xludf.DUMMYFUNCTION("""COMPUTED_VALUE"""),"")</f>
        <v/>
      </c>
      <c r="D273" s="472" t="str">
        <f ca="1">IFERROR(__xludf.DUMMYFUNCTION("""COMPUTED_VALUE"""),"")</f>
        <v/>
      </c>
      <c r="E273" s="472" t="str">
        <f ca="1">IFERROR(__xludf.DUMMYFUNCTION("""COMPUTED_VALUE"""),"")</f>
        <v/>
      </c>
      <c r="F273" s="472" t="str">
        <f ca="1">IFERROR(__xludf.DUMMYFUNCTION("""COMPUTED_VALUE"""),"")</f>
        <v/>
      </c>
      <c r="G273" s="472" t="str">
        <f ca="1">IFERROR(__xludf.DUMMYFUNCTION("""COMPUTED_VALUE"""),"")</f>
        <v/>
      </c>
      <c r="H273" s="472" t="str">
        <f ca="1">IFERROR(__xludf.DUMMYFUNCTION("""COMPUTED_VALUE"""),"")</f>
        <v/>
      </c>
      <c r="I273" s="472" t="str">
        <f ca="1">IFERROR(__xludf.DUMMYFUNCTION("""COMPUTED_VALUE"""),"")</f>
        <v/>
      </c>
      <c r="J273" s="472" t="str">
        <f ca="1">IFERROR(__xludf.DUMMYFUNCTION("""COMPUTED_VALUE"""),"")</f>
        <v/>
      </c>
    </row>
    <row r="274" spans="1:10" ht="15.75">
      <c r="A274" s="472" t="str">
        <f ca="1">IFERROR(__xludf.DUMMYFUNCTION("""COMPUTED_VALUE"""),"")</f>
        <v/>
      </c>
      <c r="B274" s="472" t="str">
        <f ca="1">IFERROR(__xludf.DUMMYFUNCTION("""COMPUTED_VALUE"""),"")</f>
        <v/>
      </c>
      <c r="C274" s="472" t="str">
        <f ca="1">IFERROR(__xludf.DUMMYFUNCTION("""COMPUTED_VALUE"""),"")</f>
        <v/>
      </c>
      <c r="D274" s="472" t="str">
        <f ca="1">IFERROR(__xludf.DUMMYFUNCTION("""COMPUTED_VALUE"""),"")</f>
        <v/>
      </c>
      <c r="E274" s="472" t="str">
        <f ca="1">IFERROR(__xludf.DUMMYFUNCTION("""COMPUTED_VALUE"""),"")</f>
        <v/>
      </c>
      <c r="F274" s="472" t="str">
        <f ca="1">IFERROR(__xludf.DUMMYFUNCTION("""COMPUTED_VALUE"""),"")</f>
        <v/>
      </c>
      <c r="G274" s="472" t="str">
        <f ca="1">IFERROR(__xludf.DUMMYFUNCTION("""COMPUTED_VALUE"""),"")</f>
        <v/>
      </c>
      <c r="H274" s="472" t="str">
        <f ca="1">IFERROR(__xludf.DUMMYFUNCTION("""COMPUTED_VALUE"""),"")</f>
        <v/>
      </c>
      <c r="I274" s="472" t="str">
        <f ca="1">IFERROR(__xludf.DUMMYFUNCTION("""COMPUTED_VALUE"""),"")</f>
        <v/>
      </c>
      <c r="J274" s="472" t="str">
        <f ca="1">IFERROR(__xludf.DUMMYFUNCTION("""COMPUTED_VALUE"""),"")</f>
        <v/>
      </c>
    </row>
    <row r="275" spans="1:10" ht="15.75">
      <c r="A275" s="472" t="str">
        <f ca="1">IFERROR(__xludf.DUMMYFUNCTION("""COMPUTED_VALUE"""),"")</f>
        <v/>
      </c>
      <c r="B275" s="472" t="str">
        <f ca="1">IFERROR(__xludf.DUMMYFUNCTION("""COMPUTED_VALUE"""),"")</f>
        <v/>
      </c>
      <c r="C275" s="472" t="str">
        <f ca="1">IFERROR(__xludf.DUMMYFUNCTION("""COMPUTED_VALUE"""),"")</f>
        <v/>
      </c>
      <c r="D275" s="472" t="str">
        <f ca="1">IFERROR(__xludf.DUMMYFUNCTION("""COMPUTED_VALUE"""),"")</f>
        <v/>
      </c>
      <c r="E275" s="472" t="str">
        <f ca="1">IFERROR(__xludf.DUMMYFUNCTION("""COMPUTED_VALUE"""),"")</f>
        <v/>
      </c>
      <c r="F275" s="472" t="str">
        <f ca="1">IFERROR(__xludf.DUMMYFUNCTION("""COMPUTED_VALUE"""),"")</f>
        <v/>
      </c>
      <c r="G275" s="472" t="str">
        <f ca="1">IFERROR(__xludf.DUMMYFUNCTION("""COMPUTED_VALUE"""),"")</f>
        <v/>
      </c>
      <c r="H275" s="472" t="str">
        <f ca="1">IFERROR(__xludf.DUMMYFUNCTION("""COMPUTED_VALUE"""),"")</f>
        <v/>
      </c>
      <c r="I275" s="472" t="str">
        <f ca="1">IFERROR(__xludf.DUMMYFUNCTION("""COMPUTED_VALUE"""),"")</f>
        <v/>
      </c>
      <c r="J275" s="472" t="str">
        <f ca="1">IFERROR(__xludf.DUMMYFUNCTION("""COMPUTED_VALUE"""),"")</f>
        <v/>
      </c>
    </row>
    <row r="276" spans="1:10" ht="15.75">
      <c r="A276" s="472" t="str">
        <f ca="1">IFERROR(__xludf.DUMMYFUNCTION("""COMPUTED_VALUE"""),"")</f>
        <v/>
      </c>
      <c r="B276" s="472" t="str">
        <f ca="1">IFERROR(__xludf.DUMMYFUNCTION("""COMPUTED_VALUE"""),"")</f>
        <v/>
      </c>
      <c r="C276" s="472" t="str">
        <f ca="1">IFERROR(__xludf.DUMMYFUNCTION("""COMPUTED_VALUE"""),"")</f>
        <v/>
      </c>
      <c r="D276" s="472" t="str">
        <f ca="1">IFERROR(__xludf.DUMMYFUNCTION("""COMPUTED_VALUE"""),"")</f>
        <v/>
      </c>
      <c r="E276" s="472" t="str">
        <f ca="1">IFERROR(__xludf.DUMMYFUNCTION("""COMPUTED_VALUE"""),"")</f>
        <v/>
      </c>
      <c r="F276" s="472" t="str">
        <f ca="1">IFERROR(__xludf.DUMMYFUNCTION("""COMPUTED_VALUE"""),"")</f>
        <v/>
      </c>
      <c r="G276" s="472" t="str">
        <f ca="1">IFERROR(__xludf.DUMMYFUNCTION("""COMPUTED_VALUE"""),"")</f>
        <v/>
      </c>
      <c r="H276" s="472" t="str">
        <f ca="1">IFERROR(__xludf.DUMMYFUNCTION("""COMPUTED_VALUE"""),"")</f>
        <v/>
      </c>
      <c r="I276" s="472" t="str">
        <f ca="1">IFERROR(__xludf.DUMMYFUNCTION("""COMPUTED_VALUE"""),"")</f>
        <v/>
      </c>
      <c r="J276" s="472" t="str">
        <f ca="1">IFERROR(__xludf.DUMMYFUNCTION("""COMPUTED_VALUE"""),"")</f>
        <v/>
      </c>
    </row>
    <row r="277" spans="1:10" ht="15.75">
      <c r="A277" s="472" t="str">
        <f ca="1">IFERROR(__xludf.DUMMYFUNCTION("""COMPUTED_VALUE"""),"")</f>
        <v/>
      </c>
      <c r="B277" s="472" t="str">
        <f ca="1">IFERROR(__xludf.DUMMYFUNCTION("""COMPUTED_VALUE"""),"")</f>
        <v/>
      </c>
      <c r="C277" s="472" t="str">
        <f ca="1">IFERROR(__xludf.DUMMYFUNCTION("""COMPUTED_VALUE"""),"")</f>
        <v/>
      </c>
      <c r="D277" s="472" t="str">
        <f ca="1">IFERROR(__xludf.DUMMYFUNCTION("""COMPUTED_VALUE"""),"")</f>
        <v/>
      </c>
      <c r="E277" s="472" t="str">
        <f ca="1">IFERROR(__xludf.DUMMYFUNCTION("""COMPUTED_VALUE"""),"")</f>
        <v/>
      </c>
      <c r="F277" s="472" t="str">
        <f ca="1">IFERROR(__xludf.DUMMYFUNCTION("""COMPUTED_VALUE"""),"")</f>
        <v/>
      </c>
      <c r="G277" s="472" t="str">
        <f ca="1">IFERROR(__xludf.DUMMYFUNCTION("""COMPUTED_VALUE"""),"")</f>
        <v/>
      </c>
      <c r="H277" s="472" t="str">
        <f ca="1">IFERROR(__xludf.DUMMYFUNCTION("""COMPUTED_VALUE"""),"")</f>
        <v/>
      </c>
      <c r="I277" s="472" t="str">
        <f ca="1">IFERROR(__xludf.DUMMYFUNCTION("""COMPUTED_VALUE"""),"")</f>
        <v/>
      </c>
      <c r="J277" s="472" t="str">
        <f ca="1">IFERROR(__xludf.DUMMYFUNCTION("""COMPUTED_VALUE"""),"")</f>
        <v/>
      </c>
    </row>
    <row r="278" spans="1:10" ht="15.75">
      <c r="A278" s="472" t="str">
        <f ca="1">IFERROR(__xludf.DUMMYFUNCTION("""COMPUTED_VALUE"""),"")</f>
        <v/>
      </c>
      <c r="B278" s="472" t="str">
        <f ca="1">IFERROR(__xludf.DUMMYFUNCTION("""COMPUTED_VALUE"""),"")</f>
        <v/>
      </c>
      <c r="C278" s="472" t="str">
        <f ca="1">IFERROR(__xludf.DUMMYFUNCTION("""COMPUTED_VALUE"""),"")</f>
        <v/>
      </c>
      <c r="D278" s="472" t="str">
        <f ca="1">IFERROR(__xludf.DUMMYFUNCTION("""COMPUTED_VALUE"""),"")</f>
        <v/>
      </c>
      <c r="E278" s="472" t="str">
        <f ca="1">IFERROR(__xludf.DUMMYFUNCTION("""COMPUTED_VALUE"""),"")</f>
        <v/>
      </c>
      <c r="F278" s="472" t="str">
        <f ca="1">IFERROR(__xludf.DUMMYFUNCTION("""COMPUTED_VALUE"""),"")</f>
        <v/>
      </c>
      <c r="G278" s="472" t="str">
        <f ca="1">IFERROR(__xludf.DUMMYFUNCTION("""COMPUTED_VALUE"""),"")</f>
        <v/>
      </c>
      <c r="H278" s="472" t="str">
        <f ca="1">IFERROR(__xludf.DUMMYFUNCTION("""COMPUTED_VALUE"""),"")</f>
        <v/>
      </c>
      <c r="I278" s="472" t="str">
        <f ca="1">IFERROR(__xludf.DUMMYFUNCTION("""COMPUTED_VALUE"""),"")</f>
        <v/>
      </c>
      <c r="J278" s="472" t="str">
        <f ca="1">IFERROR(__xludf.DUMMYFUNCTION("""COMPUTED_VALUE"""),"")</f>
        <v/>
      </c>
    </row>
    <row r="279" spans="1:10" ht="15.75">
      <c r="A279" s="472" t="str">
        <f ca="1">IFERROR(__xludf.DUMMYFUNCTION("""COMPUTED_VALUE"""),"")</f>
        <v/>
      </c>
      <c r="B279" s="472" t="str">
        <f ca="1">IFERROR(__xludf.DUMMYFUNCTION("""COMPUTED_VALUE"""),"")</f>
        <v/>
      </c>
      <c r="C279" s="472" t="str">
        <f ca="1">IFERROR(__xludf.DUMMYFUNCTION("""COMPUTED_VALUE"""),"")</f>
        <v/>
      </c>
      <c r="D279" s="472" t="str">
        <f ca="1">IFERROR(__xludf.DUMMYFUNCTION("""COMPUTED_VALUE"""),"")</f>
        <v/>
      </c>
      <c r="E279" s="472" t="str">
        <f ca="1">IFERROR(__xludf.DUMMYFUNCTION("""COMPUTED_VALUE"""),"")</f>
        <v/>
      </c>
      <c r="F279" s="472" t="str">
        <f ca="1">IFERROR(__xludf.DUMMYFUNCTION("""COMPUTED_VALUE"""),"")</f>
        <v/>
      </c>
      <c r="G279" s="472" t="str">
        <f ca="1">IFERROR(__xludf.DUMMYFUNCTION("""COMPUTED_VALUE"""),"")</f>
        <v/>
      </c>
      <c r="H279" s="472" t="str">
        <f ca="1">IFERROR(__xludf.DUMMYFUNCTION("""COMPUTED_VALUE"""),"")</f>
        <v/>
      </c>
      <c r="I279" s="472" t="str">
        <f ca="1">IFERROR(__xludf.DUMMYFUNCTION("""COMPUTED_VALUE"""),"")</f>
        <v/>
      </c>
      <c r="J279" s="472" t="str">
        <f ca="1">IFERROR(__xludf.DUMMYFUNCTION("""COMPUTED_VALUE"""),"")</f>
        <v/>
      </c>
    </row>
    <row r="280" spans="1:10" ht="15.75">
      <c r="A280" s="472" t="str">
        <f ca="1">IFERROR(__xludf.DUMMYFUNCTION("""COMPUTED_VALUE"""),"")</f>
        <v/>
      </c>
      <c r="B280" s="472" t="str">
        <f ca="1">IFERROR(__xludf.DUMMYFUNCTION("""COMPUTED_VALUE"""),"")</f>
        <v/>
      </c>
      <c r="C280" s="472" t="str">
        <f ca="1">IFERROR(__xludf.DUMMYFUNCTION("""COMPUTED_VALUE"""),"")</f>
        <v/>
      </c>
      <c r="D280" s="472" t="str">
        <f ca="1">IFERROR(__xludf.DUMMYFUNCTION("""COMPUTED_VALUE"""),"")</f>
        <v/>
      </c>
      <c r="E280" s="472" t="str">
        <f ca="1">IFERROR(__xludf.DUMMYFUNCTION("""COMPUTED_VALUE"""),"")</f>
        <v/>
      </c>
      <c r="F280" s="472" t="str">
        <f ca="1">IFERROR(__xludf.DUMMYFUNCTION("""COMPUTED_VALUE"""),"")</f>
        <v/>
      </c>
      <c r="G280" s="472" t="str">
        <f ca="1">IFERROR(__xludf.DUMMYFUNCTION("""COMPUTED_VALUE"""),"")</f>
        <v/>
      </c>
      <c r="H280" s="472" t="str">
        <f ca="1">IFERROR(__xludf.DUMMYFUNCTION("""COMPUTED_VALUE"""),"")</f>
        <v/>
      </c>
      <c r="I280" s="472" t="str">
        <f ca="1">IFERROR(__xludf.DUMMYFUNCTION("""COMPUTED_VALUE"""),"")</f>
        <v/>
      </c>
      <c r="J280" s="472" t="str">
        <f ca="1">IFERROR(__xludf.DUMMYFUNCTION("""COMPUTED_VALUE"""),"")</f>
        <v/>
      </c>
    </row>
    <row r="281" spans="1:10" ht="15.75">
      <c r="A281" s="472" t="str">
        <f ca="1">IFERROR(__xludf.DUMMYFUNCTION("""COMPUTED_VALUE"""),"")</f>
        <v/>
      </c>
      <c r="B281" s="472" t="str">
        <f ca="1">IFERROR(__xludf.DUMMYFUNCTION("""COMPUTED_VALUE"""),"")</f>
        <v/>
      </c>
      <c r="C281" s="472" t="str">
        <f ca="1">IFERROR(__xludf.DUMMYFUNCTION("""COMPUTED_VALUE"""),"")</f>
        <v/>
      </c>
      <c r="D281" s="472" t="str">
        <f ca="1">IFERROR(__xludf.DUMMYFUNCTION("""COMPUTED_VALUE"""),"")</f>
        <v/>
      </c>
      <c r="E281" s="472" t="str">
        <f ca="1">IFERROR(__xludf.DUMMYFUNCTION("""COMPUTED_VALUE"""),"")</f>
        <v/>
      </c>
      <c r="F281" s="472" t="str">
        <f ca="1">IFERROR(__xludf.DUMMYFUNCTION("""COMPUTED_VALUE"""),"")</f>
        <v/>
      </c>
      <c r="G281" s="472" t="str">
        <f ca="1">IFERROR(__xludf.DUMMYFUNCTION("""COMPUTED_VALUE"""),"")</f>
        <v/>
      </c>
      <c r="H281" s="472" t="str">
        <f ca="1">IFERROR(__xludf.DUMMYFUNCTION("""COMPUTED_VALUE"""),"")</f>
        <v/>
      </c>
      <c r="I281" s="472" t="str">
        <f ca="1">IFERROR(__xludf.DUMMYFUNCTION("""COMPUTED_VALUE"""),"")</f>
        <v/>
      </c>
      <c r="J281" s="472" t="str">
        <f ca="1">IFERROR(__xludf.DUMMYFUNCTION("""COMPUTED_VALUE"""),"")</f>
        <v/>
      </c>
    </row>
    <row r="282" spans="1:10" ht="15.75">
      <c r="A282" s="472" t="str">
        <f ca="1">IFERROR(__xludf.DUMMYFUNCTION("""COMPUTED_VALUE"""),"")</f>
        <v/>
      </c>
      <c r="B282" s="472" t="str">
        <f ca="1">IFERROR(__xludf.DUMMYFUNCTION("""COMPUTED_VALUE"""),"")</f>
        <v/>
      </c>
      <c r="C282" s="472" t="str">
        <f ca="1">IFERROR(__xludf.DUMMYFUNCTION("""COMPUTED_VALUE"""),"")</f>
        <v/>
      </c>
      <c r="D282" s="472" t="str">
        <f ca="1">IFERROR(__xludf.DUMMYFUNCTION("""COMPUTED_VALUE"""),"")</f>
        <v/>
      </c>
      <c r="E282" s="472" t="str">
        <f ca="1">IFERROR(__xludf.DUMMYFUNCTION("""COMPUTED_VALUE"""),"")</f>
        <v/>
      </c>
      <c r="F282" s="472" t="str">
        <f ca="1">IFERROR(__xludf.DUMMYFUNCTION("""COMPUTED_VALUE"""),"")</f>
        <v/>
      </c>
      <c r="G282" s="472" t="str">
        <f ca="1">IFERROR(__xludf.DUMMYFUNCTION("""COMPUTED_VALUE"""),"")</f>
        <v/>
      </c>
      <c r="H282" s="472" t="str">
        <f ca="1">IFERROR(__xludf.DUMMYFUNCTION("""COMPUTED_VALUE"""),"")</f>
        <v/>
      </c>
      <c r="I282" s="472" t="str">
        <f ca="1">IFERROR(__xludf.DUMMYFUNCTION("""COMPUTED_VALUE"""),"")</f>
        <v/>
      </c>
      <c r="J282" s="472" t="str">
        <f ca="1">IFERROR(__xludf.DUMMYFUNCTION("""COMPUTED_VALUE"""),"")</f>
        <v/>
      </c>
    </row>
    <row r="283" spans="1:10" ht="15.75">
      <c r="A283" s="472" t="str">
        <f ca="1">IFERROR(__xludf.DUMMYFUNCTION("""COMPUTED_VALUE"""),"")</f>
        <v/>
      </c>
      <c r="B283" s="472" t="str">
        <f ca="1">IFERROR(__xludf.DUMMYFUNCTION("""COMPUTED_VALUE"""),"")</f>
        <v/>
      </c>
      <c r="C283" s="472" t="str">
        <f ca="1">IFERROR(__xludf.DUMMYFUNCTION("""COMPUTED_VALUE"""),"")</f>
        <v/>
      </c>
      <c r="D283" s="472" t="str">
        <f ca="1">IFERROR(__xludf.DUMMYFUNCTION("""COMPUTED_VALUE"""),"")</f>
        <v/>
      </c>
      <c r="E283" s="472" t="str">
        <f ca="1">IFERROR(__xludf.DUMMYFUNCTION("""COMPUTED_VALUE"""),"")</f>
        <v/>
      </c>
      <c r="F283" s="472" t="str">
        <f ca="1">IFERROR(__xludf.DUMMYFUNCTION("""COMPUTED_VALUE"""),"")</f>
        <v/>
      </c>
      <c r="G283" s="472" t="str">
        <f ca="1">IFERROR(__xludf.DUMMYFUNCTION("""COMPUTED_VALUE"""),"")</f>
        <v/>
      </c>
      <c r="H283" s="472" t="str">
        <f ca="1">IFERROR(__xludf.DUMMYFUNCTION("""COMPUTED_VALUE"""),"")</f>
        <v/>
      </c>
      <c r="I283" s="472" t="str">
        <f ca="1">IFERROR(__xludf.DUMMYFUNCTION("""COMPUTED_VALUE"""),"")</f>
        <v/>
      </c>
      <c r="J283" s="472" t="str">
        <f ca="1">IFERROR(__xludf.DUMMYFUNCTION("""COMPUTED_VALUE"""),"")</f>
        <v/>
      </c>
    </row>
    <row r="284" spans="1:10" ht="15.75">
      <c r="A284" s="472" t="str">
        <f ca="1">IFERROR(__xludf.DUMMYFUNCTION("""COMPUTED_VALUE"""),"")</f>
        <v/>
      </c>
      <c r="B284" s="472" t="str">
        <f ca="1">IFERROR(__xludf.DUMMYFUNCTION("""COMPUTED_VALUE"""),"")</f>
        <v/>
      </c>
      <c r="C284" s="472" t="str">
        <f ca="1">IFERROR(__xludf.DUMMYFUNCTION("""COMPUTED_VALUE"""),"")</f>
        <v/>
      </c>
      <c r="D284" s="472" t="str">
        <f ca="1">IFERROR(__xludf.DUMMYFUNCTION("""COMPUTED_VALUE"""),"")</f>
        <v/>
      </c>
      <c r="E284" s="472" t="str">
        <f ca="1">IFERROR(__xludf.DUMMYFUNCTION("""COMPUTED_VALUE"""),"")</f>
        <v/>
      </c>
      <c r="F284" s="472" t="str">
        <f ca="1">IFERROR(__xludf.DUMMYFUNCTION("""COMPUTED_VALUE"""),"")</f>
        <v/>
      </c>
      <c r="G284" s="472" t="str">
        <f ca="1">IFERROR(__xludf.DUMMYFUNCTION("""COMPUTED_VALUE"""),"")</f>
        <v/>
      </c>
      <c r="H284" s="472" t="str">
        <f ca="1">IFERROR(__xludf.DUMMYFUNCTION("""COMPUTED_VALUE"""),"")</f>
        <v/>
      </c>
      <c r="I284" s="472" t="str">
        <f ca="1">IFERROR(__xludf.DUMMYFUNCTION("""COMPUTED_VALUE"""),"")</f>
        <v/>
      </c>
      <c r="J284" s="472" t="str">
        <f ca="1">IFERROR(__xludf.DUMMYFUNCTION("""COMPUTED_VALUE"""),"")</f>
        <v/>
      </c>
    </row>
    <row r="285" spans="1:10" ht="15.75">
      <c r="A285" s="472" t="str">
        <f ca="1">IFERROR(__xludf.DUMMYFUNCTION("""COMPUTED_VALUE"""),"")</f>
        <v/>
      </c>
      <c r="B285" s="472" t="str">
        <f ca="1">IFERROR(__xludf.DUMMYFUNCTION("""COMPUTED_VALUE"""),"")</f>
        <v/>
      </c>
      <c r="C285" s="472" t="str">
        <f ca="1">IFERROR(__xludf.DUMMYFUNCTION("""COMPUTED_VALUE"""),"")</f>
        <v/>
      </c>
      <c r="D285" s="472" t="str">
        <f ca="1">IFERROR(__xludf.DUMMYFUNCTION("""COMPUTED_VALUE"""),"")</f>
        <v/>
      </c>
      <c r="E285" s="472" t="str">
        <f ca="1">IFERROR(__xludf.DUMMYFUNCTION("""COMPUTED_VALUE"""),"")</f>
        <v/>
      </c>
      <c r="F285" s="472" t="str">
        <f ca="1">IFERROR(__xludf.DUMMYFUNCTION("""COMPUTED_VALUE"""),"")</f>
        <v/>
      </c>
      <c r="G285" s="472" t="str">
        <f ca="1">IFERROR(__xludf.DUMMYFUNCTION("""COMPUTED_VALUE"""),"")</f>
        <v/>
      </c>
      <c r="H285" s="472" t="str">
        <f ca="1">IFERROR(__xludf.DUMMYFUNCTION("""COMPUTED_VALUE"""),"")</f>
        <v/>
      </c>
      <c r="I285" s="472" t="str">
        <f ca="1">IFERROR(__xludf.DUMMYFUNCTION("""COMPUTED_VALUE"""),"")</f>
        <v/>
      </c>
      <c r="J285" s="472" t="str">
        <f ca="1">IFERROR(__xludf.DUMMYFUNCTION("""COMPUTED_VALUE"""),"")</f>
        <v/>
      </c>
    </row>
    <row r="286" spans="1:10" ht="15.75">
      <c r="A286" s="472" t="str">
        <f ca="1">IFERROR(__xludf.DUMMYFUNCTION("""COMPUTED_VALUE"""),"")</f>
        <v/>
      </c>
      <c r="B286" s="472" t="str">
        <f ca="1">IFERROR(__xludf.DUMMYFUNCTION("""COMPUTED_VALUE"""),"")</f>
        <v/>
      </c>
      <c r="C286" s="472" t="str">
        <f ca="1">IFERROR(__xludf.DUMMYFUNCTION("""COMPUTED_VALUE"""),"")</f>
        <v/>
      </c>
      <c r="D286" s="472" t="str">
        <f ca="1">IFERROR(__xludf.DUMMYFUNCTION("""COMPUTED_VALUE"""),"")</f>
        <v/>
      </c>
      <c r="E286" s="472" t="str">
        <f ca="1">IFERROR(__xludf.DUMMYFUNCTION("""COMPUTED_VALUE"""),"")</f>
        <v/>
      </c>
      <c r="F286" s="472" t="str">
        <f ca="1">IFERROR(__xludf.DUMMYFUNCTION("""COMPUTED_VALUE"""),"")</f>
        <v/>
      </c>
      <c r="G286" s="472" t="str">
        <f ca="1">IFERROR(__xludf.DUMMYFUNCTION("""COMPUTED_VALUE"""),"")</f>
        <v/>
      </c>
      <c r="H286" s="472" t="str">
        <f ca="1">IFERROR(__xludf.DUMMYFUNCTION("""COMPUTED_VALUE"""),"")</f>
        <v/>
      </c>
      <c r="I286" s="472" t="str">
        <f ca="1">IFERROR(__xludf.DUMMYFUNCTION("""COMPUTED_VALUE"""),"")</f>
        <v/>
      </c>
      <c r="J286" s="472" t="str">
        <f ca="1">IFERROR(__xludf.DUMMYFUNCTION("""COMPUTED_VALUE"""),"")</f>
        <v/>
      </c>
    </row>
    <row r="287" spans="1:10" ht="15.75">
      <c r="A287" s="472" t="str">
        <f ca="1">IFERROR(__xludf.DUMMYFUNCTION("""COMPUTED_VALUE"""),"")</f>
        <v/>
      </c>
      <c r="B287" s="472" t="str">
        <f ca="1">IFERROR(__xludf.DUMMYFUNCTION("""COMPUTED_VALUE"""),"")</f>
        <v/>
      </c>
      <c r="C287" s="472" t="str">
        <f ca="1">IFERROR(__xludf.DUMMYFUNCTION("""COMPUTED_VALUE"""),"")</f>
        <v/>
      </c>
      <c r="D287" s="472" t="str">
        <f ca="1">IFERROR(__xludf.DUMMYFUNCTION("""COMPUTED_VALUE"""),"")</f>
        <v/>
      </c>
      <c r="E287" s="472" t="str">
        <f ca="1">IFERROR(__xludf.DUMMYFUNCTION("""COMPUTED_VALUE"""),"")</f>
        <v/>
      </c>
      <c r="F287" s="472" t="str">
        <f ca="1">IFERROR(__xludf.DUMMYFUNCTION("""COMPUTED_VALUE"""),"")</f>
        <v/>
      </c>
      <c r="G287" s="472" t="str">
        <f ca="1">IFERROR(__xludf.DUMMYFUNCTION("""COMPUTED_VALUE"""),"")</f>
        <v/>
      </c>
      <c r="H287" s="472" t="str">
        <f ca="1">IFERROR(__xludf.DUMMYFUNCTION("""COMPUTED_VALUE"""),"")</f>
        <v/>
      </c>
      <c r="I287" s="472" t="str">
        <f ca="1">IFERROR(__xludf.DUMMYFUNCTION("""COMPUTED_VALUE"""),"")</f>
        <v/>
      </c>
      <c r="J287" s="472" t="str">
        <f ca="1">IFERROR(__xludf.DUMMYFUNCTION("""COMPUTED_VALUE"""),"")</f>
        <v/>
      </c>
    </row>
    <row r="288" spans="1:10" ht="15.75">
      <c r="A288" s="472" t="str">
        <f ca="1">IFERROR(__xludf.DUMMYFUNCTION("""COMPUTED_VALUE"""),"")</f>
        <v/>
      </c>
      <c r="B288" s="472" t="str">
        <f ca="1">IFERROR(__xludf.DUMMYFUNCTION("""COMPUTED_VALUE"""),"")</f>
        <v/>
      </c>
      <c r="C288" s="472" t="str">
        <f ca="1">IFERROR(__xludf.DUMMYFUNCTION("""COMPUTED_VALUE"""),"")</f>
        <v/>
      </c>
      <c r="D288" s="472" t="str">
        <f ca="1">IFERROR(__xludf.DUMMYFUNCTION("""COMPUTED_VALUE"""),"")</f>
        <v/>
      </c>
      <c r="E288" s="472" t="str">
        <f ca="1">IFERROR(__xludf.DUMMYFUNCTION("""COMPUTED_VALUE"""),"")</f>
        <v/>
      </c>
      <c r="F288" s="472" t="str">
        <f ca="1">IFERROR(__xludf.DUMMYFUNCTION("""COMPUTED_VALUE"""),"")</f>
        <v/>
      </c>
      <c r="G288" s="472" t="str">
        <f ca="1">IFERROR(__xludf.DUMMYFUNCTION("""COMPUTED_VALUE"""),"")</f>
        <v/>
      </c>
      <c r="H288" s="472" t="str">
        <f ca="1">IFERROR(__xludf.DUMMYFUNCTION("""COMPUTED_VALUE"""),"")</f>
        <v/>
      </c>
      <c r="I288" s="472" t="str">
        <f ca="1">IFERROR(__xludf.DUMMYFUNCTION("""COMPUTED_VALUE"""),"")</f>
        <v/>
      </c>
      <c r="J288" s="472" t="str">
        <f ca="1">IFERROR(__xludf.DUMMYFUNCTION("""COMPUTED_VALUE"""),"")</f>
        <v/>
      </c>
    </row>
    <row r="289" spans="1:10" ht="15.75">
      <c r="A289" s="472" t="str">
        <f ca="1">IFERROR(__xludf.DUMMYFUNCTION("""COMPUTED_VALUE"""),"")</f>
        <v/>
      </c>
      <c r="B289" s="472" t="str">
        <f ca="1">IFERROR(__xludf.DUMMYFUNCTION("""COMPUTED_VALUE"""),"")</f>
        <v/>
      </c>
      <c r="C289" s="472" t="str">
        <f ca="1">IFERROR(__xludf.DUMMYFUNCTION("""COMPUTED_VALUE"""),"")</f>
        <v/>
      </c>
      <c r="D289" s="472" t="str">
        <f ca="1">IFERROR(__xludf.DUMMYFUNCTION("""COMPUTED_VALUE"""),"")</f>
        <v/>
      </c>
      <c r="E289" s="472" t="str">
        <f ca="1">IFERROR(__xludf.DUMMYFUNCTION("""COMPUTED_VALUE"""),"")</f>
        <v/>
      </c>
      <c r="F289" s="472" t="str">
        <f ca="1">IFERROR(__xludf.DUMMYFUNCTION("""COMPUTED_VALUE"""),"")</f>
        <v/>
      </c>
      <c r="G289" s="472" t="str">
        <f ca="1">IFERROR(__xludf.DUMMYFUNCTION("""COMPUTED_VALUE"""),"")</f>
        <v/>
      </c>
      <c r="H289" s="472" t="str">
        <f ca="1">IFERROR(__xludf.DUMMYFUNCTION("""COMPUTED_VALUE"""),"")</f>
        <v/>
      </c>
      <c r="I289" s="472" t="str">
        <f ca="1">IFERROR(__xludf.DUMMYFUNCTION("""COMPUTED_VALUE"""),"")</f>
        <v/>
      </c>
      <c r="J289" s="472" t="str">
        <f ca="1">IFERROR(__xludf.DUMMYFUNCTION("""COMPUTED_VALUE"""),"")</f>
        <v/>
      </c>
    </row>
    <row r="290" spans="1:10" ht="15.75">
      <c r="A290" s="472" t="str">
        <f ca="1">IFERROR(__xludf.DUMMYFUNCTION("""COMPUTED_VALUE"""),"")</f>
        <v/>
      </c>
      <c r="B290" s="472" t="str">
        <f ca="1">IFERROR(__xludf.DUMMYFUNCTION("""COMPUTED_VALUE"""),"")</f>
        <v/>
      </c>
      <c r="C290" s="472" t="str">
        <f ca="1">IFERROR(__xludf.DUMMYFUNCTION("""COMPUTED_VALUE"""),"")</f>
        <v/>
      </c>
      <c r="D290" s="472" t="str">
        <f ca="1">IFERROR(__xludf.DUMMYFUNCTION("""COMPUTED_VALUE"""),"")</f>
        <v/>
      </c>
      <c r="E290" s="472" t="str">
        <f ca="1">IFERROR(__xludf.DUMMYFUNCTION("""COMPUTED_VALUE"""),"")</f>
        <v/>
      </c>
      <c r="F290" s="472" t="str">
        <f ca="1">IFERROR(__xludf.DUMMYFUNCTION("""COMPUTED_VALUE"""),"")</f>
        <v/>
      </c>
      <c r="G290" s="472" t="str">
        <f ca="1">IFERROR(__xludf.DUMMYFUNCTION("""COMPUTED_VALUE"""),"")</f>
        <v/>
      </c>
      <c r="H290" s="472" t="str">
        <f ca="1">IFERROR(__xludf.DUMMYFUNCTION("""COMPUTED_VALUE"""),"")</f>
        <v/>
      </c>
      <c r="I290" s="472" t="str">
        <f ca="1">IFERROR(__xludf.DUMMYFUNCTION("""COMPUTED_VALUE"""),"")</f>
        <v/>
      </c>
      <c r="J290" s="472" t="str">
        <f ca="1">IFERROR(__xludf.DUMMYFUNCTION("""COMPUTED_VALUE"""),"")</f>
        <v/>
      </c>
    </row>
    <row r="291" spans="1:10" ht="15.75">
      <c r="A291" s="472" t="str">
        <f ca="1">IFERROR(__xludf.DUMMYFUNCTION("""COMPUTED_VALUE"""),"")</f>
        <v/>
      </c>
      <c r="B291" s="472" t="str">
        <f ca="1">IFERROR(__xludf.DUMMYFUNCTION("""COMPUTED_VALUE"""),"")</f>
        <v/>
      </c>
      <c r="C291" s="472" t="str">
        <f ca="1">IFERROR(__xludf.DUMMYFUNCTION("""COMPUTED_VALUE"""),"")</f>
        <v/>
      </c>
      <c r="D291" s="472" t="str">
        <f ca="1">IFERROR(__xludf.DUMMYFUNCTION("""COMPUTED_VALUE"""),"")</f>
        <v/>
      </c>
      <c r="E291" s="472" t="str">
        <f ca="1">IFERROR(__xludf.DUMMYFUNCTION("""COMPUTED_VALUE"""),"")</f>
        <v/>
      </c>
      <c r="F291" s="472" t="str">
        <f ca="1">IFERROR(__xludf.DUMMYFUNCTION("""COMPUTED_VALUE"""),"")</f>
        <v/>
      </c>
      <c r="G291" s="472" t="str">
        <f ca="1">IFERROR(__xludf.DUMMYFUNCTION("""COMPUTED_VALUE"""),"")</f>
        <v/>
      </c>
      <c r="H291" s="472" t="str">
        <f ca="1">IFERROR(__xludf.DUMMYFUNCTION("""COMPUTED_VALUE"""),"")</f>
        <v/>
      </c>
      <c r="I291" s="472" t="str">
        <f ca="1">IFERROR(__xludf.DUMMYFUNCTION("""COMPUTED_VALUE"""),"")</f>
        <v/>
      </c>
      <c r="J291" s="472" t="str">
        <f ca="1">IFERROR(__xludf.DUMMYFUNCTION("""COMPUTED_VALUE"""),"")</f>
        <v/>
      </c>
    </row>
    <row r="292" spans="1:10" ht="15.75">
      <c r="A292" s="472" t="str">
        <f ca="1">IFERROR(__xludf.DUMMYFUNCTION("""COMPUTED_VALUE"""),"")</f>
        <v/>
      </c>
      <c r="B292" s="472" t="str">
        <f ca="1">IFERROR(__xludf.DUMMYFUNCTION("""COMPUTED_VALUE"""),"")</f>
        <v/>
      </c>
      <c r="C292" s="472" t="str">
        <f ca="1">IFERROR(__xludf.DUMMYFUNCTION("""COMPUTED_VALUE"""),"")</f>
        <v/>
      </c>
      <c r="D292" s="472" t="str">
        <f ca="1">IFERROR(__xludf.DUMMYFUNCTION("""COMPUTED_VALUE"""),"")</f>
        <v/>
      </c>
      <c r="E292" s="472" t="str">
        <f ca="1">IFERROR(__xludf.DUMMYFUNCTION("""COMPUTED_VALUE"""),"")</f>
        <v/>
      </c>
      <c r="F292" s="472" t="str">
        <f ca="1">IFERROR(__xludf.DUMMYFUNCTION("""COMPUTED_VALUE"""),"")</f>
        <v/>
      </c>
      <c r="G292" s="472" t="str">
        <f ca="1">IFERROR(__xludf.DUMMYFUNCTION("""COMPUTED_VALUE"""),"")</f>
        <v/>
      </c>
      <c r="H292" s="472" t="str">
        <f ca="1">IFERROR(__xludf.DUMMYFUNCTION("""COMPUTED_VALUE"""),"")</f>
        <v/>
      </c>
      <c r="I292" s="472" t="str">
        <f ca="1">IFERROR(__xludf.DUMMYFUNCTION("""COMPUTED_VALUE"""),"")</f>
        <v/>
      </c>
      <c r="J292" s="472" t="str">
        <f ca="1">IFERROR(__xludf.DUMMYFUNCTION("""COMPUTED_VALUE"""),"")</f>
        <v/>
      </c>
    </row>
    <row r="293" spans="1:10" ht="15.75">
      <c r="A293" s="472" t="str">
        <f ca="1">IFERROR(__xludf.DUMMYFUNCTION("""COMPUTED_VALUE"""),"")</f>
        <v/>
      </c>
      <c r="B293" s="472" t="str">
        <f ca="1">IFERROR(__xludf.DUMMYFUNCTION("""COMPUTED_VALUE"""),"")</f>
        <v/>
      </c>
      <c r="C293" s="472" t="str">
        <f ca="1">IFERROR(__xludf.DUMMYFUNCTION("""COMPUTED_VALUE"""),"")</f>
        <v/>
      </c>
      <c r="D293" s="472" t="str">
        <f ca="1">IFERROR(__xludf.DUMMYFUNCTION("""COMPUTED_VALUE"""),"")</f>
        <v/>
      </c>
      <c r="E293" s="472" t="str">
        <f ca="1">IFERROR(__xludf.DUMMYFUNCTION("""COMPUTED_VALUE"""),"")</f>
        <v/>
      </c>
      <c r="F293" s="472" t="str">
        <f ca="1">IFERROR(__xludf.DUMMYFUNCTION("""COMPUTED_VALUE"""),"")</f>
        <v/>
      </c>
      <c r="G293" s="472" t="str">
        <f ca="1">IFERROR(__xludf.DUMMYFUNCTION("""COMPUTED_VALUE"""),"")</f>
        <v/>
      </c>
      <c r="H293" s="472" t="str">
        <f ca="1">IFERROR(__xludf.DUMMYFUNCTION("""COMPUTED_VALUE"""),"")</f>
        <v/>
      </c>
      <c r="I293" s="472" t="str">
        <f ca="1">IFERROR(__xludf.DUMMYFUNCTION("""COMPUTED_VALUE"""),"")</f>
        <v/>
      </c>
      <c r="J293" s="472" t="str">
        <f ca="1">IFERROR(__xludf.DUMMYFUNCTION("""COMPUTED_VALUE"""),"")</f>
        <v/>
      </c>
    </row>
    <row r="294" spans="1:10" ht="15.75">
      <c r="A294" s="472" t="str">
        <f ca="1">IFERROR(__xludf.DUMMYFUNCTION("""COMPUTED_VALUE"""),"")</f>
        <v/>
      </c>
      <c r="B294" s="472" t="str">
        <f ca="1">IFERROR(__xludf.DUMMYFUNCTION("""COMPUTED_VALUE"""),"")</f>
        <v/>
      </c>
      <c r="C294" s="472" t="str">
        <f ca="1">IFERROR(__xludf.DUMMYFUNCTION("""COMPUTED_VALUE"""),"")</f>
        <v/>
      </c>
      <c r="D294" s="472" t="str">
        <f ca="1">IFERROR(__xludf.DUMMYFUNCTION("""COMPUTED_VALUE"""),"")</f>
        <v/>
      </c>
      <c r="E294" s="472" t="str">
        <f ca="1">IFERROR(__xludf.DUMMYFUNCTION("""COMPUTED_VALUE"""),"")</f>
        <v/>
      </c>
      <c r="F294" s="472" t="str">
        <f ca="1">IFERROR(__xludf.DUMMYFUNCTION("""COMPUTED_VALUE"""),"")</f>
        <v/>
      </c>
      <c r="G294" s="472" t="str">
        <f ca="1">IFERROR(__xludf.DUMMYFUNCTION("""COMPUTED_VALUE"""),"")</f>
        <v/>
      </c>
      <c r="H294" s="472" t="str">
        <f ca="1">IFERROR(__xludf.DUMMYFUNCTION("""COMPUTED_VALUE"""),"")</f>
        <v/>
      </c>
      <c r="I294" s="472" t="str">
        <f ca="1">IFERROR(__xludf.DUMMYFUNCTION("""COMPUTED_VALUE"""),"")</f>
        <v/>
      </c>
      <c r="J294" s="472" t="str">
        <f ca="1">IFERROR(__xludf.DUMMYFUNCTION("""COMPUTED_VALUE"""),"")</f>
        <v/>
      </c>
    </row>
    <row r="295" spans="1:10" ht="15.75">
      <c r="A295" s="472" t="str">
        <f ca="1">IFERROR(__xludf.DUMMYFUNCTION("""COMPUTED_VALUE"""),"")</f>
        <v/>
      </c>
      <c r="B295" s="472" t="str">
        <f ca="1">IFERROR(__xludf.DUMMYFUNCTION("""COMPUTED_VALUE"""),"")</f>
        <v/>
      </c>
      <c r="C295" s="472" t="str">
        <f ca="1">IFERROR(__xludf.DUMMYFUNCTION("""COMPUTED_VALUE"""),"")</f>
        <v/>
      </c>
      <c r="D295" s="472" t="str">
        <f ca="1">IFERROR(__xludf.DUMMYFUNCTION("""COMPUTED_VALUE"""),"")</f>
        <v/>
      </c>
      <c r="E295" s="472" t="str">
        <f ca="1">IFERROR(__xludf.DUMMYFUNCTION("""COMPUTED_VALUE"""),"")</f>
        <v/>
      </c>
      <c r="F295" s="472" t="str">
        <f ca="1">IFERROR(__xludf.DUMMYFUNCTION("""COMPUTED_VALUE"""),"")</f>
        <v/>
      </c>
      <c r="G295" s="472" t="str">
        <f ca="1">IFERROR(__xludf.DUMMYFUNCTION("""COMPUTED_VALUE"""),"")</f>
        <v/>
      </c>
      <c r="H295" s="472" t="str">
        <f ca="1">IFERROR(__xludf.DUMMYFUNCTION("""COMPUTED_VALUE"""),"")</f>
        <v/>
      </c>
      <c r="I295" s="472" t="str">
        <f ca="1">IFERROR(__xludf.DUMMYFUNCTION("""COMPUTED_VALUE"""),"")</f>
        <v/>
      </c>
      <c r="J295" s="472" t="str">
        <f ca="1">IFERROR(__xludf.DUMMYFUNCTION("""COMPUTED_VALUE"""),"")</f>
        <v/>
      </c>
    </row>
    <row r="296" spans="1:10" ht="15.75">
      <c r="A296" s="472" t="str">
        <f ca="1">IFERROR(__xludf.DUMMYFUNCTION("""COMPUTED_VALUE"""),"")</f>
        <v/>
      </c>
      <c r="B296" s="472" t="str">
        <f ca="1">IFERROR(__xludf.DUMMYFUNCTION("""COMPUTED_VALUE"""),"")</f>
        <v/>
      </c>
      <c r="C296" s="472" t="str">
        <f ca="1">IFERROR(__xludf.DUMMYFUNCTION("""COMPUTED_VALUE"""),"")</f>
        <v/>
      </c>
      <c r="D296" s="472" t="str">
        <f ca="1">IFERROR(__xludf.DUMMYFUNCTION("""COMPUTED_VALUE"""),"")</f>
        <v/>
      </c>
      <c r="E296" s="472" t="str">
        <f ca="1">IFERROR(__xludf.DUMMYFUNCTION("""COMPUTED_VALUE"""),"")</f>
        <v/>
      </c>
      <c r="F296" s="472" t="str">
        <f ca="1">IFERROR(__xludf.DUMMYFUNCTION("""COMPUTED_VALUE"""),"")</f>
        <v/>
      </c>
      <c r="G296" s="472" t="str">
        <f ca="1">IFERROR(__xludf.DUMMYFUNCTION("""COMPUTED_VALUE"""),"")</f>
        <v/>
      </c>
      <c r="H296" s="472" t="str">
        <f ca="1">IFERROR(__xludf.DUMMYFUNCTION("""COMPUTED_VALUE"""),"")</f>
        <v/>
      </c>
      <c r="I296" s="472" t="str">
        <f ca="1">IFERROR(__xludf.DUMMYFUNCTION("""COMPUTED_VALUE"""),"")</f>
        <v/>
      </c>
      <c r="J296" s="472" t="str">
        <f ca="1">IFERROR(__xludf.DUMMYFUNCTION("""COMPUTED_VALUE"""),"")</f>
        <v/>
      </c>
    </row>
    <row r="297" spans="1:10" ht="15.75">
      <c r="A297" s="472" t="str">
        <f ca="1">IFERROR(__xludf.DUMMYFUNCTION("""COMPUTED_VALUE"""),"")</f>
        <v/>
      </c>
      <c r="B297" s="472" t="str">
        <f ca="1">IFERROR(__xludf.DUMMYFUNCTION("""COMPUTED_VALUE"""),"")</f>
        <v/>
      </c>
      <c r="C297" s="472" t="str">
        <f ca="1">IFERROR(__xludf.DUMMYFUNCTION("""COMPUTED_VALUE"""),"")</f>
        <v/>
      </c>
      <c r="D297" s="472" t="str">
        <f ca="1">IFERROR(__xludf.DUMMYFUNCTION("""COMPUTED_VALUE"""),"")</f>
        <v/>
      </c>
      <c r="E297" s="472" t="str">
        <f ca="1">IFERROR(__xludf.DUMMYFUNCTION("""COMPUTED_VALUE"""),"")</f>
        <v/>
      </c>
      <c r="F297" s="472" t="str">
        <f ca="1">IFERROR(__xludf.DUMMYFUNCTION("""COMPUTED_VALUE"""),"")</f>
        <v/>
      </c>
      <c r="G297" s="472" t="str">
        <f ca="1">IFERROR(__xludf.DUMMYFUNCTION("""COMPUTED_VALUE"""),"")</f>
        <v/>
      </c>
      <c r="H297" s="472" t="str">
        <f ca="1">IFERROR(__xludf.DUMMYFUNCTION("""COMPUTED_VALUE"""),"")</f>
        <v/>
      </c>
      <c r="I297" s="472" t="str">
        <f ca="1">IFERROR(__xludf.DUMMYFUNCTION("""COMPUTED_VALUE"""),"")</f>
        <v/>
      </c>
      <c r="J297" s="472" t="str">
        <f ca="1">IFERROR(__xludf.DUMMYFUNCTION("""COMPUTED_VALUE"""),"")</f>
        <v/>
      </c>
    </row>
    <row r="298" spans="1:10" ht="15.75">
      <c r="A298" s="472" t="str">
        <f ca="1">IFERROR(__xludf.DUMMYFUNCTION("""COMPUTED_VALUE"""),"")</f>
        <v/>
      </c>
      <c r="B298" s="472" t="str">
        <f ca="1">IFERROR(__xludf.DUMMYFUNCTION("""COMPUTED_VALUE"""),"")</f>
        <v/>
      </c>
      <c r="C298" s="472" t="str">
        <f ca="1">IFERROR(__xludf.DUMMYFUNCTION("""COMPUTED_VALUE"""),"")</f>
        <v/>
      </c>
      <c r="D298" s="472" t="str">
        <f ca="1">IFERROR(__xludf.DUMMYFUNCTION("""COMPUTED_VALUE"""),"")</f>
        <v/>
      </c>
      <c r="E298" s="472" t="str">
        <f ca="1">IFERROR(__xludf.DUMMYFUNCTION("""COMPUTED_VALUE"""),"")</f>
        <v/>
      </c>
      <c r="F298" s="472" t="str">
        <f ca="1">IFERROR(__xludf.DUMMYFUNCTION("""COMPUTED_VALUE"""),"")</f>
        <v/>
      </c>
      <c r="G298" s="472" t="str">
        <f ca="1">IFERROR(__xludf.DUMMYFUNCTION("""COMPUTED_VALUE"""),"")</f>
        <v/>
      </c>
      <c r="H298" s="472" t="str">
        <f ca="1">IFERROR(__xludf.DUMMYFUNCTION("""COMPUTED_VALUE"""),"")</f>
        <v/>
      </c>
      <c r="I298" s="472" t="str">
        <f ca="1">IFERROR(__xludf.DUMMYFUNCTION("""COMPUTED_VALUE"""),"")</f>
        <v/>
      </c>
      <c r="J298" s="472" t="str">
        <f ca="1">IFERROR(__xludf.DUMMYFUNCTION("""COMPUTED_VALUE"""),"")</f>
        <v/>
      </c>
    </row>
    <row r="299" spans="1:10" ht="15.75">
      <c r="A299" s="472" t="str">
        <f ca="1">IFERROR(__xludf.DUMMYFUNCTION("""COMPUTED_VALUE"""),"")</f>
        <v/>
      </c>
      <c r="B299" s="472" t="str">
        <f ca="1">IFERROR(__xludf.DUMMYFUNCTION("""COMPUTED_VALUE"""),"")</f>
        <v/>
      </c>
      <c r="C299" s="472" t="str">
        <f ca="1">IFERROR(__xludf.DUMMYFUNCTION("""COMPUTED_VALUE"""),"")</f>
        <v/>
      </c>
      <c r="D299" s="472" t="str">
        <f ca="1">IFERROR(__xludf.DUMMYFUNCTION("""COMPUTED_VALUE"""),"")</f>
        <v/>
      </c>
      <c r="E299" s="472" t="str">
        <f ca="1">IFERROR(__xludf.DUMMYFUNCTION("""COMPUTED_VALUE"""),"")</f>
        <v/>
      </c>
      <c r="F299" s="472" t="str">
        <f ca="1">IFERROR(__xludf.DUMMYFUNCTION("""COMPUTED_VALUE"""),"")</f>
        <v/>
      </c>
      <c r="G299" s="472" t="str">
        <f ca="1">IFERROR(__xludf.DUMMYFUNCTION("""COMPUTED_VALUE"""),"")</f>
        <v/>
      </c>
      <c r="H299" s="472" t="str">
        <f ca="1">IFERROR(__xludf.DUMMYFUNCTION("""COMPUTED_VALUE"""),"")</f>
        <v/>
      </c>
      <c r="I299" s="472" t="str">
        <f ca="1">IFERROR(__xludf.DUMMYFUNCTION("""COMPUTED_VALUE"""),"")</f>
        <v/>
      </c>
      <c r="J299" s="472" t="str">
        <f ca="1">IFERROR(__xludf.DUMMYFUNCTION("""COMPUTED_VALUE"""),"")</f>
        <v/>
      </c>
    </row>
    <row r="300" spans="1:10" ht="15.75">
      <c r="A300" s="472" t="str">
        <f ca="1">IFERROR(__xludf.DUMMYFUNCTION("""COMPUTED_VALUE"""),"")</f>
        <v/>
      </c>
      <c r="B300" s="472" t="str">
        <f ca="1">IFERROR(__xludf.DUMMYFUNCTION("""COMPUTED_VALUE"""),"")</f>
        <v/>
      </c>
      <c r="C300" s="472" t="str">
        <f ca="1">IFERROR(__xludf.DUMMYFUNCTION("""COMPUTED_VALUE"""),"")</f>
        <v/>
      </c>
      <c r="D300" s="472" t="str">
        <f ca="1">IFERROR(__xludf.DUMMYFUNCTION("""COMPUTED_VALUE"""),"")</f>
        <v/>
      </c>
      <c r="E300" s="472" t="str">
        <f ca="1">IFERROR(__xludf.DUMMYFUNCTION("""COMPUTED_VALUE"""),"")</f>
        <v/>
      </c>
      <c r="F300" s="472" t="str">
        <f ca="1">IFERROR(__xludf.DUMMYFUNCTION("""COMPUTED_VALUE"""),"")</f>
        <v/>
      </c>
      <c r="G300" s="472" t="str">
        <f ca="1">IFERROR(__xludf.DUMMYFUNCTION("""COMPUTED_VALUE"""),"")</f>
        <v/>
      </c>
      <c r="H300" s="472" t="str">
        <f ca="1">IFERROR(__xludf.DUMMYFUNCTION("""COMPUTED_VALUE"""),"")</f>
        <v/>
      </c>
      <c r="I300" s="472" t="str">
        <f ca="1">IFERROR(__xludf.DUMMYFUNCTION("""COMPUTED_VALUE"""),"")</f>
        <v/>
      </c>
      <c r="J300" s="472" t="str">
        <f ca="1">IFERROR(__xludf.DUMMYFUNCTION("""COMPUTED_VALUE"""),"")</f>
        <v/>
      </c>
    </row>
    <row r="301" spans="1:10" ht="15.75">
      <c r="A301" s="472" t="str">
        <f ca="1">IFERROR(__xludf.DUMMYFUNCTION("""COMPUTED_VALUE"""),"")</f>
        <v/>
      </c>
      <c r="B301" s="472" t="str">
        <f ca="1">IFERROR(__xludf.DUMMYFUNCTION("""COMPUTED_VALUE"""),"")</f>
        <v/>
      </c>
      <c r="C301" s="472" t="str">
        <f ca="1">IFERROR(__xludf.DUMMYFUNCTION("""COMPUTED_VALUE"""),"")</f>
        <v/>
      </c>
      <c r="D301" s="472" t="str">
        <f ca="1">IFERROR(__xludf.DUMMYFUNCTION("""COMPUTED_VALUE"""),"")</f>
        <v/>
      </c>
      <c r="E301" s="472" t="str">
        <f ca="1">IFERROR(__xludf.DUMMYFUNCTION("""COMPUTED_VALUE"""),"")</f>
        <v/>
      </c>
      <c r="F301" s="472" t="str">
        <f ca="1">IFERROR(__xludf.DUMMYFUNCTION("""COMPUTED_VALUE"""),"")</f>
        <v/>
      </c>
      <c r="G301" s="472" t="str">
        <f ca="1">IFERROR(__xludf.DUMMYFUNCTION("""COMPUTED_VALUE"""),"")</f>
        <v/>
      </c>
      <c r="H301" s="472" t="str">
        <f ca="1">IFERROR(__xludf.DUMMYFUNCTION("""COMPUTED_VALUE"""),"")</f>
        <v/>
      </c>
      <c r="I301" s="472" t="str">
        <f ca="1">IFERROR(__xludf.DUMMYFUNCTION("""COMPUTED_VALUE"""),"")</f>
        <v/>
      </c>
      <c r="J301" s="472" t="str">
        <f ca="1">IFERROR(__xludf.DUMMYFUNCTION("""COMPUTED_VALUE"""),"")</f>
        <v/>
      </c>
    </row>
    <row r="302" spans="1:10" ht="15.75">
      <c r="A302" s="472" t="str">
        <f ca="1">IFERROR(__xludf.DUMMYFUNCTION("""COMPUTED_VALUE"""),"")</f>
        <v/>
      </c>
      <c r="B302" s="472" t="str">
        <f ca="1">IFERROR(__xludf.DUMMYFUNCTION("""COMPUTED_VALUE"""),"")</f>
        <v/>
      </c>
      <c r="C302" s="472" t="str">
        <f ca="1">IFERROR(__xludf.DUMMYFUNCTION("""COMPUTED_VALUE"""),"")</f>
        <v/>
      </c>
      <c r="D302" s="472" t="str">
        <f ca="1">IFERROR(__xludf.DUMMYFUNCTION("""COMPUTED_VALUE"""),"")</f>
        <v/>
      </c>
      <c r="E302" s="472" t="str">
        <f ca="1">IFERROR(__xludf.DUMMYFUNCTION("""COMPUTED_VALUE"""),"")</f>
        <v/>
      </c>
      <c r="F302" s="472" t="str">
        <f ca="1">IFERROR(__xludf.DUMMYFUNCTION("""COMPUTED_VALUE"""),"")</f>
        <v/>
      </c>
      <c r="G302" s="472" t="str">
        <f ca="1">IFERROR(__xludf.DUMMYFUNCTION("""COMPUTED_VALUE"""),"")</f>
        <v/>
      </c>
      <c r="H302" s="472" t="str">
        <f ca="1">IFERROR(__xludf.DUMMYFUNCTION("""COMPUTED_VALUE"""),"")</f>
        <v/>
      </c>
      <c r="I302" s="472" t="str">
        <f ca="1">IFERROR(__xludf.DUMMYFUNCTION("""COMPUTED_VALUE"""),"")</f>
        <v/>
      </c>
      <c r="J302" s="472" t="str">
        <f ca="1">IFERROR(__xludf.DUMMYFUNCTION("""COMPUTED_VALUE"""),"")</f>
        <v/>
      </c>
    </row>
    <row r="303" spans="1:10" ht="15.75">
      <c r="A303" s="472" t="str">
        <f ca="1">IFERROR(__xludf.DUMMYFUNCTION("""COMPUTED_VALUE"""),"")</f>
        <v/>
      </c>
      <c r="B303" s="472" t="str">
        <f ca="1">IFERROR(__xludf.DUMMYFUNCTION("""COMPUTED_VALUE"""),"")</f>
        <v/>
      </c>
      <c r="C303" s="472" t="str">
        <f ca="1">IFERROR(__xludf.DUMMYFUNCTION("""COMPUTED_VALUE"""),"")</f>
        <v/>
      </c>
      <c r="D303" s="472" t="str">
        <f ca="1">IFERROR(__xludf.DUMMYFUNCTION("""COMPUTED_VALUE"""),"")</f>
        <v/>
      </c>
      <c r="E303" s="472" t="str">
        <f ca="1">IFERROR(__xludf.DUMMYFUNCTION("""COMPUTED_VALUE"""),"")</f>
        <v/>
      </c>
      <c r="F303" s="472" t="str">
        <f ca="1">IFERROR(__xludf.DUMMYFUNCTION("""COMPUTED_VALUE"""),"")</f>
        <v/>
      </c>
      <c r="G303" s="472" t="str">
        <f ca="1">IFERROR(__xludf.DUMMYFUNCTION("""COMPUTED_VALUE"""),"")</f>
        <v/>
      </c>
      <c r="H303" s="472" t="str">
        <f ca="1">IFERROR(__xludf.DUMMYFUNCTION("""COMPUTED_VALUE"""),"")</f>
        <v/>
      </c>
      <c r="I303" s="472" t="str">
        <f ca="1">IFERROR(__xludf.DUMMYFUNCTION("""COMPUTED_VALUE"""),"")</f>
        <v/>
      </c>
      <c r="J303" s="472" t="str">
        <f ca="1">IFERROR(__xludf.DUMMYFUNCTION("""COMPUTED_VALUE"""),"")</f>
        <v/>
      </c>
    </row>
    <row r="304" spans="1:10" ht="15.75">
      <c r="A304" s="472" t="str">
        <f ca="1">IFERROR(__xludf.DUMMYFUNCTION("""COMPUTED_VALUE"""),"")</f>
        <v/>
      </c>
      <c r="B304" s="472" t="str">
        <f ca="1">IFERROR(__xludf.DUMMYFUNCTION("""COMPUTED_VALUE"""),"")</f>
        <v/>
      </c>
      <c r="C304" s="472" t="str">
        <f ca="1">IFERROR(__xludf.DUMMYFUNCTION("""COMPUTED_VALUE"""),"")</f>
        <v/>
      </c>
      <c r="D304" s="472" t="str">
        <f ca="1">IFERROR(__xludf.DUMMYFUNCTION("""COMPUTED_VALUE"""),"")</f>
        <v/>
      </c>
      <c r="E304" s="472" t="str">
        <f ca="1">IFERROR(__xludf.DUMMYFUNCTION("""COMPUTED_VALUE"""),"")</f>
        <v/>
      </c>
      <c r="F304" s="472" t="str">
        <f ca="1">IFERROR(__xludf.DUMMYFUNCTION("""COMPUTED_VALUE"""),"")</f>
        <v/>
      </c>
      <c r="G304" s="472" t="str">
        <f ca="1">IFERROR(__xludf.DUMMYFUNCTION("""COMPUTED_VALUE"""),"")</f>
        <v/>
      </c>
      <c r="H304" s="472" t="str">
        <f ca="1">IFERROR(__xludf.DUMMYFUNCTION("""COMPUTED_VALUE"""),"")</f>
        <v/>
      </c>
      <c r="I304" s="472" t="str">
        <f ca="1">IFERROR(__xludf.DUMMYFUNCTION("""COMPUTED_VALUE"""),"")</f>
        <v/>
      </c>
      <c r="J304" s="472" t="str">
        <f ca="1">IFERROR(__xludf.DUMMYFUNCTION("""COMPUTED_VALUE"""),"")</f>
        <v/>
      </c>
    </row>
    <row r="305" spans="1:10" ht="15.75">
      <c r="A305" s="472" t="str">
        <f ca="1">IFERROR(__xludf.DUMMYFUNCTION("""COMPUTED_VALUE"""),"")</f>
        <v/>
      </c>
      <c r="B305" s="472" t="str">
        <f ca="1">IFERROR(__xludf.DUMMYFUNCTION("""COMPUTED_VALUE"""),"")</f>
        <v/>
      </c>
      <c r="C305" s="472" t="str">
        <f ca="1">IFERROR(__xludf.DUMMYFUNCTION("""COMPUTED_VALUE"""),"")</f>
        <v/>
      </c>
      <c r="D305" s="472" t="str">
        <f ca="1">IFERROR(__xludf.DUMMYFUNCTION("""COMPUTED_VALUE"""),"")</f>
        <v/>
      </c>
      <c r="E305" s="472" t="str">
        <f ca="1">IFERROR(__xludf.DUMMYFUNCTION("""COMPUTED_VALUE"""),"")</f>
        <v/>
      </c>
      <c r="F305" s="472" t="str">
        <f ca="1">IFERROR(__xludf.DUMMYFUNCTION("""COMPUTED_VALUE"""),"")</f>
        <v/>
      </c>
      <c r="G305" s="472" t="str">
        <f ca="1">IFERROR(__xludf.DUMMYFUNCTION("""COMPUTED_VALUE"""),"")</f>
        <v/>
      </c>
      <c r="H305" s="472" t="str">
        <f ca="1">IFERROR(__xludf.DUMMYFUNCTION("""COMPUTED_VALUE"""),"")</f>
        <v/>
      </c>
      <c r="I305" s="472" t="str">
        <f ca="1">IFERROR(__xludf.DUMMYFUNCTION("""COMPUTED_VALUE"""),"")</f>
        <v/>
      </c>
      <c r="J305" s="472" t="str">
        <f ca="1">IFERROR(__xludf.DUMMYFUNCTION("""COMPUTED_VALUE"""),"")</f>
        <v/>
      </c>
    </row>
    <row r="306" spans="1:10" ht="15.75">
      <c r="A306" s="472" t="str">
        <f ca="1">IFERROR(__xludf.DUMMYFUNCTION("""COMPUTED_VALUE"""),"")</f>
        <v/>
      </c>
      <c r="B306" s="472" t="str">
        <f ca="1">IFERROR(__xludf.DUMMYFUNCTION("""COMPUTED_VALUE"""),"")</f>
        <v/>
      </c>
      <c r="C306" s="472" t="str">
        <f ca="1">IFERROR(__xludf.DUMMYFUNCTION("""COMPUTED_VALUE"""),"")</f>
        <v/>
      </c>
      <c r="D306" s="472" t="str">
        <f ca="1">IFERROR(__xludf.DUMMYFUNCTION("""COMPUTED_VALUE"""),"")</f>
        <v/>
      </c>
      <c r="E306" s="472" t="str">
        <f ca="1">IFERROR(__xludf.DUMMYFUNCTION("""COMPUTED_VALUE"""),"")</f>
        <v/>
      </c>
      <c r="F306" s="472" t="str">
        <f ca="1">IFERROR(__xludf.DUMMYFUNCTION("""COMPUTED_VALUE"""),"")</f>
        <v/>
      </c>
      <c r="G306" s="472" t="str">
        <f ca="1">IFERROR(__xludf.DUMMYFUNCTION("""COMPUTED_VALUE"""),"")</f>
        <v/>
      </c>
      <c r="H306" s="472" t="str">
        <f ca="1">IFERROR(__xludf.DUMMYFUNCTION("""COMPUTED_VALUE"""),"")</f>
        <v/>
      </c>
      <c r="I306" s="472" t="str">
        <f ca="1">IFERROR(__xludf.DUMMYFUNCTION("""COMPUTED_VALUE"""),"")</f>
        <v/>
      </c>
      <c r="J306" s="472" t="str">
        <f ca="1">IFERROR(__xludf.DUMMYFUNCTION("""COMPUTED_VALUE"""),"")</f>
        <v/>
      </c>
    </row>
    <row r="307" spans="1:10" ht="15.75">
      <c r="A307" s="472" t="str">
        <f ca="1">IFERROR(__xludf.DUMMYFUNCTION("""COMPUTED_VALUE"""),"")</f>
        <v/>
      </c>
      <c r="B307" s="472" t="str">
        <f ca="1">IFERROR(__xludf.DUMMYFUNCTION("""COMPUTED_VALUE"""),"")</f>
        <v/>
      </c>
      <c r="C307" s="472" t="str">
        <f ca="1">IFERROR(__xludf.DUMMYFUNCTION("""COMPUTED_VALUE"""),"")</f>
        <v/>
      </c>
      <c r="D307" s="472" t="str">
        <f ca="1">IFERROR(__xludf.DUMMYFUNCTION("""COMPUTED_VALUE"""),"")</f>
        <v/>
      </c>
      <c r="E307" s="472" t="str">
        <f ca="1">IFERROR(__xludf.DUMMYFUNCTION("""COMPUTED_VALUE"""),"")</f>
        <v/>
      </c>
      <c r="F307" s="472" t="str">
        <f ca="1">IFERROR(__xludf.DUMMYFUNCTION("""COMPUTED_VALUE"""),"")</f>
        <v/>
      </c>
      <c r="G307" s="472" t="str">
        <f ca="1">IFERROR(__xludf.DUMMYFUNCTION("""COMPUTED_VALUE"""),"")</f>
        <v/>
      </c>
      <c r="H307" s="472" t="str">
        <f ca="1">IFERROR(__xludf.DUMMYFUNCTION("""COMPUTED_VALUE"""),"")</f>
        <v/>
      </c>
      <c r="I307" s="472" t="str">
        <f ca="1">IFERROR(__xludf.DUMMYFUNCTION("""COMPUTED_VALUE"""),"")</f>
        <v/>
      </c>
      <c r="J307" s="472" t="str">
        <f ca="1">IFERROR(__xludf.DUMMYFUNCTION("""COMPUTED_VALUE"""),"")</f>
        <v/>
      </c>
    </row>
    <row r="308" spans="1:10" ht="15.75">
      <c r="A308" s="472" t="str">
        <f ca="1">IFERROR(__xludf.DUMMYFUNCTION("""COMPUTED_VALUE"""),"")</f>
        <v/>
      </c>
      <c r="B308" s="472" t="str">
        <f ca="1">IFERROR(__xludf.DUMMYFUNCTION("""COMPUTED_VALUE"""),"")</f>
        <v/>
      </c>
      <c r="C308" s="472" t="str">
        <f ca="1">IFERROR(__xludf.DUMMYFUNCTION("""COMPUTED_VALUE"""),"")</f>
        <v/>
      </c>
      <c r="D308" s="472" t="str">
        <f ca="1">IFERROR(__xludf.DUMMYFUNCTION("""COMPUTED_VALUE"""),"")</f>
        <v/>
      </c>
      <c r="E308" s="472" t="str">
        <f ca="1">IFERROR(__xludf.DUMMYFUNCTION("""COMPUTED_VALUE"""),"")</f>
        <v/>
      </c>
      <c r="F308" s="472" t="str">
        <f ca="1">IFERROR(__xludf.DUMMYFUNCTION("""COMPUTED_VALUE"""),"")</f>
        <v/>
      </c>
      <c r="G308" s="472" t="str">
        <f ca="1">IFERROR(__xludf.DUMMYFUNCTION("""COMPUTED_VALUE"""),"")</f>
        <v/>
      </c>
      <c r="H308" s="472" t="str">
        <f ca="1">IFERROR(__xludf.DUMMYFUNCTION("""COMPUTED_VALUE"""),"")</f>
        <v/>
      </c>
      <c r="I308" s="472" t="str">
        <f ca="1">IFERROR(__xludf.DUMMYFUNCTION("""COMPUTED_VALUE"""),"")</f>
        <v/>
      </c>
      <c r="J308" s="472" t="str">
        <f ca="1">IFERROR(__xludf.DUMMYFUNCTION("""COMPUTED_VALUE"""),"")</f>
        <v/>
      </c>
    </row>
    <row r="309" spans="1:10" ht="15.75">
      <c r="A309" s="472" t="str">
        <f ca="1">IFERROR(__xludf.DUMMYFUNCTION("""COMPUTED_VALUE"""),"")</f>
        <v/>
      </c>
      <c r="B309" s="472" t="str">
        <f ca="1">IFERROR(__xludf.DUMMYFUNCTION("""COMPUTED_VALUE"""),"")</f>
        <v/>
      </c>
      <c r="C309" s="472" t="str">
        <f ca="1">IFERROR(__xludf.DUMMYFUNCTION("""COMPUTED_VALUE"""),"")</f>
        <v/>
      </c>
      <c r="D309" s="472" t="str">
        <f ca="1">IFERROR(__xludf.DUMMYFUNCTION("""COMPUTED_VALUE"""),"")</f>
        <v/>
      </c>
      <c r="E309" s="472" t="str">
        <f ca="1">IFERROR(__xludf.DUMMYFUNCTION("""COMPUTED_VALUE"""),"")</f>
        <v/>
      </c>
      <c r="F309" s="472" t="str">
        <f ca="1">IFERROR(__xludf.DUMMYFUNCTION("""COMPUTED_VALUE"""),"")</f>
        <v/>
      </c>
      <c r="G309" s="472" t="str">
        <f ca="1">IFERROR(__xludf.DUMMYFUNCTION("""COMPUTED_VALUE"""),"")</f>
        <v/>
      </c>
      <c r="H309" s="472" t="str">
        <f ca="1">IFERROR(__xludf.DUMMYFUNCTION("""COMPUTED_VALUE"""),"")</f>
        <v/>
      </c>
      <c r="I309" s="472" t="str">
        <f ca="1">IFERROR(__xludf.DUMMYFUNCTION("""COMPUTED_VALUE"""),"")</f>
        <v/>
      </c>
      <c r="J309" s="472" t="str">
        <f ca="1">IFERROR(__xludf.DUMMYFUNCTION("""COMPUTED_VALUE"""),"")</f>
        <v/>
      </c>
    </row>
    <row r="310" spans="1:10" ht="15.75">
      <c r="A310" s="472" t="str">
        <f ca="1">IFERROR(__xludf.DUMMYFUNCTION("""COMPUTED_VALUE"""),"")</f>
        <v/>
      </c>
      <c r="B310" s="472" t="str">
        <f ca="1">IFERROR(__xludf.DUMMYFUNCTION("""COMPUTED_VALUE"""),"")</f>
        <v/>
      </c>
      <c r="C310" s="472" t="str">
        <f ca="1">IFERROR(__xludf.DUMMYFUNCTION("""COMPUTED_VALUE"""),"")</f>
        <v/>
      </c>
      <c r="D310" s="472" t="str">
        <f ca="1">IFERROR(__xludf.DUMMYFUNCTION("""COMPUTED_VALUE"""),"")</f>
        <v/>
      </c>
      <c r="E310" s="472" t="str">
        <f ca="1">IFERROR(__xludf.DUMMYFUNCTION("""COMPUTED_VALUE"""),"")</f>
        <v/>
      </c>
      <c r="F310" s="472" t="str">
        <f ca="1">IFERROR(__xludf.DUMMYFUNCTION("""COMPUTED_VALUE"""),"")</f>
        <v/>
      </c>
      <c r="G310" s="472" t="str">
        <f ca="1">IFERROR(__xludf.DUMMYFUNCTION("""COMPUTED_VALUE"""),"")</f>
        <v/>
      </c>
      <c r="H310" s="472" t="str">
        <f ca="1">IFERROR(__xludf.DUMMYFUNCTION("""COMPUTED_VALUE"""),"")</f>
        <v/>
      </c>
      <c r="I310" s="472" t="str">
        <f ca="1">IFERROR(__xludf.DUMMYFUNCTION("""COMPUTED_VALUE"""),"")</f>
        <v/>
      </c>
      <c r="J310" s="472" t="str">
        <f ca="1">IFERROR(__xludf.DUMMYFUNCTION("""COMPUTED_VALUE"""),"")</f>
        <v/>
      </c>
    </row>
    <row r="311" spans="1:10" ht="15.75">
      <c r="A311" s="472" t="str">
        <f ca="1">IFERROR(__xludf.DUMMYFUNCTION("""COMPUTED_VALUE"""),"")</f>
        <v/>
      </c>
      <c r="B311" s="472" t="str">
        <f ca="1">IFERROR(__xludf.DUMMYFUNCTION("""COMPUTED_VALUE"""),"")</f>
        <v/>
      </c>
      <c r="C311" s="472" t="str">
        <f ca="1">IFERROR(__xludf.DUMMYFUNCTION("""COMPUTED_VALUE"""),"")</f>
        <v/>
      </c>
      <c r="D311" s="472" t="str">
        <f ca="1">IFERROR(__xludf.DUMMYFUNCTION("""COMPUTED_VALUE"""),"")</f>
        <v/>
      </c>
      <c r="E311" s="472" t="str">
        <f ca="1">IFERROR(__xludf.DUMMYFUNCTION("""COMPUTED_VALUE"""),"")</f>
        <v/>
      </c>
      <c r="F311" s="472" t="str">
        <f ca="1">IFERROR(__xludf.DUMMYFUNCTION("""COMPUTED_VALUE"""),"")</f>
        <v/>
      </c>
      <c r="G311" s="472" t="str">
        <f ca="1">IFERROR(__xludf.DUMMYFUNCTION("""COMPUTED_VALUE"""),"")</f>
        <v/>
      </c>
      <c r="H311" s="472" t="str">
        <f ca="1">IFERROR(__xludf.DUMMYFUNCTION("""COMPUTED_VALUE"""),"")</f>
        <v/>
      </c>
      <c r="I311" s="472" t="str">
        <f ca="1">IFERROR(__xludf.DUMMYFUNCTION("""COMPUTED_VALUE"""),"")</f>
        <v/>
      </c>
      <c r="J311" s="472" t="str">
        <f ca="1">IFERROR(__xludf.DUMMYFUNCTION("""COMPUTED_VALUE"""),"")</f>
        <v/>
      </c>
    </row>
    <row r="312" spans="1:10" ht="15.75">
      <c r="A312" s="472" t="str">
        <f ca="1">IFERROR(__xludf.DUMMYFUNCTION("""COMPUTED_VALUE"""),"")</f>
        <v/>
      </c>
      <c r="B312" s="472" t="str">
        <f ca="1">IFERROR(__xludf.DUMMYFUNCTION("""COMPUTED_VALUE"""),"")</f>
        <v/>
      </c>
      <c r="C312" s="472" t="str">
        <f ca="1">IFERROR(__xludf.DUMMYFUNCTION("""COMPUTED_VALUE"""),"")</f>
        <v/>
      </c>
      <c r="D312" s="472" t="str">
        <f ca="1">IFERROR(__xludf.DUMMYFUNCTION("""COMPUTED_VALUE"""),"")</f>
        <v/>
      </c>
      <c r="E312" s="472" t="str">
        <f ca="1">IFERROR(__xludf.DUMMYFUNCTION("""COMPUTED_VALUE"""),"")</f>
        <v/>
      </c>
      <c r="F312" s="472" t="str">
        <f ca="1">IFERROR(__xludf.DUMMYFUNCTION("""COMPUTED_VALUE"""),"")</f>
        <v/>
      </c>
      <c r="G312" s="472" t="str">
        <f ca="1">IFERROR(__xludf.DUMMYFUNCTION("""COMPUTED_VALUE"""),"")</f>
        <v/>
      </c>
      <c r="H312" s="472" t="str">
        <f ca="1">IFERROR(__xludf.DUMMYFUNCTION("""COMPUTED_VALUE"""),"")</f>
        <v/>
      </c>
      <c r="I312" s="472" t="str">
        <f ca="1">IFERROR(__xludf.DUMMYFUNCTION("""COMPUTED_VALUE"""),"")</f>
        <v/>
      </c>
      <c r="J312" s="472" t="str">
        <f ca="1">IFERROR(__xludf.DUMMYFUNCTION("""COMPUTED_VALUE"""),"")</f>
        <v/>
      </c>
    </row>
    <row r="313" spans="1:10" ht="15.75">
      <c r="A313" s="472" t="str">
        <f ca="1">IFERROR(__xludf.DUMMYFUNCTION("""COMPUTED_VALUE"""),"")</f>
        <v/>
      </c>
      <c r="B313" s="472" t="str">
        <f ca="1">IFERROR(__xludf.DUMMYFUNCTION("""COMPUTED_VALUE"""),"")</f>
        <v/>
      </c>
      <c r="C313" s="472" t="str">
        <f ca="1">IFERROR(__xludf.DUMMYFUNCTION("""COMPUTED_VALUE"""),"")</f>
        <v/>
      </c>
      <c r="D313" s="472" t="str">
        <f ca="1">IFERROR(__xludf.DUMMYFUNCTION("""COMPUTED_VALUE"""),"")</f>
        <v/>
      </c>
      <c r="E313" s="472" t="str">
        <f ca="1">IFERROR(__xludf.DUMMYFUNCTION("""COMPUTED_VALUE"""),"")</f>
        <v/>
      </c>
      <c r="F313" s="472" t="str">
        <f ca="1">IFERROR(__xludf.DUMMYFUNCTION("""COMPUTED_VALUE"""),"")</f>
        <v/>
      </c>
      <c r="G313" s="472" t="str">
        <f ca="1">IFERROR(__xludf.DUMMYFUNCTION("""COMPUTED_VALUE"""),"")</f>
        <v/>
      </c>
      <c r="H313" s="472" t="str">
        <f ca="1">IFERROR(__xludf.DUMMYFUNCTION("""COMPUTED_VALUE"""),"")</f>
        <v/>
      </c>
      <c r="I313" s="472" t="str">
        <f ca="1">IFERROR(__xludf.DUMMYFUNCTION("""COMPUTED_VALUE"""),"")</f>
        <v/>
      </c>
      <c r="J313" s="472" t="str">
        <f ca="1">IFERROR(__xludf.DUMMYFUNCTION("""COMPUTED_VALUE"""),"")</f>
        <v/>
      </c>
    </row>
    <row r="314" spans="1:10" ht="15.75">
      <c r="A314" s="472" t="str">
        <f ca="1">IFERROR(__xludf.DUMMYFUNCTION("""COMPUTED_VALUE"""),"")</f>
        <v/>
      </c>
      <c r="B314" s="472" t="str">
        <f ca="1">IFERROR(__xludf.DUMMYFUNCTION("""COMPUTED_VALUE"""),"")</f>
        <v/>
      </c>
      <c r="C314" s="472" t="str">
        <f ca="1">IFERROR(__xludf.DUMMYFUNCTION("""COMPUTED_VALUE"""),"")</f>
        <v/>
      </c>
      <c r="D314" s="472" t="str">
        <f ca="1">IFERROR(__xludf.DUMMYFUNCTION("""COMPUTED_VALUE"""),"")</f>
        <v/>
      </c>
      <c r="E314" s="472" t="str">
        <f ca="1">IFERROR(__xludf.DUMMYFUNCTION("""COMPUTED_VALUE"""),"")</f>
        <v/>
      </c>
      <c r="F314" s="472" t="str">
        <f ca="1">IFERROR(__xludf.DUMMYFUNCTION("""COMPUTED_VALUE"""),"")</f>
        <v/>
      </c>
      <c r="G314" s="472" t="str">
        <f ca="1">IFERROR(__xludf.DUMMYFUNCTION("""COMPUTED_VALUE"""),"")</f>
        <v/>
      </c>
      <c r="H314" s="472" t="str">
        <f ca="1">IFERROR(__xludf.DUMMYFUNCTION("""COMPUTED_VALUE"""),"")</f>
        <v/>
      </c>
      <c r="I314" s="472" t="str">
        <f ca="1">IFERROR(__xludf.DUMMYFUNCTION("""COMPUTED_VALUE"""),"")</f>
        <v/>
      </c>
      <c r="J314" s="472" t="str">
        <f ca="1">IFERROR(__xludf.DUMMYFUNCTION("""COMPUTED_VALUE"""),"")</f>
        <v/>
      </c>
    </row>
    <row r="315" spans="1:10" ht="15.75">
      <c r="A315" s="472" t="str">
        <f ca="1">IFERROR(__xludf.DUMMYFUNCTION("""COMPUTED_VALUE"""),"")</f>
        <v/>
      </c>
      <c r="B315" s="472" t="str">
        <f ca="1">IFERROR(__xludf.DUMMYFUNCTION("""COMPUTED_VALUE"""),"")</f>
        <v/>
      </c>
      <c r="C315" s="472" t="str">
        <f ca="1">IFERROR(__xludf.DUMMYFUNCTION("""COMPUTED_VALUE"""),"")</f>
        <v/>
      </c>
      <c r="D315" s="472" t="str">
        <f ca="1">IFERROR(__xludf.DUMMYFUNCTION("""COMPUTED_VALUE"""),"")</f>
        <v/>
      </c>
      <c r="E315" s="472" t="str">
        <f ca="1">IFERROR(__xludf.DUMMYFUNCTION("""COMPUTED_VALUE"""),"")</f>
        <v/>
      </c>
      <c r="F315" s="472" t="str">
        <f ca="1">IFERROR(__xludf.DUMMYFUNCTION("""COMPUTED_VALUE"""),"")</f>
        <v/>
      </c>
      <c r="G315" s="472" t="str">
        <f ca="1">IFERROR(__xludf.DUMMYFUNCTION("""COMPUTED_VALUE"""),"")</f>
        <v/>
      </c>
      <c r="H315" s="472" t="str">
        <f ca="1">IFERROR(__xludf.DUMMYFUNCTION("""COMPUTED_VALUE"""),"")</f>
        <v/>
      </c>
      <c r="I315" s="472" t="str">
        <f ca="1">IFERROR(__xludf.DUMMYFUNCTION("""COMPUTED_VALUE"""),"")</f>
        <v/>
      </c>
      <c r="J315" s="472" t="str">
        <f ca="1">IFERROR(__xludf.DUMMYFUNCTION("""COMPUTED_VALUE"""),"")</f>
        <v/>
      </c>
    </row>
    <row r="316" spans="1:10" ht="15.75">
      <c r="A316" s="472" t="str">
        <f ca="1">IFERROR(__xludf.DUMMYFUNCTION("""COMPUTED_VALUE"""),"")</f>
        <v/>
      </c>
      <c r="B316" s="472" t="str">
        <f ca="1">IFERROR(__xludf.DUMMYFUNCTION("""COMPUTED_VALUE"""),"")</f>
        <v/>
      </c>
      <c r="C316" s="472" t="str">
        <f ca="1">IFERROR(__xludf.DUMMYFUNCTION("""COMPUTED_VALUE"""),"")</f>
        <v/>
      </c>
      <c r="D316" s="472" t="str">
        <f ca="1">IFERROR(__xludf.DUMMYFUNCTION("""COMPUTED_VALUE"""),"")</f>
        <v/>
      </c>
      <c r="E316" s="472" t="str">
        <f ca="1">IFERROR(__xludf.DUMMYFUNCTION("""COMPUTED_VALUE"""),"")</f>
        <v/>
      </c>
      <c r="F316" s="472" t="str">
        <f ca="1">IFERROR(__xludf.DUMMYFUNCTION("""COMPUTED_VALUE"""),"")</f>
        <v/>
      </c>
      <c r="G316" s="472" t="str">
        <f ca="1">IFERROR(__xludf.DUMMYFUNCTION("""COMPUTED_VALUE"""),"")</f>
        <v/>
      </c>
      <c r="H316" s="472" t="str">
        <f ca="1">IFERROR(__xludf.DUMMYFUNCTION("""COMPUTED_VALUE"""),"")</f>
        <v/>
      </c>
      <c r="I316" s="472" t="str">
        <f ca="1">IFERROR(__xludf.DUMMYFUNCTION("""COMPUTED_VALUE"""),"")</f>
        <v/>
      </c>
      <c r="J316" s="472" t="str">
        <f ca="1">IFERROR(__xludf.DUMMYFUNCTION("""COMPUTED_VALUE"""),"")</f>
        <v/>
      </c>
    </row>
    <row r="317" spans="1:10" ht="15.75">
      <c r="A317" s="472" t="str">
        <f ca="1">IFERROR(__xludf.DUMMYFUNCTION("""COMPUTED_VALUE"""),"")</f>
        <v/>
      </c>
      <c r="B317" s="472" t="str">
        <f ca="1">IFERROR(__xludf.DUMMYFUNCTION("""COMPUTED_VALUE"""),"")</f>
        <v/>
      </c>
      <c r="C317" s="472" t="str">
        <f ca="1">IFERROR(__xludf.DUMMYFUNCTION("""COMPUTED_VALUE"""),"")</f>
        <v/>
      </c>
      <c r="D317" s="472" t="str">
        <f ca="1">IFERROR(__xludf.DUMMYFUNCTION("""COMPUTED_VALUE"""),"")</f>
        <v/>
      </c>
      <c r="E317" s="472" t="str">
        <f ca="1">IFERROR(__xludf.DUMMYFUNCTION("""COMPUTED_VALUE"""),"")</f>
        <v/>
      </c>
      <c r="F317" s="472" t="str">
        <f ca="1">IFERROR(__xludf.DUMMYFUNCTION("""COMPUTED_VALUE"""),"")</f>
        <v/>
      </c>
      <c r="G317" s="472" t="str">
        <f ca="1">IFERROR(__xludf.DUMMYFUNCTION("""COMPUTED_VALUE"""),"")</f>
        <v/>
      </c>
      <c r="H317" s="472" t="str">
        <f ca="1">IFERROR(__xludf.DUMMYFUNCTION("""COMPUTED_VALUE"""),"")</f>
        <v/>
      </c>
      <c r="I317" s="472" t="str">
        <f ca="1">IFERROR(__xludf.DUMMYFUNCTION("""COMPUTED_VALUE"""),"")</f>
        <v/>
      </c>
      <c r="J317" s="472" t="str">
        <f ca="1">IFERROR(__xludf.DUMMYFUNCTION("""COMPUTED_VALUE"""),"")</f>
        <v/>
      </c>
    </row>
    <row r="318" spans="1:10" ht="15.75">
      <c r="A318" s="472" t="str">
        <f ca="1">IFERROR(__xludf.DUMMYFUNCTION("""COMPUTED_VALUE"""),"")</f>
        <v/>
      </c>
      <c r="B318" s="472" t="str">
        <f ca="1">IFERROR(__xludf.DUMMYFUNCTION("""COMPUTED_VALUE"""),"")</f>
        <v/>
      </c>
      <c r="C318" s="472" t="str">
        <f ca="1">IFERROR(__xludf.DUMMYFUNCTION("""COMPUTED_VALUE"""),"")</f>
        <v/>
      </c>
      <c r="D318" s="472" t="str">
        <f ca="1">IFERROR(__xludf.DUMMYFUNCTION("""COMPUTED_VALUE"""),"")</f>
        <v/>
      </c>
      <c r="E318" s="472" t="str">
        <f ca="1">IFERROR(__xludf.DUMMYFUNCTION("""COMPUTED_VALUE"""),"")</f>
        <v/>
      </c>
      <c r="F318" s="472" t="str">
        <f ca="1">IFERROR(__xludf.DUMMYFUNCTION("""COMPUTED_VALUE"""),"")</f>
        <v/>
      </c>
      <c r="G318" s="472" t="str">
        <f ca="1">IFERROR(__xludf.DUMMYFUNCTION("""COMPUTED_VALUE"""),"")</f>
        <v/>
      </c>
      <c r="H318" s="472" t="str">
        <f ca="1">IFERROR(__xludf.DUMMYFUNCTION("""COMPUTED_VALUE"""),"")</f>
        <v/>
      </c>
      <c r="I318" s="472" t="str">
        <f ca="1">IFERROR(__xludf.DUMMYFUNCTION("""COMPUTED_VALUE"""),"")</f>
        <v/>
      </c>
      <c r="J318" s="472" t="str">
        <f ca="1">IFERROR(__xludf.DUMMYFUNCTION("""COMPUTED_VALUE"""),"")</f>
        <v/>
      </c>
    </row>
    <row r="319" spans="1:10" ht="15.75">
      <c r="A319" s="472" t="str">
        <f ca="1">IFERROR(__xludf.DUMMYFUNCTION("""COMPUTED_VALUE"""),"")</f>
        <v/>
      </c>
      <c r="B319" s="472" t="str">
        <f ca="1">IFERROR(__xludf.DUMMYFUNCTION("""COMPUTED_VALUE"""),"")</f>
        <v/>
      </c>
      <c r="C319" s="472" t="str">
        <f ca="1">IFERROR(__xludf.DUMMYFUNCTION("""COMPUTED_VALUE"""),"")</f>
        <v/>
      </c>
      <c r="D319" s="472" t="str">
        <f ca="1">IFERROR(__xludf.DUMMYFUNCTION("""COMPUTED_VALUE"""),"")</f>
        <v/>
      </c>
      <c r="E319" s="472" t="str">
        <f ca="1">IFERROR(__xludf.DUMMYFUNCTION("""COMPUTED_VALUE"""),"")</f>
        <v/>
      </c>
      <c r="F319" s="472" t="str">
        <f ca="1">IFERROR(__xludf.DUMMYFUNCTION("""COMPUTED_VALUE"""),"")</f>
        <v/>
      </c>
      <c r="G319" s="472" t="str">
        <f ca="1">IFERROR(__xludf.DUMMYFUNCTION("""COMPUTED_VALUE"""),"")</f>
        <v/>
      </c>
      <c r="H319" s="472" t="str">
        <f ca="1">IFERROR(__xludf.DUMMYFUNCTION("""COMPUTED_VALUE"""),"")</f>
        <v/>
      </c>
      <c r="I319" s="472" t="str">
        <f ca="1">IFERROR(__xludf.DUMMYFUNCTION("""COMPUTED_VALUE"""),"")</f>
        <v/>
      </c>
      <c r="J319" s="472" t="str">
        <f ca="1">IFERROR(__xludf.DUMMYFUNCTION("""COMPUTED_VALUE"""),"")</f>
        <v/>
      </c>
    </row>
    <row r="320" spans="1:10" ht="15.75">
      <c r="A320" s="472" t="str">
        <f ca="1">IFERROR(__xludf.DUMMYFUNCTION("""COMPUTED_VALUE"""),"")</f>
        <v/>
      </c>
      <c r="B320" s="472" t="str">
        <f ca="1">IFERROR(__xludf.DUMMYFUNCTION("""COMPUTED_VALUE"""),"")</f>
        <v/>
      </c>
      <c r="C320" s="472" t="str">
        <f ca="1">IFERROR(__xludf.DUMMYFUNCTION("""COMPUTED_VALUE"""),"")</f>
        <v/>
      </c>
      <c r="D320" s="472" t="str">
        <f ca="1">IFERROR(__xludf.DUMMYFUNCTION("""COMPUTED_VALUE"""),"")</f>
        <v/>
      </c>
      <c r="E320" s="472" t="str">
        <f ca="1">IFERROR(__xludf.DUMMYFUNCTION("""COMPUTED_VALUE"""),"")</f>
        <v/>
      </c>
      <c r="F320" s="472" t="str">
        <f ca="1">IFERROR(__xludf.DUMMYFUNCTION("""COMPUTED_VALUE"""),"")</f>
        <v/>
      </c>
      <c r="G320" s="472" t="str">
        <f ca="1">IFERROR(__xludf.DUMMYFUNCTION("""COMPUTED_VALUE"""),"")</f>
        <v/>
      </c>
      <c r="H320" s="472" t="str">
        <f ca="1">IFERROR(__xludf.DUMMYFUNCTION("""COMPUTED_VALUE"""),"")</f>
        <v/>
      </c>
      <c r="I320" s="472" t="str">
        <f ca="1">IFERROR(__xludf.DUMMYFUNCTION("""COMPUTED_VALUE"""),"")</f>
        <v/>
      </c>
      <c r="J320" s="472" t="str">
        <f ca="1">IFERROR(__xludf.DUMMYFUNCTION("""COMPUTED_VALUE"""),"")</f>
        <v/>
      </c>
    </row>
    <row r="321" spans="1:10" ht="15.75">
      <c r="A321" s="472" t="str">
        <f ca="1">IFERROR(__xludf.DUMMYFUNCTION("""COMPUTED_VALUE"""),"")</f>
        <v/>
      </c>
      <c r="B321" s="472" t="str">
        <f ca="1">IFERROR(__xludf.DUMMYFUNCTION("""COMPUTED_VALUE"""),"")</f>
        <v/>
      </c>
      <c r="C321" s="472" t="str">
        <f ca="1">IFERROR(__xludf.DUMMYFUNCTION("""COMPUTED_VALUE"""),"")</f>
        <v/>
      </c>
      <c r="D321" s="472" t="str">
        <f ca="1">IFERROR(__xludf.DUMMYFUNCTION("""COMPUTED_VALUE"""),"")</f>
        <v/>
      </c>
      <c r="E321" s="472" t="str">
        <f ca="1">IFERROR(__xludf.DUMMYFUNCTION("""COMPUTED_VALUE"""),"")</f>
        <v/>
      </c>
      <c r="F321" s="472" t="str">
        <f ca="1">IFERROR(__xludf.DUMMYFUNCTION("""COMPUTED_VALUE"""),"")</f>
        <v/>
      </c>
      <c r="G321" s="472" t="str">
        <f ca="1">IFERROR(__xludf.DUMMYFUNCTION("""COMPUTED_VALUE"""),"")</f>
        <v/>
      </c>
      <c r="H321" s="472" t="str">
        <f ca="1">IFERROR(__xludf.DUMMYFUNCTION("""COMPUTED_VALUE"""),"")</f>
        <v/>
      </c>
      <c r="I321" s="472" t="str">
        <f ca="1">IFERROR(__xludf.DUMMYFUNCTION("""COMPUTED_VALUE"""),"")</f>
        <v/>
      </c>
      <c r="J321" s="472" t="str">
        <f ca="1">IFERROR(__xludf.DUMMYFUNCTION("""COMPUTED_VALUE"""),"")</f>
        <v/>
      </c>
    </row>
    <row r="322" spans="1:10" ht="15.75">
      <c r="A322" s="472" t="str">
        <f ca="1">IFERROR(__xludf.DUMMYFUNCTION("""COMPUTED_VALUE"""),"")</f>
        <v/>
      </c>
      <c r="B322" s="472" t="str">
        <f ca="1">IFERROR(__xludf.DUMMYFUNCTION("""COMPUTED_VALUE"""),"")</f>
        <v/>
      </c>
      <c r="C322" s="472" t="str">
        <f ca="1">IFERROR(__xludf.DUMMYFUNCTION("""COMPUTED_VALUE"""),"")</f>
        <v/>
      </c>
      <c r="D322" s="472" t="str">
        <f ca="1">IFERROR(__xludf.DUMMYFUNCTION("""COMPUTED_VALUE"""),"")</f>
        <v/>
      </c>
      <c r="E322" s="472" t="str">
        <f ca="1">IFERROR(__xludf.DUMMYFUNCTION("""COMPUTED_VALUE"""),"")</f>
        <v/>
      </c>
      <c r="F322" s="472" t="str">
        <f ca="1">IFERROR(__xludf.DUMMYFUNCTION("""COMPUTED_VALUE"""),"")</f>
        <v/>
      </c>
      <c r="G322" s="472" t="str">
        <f ca="1">IFERROR(__xludf.DUMMYFUNCTION("""COMPUTED_VALUE"""),"")</f>
        <v/>
      </c>
      <c r="H322" s="472" t="str">
        <f ca="1">IFERROR(__xludf.DUMMYFUNCTION("""COMPUTED_VALUE"""),"")</f>
        <v/>
      </c>
      <c r="I322" s="472" t="str">
        <f ca="1">IFERROR(__xludf.DUMMYFUNCTION("""COMPUTED_VALUE"""),"")</f>
        <v/>
      </c>
      <c r="J322" s="472" t="str">
        <f ca="1">IFERROR(__xludf.DUMMYFUNCTION("""COMPUTED_VALUE"""),"")</f>
        <v/>
      </c>
    </row>
    <row r="323" spans="1:10" ht="15.75">
      <c r="A323" s="472" t="str">
        <f ca="1">IFERROR(__xludf.DUMMYFUNCTION("""COMPUTED_VALUE"""),"")</f>
        <v/>
      </c>
      <c r="B323" s="472" t="str">
        <f ca="1">IFERROR(__xludf.DUMMYFUNCTION("""COMPUTED_VALUE"""),"")</f>
        <v/>
      </c>
      <c r="C323" s="472" t="str">
        <f ca="1">IFERROR(__xludf.DUMMYFUNCTION("""COMPUTED_VALUE"""),"")</f>
        <v/>
      </c>
      <c r="D323" s="472" t="str">
        <f ca="1">IFERROR(__xludf.DUMMYFUNCTION("""COMPUTED_VALUE"""),"")</f>
        <v/>
      </c>
      <c r="E323" s="472" t="str">
        <f ca="1">IFERROR(__xludf.DUMMYFUNCTION("""COMPUTED_VALUE"""),"")</f>
        <v/>
      </c>
      <c r="F323" s="472" t="str">
        <f ca="1">IFERROR(__xludf.DUMMYFUNCTION("""COMPUTED_VALUE"""),"")</f>
        <v/>
      </c>
      <c r="G323" s="472" t="str">
        <f ca="1">IFERROR(__xludf.DUMMYFUNCTION("""COMPUTED_VALUE"""),"")</f>
        <v/>
      </c>
      <c r="H323" s="472" t="str">
        <f ca="1">IFERROR(__xludf.DUMMYFUNCTION("""COMPUTED_VALUE"""),"")</f>
        <v/>
      </c>
      <c r="I323" s="472" t="str">
        <f ca="1">IFERROR(__xludf.DUMMYFUNCTION("""COMPUTED_VALUE"""),"")</f>
        <v/>
      </c>
      <c r="J323" s="472" t="str">
        <f ca="1">IFERROR(__xludf.DUMMYFUNCTION("""COMPUTED_VALUE"""),"")</f>
        <v/>
      </c>
    </row>
    <row r="324" spans="1:10" ht="15.75">
      <c r="A324" s="472" t="str">
        <f ca="1">IFERROR(__xludf.DUMMYFUNCTION("""COMPUTED_VALUE"""),"")</f>
        <v/>
      </c>
      <c r="B324" s="472" t="str">
        <f ca="1">IFERROR(__xludf.DUMMYFUNCTION("""COMPUTED_VALUE"""),"")</f>
        <v/>
      </c>
      <c r="C324" s="472" t="str">
        <f ca="1">IFERROR(__xludf.DUMMYFUNCTION("""COMPUTED_VALUE"""),"")</f>
        <v/>
      </c>
      <c r="D324" s="472" t="str">
        <f ca="1">IFERROR(__xludf.DUMMYFUNCTION("""COMPUTED_VALUE"""),"")</f>
        <v/>
      </c>
      <c r="E324" s="472" t="str">
        <f ca="1">IFERROR(__xludf.DUMMYFUNCTION("""COMPUTED_VALUE"""),"")</f>
        <v/>
      </c>
      <c r="F324" s="472" t="str">
        <f ca="1">IFERROR(__xludf.DUMMYFUNCTION("""COMPUTED_VALUE"""),"")</f>
        <v/>
      </c>
      <c r="G324" s="472" t="str">
        <f ca="1">IFERROR(__xludf.DUMMYFUNCTION("""COMPUTED_VALUE"""),"")</f>
        <v/>
      </c>
      <c r="H324" s="472" t="str">
        <f ca="1">IFERROR(__xludf.DUMMYFUNCTION("""COMPUTED_VALUE"""),"")</f>
        <v/>
      </c>
      <c r="I324" s="472" t="str">
        <f ca="1">IFERROR(__xludf.DUMMYFUNCTION("""COMPUTED_VALUE"""),"")</f>
        <v/>
      </c>
      <c r="J324" s="472" t="str">
        <f ca="1">IFERROR(__xludf.DUMMYFUNCTION("""COMPUTED_VALUE"""),"")</f>
        <v/>
      </c>
    </row>
    <row r="325" spans="1:10" ht="15.75">
      <c r="A325" s="472" t="str">
        <f ca="1">IFERROR(__xludf.DUMMYFUNCTION("""COMPUTED_VALUE"""),"")</f>
        <v/>
      </c>
      <c r="B325" s="472" t="str">
        <f ca="1">IFERROR(__xludf.DUMMYFUNCTION("""COMPUTED_VALUE"""),"")</f>
        <v/>
      </c>
      <c r="C325" s="472" t="str">
        <f ca="1">IFERROR(__xludf.DUMMYFUNCTION("""COMPUTED_VALUE"""),"")</f>
        <v/>
      </c>
      <c r="D325" s="472" t="str">
        <f ca="1">IFERROR(__xludf.DUMMYFUNCTION("""COMPUTED_VALUE"""),"")</f>
        <v/>
      </c>
      <c r="E325" s="472" t="str">
        <f ca="1">IFERROR(__xludf.DUMMYFUNCTION("""COMPUTED_VALUE"""),"")</f>
        <v/>
      </c>
      <c r="F325" s="472" t="str">
        <f ca="1">IFERROR(__xludf.DUMMYFUNCTION("""COMPUTED_VALUE"""),"")</f>
        <v/>
      </c>
      <c r="G325" s="472" t="str">
        <f ca="1">IFERROR(__xludf.DUMMYFUNCTION("""COMPUTED_VALUE"""),"")</f>
        <v/>
      </c>
      <c r="H325" s="472" t="str">
        <f ca="1">IFERROR(__xludf.DUMMYFUNCTION("""COMPUTED_VALUE"""),"")</f>
        <v/>
      </c>
      <c r="I325" s="472" t="str">
        <f ca="1">IFERROR(__xludf.DUMMYFUNCTION("""COMPUTED_VALUE"""),"")</f>
        <v/>
      </c>
      <c r="J325" s="472" t="str">
        <f ca="1">IFERROR(__xludf.DUMMYFUNCTION("""COMPUTED_VALUE"""),"")</f>
        <v/>
      </c>
    </row>
    <row r="326" spans="1:10" ht="15.75">
      <c r="A326" s="472" t="str">
        <f ca="1">IFERROR(__xludf.DUMMYFUNCTION("""COMPUTED_VALUE"""),"")</f>
        <v/>
      </c>
      <c r="B326" s="472" t="str">
        <f ca="1">IFERROR(__xludf.DUMMYFUNCTION("""COMPUTED_VALUE"""),"")</f>
        <v/>
      </c>
      <c r="C326" s="472" t="str">
        <f ca="1">IFERROR(__xludf.DUMMYFUNCTION("""COMPUTED_VALUE"""),"")</f>
        <v/>
      </c>
      <c r="D326" s="472" t="str">
        <f ca="1">IFERROR(__xludf.DUMMYFUNCTION("""COMPUTED_VALUE"""),"")</f>
        <v/>
      </c>
      <c r="E326" s="472" t="str">
        <f ca="1">IFERROR(__xludf.DUMMYFUNCTION("""COMPUTED_VALUE"""),"")</f>
        <v/>
      </c>
      <c r="F326" s="472" t="str">
        <f ca="1">IFERROR(__xludf.DUMMYFUNCTION("""COMPUTED_VALUE"""),"")</f>
        <v/>
      </c>
      <c r="G326" s="472" t="str">
        <f ca="1">IFERROR(__xludf.DUMMYFUNCTION("""COMPUTED_VALUE"""),"")</f>
        <v/>
      </c>
      <c r="H326" s="472" t="str">
        <f ca="1">IFERROR(__xludf.DUMMYFUNCTION("""COMPUTED_VALUE"""),"")</f>
        <v/>
      </c>
      <c r="I326" s="472" t="str">
        <f ca="1">IFERROR(__xludf.DUMMYFUNCTION("""COMPUTED_VALUE"""),"")</f>
        <v/>
      </c>
      <c r="J326" s="472" t="str">
        <f ca="1">IFERROR(__xludf.DUMMYFUNCTION("""COMPUTED_VALUE"""),"")</f>
        <v/>
      </c>
    </row>
    <row r="327" spans="1:10" ht="15.75">
      <c r="A327" s="472" t="str">
        <f ca="1">IFERROR(__xludf.DUMMYFUNCTION("""COMPUTED_VALUE"""),"")</f>
        <v/>
      </c>
      <c r="B327" s="472" t="str">
        <f ca="1">IFERROR(__xludf.DUMMYFUNCTION("""COMPUTED_VALUE"""),"")</f>
        <v/>
      </c>
      <c r="C327" s="472" t="str">
        <f ca="1">IFERROR(__xludf.DUMMYFUNCTION("""COMPUTED_VALUE"""),"")</f>
        <v/>
      </c>
      <c r="D327" s="472" t="str">
        <f ca="1">IFERROR(__xludf.DUMMYFUNCTION("""COMPUTED_VALUE"""),"")</f>
        <v/>
      </c>
      <c r="E327" s="472" t="str">
        <f ca="1">IFERROR(__xludf.DUMMYFUNCTION("""COMPUTED_VALUE"""),"")</f>
        <v/>
      </c>
      <c r="F327" s="472" t="str">
        <f ca="1">IFERROR(__xludf.DUMMYFUNCTION("""COMPUTED_VALUE"""),"")</f>
        <v/>
      </c>
      <c r="G327" s="472" t="str">
        <f ca="1">IFERROR(__xludf.DUMMYFUNCTION("""COMPUTED_VALUE"""),"")</f>
        <v/>
      </c>
      <c r="H327" s="472" t="str">
        <f ca="1">IFERROR(__xludf.DUMMYFUNCTION("""COMPUTED_VALUE"""),"")</f>
        <v/>
      </c>
      <c r="I327" s="472" t="str">
        <f ca="1">IFERROR(__xludf.DUMMYFUNCTION("""COMPUTED_VALUE"""),"")</f>
        <v/>
      </c>
      <c r="J327" s="472" t="str">
        <f ca="1">IFERROR(__xludf.DUMMYFUNCTION("""COMPUTED_VALUE"""),"")</f>
        <v/>
      </c>
    </row>
    <row r="328" spans="1:10" ht="15.75">
      <c r="A328" s="472" t="str">
        <f ca="1">IFERROR(__xludf.DUMMYFUNCTION("""COMPUTED_VALUE"""),"")</f>
        <v/>
      </c>
      <c r="B328" s="472" t="str">
        <f ca="1">IFERROR(__xludf.DUMMYFUNCTION("""COMPUTED_VALUE"""),"")</f>
        <v/>
      </c>
      <c r="C328" s="472" t="str">
        <f ca="1">IFERROR(__xludf.DUMMYFUNCTION("""COMPUTED_VALUE"""),"")</f>
        <v/>
      </c>
      <c r="D328" s="472" t="str">
        <f ca="1">IFERROR(__xludf.DUMMYFUNCTION("""COMPUTED_VALUE"""),"")</f>
        <v/>
      </c>
      <c r="E328" s="472" t="str">
        <f ca="1">IFERROR(__xludf.DUMMYFUNCTION("""COMPUTED_VALUE"""),"")</f>
        <v/>
      </c>
      <c r="F328" s="472" t="str">
        <f ca="1">IFERROR(__xludf.DUMMYFUNCTION("""COMPUTED_VALUE"""),"")</f>
        <v/>
      </c>
      <c r="G328" s="472" t="str">
        <f ca="1">IFERROR(__xludf.DUMMYFUNCTION("""COMPUTED_VALUE"""),"")</f>
        <v/>
      </c>
      <c r="H328" s="472" t="str">
        <f ca="1">IFERROR(__xludf.DUMMYFUNCTION("""COMPUTED_VALUE"""),"")</f>
        <v/>
      </c>
      <c r="I328" s="472" t="str">
        <f ca="1">IFERROR(__xludf.DUMMYFUNCTION("""COMPUTED_VALUE"""),"")</f>
        <v/>
      </c>
      <c r="J328" s="472" t="str">
        <f ca="1">IFERROR(__xludf.DUMMYFUNCTION("""COMPUTED_VALUE"""),"")</f>
        <v/>
      </c>
    </row>
    <row r="329" spans="1:10" ht="15.75">
      <c r="A329" s="472" t="str">
        <f ca="1">IFERROR(__xludf.DUMMYFUNCTION("""COMPUTED_VALUE"""),"")</f>
        <v/>
      </c>
      <c r="B329" s="472" t="str">
        <f ca="1">IFERROR(__xludf.DUMMYFUNCTION("""COMPUTED_VALUE"""),"")</f>
        <v/>
      </c>
      <c r="C329" s="472" t="str">
        <f ca="1">IFERROR(__xludf.DUMMYFUNCTION("""COMPUTED_VALUE"""),"")</f>
        <v/>
      </c>
      <c r="D329" s="472" t="str">
        <f ca="1">IFERROR(__xludf.DUMMYFUNCTION("""COMPUTED_VALUE"""),"")</f>
        <v/>
      </c>
      <c r="E329" s="472" t="str">
        <f ca="1">IFERROR(__xludf.DUMMYFUNCTION("""COMPUTED_VALUE"""),"")</f>
        <v/>
      </c>
      <c r="F329" s="472" t="str">
        <f ca="1">IFERROR(__xludf.DUMMYFUNCTION("""COMPUTED_VALUE"""),"")</f>
        <v/>
      </c>
      <c r="G329" s="472" t="str">
        <f ca="1">IFERROR(__xludf.DUMMYFUNCTION("""COMPUTED_VALUE"""),"")</f>
        <v/>
      </c>
      <c r="H329" s="472" t="str">
        <f ca="1">IFERROR(__xludf.DUMMYFUNCTION("""COMPUTED_VALUE"""),"")</f>
        <v/>
      </c>
      <c r="I329" s="472" t="str">
        <f ca="1">IFERROR(__xludf.DUMMYFUNCTION("""COMPUTED_VALUE"""),"")</f>
        <v/>
      </c>
      <c r="J329" s="472" t="str">
        <f ca="1">IFERROR(__xludf.DUMMYFUNCTION("""COMPUTED_VALUE"""),"")</f>
        <v/>
      </c>
    </row>
    <row r="330" spans="1:10" ht="15.75">
      <c r="A330" s="472" t="str">
        <f ca="1">IFERROR(__xludf.DUMMYFUNCTION("""COMPUTED_VALUE"""),"")</f>
        <v/>
      </c>
      <c r="B330" s="472" t="str">
        <f ca="1">IFERROR(__xludf.DUMMYFUNCTION("""COMPUTED_VALUE"""),"")</f>
        <v/>
      </c>
      <c r="C330" s="472" t="str">
        <f ca="1">IFERROR(__xludf.DUMMYFUNCTION("""COMPUTED_VALUE"""),"")</f>
        <v/>
      </c>
      <c r="D330" s="472" t="str">
        <f ca="1">IFERROR(__xludf.DUMMYFUNCTION("""COMPUTED_VALUE"""),"")</f>
        <v/>
      </c>
      <c r="E330" s="472" t="str">
        <f ca="1">IFERROR(__xludf.DUMMYFUNCTION("""COMPUTED_VALUE"""),"")</f>
        <v/>
      </c>
      <c r="F330" s="472" t="str">
        <f ca="1">IFERROR(__xludf.DUMMYFUNCTION("""COMPUTED_VALUE"""),"")</f>
        <v/>
      </c>
      <c r="G330" s="472" t="str">
        <f ca="1">IFERROR(__xludf.DUMMYFUNCTION("""COMPUTED_VALUE"""),"")</f>
        <v/>
      </c>
      <c r="H330" s="472" t="str">
        <f ca="1">IFERROR(__xludf.DUMMYFUNCTION("""COMPUTED_VALUE"""),"")</f>
        <v/>
      </c>
      <c r="I330" s="472" t="str">
        <f ca="1">IFERROR(__xludf.DUMMYFUNCTION("""COMPUTED_VALUE"""),"")</f>
        <v/>
      </c>
      <c r="J330" s="472" t="str">
        <f ca="1">IFERROR(__xludf.DUMMYFUNCTION("""COMPUTED_VALUE"""),"")</f>
        <v/>
      </c>
    </row>
    <row r="331" spans="1:10" ht="15.75">
      <c r="A331" s="472" t="str">
        <f ca="1">IFERROR(__xludf.DUMMYFUNCTION("""COMPUTED_VALUE"""),"")</f>
        <v/>
      </c>
      <c r="B331" s="472" t="str">
        <f ca="1">IFERROR(__xludf.DUMMYFUNCTION("""COMPUTED_VALUE"""),"")</f>
        <v/>
      </c>
      <c r="C331" s="472" t="str">
        <f ca="1">IFERROR(__xludf.DUMMYFUNCTION("""COMPUTED_VALUE"""),"")</f>
        <v/>
      </c>
      <c r="D331" s="472" t="str">
        <f ca="1">IFERROR(__xludf.DUMMYFUNCTION("""COMPUTED_VALUE"""),"")</f>
        <v/>
      </c>
      <c r="E331" s="472" t="str">
        <f ca="1">IFERROR(__xludf.DUMMYFUNCTION("""COMPUTED_VALUE"""),"")</f>
        <v/>
      </c>
      <c r="F331" s="472" t="str">
        <f ca="1">IFERROR(__xludf.DUMMYFUNCTION("""COMPUTED_VALUE"""),"")</f>
        <v/>
      </c>
      <c r="G331" s="472" t="str">
        <f ca="1">IFERROR(__xludf.DUMMYFUNCTION("""COMPUTED_VALUE"""),"")</f>
        <v/>
      </c>
      <c r="H331" s="472" t="str">
        <f ca="1">IFERROR(__xludf.DUMMYFUNCTION("""COMPUTED_VALUE"""),"")</f>
        <v/>
      </c>
      <c r="I331" s="472" t="str">
        <f ca="1">IFERROR(__xludf.DUMMYFUNCTION("""COMPUTED_VALUE"""),"")</f>
        <v/>
      </c>
      <c r="J331" s="472" t="str">
        <f ca="1">IFERROR(__xludf.DUMMYFUNCTION("""COMPUTED_VALUE"""),"")</f>
        <v/>
      </c>
    </row>
    <row r="332" spans="1:10" ht="15.75">
      <c r="A332" s="472" t="str">
        <f ca="1">IFERROR(__xludf.DUMMYFUNCTION("""COMPUTED_VALUE"""),"")</f>
        <v/>
      </c>
      <c r="B332" s="472" t="str">
        <f ca="1">IFERROR(__xludf.DUMMYFUNCTION("""COMPUTED_VALUE"""),"")</f>
        <v/>
      </c>
      <c r="C332" s="472" t="str">
        <f ca="1">IFERROR(__xludf.DUMMYFUNCTION("""COMPUTED_VALUE"""),"")</f>
        <v/>
      </c>
      <c r="D332" s="472" t="str">
        <f ca="1">IFERROR(__xludf.DUMMYFUNCTION("""COMPUTED_VALUE"""),"")</f>
        <v/>
      </c>
      <c r="E332" s="472" t="str">
        <f ca="1">IFERROR(__xludf.DUMMYFUNCTION("""COMPUTED_VALUE"""),"")</f>
        <v/>
      </c>
      <c r="F332" s="472" t="str">
        <f ca="1">IFERROR(__xludf.DUMMYFUNCTION("""COMPUTED_VALUE"""),"")</f>
        <v/>
      </c>
      <c r="G332" s="472" t="str">
        <f ca="1">IFERROR(__xludf.DUMMYFUNCTION("""COMPUTED_VALUE"""),"")</f>
        <v/>
      </c>
      <c r="H332" s="472" t="str">
        <f ca="1">IFERROR(__xludf.DUMMYFUNCTION("""COMPUTED_VALUE"""),"")</f>
        <v/>
      </c>
      <c r="I332" s="472" t="str">
        <f ca="1">IFERROR(__xludf.DUMMYFUNCTION("""COMPUTED_VALUE"""),"")</f>
        <v/>
      </c>
      <c r="J332" s="472" t="str">
        <f ca="1">IFERROR(__xludf.DUMMYFUNCTION("""COMPUTED_VALUE"""),"")</f>
        <v/>
      </c>
    </row>
    <row r="333" spans="1:10" ht="15.75">
      <c r="A333" s="472" t="str">
        <f ca="1">IFERROR(__xludf.DUMMYFUNCTION("""COMPUTED_VALUE"""),"")</f>
        <v/>
      </c>
      <c r="B333" s="472" t="str">
        <f ca="1">IFERROR(__xludf.DUMMYFUNCTION("""COMPUTED_VALUE"""),"")</f>
        <v/>
      </c>
      <c r="C333" s="472" t="str">
        <f ca="1">IFERROR(__xludf.DUMMYFUNCTION("""COMPUTED_VALUE"""),"")</f>
        <v/>
      </c>
      <c r="D333" s="472" t="str">
        <f ca="1">IFERROR(__xludf.DUMMYFUNCTION("""COMPUTED_VALUE"""),"")</f>
        <v/>
      </c>
      <c r="E333" s="472" t="str">
        <f ca="1">IFERROR(__xludf.DUMMYFUNCTION("""COMPUTED_VALUE"""),"")</f>
        <v/>
      </c>
      <c r="F333" s="472" t="str">
        <f ca="1">IFERROR(__xludf.DUMMYFUNCTION("""COMPUTED_VALUE"""),"")</f>
        <v/>
      </c>
      <c r="G333" s="472" t="str">
        <f ca="1">IFERROR(__xludf.DUMMYFUNCTION("""COMPUTED_VALUE"""),"")</f>
        <v/>
      </c>
      <c r="H333" s="472" t="str">
        <f ca="1">IFERROR(__xludf.DUMMYFUNCTION("""COMPUTED_VALUE"""),"")</f>
        <v/>
      </c>
      <c r="I333" s="472" t="str">
        <f ca="1">IFERROR(__xludf.DUMMYFUNCTION("""COMPUTED_VALUE"""),"")</f>
        <v/>
      </c>
      <c r="J333" s="472" t="str">
        <f ca="1">IFERROR(__xludf.DUMMYFUNCTION("""COMPUTED_VALUE"""),"")</f>
        <v/>
      </c>
    </row>
    <row r="334" spans="1:10" ht="15.75">
      <c r="A334" s="472" t="str">
        <f ca="1">IFERROR(__xludf.DUMMYFUNCTION("""COMPUTED_VALUE"""),"")</f>
        <v/>
      </c>
      <c r="B334" s="472" t="str">
        <f ca="1">IFERROR(__xludf.DUMMYFUNCTION("""COMPUTED_VALUE"""),"")</f>
        <v/>
      </c>
      <c r="C334" s="472" t="str">
        <f ca="1">IFERROR(__xludf.DUMMYFUNCTION("""COMPUTED_VALUE"""),"")</f>
        <v/>
      </c>
      <c r="D334" s="472" t="str">
        <f ca="1">IFERROR(__xludf.DUMMYFUNCTION("""COMPUTED_VALUE"""),"")</f>
        <v/>
      </c>
      <c r="E334" s="472" t="str">
        <f ca="1">IFERROR(__xludf.DUMMYFUNCTION("""COMPUTED_VALUE"""),"")</f>
        <v/>
      </c>
      <c r="F334" s="472" t="str">
        <f ca="1">IFERROR(__xludf.DUMMYFUNCTION("""COMPUTED_VALUE"""),"")</f>
        <v/>
      </c>
      <c r="G334" s="472" t="str">
        <f ca="1">IFERROR(__xludf.DUMMYFUNCTION("""COMPUTED_VALUE"""),"")</f>
        <v/>
      </c>
      <c r="H334" s="472" t="str">
        <f ca="1">IFERROR(__xludf.DUMMYFUNCTION("""COMPUTED_VALUE"""),"")</f>
        <v/>
      </c>
      <c r="I334" s="472" t="str">
        <f ca="1">IFERROR(__xludf.DUMMYFUNCTION("""COMPUTED_VALUE"""),"")</f>
        <v/>
      </c>
      <c r="J334" s="472" t="str">
        <f ca="1">IFERROR(__xludf.DUMMYFUNCTION("""COMPUTED_VALUE"""),"")</f>
        <v/>
      </c>
    </row>
    <row r="335" spans="1:10" ht="15.75">
      <c r="A335" s="472" t="str">
        <f ca="1">IFERROR(__xludf.DUMMYFUNCTION("""COMPUTED_VALUE"""),"")</f>
        <v/>
      </c>
      <c r="B335" s="472" t="str">
        <f ca="1">IFERROR(__xludf.DUMMYFUNCTION("""COMPUTED_VALUE"""),"")</f>
        <v/>
      </c>
      <c r="C335" s="472" t="str">
        <f ca="1">IFERROR(__xludf.DUMMYFUNCTION("""COMPUTED_VALUE"""),"")</f>
        <v/>
      </c>
      <c r="D335" s="472" t="str">
        <f ca="1">IFERROR(__xludf.DUMMYFUNCTION("""COMPUTED_VALUE"""),"")</f>
        <v/>
      </c>
      <c r="E335" s="472" t="str">
        <f ca="1">IFERROR(__xludf.DUMMYFUNCTION("""COMPUTED_VALUE"""),"")</f>
        <v/>
      </c>
      <c r="F335" s="472" t="str">
        <f ca="1">IFERROR(__xludf.DUMMYFUNCTION("""COMPUTED_VALUE"""),"")</f>
        <v/>
      </c>
      <c r="G335" s="472" t="str">
        <f ca="1">IFERROR(__xludf.DUMMYFUNCTION("""COMPUTED_VALUE"""),"")</f>
        <v/>
      </c>
      <c r="H335" s="472" t="str">
        <f ca="1">IFERROR(__xludf.DUMMYFUNCTION("""COMPUTED_VALUE"""),"")</f>
        <v/>
      </c>
      <c r="I335" s="472" t="str">
        <f ca="1">IFERROR(__xludf.DUMMYFUNCTION("""COMPUTED_VALUE"""),"")</f>
        <v/>
      </c>
      <c r="J335" s="472" t="str">
        <f ca="1">IFERROR(__xludf.DUMMYFUNCTION("""COMPUTED_VALUE"""),"")</f>
        <v/>
      </c>
    </row>
    <row r="336" spans="1:10" ht="15.75">
      <c r="A336" s="472" t="str">
        <f ca="1">IFERROR(__xludf.DUMMYFUNCTION("""COMPUTED_VALUE"""),"")</f>
        <v/>
      </c>
      <c r="B336" s="472" t="str">
        <f ca="1">IFERROR(__xludf.DUMMYFUNCTION("""COMPUTED_VALUE"""),"")</f>
        <v/>
      </c>
      <c r="C336" s="472" t="str">
        <f ca="1">IFERROR(__xludf.DUMMYFUNCTION("""COMPUTED_VALUE"""),"")</f>
        <v/>
      </c>
      <c r="D336" s="472" t="str">
        <f ca="1">IFERROR(__xludf.DUMMYFUNCTION("""COMPUTED_VALUE"""),"")</f>
        <v/>
      </c>
      <c r="E336" s="472" t="str">
        <f ca="1">IFERROR(__xludf.DUMMYFUNCTION("""COMPUTED_VALUE"""),"")</f>
        <v/>
      </c>
      <c r="F336" s="472" t="str">
        <f ca="1">IFERROR(__xludf.DUMMYFUNCTION("""COMPUTED_VALUE"""),"")</f>
        <v/>
      </c>
      <c r="G336" s="472" t="str">
        <f ca="1">IFERROR(__xludf.DUMMYFUNCTION("""COMPUTED_VALUE"""),"")</f>
        <v/>
      </c>
      <c r="H336" s="472" t="str">
        <f ca="1">IFERROR(__xludf.DUMMYFUNCTION("""COMPUTED_VALUE"""),"")</f>
        <v/>
      </c>
      <c r="I336" s="472" t="str">
        <f ca="1">IFERROR(__xludf.DUMMYFUNCTION("""COMPUTED_VALUE"""),"")</f>
        <v/>
      </c>
      <c r="J336" s="472" t="str">
        <f ca="1">IFERROR(__xludf.DUMMYFUNCTION("""COMPUTED_VALUE"""),"")</f>
        <v/>
      </c>
    </row>
    <row r="337" spans="1:10" ht="15.75">
      <c r="A337" s="472" t="str">
        <f ca="1">IFERROR(__xludf.DUMMYFUNCTION("""COMPUTED_VALUE"""),"")</f>
        <v/>
      </c>
      <c r="B337" s="472" t="str">
        <f ca="1">IFERROR(__xludf.DUMMYFUNCTION("""COMPUTED_VALUE"""),"")</f>
        <v/>
      </c>
      <c r="C337" s="472" t="str">
        <f ca="1">IFERROR(__xludf.DUMMYFUNCTION("""COMPUTED_VALUE"""),"")</f>
        <v/>
      </c>
      <c r="D337" s="472" t="str">
        <f ca="1">IFERROR(__xludf.DUMMYFUNCTION("""COMPUTED_VALUE"""),"")</f>
        <v/>
      </c>
      <c r="E337" s="472" t="str">
        <f ca="1">IFERROR(__xludf.DUMMYFUNCTION("""COMPUTED_VALUE"""),"")</f>
        <v/>
      </c>
      <c r="F337" s="472" t="str">
        <f ca="1">IFERROR(__xludf.DUMMYFUNCTION("""COMPUTED_VALUE"""),"")</f>
        <v/>
      </c>
      <c r="G337" s="472" t="str">
        <f ca="1">IFERROR(__xludf.DUMMYFUNCTION("""COMPUTED_VALUE"""),"")</f>
        <v/>
      </c>
      <c r="H337" s="472" t="str">
        <f ca="1">IFERROR(__xludf.DUMMYFUNCTION("""COMPUTED_VALUE"""),"")</f>
        <v/>
      </c>
      <c r="I337" s="472" t="str">
        <f ca="1">IFERROR(__xludf.DUMMYFUNCTION("""COMPUTED_VALUE"""),"")</f>
        <v/>
      </c>
      <c r="J337" s="472" t="str">
        <f ca="1">IFERROR(__xludf.DUMMYFUNCTION("""COMPUTED_VALUE"""),"")</f>
        <v/>
      </c>
    </row>
    <row r="338" spans="1:10" ht="15.75">
      <c r="A338" s="472" t="str">
        <f ca="1">IFERROR(__xludf.DUMMYFUNCTION("""COMPUTED_VALUE"""),"")</f>
        <v/>
      </c>
      <c r="B338" s="472" t="str">
        <f ca="1">IFERROR(__xludf.DUMMYFUNCTION("""COMPUTED_VALUE"""),"")</f>
        <v/>
      </c>
      <c r="C338" s="472" t="str">
        <f ca="1">IFERROR(__xludf.DUMMYFUNCTION("""COMPUTED_VALUE"""),"")</f>
        <v/>
      </c>
      <c r="D338" s="472" t="str">
        <f ca="1">IFERROR(__xludf.DUMMYFUNCTION("""COMPUTED_VALUE"""),"")</f>
        <v/>
      </c>
      <c r="E338" s="472" t="str">
        <f ca="1">IFERROR(__xludf.DUMMYFUNCTION("""COMPUTED_VALUE"""),"")</f>
        <v/>
      </c>
      <c r="F338" s="472" t="str">
        <f ca="1">IFERROR(__xludf.DUMMYFUNCTION("""COMPUTED_VALUE"""),"")</f>
        <v/>
      </c>
      <c r="G338" s="472" t="str">
        <f ca="1">IFERROR(__xludf.DUMMYFUNCTION("""COMPUTED_VALUE"""),"")</f>
        <v/>
      </c>
      <c r="H338" s="472" t="str">
        <f ca="1">IFERROR(__xludf.DUMMYFUNCTION("""COMPUTED_VALUE"""),"")</f>
        <v/>
      </c>
      <c r="I338" s="472" t="str">
        <f ca="1">IFERROR(__xludf.DUMMYFUNCTION("""COMPUTED_VALUE"""),"")</f>
        <v/>
      </c>
      <c r="J338" s="472" t="str">
        <f ca="1">IFERROR(__xludf.DUMMYFUNCTION("""COMPUTED_VALUE"""),"")</f>
        <v/>
      </c>
    </row>
    <row r="339" spans="1:10" ht="15.75">
      <c r="A339" s="472" t="str">
        <f ca="1">IFERROR(__xludf.DUMMYFUNCTION("""COMPUTED_VALUE"""),"")</f>
        <v/>
      </c>
      <c r="B339" s="472" t="str">
        <f ca="1">IFERROR(__xludf.DUMMYFUNCTION("""COMPUTED_VALUE"""),"")</f>
        <v/>
      </c>
      <c r="C339" s="472" t="str">
        <f ca="1">IFERROR(__xludf.DUMMYFUNCTION("""COMPUTED_VALUE"""),"")</f>
        <v/>
      </c>
      <c r="D339" s="472" t="str">
        <f ca="1">IFERROR(__xludf.DUMMYFUNCTION("""COMPUTED_VALUE"""),"")</f>
        <v/>
      </c>
      <c r="E339" s="472" t="str">
        <f ca="1">IFERROR(__xludf.DUMMYFUNCTION("""COMPUTED_VALUE"""),"")</f>
        <v/>
      </c>
      <c r="F339" s="472" t="str">
        <f ca="1">IFERROR(__xludf.DUMMYFUNCTION("""COMPUTED_VALUE"""),"")</f>
        <v/>
      </c>
      <c r="G339" s="472" t="str">
        <f ca="1">IFERROR(__xludf.DUMMYFUNCTION("""COMPUTED_VALUE"""),"")</f>
        <v/>
      </c>
      <c r="H339" s="472" t="str">
        <f ca="1">IFERROR(__xludf.DUMMYFUNCTION("""COMPUTED_VALUE"""),"")</f>
        <v/>
      </c>
      <c r="I339" s="472" t="str">
        <f ca="1">IFERROR(__xludf.DUMMYFUNCTION("""COMPUTED_VALUE"""),"")</f>
        <v/>
      </c>
      <c r="J339" s="472" t="str">
        <f ca="1">IFERROR(__xludf.DUMMYFUNCTION("""COMPUTED_VALUE"""),"")</f>
        <v/>
      </c>
    </row>
    <row r="340" spans="1:10" ht="15.75">
      <c r="A340" s="472" t="str">
        <f ca="1">IFERROR(__xludf.DUMMYFUNCTION("""COMPUTED_VALUE"""),"")</f>
        <v/>
      </c>
      <c r="B340" s="472" t="str">
        <f ca="1">IFERROR(__xludf.DUMMYFUNCTION("""COMPUTED_VALUE"""),"")</f>
        <v/>
      </c>
      <c r="C340" s="472" t="str">
        <f ca="1">IFERROR(__xludf.DUMMYFUNCTION("""COMPUTED_VALUE"""),"")</f>
        <v/>
      </c>
      <c r="D340" s="472" t="str">
        <f ca="1">IFERROR(__xludf.DUMMYFUNCTION("""COMPUTED_VALUE"""),"")</f>
        <v/>
      </c>
      <c r="E340" s="472" t="str">
        <f ca="1">IFERROR(__xludf.DUMMYFUNCTION("""COMPUTED_VALUE"""),"")</f>
        <v/>
      </c>
      <c r="F340" s="472" t="str">
        <f ca="1">IFERROR(__xludf.DUMMYFUNCTION("""COMPUTED_VALUE"""),"")</f>
        <v/>
      </c>
      <c r="G340" s="472" t="str">
        <f ca="1">IFERROR(__xludf.DUMMYFUNCTION("""COMPUTED_VALUE"""),"")</f>
        <v/>
      </c>
      <c r="H340" s="472" t="str">
        <f ca="1">IFERROR(__xludf.DUMMYFUNCTION("""COMPUTED_VALUE"""),"")</f>
        <v/>
      </c>
      <c r="I340" s="472" t="str">
        <f ca="1">IFERROR(__xludf.DUMMYFUNCTION("""COMPUTED_VALUE"""),"")</f>
        <v/>
      </c>
      <c r="J340" s="472" t="str">
        <f ca="1">IFERROR(__xludf.DUMMYFUNCTION("""COMPUTED_VALUE"""),"")</f>
        <v/>
      </c>
    </row>
    <row r="341" spans="1:10" ht="15.75">
      <c r="A341" s="472" t="str">
        <f ca="1">IFERROR(__xludf.DUMMYFUNCTION("""COMPUTED_VALUE"""),"")</f>
        <v/>
      </c>
      <c r="B341" s="472" t="str">
        <f ca="1">IFERROR(__xludf.DUMMYFUNCTION("""COMPUTED_VALUE"""),"")</f>
        <v/>
      </c>
      <c r="C341" s="472" t="str">
        <f ca="1">IFERROR(__xludf.DUMMYFUNCTION("""COMPUTED_VALUE"""),"")</f>
        <v/>
      </c>
      <c r="D341" s="472" t="str">
        <f ca="1">IFERROR(__xludf.DUMMYFUNCTION("""COMPUTED_VALUE"""),"")</f>
        <v/>
      </c>
      <c r="E341" s="472" t="str">
        <f ca="1">IFERROR(__xludf.DUMMYFUNCTION("""COMPUTED_VALUE"""),"")</f>
        <v/>
      </c>
      <c r="F341" s="472" t="str">
        <f ca="1">IFERROR(__xludf.DUMMYFUNCTION("""COMPUTED_VALUE"""),"")</f>
        <v/>
      </c>
      <c r="G341" s="472" t="str">
        <f ca="1">IFERROR(__xludf.DUMMYFUNCTION("""COMPUTED_VALUE"""),"")</f>
        <v/>
      </c>
      <c r="H341" s="472" t="str">
        <f ca="1">IFERROR(__xludf.DUMMYFUNCTION("""COMPUTED_VALUE"""),"")</f>
        <v/>
      </c>
      <c r="I341" s="472" t="str">
        <f ca="1">IFERROR(__xludf.DUMMYFUNCTION("""COMPUTED_VALUE"""),"")</f>
        <v/>
      </c>
      <c r="J341" s="472" t="str">
        <f ca="1">IFERROR(__xludf.DUMMYFUNCTION("""COMPUTED_VALUE"""),"")</f>
        <v/>
      </c>
    </row>
    <row r="342" spans="1:10" ht="15.75">
      <c r="A342" s="472" t="str">
        <f ca="1">IFERROR(__xludf.DUMMYFUNCTION("""COMPUTED_VALUE"""),"")</f>
        <v/>
      </c>
      <c r="B342" s="472" t="str">
        <f ca="1">IFERROR(__xludf.DUMMYFUNCTION("""COMPUTED_VALUE"""),"")</f>
        <v/>
      </c>
      <c r="C342" s="472" t="str">
        <f ca="1">IFERROR(__xludf.DUMMYFUNCTION("""COMPUTED_VALUE"""),"")</f>
        <v/>
      </c>
      <c r="D342" s="472" t="str">
        <f ca="1">IFERROR(__xludf.DUMMYFUNCTION("""COMPUTED_VALUE"""),"")</f>
        <v/>
      </c>
      <c r="E342" s="472" t="str">
        <f ca="1">IFERROR(__xludf.DUMMYFUNCTION("""COMPUTED_VALUE"""),"")</f>
        <v/>
      </c>
      <c r="F342" s="472" t="str">
        <f ca="1">IFERROR(__xludf.DUMMYFUNCTION("""COMPUTED_VALUE"""),"")</f>
        <v/>
      </c>
      <c r="G342" s="472" t="str">
        <f ca="1">IFERROR(__xludf.DUMMYFUNCTION("""COMPUTED_VALUE"""),"")</f>
        <v/>
      </c>
      <c r="H342" s="472" t="str">
        <f ca="1">IFERROR(__xludf.DUMMYFUNCTION("""COMPUTED_VALUE"""),"")</f>
        <v/>
      </c>
      <c r="I342" s="472" t="str">
        <f ca="1">IFERROR(__xludf.DUMMYFUNCTION("""COMPUTED_VALUE"""),"")</f>
        <v/>
      </c>
      <c r="J342" s="472" t="str">
        <f ca="1">IFERROR(__xludf.DUMMYFUNCTION("""COMPUTED_VALUE"""),"")</f>
        <v/>
      </c>
    </row>
    <row r="343" spans="1:10" ht="15.75">
      <c r="A343" s="472" t="str">
        <f ca="1">IFERROR(__xludf.DUMMYFUNCTION("""COMPUTED_VALUE"""),"")</f>
        <v/>
      </c>
      <c r="B343" s="472" t="str">
        <f ca="1">IFERROR(__xludf.DUMMYFUNCTION("""COMPUTED_VALUE"""),"")</f>
        <v/>
      </c>
      <c r="C343" s="472" t="str">
        <f ca="1">IFERROR(__xludf.DUMMYFUNCTION("""COMPUTED_VALUE"""),"")</f>
        <v/>
      </c>
      <c r="D343" s="472" t="str">
        <f ca="1">IFERROR(__xludf.DUMMYFUNCTION("""COMPUTED_VALUE"""),"")</f>
        <v/>
      </c>
      <c r="E343" s="472" t="str">
        <f ca="1">IFERROR(__xludf.DUMMYFUNCTION("""COMPUTED_VALUE"""),"")</f>
        <v/>
      </c>
      <c r="F343" s="472" t="str">
        <f ca="1">IFERROR(__xludf.DUMMYFUNCTION("""COMPUTED_VALUE"""),"")</f>
        <v/>
      </c>
      <c r="G343" s="472" t="str">
        <f ca="1">IFERROR(__xludf.DUMMYFUNCTION("""COMPUTED_VALUE"""),"")</f>
        <v/>
      </c>
      <c r="H343" s="472" t="str">
        <f ca="1">IFERROR(__xludf.DUMMYFUNCTION("""COMPUTED_VALUE"""),"")</f>
        <v/>
      </c>
      <c r="I343" s="472" t="str">
        <f ca="1">IFERROR(__xludf.DUMMYFUNCTION("""COMPUTED_VALUE"""),"")</f>
        <v/>
      </c>
      <c r="J343" s="472" t="str">
        <f ca="1">IFERROR(__xludf.DUMMYFUNCTION("""COMPUTED_VALUE"""),"")</f>
        <v/>
      </c>
    </row>
    <row r="344" spans="1:10" ht="15.75">
      <c r="A344" s="472" t="str">
        <f ca="1">IFERROR(__xludf.DUMMYFUNCTION("""COMPUTED_VALUE"""),"")</f>
        <v/>
      </c>
      <c r="B344" s="472" t="str">
        <f ca="1">IFERROR(__xludf.DUMMYFUNCTION("""COMPUTED_VALUE"""),"")</f>
        <v/>
      </c>
      <c r="C344" s="472" t="str">
        <f ca="1">IFERROR(__xludf.DUMMYFUNCTION("""COMPUTED_VALUE"""),"")</f>
        <v/>
      </c>
      <c r="D344" s="472" t="str">
        <f ca="1">IFERROR(__xludf.DUMMYFUNCTION("""COMPUTED_VALUE"""),"")</f>
        <v/>
      </c>
      <c r="E344" s="472" t="str">
        <f ca="1">IFERROR(__xludf.DUMMYFUNCTION("""COMPUTED_VALUE"""),"")</f>
        <v/>
      </c>
      <c r="F344" s="472" t="str">
        <f ca="1">IFERROR(__xludf.DUMMYFUNCTION("""COMPUTED_VALUE"""),"")</f>
        <v/>
      </c>
      <c r="G344" s="472" t="str">
        <f ca="1">IFERROR(__xludf.DUMMYFUNCTION("""COMPUTED_VALUE"""),"")</f>
        <v/>
      </c>
      <c r="H344" s="472" t="str">
        <f ca="1">IFERROR(__xludf.DUMMYFUNCTION("""COMPUTED_VALUE"""),"")</f>
        <v/>
      </c>
      <c r="I344" s="472" t="str">
        <f ca="1">IFERROR(__xludf.DUMMYFUNCTION("""COMPUTED_VALUE"""),"")</f>
        <v/>
      </c>
      <c r="J344" s="472" t="str">
        <f ca="1">IFERROR(__xludf.DUMMYFUNCTION("""COMPUTED_VALUE"""),"")</f>
        <v/>
      </c>
    </row>
    <row r="345" spans="1:10" ht="15.75">
      <c r="A345" s="472" t="str">
        <f ca="1">IFERROR(__xludf.DUMMYFUNCTION("""COMPUTED_VALUE"""),"")</f>
        <v/>
      </c>
      <c r="B345" s="472" t="str">
        <f ca="1">IFERROR(__xludf.DUMMYFUNCTION("""COMPUTED_VALUE"""),"")</f>
        <v/>
      </c>
      <c r="C345" s="472" t="str">
        <f ca="1">IFERROR(__xludf.DUMMYFUNCTION("""COMPUTED_VALUE"""),"")</f>
        <v/>
      </c>
      <c r="D345" s="472" t="str">
        <f ca="1">IFERROR(__xludf.DUMMYFUNCTION("""COMPUTED_VALUE"""),"")</f>
        <v/>
      </c>
      <c r="E345" s="472" t="str">
        <f ca="1">IFERROR(__xludf.DUMMYFUNCTION("""COMPUTED_VALUE"""),"")</f>
        <v/>
      </c>
      <c r="F345" s="472" t="str">
        <f ca="1">IFERROR(__xludf.DUMMYFUNCTION("""COMPUTED_VALUE"""),"")</f>
        <v/>
      </c>
      <c r="G345" s="472" t="str">
        <f ca="1">IFERROR(__xludf.DUMMYFUNCTION("""COMPUTED_VALUE"""),"")</f>
        <v/>
      </c>
      <c r="H345" s="472" t="str">
        <f ca="1">IFERROR(__xludf.DUMMYFUNCTION("""COMPUTED_VALUE"""),"")</f>
        <v/>
      </c>
      <c r="I345" s="472" t="str">
        <f ca="1">IFERROR(__xludf.DUMMYFUNCTION("""COMPUTED_VALUE"""),"")</f>
        <v/>
      </c>
      <c r="J345" s="472" t="str">
        <f ca="1">IFERROR(__xludf.DUMMYFUNCTION("""COMPUTED_VALUE"""),"")</f>
        <v/>
      </c>
    </row>
    <row r="346" spans="1:10" ht="15.75">
      <c r="A346" s="472" t="str">
        <f ca="1">IFERROR(__xludf.DUMMYFUNCTION("""COMPUTED_VALUE"""),"")</f>
        <v/>
      </c>
      <c r="B346" s="472" t="str">
        <f ca="1">IFERROR(__xludf.DUMMYFUNCTION("""COMPUTED_VALUE"""),"")</f>
        <v/>
      </c>
      <c r="C346" s="472" t="str">
        <f ca="1">IFERROR(__xludf.DUMMYFUNCTION("""COMPUTED_VALUE"""),"")</f>
        <v/>
      </c>
      <c r="D346" s="472" t="str">
        <f ca="1">IFERROR(__xludf.DUMMYFUNCTION("""COMPUTED_VALUE"""),"")</f>
        <v/>
      </c>
      <c r="E346" s="472" t="str">
        <f ca="1">IFERROR(__xludf.DUMMYFUNCTION("""COMPUTED_VALUE"""),"")</f>
        <v/>
      </c>
      <c r="F346" s="472" t="str">
        <f ca="1">IFERROR(__xludf.DUMMYFUNCTION("""COMPUTED_VALUE"""),"")</f>
        <v/>
      </c>
      <c r="G346" s="472" t="str">
        <f ca="1">IFERROR(__xludf.DUMMYFUNCTION("""COMPUTED_VALUE"""),"")</f>
        <v/>
      </c>
      <c r="H346" s="472" t="str">
        <f ca="1">IFERROR(__xludf.DUMMYFUNCTION("""COMPUTED_VALUE"""),"")</f>
        <v/>
      </c>
      <c r="I346" s="472" t="str">
        <f ca="1">IFERROR(__xludf.DUMMYFUNCTION("""COMPUTED_VALUE"""),"")</f>
        <v/>
      </c>
      <c r="J346" s="472" t="str">
        <f ca="1">IFERROR(__xludf.DUMMYFUNCTION("""COMPUTED_VALUE"""),"")</f>
        <v/>
      </c>
    </row>
    <row r="347" spans="1:10" ht="15.75">
      <c r="A347" s="472" t="str">
        <f ca="1">IFERROR(__xludf.DUMMYFUNCTION("""COMPUTED_VALUE"""),"")</f>
        <v/>
      </c>
      <c r="B347" s="472" t="str">
        <f ca="1">IFERROR(__xludf.DUMMYFUNCTION("""COMPUTED_VALUE"""),"")</f>
        <v/>
      </c>
      <c r="C347" s="472" t="str">
        <f ca="1">IFERROR(__xludf.DUMMYFUNCTION("""COMPUTED_VALUE"""),"")</f>
        <v/>
      </c>
      <c r="D347" s="472" t="str">
        <f ca="1">IFERROR(__xludf.DUMMYFUNCTION("""COMPUTED_VALUE"""),"")</f>
        <v/>
      </c>
      <c r="E347" s="472" t="str">
        <f ca="1">IFERROR(__xludf.DUMMYFUNCTION("""COMPUTED_VALUE"""),"")</f>
        <v/>
      </c>
      <c r="F347" s="472" t="str">
        <f ca="1">IFERROR(__xludf.DUMMYFUNCTION("""COMPUTED_VALUE"""),"")</f>
        <v/>
      </c>
      <c r="G347" s="472" t="str">
        <f ca="1">IFERROR(__xludf.DUMMYFUNCTION("""COMPUTED_VALUE"""),"")</f>
        <v/>
      </c>
      <c r="H347" s="472" t="str">
        <f ca="1">IFERROR(__xludf.DUMMYFUNCTION("""COMPUTED_VALUE"""),"")</f>
        <v/>
      </c>
      <c r="I347" s="472" t="str">
        <f ca="1">IFERROR(__xludf.DUMMYFUNCTION("""COMPUTED_VALUE"""),"")</f>
        <v/>
      </c>
      <c r="J347" s="472" t="str">
        <f ca="1">IFERROR(__xludf.DUMMYFUNCTION("""COMPUTED_VALUE"""),"")</f>
        <v/>
      </c>
    </row>
    <row r="348" spans="1:10" ht="15.75">
      <c r="A348" s="472" t="str">
        <f ca="1">IFERROR(__xludf.DUMMYFUNCTION("""COMPUTED_VALUE"""),"")</f>
        <v/>
      </c>
      <c r="B348" s="472" t="str">
        <f ca="1">IFERROR(__xludf.DUMMYFUNCTION("""COMPUTED_VALUE"""),"")</f>
        <v/>
      </c>
      <c r="C348" s="472" t="str">
        <f ca="1">IFERROR(__xludf.DUMMYFUNCTION("""COMPUTED_VALUE"""),"")</f>
        <v/>
      </c>
      <c r="D348" s="472" t="str">
        <f ca="1">IFERROR(__xludf.DUMMYFUNCTION("""COMPUTED_VALUE"""),"")</f>
        <v/>
      </c>
      <c r="E348" s="472" t="str">
        <f ca="1">IFERROR(__xludf.DUMMYFUNCTION("""COMPUTED_VALUE"""),"")</f>
        <v/>
      </c>
      <c r="F348" s="472" t="str">
        <f ca="1">IFERROR(__xludf.DUMMYFUNCTION("""COMPUTED_VALUE"""),"")</f>
        <v/>
      </c>
      <c r="G348" s="472" t="str">
        <f ca="1">IFERROR(__xludf.DUMMYFUNCTION("""COMPUTED_VALUE"""),"")</f>
        <v/>
      </c>
      <c r="H348" s="472" t="str">
        <f ca="1">IFERROR(__xludf.DUMMYFUNCTION("""COMPUTED_VALUE"""),"")</f>
        <v/>
      </c>
      <c r="I348" s="472" t="str">
        <f ca="1">IFERROR(__xludf.DUMMYFUNCTION("""COMPUTED_VALUE"""),"")</f>
        <v/>
      </c>
      <c r="J348" s="472" t="str">
        <f ca="1">IFERROR(__xludf.DUMMYFUNCTION("""COMPUTED_VALUE"""),"")</f>
        <v/>
      </c>
    </row>
    <row r="349" spans="1:10" ht="15.75">
      <c r="A349" s="472" t="str">
        <f ca="1">IFERROR(__xludf.DUMMYFUNCTION("""COMPUTED_VALUE"""),"")</f>
        <v/>
      </c>
      <c r="B349" s="472" t="str">
        <f ca="1">IFERROR(__xludf.DUMMYFUNCTION("""COMPUTED_VALUE"""),"")</f>
        <v/>
      </c>
      <c r="C349" s="472" t="str">
        <f ca="1">IFERROR(__xludf.DUMMYFUNCTION("""COMPUTED_VALUE"""),"")</f>
        <v/>
      </c>
      <c r="D349" s="472" t="str">
        <f ca="1">IFERROR(__xludf.DUMMYFUNCTION("""COMPUTED_VALUE"""),"")</f>
        <v/>
      </c>
      <c r="E349" s="472" t="str">
        <f ca="1">IFERROR(__xludf.DUMMYFUNCTION("""COMPUTED_VALUE"""),"")</f>
        <v/>
      </c>
      <c r="F349" s="472" t="str">
        <f ca="1">IFERROR(__xludf.DUMMYFUNCTION("""COMPUTED_VALUE"""),"")</f>
        <v/>
      </c>
      <c r="G349" s="472" t="str">
        <f ca="1">IFERROR(__xludf.DUMMYFUNCTION("""COMPUTED_VALUE"""),"")</f>
        <v/>
      </c>
      <c r="H349" s="472" t="str">
        <f ca="1">IFERROR(__xludf.DUMMYFUNCTION("""COMPUTED_VALUE"""),"")</f>
        <v/>
      </c>
      <c r="I349" s="472" t="str">
        <f ca="1">IFERROR(__xludf.DUMMYFUNCTION("""COMPUTED_VALUE"""),"")</f>
        <v/>
      </c>
      <c r="J349" s="472" t="str">
        <f ca="1">IFERROR(__xludf.DUMMYFUNCTION("""COMPUTED_VALUE"""),"")</f>
        <v/>
      </c>
    </row>
    <row r="350" spans="1:10" ht="15.75">
      <c r="A350" s="472" t="str">
        <f ca="1">IFERROR(__xludf.DUMMYFUNCTION("""COMPUTED_VALUE"""),"")</f>
        <v/>
      </c>
      <c r="B350" s="472" t="str">
        <f ca="1">IFERROR(__xludf.DUMMYFUNCTION("""COMPUTED_VALUE"""),"")</f>
        <v/>
      </c>
      <c r="C350" s="472" t="str">
        <f ca="1">IFERROR(__xludf.DUMMYFUNCTION("""COMPUTED_VALUE"""),"")</f>
        <v/>
      </c>
      <c r="D350" s="472" t="str">
        <f ca="1">IFERROR(__xludf.DUMMYFUNCTION("""COMPUTED_VALUE"""),"")</f>
        <v/>
      </c>
      <c r="E350" s="472" t="str">
        <f ca="1">IFERROR(__xludf.DUMMYFUNCTION("""COMPUTED_VALUE"""),"")</f>
        <v/>
      </c>
      <c r="F350" s="472" t="str">
        <f ca="1">IFERROR(__xludf.DUMMYFUNCTION("""COMPUTED_VALUE"""),"")</f>
        <v/>
      </c>
      <c r="G350" s="472" t="str">
        <f ca="1">IFERROR(__xludf.DUMMYFUNCTION("""COMPUTED_VALUE"""),"")</f>
        <v/>
      </c>
      <c r="H350" s="472" t="str">
        <f ca="1">IFERROR(__xludf.DUMMYFUNCTION("""COMPUTED_VALUE"""),"")</f>
        <v/>
      </c>
      <c r="I350" s="472" t="str">
        <f ca="1">IFERROR(__xludf.DUMMYFUNCTION("""COMPUTED_VALUE"""),"")</f>
        <v/>
      </c>
      <c r="J350" s="472" t="str">
        <f ca="1">IFERROR(__xludf.DUMMYFUNCTION("""COMPUTED_VALUE"""),"")</f>
        <v/>
      </c>
    </row>
    <row r="351" spans="1:10" ht="15.75">
      <c r="A351" s="472" t="str">
        <f ca="1">IFERROR(__xludf.DUMMYFUNCTION("""COMPUTED_VALUE"""),"")</f>
        <v/>
      </c>
      <c r="B351" s="472" t="str">
        <f ca="1">IFERROR(__xludf.DUMMYFUNCTION("""COMPUTED_VALUE"""),"")</f>
        <v/>
      </c>
      <c r="C351" s="472" t="str">
        <f ca="1">IFERROR(__xludf.DUMMYFUNCTION("""COMPUTED_VALUE"""),"")</f>
        <v/>
      </c>
      <c r="D351" s="472" t="str">
        <f ca="1">IFERROR(__xludf.DUMMYFUNCTION("""COMPUTED_VALUE"""),"")</f>
        <v/>
      </c>
      <c r="E351" s="472" t="str">
        <f ca="1">IFERROR(__xludf.DUMMYFUNCTION("""COMPUTED_VALUE"""),"")</f>
        <v/>
      </c>
      <c r="F351" s="472" t="str">
        <f ca="1">IFERROR(__xludf.DUMMYFUNCTION("""COMPUTED_VALUE"""),"")</f>
        <v/>
      </c>
      <c r="G351" s="472" t="str">
        <f ca="1">IFERROR(__xludf.DUMMYFUNCTION("""COMPUTED_VALUE"""),"")</f>
        <v/>
      </c>
      <c r="H351" s="472" t="str">
        <f ca="1">IFERROR(__xludf.DUMMYFUNCTION("""COMPUTED_VALUE"""),"")</f>
        <v/>
      </c>
      <c r="I351" s="472" t="str">
        <f ca="1">IFERROR(__xludf.DUMMYFUNCTION("""COMPUTED_VALUE"""),"")</f>
        <v/>
      </c>
      <c r="J351" s="472" t="str">
        <f ca="1">IFERROR(__xludf.DUMMYFUNCTION("""COMPUTED_VALUE"""),"")</f>
        <v/>
      </c>
    </row>
    <row r="352" spans="1:10" ht="15.75">
      <c r="A352" s="472" t="str">
        <f ca="1">IFERROR(__xludf.DUMMYFUNCTION("""COMPUTED_VALUE"""),"")</f>
        <v/>
      </c>
      <c r="B352" s="472" t="str">
        <f ca="1">IFERROR(__xludf.DUMMYFUNCTION("""COMPUTED_VALUE"""),"")</f>
        <v/>
      </c>
      <c r="C352" s="472" t="str">
        <f ca="1">IFERROR(__xludf.DUMMYFUNCTION("""COMPUTED_VALUE"""),"")</f>
        <v/>
      </c>
      <c r="D352" s="472" t="str">
        <f ca="1">IFERROR(__xludf.DUMMYFUNCTION("""COMPUTED_VALUE"""),"")</f>
        <v/>
      </c>
      <c r="E352" s="472" t="str">
        <f ca="1">IFERROR(__xludf.DUMMYFUNCTION("""COMPUTED_VALUE"""),"")</f>
        <v/>
      </c>
      <c r="F352" s="472" t="str">
        <f ca="1">IFERROR(__xludf.DUMMYFUNCTION("""COMPUTED_VALUE"""),"")</f>
        <v/>
      </c>
      <c r="G352" s="472" t="str">
        <f ca="1">IFERROR(__xludf.DUMMYFUNCTION("""COMPUTED_VALUE"""),"")</f>
        <v/>
      </c>
      <c r="H352" s="472" t="str">
        <f ca="1">IFERROR(__xludf.DUMMYFUNCTION("""COMPUTED_VALUE"""),"")</f>
        <v/>
      </c>
      <c r="I352" s="472" t="str">
        <f ca="1">IFERROR(__xludf.DUMMYFUNCTION("""COMPUTED_VALUE"""),"")</f>
        <v/>
      </c>
      <c r="J352" s="472" t="str">
        <f ca="1">IFERROR(__xludf.DUMMYFUNCTION("""COMPUTED_VALUE"""),"")</f>
        <v/>
      </c>
    </row>
    <row r="353" spans="1:10" ht="15.75">
      <c r="A353" s="472" t="str">
        <f ca="1">IFERROR(__xludf.DUMMYFUNCTION("""COMPUTED_VALUE"""),"")</f>
        <v/>
      </c>
      <c r="B353" s="472" t="str">
        <f ca="1">IFERROR(__xludf.DUMMYFUNCTION("""COMPUTED_VALUE"""),"")</f>
        <v/>
      </c>
      <c r="C353" s="472" t="str">
        <f ca="1">IFERROR(__xludf.DUMMYFUNCTION("""COMPUTED_VALUE"""),"")</f>
        <v/>
      </c>
      <c r="D353" s="472" t="str">
        <f ca="1">IFERROR(__xludf.DUMMYFUNCTION("""COMPUTED_VALUE"""),"")</f>
        <v/>
      </c>
      <c r="E353" s="472" t="str">
        <f ca="1">IFERROR(__xludf.DUMMYFUNCTION("""COMPUTED_VALUE"""),"")</f>
        <v/>
      </c>
      <c r="F353" s="472" t="str">
        <f ca="1">IFERROR(__xludf.DUMMYFUNCTION("""COMPUTED_VALUE"""),"")</f>
        <v/>
      </c>
      <c r="G353" s="472" t="str">
        <f ca="1">IFERROR(__xludf.DUMMYFUNCTION("""COMPUTED_VALUE"""),"")</f>
        <v/>
      </c>
      <c r="H353" s="472" t="str">
        <f ca="1">IFERROR(__xludf.DUMMYFUNCTION("""COMPUTED_VALUE"""),"")</f>
        <v/>
      </c>
      <c r="I353" s="472" t="str">
        <f ca="1">IFERROR(__xludf.DUMMYFUNCTION("""COMPUTED_VALUE"""),"")</f>
        <v/>
      </c>
      <c r="J353" s="472" t="str">
        <f ca="1">IFERROR(__xludf.DUMMYFUNCTION("""COMPUTED_VALUE"""),"")</f>
        <v/>
      </c>
    </row>
    <row r="354" spans="1:10" ht="15.75">
      <c r="A354" s="472" t="str">
        <f ca="1">IFERROR(__xludf.DUMMYFUNCTION("""COMPUTED_VALUE"""),"")</f>
        <v/>
      </c>
      <c r="B354" s="472" t="str">
        <f ca="1">IFERROR(__xludf.DUMMYFUNCTION("""COMPUTED_VALUE"""),"")</f>
        <v/>
      </c>
      <c r="C354" s="472" t="str">
        <f ca="1">IFERROR(__xludf.DUMMYFUNCTION("""COMPUTED_VALUE"""),"")</f>
        <v/>
      </c>
      <c r="D354" s="472" t="str">
        <f ca="1">IFERROR(__xludf.DUMMYFUNCTION("""COMPUTED_VALUE"""),"")</f>
        <v/>
      </c>
      <c r="E354" s="472" t="str">
        <f ca="1">IFERROR(__xludf.DUMMYFUNCTION("""COMPUTED_VALUE"""),"")</f>
        <v/>
      </c>
      <c r="F354" s="472" t="str">
        <f ca="1">IFERROR(__xludf.DUMMYFUNCTION("""COMPUTED_VALUE"""),"")</f>
        <v/>
      </c>
      <c r="G354" s="472" t="str">
        <f ca="1">IFERROR(__xludf.DUMMYFUNCTION("""COMPUTED_VALUE"""),"")</f>
        <v/>
      </c>
      <c r="H354" s="472" t="str">
        <f ca="1">IFERROR(__xludf.DUMMYFUNCTION("""COMPUTED_VALUE"""),"")</f>
        <v/>
      </c>
      <c r="I354" s="472" t="str">
        <f ca="1">IFERROR(__xludf.DUMMYFUNCTION("""COMPUTED_VALUE"""),"")</f>
        <v/>
      </c>
      <c r="J354" s="472" t="str">
        <f ca="1">IFERROR(__xludf.DUMMYFUNCTION("""COMPUTED_VALUE"""),"")</f>
        <v/>
      </c>
    </row>
    <row r="355" spans="1:10" ht="15.75">
      <c r="A355" s="472" t="str">
        <f ca="1">IFERROR(__xludf.DUMMYFUNCTION("""COMPUTED_VALUE"""),"")</f>
        <v/>
      </c>
      <c r="B355" s="472" t="str">
        <f ca="1">IFERROR(__xludf.DUMMYFUNCTION("""COMPUTED_VALUE"""),"")</f>
        <v/>
      </c>
      <c r="C355" s="472" t="str">
        <f ca="1">IFERROR(__xludf.DUMMYFUNCTION("""COMPUTED_VALUE"""),"")</f>
        <v/>
      </c>
      <c r="D355" s="472" t="str">
        <f ca="1">IFERROR(__xludf.DUMMYFUNCTION("""COMPUTED_VALUE"""),"")</f>
        <v/>
      </c>
      <c r="E355" s="472" t="str">
        <f ca="1">IFERROR(__xludf.DUMMYFUNCTION("""COMPUTED_VALUE"""),"")</f>
        <v/>
      </c>
      <c r="F355" s="472" t="str">
        <f ca="1">IFERROR(__xludf.DUMMYFUNCTION("""COMPUTED_VALUE"""),"")</f>
        <v/>
      </c>
      <c r="G355" s="472" t="str">
        <f ca="1">IFERROR(__xludf.DUMMYFUNCTION("""COMPUTED_VALUE"""),"")</f>
        <v/>
      </c>
      <c r="H355" s="472" t="str">
        <f ca="1">IFERROR(__xludf.DUMMYFUNCTION("""COMPUTED_VALUE"""),"")</f>
        <v/>
      </c>
      <c r="I355" s="472" t="str">
        <f ca="1">IFERROR(__xludf.DUMMYFUNCTION("""COMPUTED_VALUE"""),"")</f>
        <v/>
      </c>
      <c r="J355" s="472" t="str">
        <f ca="1">IFERROR(__xludf.DUMMYFUNCTION("""COMPUTED_VALUE"""),"")</f>
        <v/>
      </c>
    </row>
    <row r="356" spans="1:10" ht="15.75">
      <c r="A356" s="472" t="str">
        <f ca="1">IFERROR(__xludf.DUMMYFUNCTION("""COMPUTED_VALUE"""),"")</f>
        <v/>
      </c>
      <c r="B356" s="472" t="str">
        <f ca="1">IFERROR(__xludf.DUMMYFUNCTION("""COMPUTED_VALUE"""),"")</f>
        <v/>
      </c>
      <c r="C356" s="472" t="str">
        <f ca="1">IFERROR(__xludf.DUMMYFUNCTION("""COMPUTED_VALUE"""),"")</f>
        <v/>
      </c>
      <c r="D356" s="472" t="str">
        <f ca="1">IFERROR(__xludf.DUMMYFUNCTION("""COMPUTED_VALUE"""),"")</f>
        <v/>
      </c>
      <c r="E356" s="472" t="str">
        <f ca="1">IFERROR(__xludf.DUMMYFUNCTION("""COMPUTED_VALUE"""),"")</f>
        <v/>
      </c>
      <c r="F356" s="472" t="str">
        <f ca="1">IFERROR(__xludf.DUMMYFUNCTION("""COMPUTED_VALUE"""),"")</f>
        <v/>
      </c>
      <c r="G356" s="472" t="str">
        <f ca="1">IFERROR(__xludf.DUMMYFUNCTION("""COMPUTED_VALUE"""),"")</f>
        <v/>
      </c>
      <c r="H356" s="472" t="str">
        <f ca="1">IFERROR(__xludf.DUMMYFUNCTION("""COMPUTED_VALUE"""),"")</f>
        <v/>
      </c>
      <c r="I356" s="472" t="str">
        <f ca="1">IFERROR(__xludf.DUMMYFUNCTION("""COMPUTED_VALUE"""),"")</f>
        <v/>
      </c>
      <c r="J356" s="472" t="str">
        <f ca="1">IFERROR(__xludf.DUMMYFUNCTION("""COMPUTED_VALUE"""),"")</f>
        <v/>
      </c>
    </row>
    <row r="357" spans="1:10" ht="15.75">
      <c r="A357" s="472" t="str">
        <f ca="1">IFERROR(__xludf.DUMMYFUNCTION("""COMPUTED_VALUE"""),"")</f>
        <v/>
      </c>
      <c r="B357" s="472" t="str">
        <f ca="1">IFERROR(__xludf.DUMMYFUNCTION("""COMPUTED_VALUE"""),"")</f>
        <v/>
      </c>
      <c r="C357" s="472" t="str">
        <f ca="1">IFERROR(__xludf.DUMMYFUNCTION("""COMPUTED_VALUE"""),"")</f>
        <v/>
      </c>
      <c r="D357" s="472" t="str">
        <f ca="1">IFERROR(__xludf.DUMMYFUNCTION("""COMPUTED_VALUE"""),"")</f>
        <v/>
      </c>
      <c r="E357" s="472" t="str">
        <f ca="1">IFERROR(__xludf.DUMMYFUNCTION("""COMPUTED_VALUE"""),"")</f>
        <v/>
      </c>
      <c r="F357" s="472" t="str">
        <f ca="1">IFERROR(__xludf.DUMMYFUNCTION("""COMPUTED_VALUE"""),"")</f>
        <v/>
      </c>
      <c r="G357" s="472" t="str">
        <f ca="1">IFERROR(__xludf.DUMMYFUNCTION("""COMPUTED_VALUE"""),"")</f>
        <v/>
      </c>
      <c r="H357" s="472" t="str">
        <f ca="1">IFERROR(__xludf.DUMMYFUNCTION("""COMPUTED_VALUE"""),"")</f>
        <v/>
      </c>
      <c r="I357" s="472" t="str">
        <f ca="1">IFERROR(__xludf.DUMMYFUNCTION("""COMPUTED_VALUE"""),"")</f>
        <v/>
      </c>
      <c r="J357" s="472" t="str">
        <f ca="1">IFERROR(__xludf.DUMMYFUNCTION("""COMPUTED_VALUE"""),"")</f>
        <v/>
      </c>
    </row>
    <row r="358" spans="1:10" ht="15.75">
      <c r="A358" s="472" t="str">
        <f ca="1">IFERROR(__xludf.DUMMYFUNCTION("""COMPUTED_VALUE"""),"")</f>
        <v/>
      </c>
      <c r="B358" s="472" t="str">
        <f ca="1">IFERROR(__xludf.DUMMYFUNCTION("""COMPUTED_VALUE"""),"")</f>
        <v/>
      </c>
      <c r="C358" s="472" t="str">
        <f ca="1">IFERROR(__xludf.DUMMYFUNCTION("""COMPUTED_VALUE"""),"")</f>
        <v/>
      </c>
      <c r="D358" s="472" t="str">
        <f ca="1">IFERROR(__xludf.DUMMYFUNCTION("""COMPUTED_VALUE"""),"")</f>
        <v/>
      </c>
      <c r="E358" s="472" t="str">
        <f ca="1">IFERROR(__xludf.DUMMYFUNCTION("""COMPUTED_VALUE"""),"")</f>
        <v/>
      </c>
      <c r="F358" s="472" t="str">
        <f ca="1">IFERROR(__xludf.DUMMYFUNCTION("""COMPUTED_VALUE"""),"")</f>
        <v/>
      </c>
      <c r="G358" s="472" t="str">
        <f ca="1">IFERROR(__xludf.DUMMYFUNCTION("""COMPUTED_VALUE"""),"")</f>
        <v/>
      </c>
      <c r="H358" s="472" t="str">
        <f ca="1">IFERROR(__xludf.DUMMYFUNCTION("""COMPUTED_VALUE"""),"")</f>
        <v/>
      </c>
      <c r="I358" s="472" t="str">
        <f ca="1">IFERROR(__xludf.DUMMYFUNCTION("""COMPUTED_VALUE"""),"")</f>
        <v/>
      </c>
      <c r="J358" s="472" t="str">
        <f ca="1">IFERROR(__xludf.DUMMYFUNCTION("""COMPUTED_VALUE"""),"")</f>
        <v/>
      </c>
    </row>
    <row r="359" spans="1:10" ht="15.75">
      <c r="A359" s="472" t="str">
        <f ca="1">IFERROR(__xludf.DUMMYFUNCTION("""COMPUTED_VALUE"""),"")</f>
        <v/>
      </c>
      <c r="B359" s="472" t="str">
        <f ca="1">IFERROR(__xludf.DUMMYFUNCTION("""COMPUTED_VALUE"""),"")</f>
        <v/>
      </c>
      <c r="C359" s="472" t="str">
        <f ca="1">IFERROR(__xludf.DUMMYFUNCTION("""COMPUTED_VALUE"""),"")</f>
        <v/>
      </c>
      <c r="D359" s="472" t="str">
        <f ca="1">IFERROR(__xludf.DUMMYFUNCTION("""COMPUTED_VALUE"""),"")</f>
        <v/>
      </c>
      <c r="E359" s="472" t="str">
        <f ca="1">IFERROR(__xludf.DUMMYFUNCTION("""COMPUTED_VALUE"""),"")</f>
        <v/>
      </c>
      <c r="F359" s="472" t="str">
        <f ca="1">IFERROR(__xludf.DUMMYFUNCTION("""COMPUTED_VALUE"""),"")</f>
        <v/>
      </c>
      <c r="G359" s="472" t="str">
        <f ca="1">IFERROR(__xludf.DUMMYFUNCTION("""COMPUTED_VALUE"""),"")</f>
        <v/>
      </c>
      <c r="H359" s="472" t="str">
        <f ca="1">IFERROR(__xludf.DUMMYFUNCTION("""COMPUTED_VALUE"""),"")</f>
        <v/>
      </c>
      <c r="I359" s="472" t="str">
        <f ca="1">IFERROR(__xludf.DUMMYFUNCTION("""COMPUTED_VALUE"""),"")</f>
        <v/>
      </c>
      <c r="J359" s="472" t="str">
        <f ca="1">IFERROR(__xludf.DUMMYFUNCTION("""COMPUTED_VALUE"""),"")</f>
        <v/>
      </c>
    </row>
    <row r="360" spans="1:10" ht="15.75">
      <c r="A360" s="472" t="str">
        <f ca="1">IFERROR(__xludf.DUMMYFUNCTION("""COMPUTED_VALUE"""),"")</f>
        <v/>
      </c>
      <c r="B360" s="472" t="str">
        <f ca="1">IFERROR(__xludf.DUMMYFUNCTION("""COMPUTED_VALUE"""),"")</f>
        <v/>
      </c>
      <c r="C360" s="472" t="str">
        <f ca="1">IFERROR(__xludf.DUMMYFUNCTION("""COMPUTED_VALUE"""),"")</f>
        <v/>
      </c>
      <c r="D360" s="472" t="str">
        <f ca="1">IFERROR(__xludf.DUMMYFUNCTION("""COMPUTED_VALUE"""),"")</f>
        <v/>
      </c>
      <c r="E360" s="472" t="str">
        <f ca="1">IFERROR(__xludf.DUMMYFUNCTION("""COMPUTED_VALUE"""),"")</f>
        <v/>
      </c>
      <c r="F360" s="472" t="str">
        <f ca="1">IFERROR(__xludf.DUMMYFUNCTION("""COMPUTED_VALUE"""),"")</f>
        <v/>
      </c>
      <c r="G360" s="472" t="str">
        <f ca="1">IFERROR(__xludf.DUMMYFUNCTION("""COMPUTED_VALUE"""),"")</f>
        <v/>
      </c>
      <c r="H360" s="472" t="str">
        <f ca="1">IFERROR(__xludf.DUMMYFUNCTION("""COMPUTED_VALUE"""),"")</f>
        <v/>
      </c>
      <c r="I360" s="472" t="str">
        <f ca="1">IFERROR(__xludf.DUMMYFUNCTION("""COMPUTED_VALUE"""),"")</f>
        <v/>
      </c>
      <c r="J360" s="472" t="str">
        <f ca="1">IFERROR(__xludf.DUMMYFUNCTION("""COMPUTED_VALUE"""),"")</f>
        <v/>
      </c>
    </row>
    <row r="361" spans="1:10" ht="15.75">
      <c r="A361" s="472" t="str">
        <f ca="1">IFERROR(__xludf.DUMMYFUNCTION("""COMPUTED_VALUE"""),"")</f>
        <v/>
      </c>
      <c r="B361" s="472" t="str">
        <f ca="1">IFERROR(__xludf.DUMMYFUNCTION("""COMPUTED_VALUE"""),"")</f>
        <v/>
      </c>
      <c r="C361" s="472" t="str">
        <f ca="1">IFERROR(__xludf.DUMMYFUNCTION("""COMPUTED_VALUE"""),"")</f>
        <v/>
      </c>
      <c r="D361" s="472" t="str">
        <f ca="1">IFERROR(__xludf.DUMMYFUNCTION("""COMPUTED_VALUE"""),"")</f>
        <v/>
      </c>
      <c r="E361" s="472" t="str">
        <f ca="1">IFERROR(__xludf.DUMMYFUNCTION("""COMPUTED_VALUE"""),"")</f>
        <v/>
      </c>
      <c r="F361" s="472" t="str">
        <f ca="1">IFERROR(__xludf.DUMMYFUNCTION("""COMPUTED_VALUE"""),"")</f>
        <v/>
      </c>
      <c r="G361" s="472" t="str">
        <f ca="1">IFERROR(__xludf.DUMMYFUNCTION("""COMPUTED_VALUE"""),"")</f>
        <v/>
      </c>
      <c r="H361" s="472" t="str">
        <f ca="1">IFERROR(__xludf.DUMMYFUNCTION("""COMPUTED_VALUE"""),"")</f>
        <v/>
      </c>
      <c r="I361" s="472" t="str">
        <f ca="1">IFERROR(__xludf.DUMMYFUNCTION("""COMPUTED_VALUE"""),"")</f>
        <v/>
      </c>
      <c r="J361" s="472" t="str">
        <f ca="1">IFERROR(__xludf.DUMMYFUNCTION("""COMPUTED_VALUE"""),"")</f>
        <v/>
      </c>
    </row>
    <row r="362" spans="1:10" ht="15.75">
      <c r="A362" s="472" t="str">
        <f ca="1">IFERROR(__xludf.DUMMYFUNCTION("""COMPUTED_VALUE"""),"")</f>
        <v/>
      </c>
      <c r="B362" s="472" t="str">
        <f ca="1">IFERROR(__xludf.DUMMYFUNCTION("""COMPUTED_VALUE"""),"")</f>
        <v/>
      </c>
      <c r="C362" s="472" t="str">
        <f ca="1">IFERROR(__xludf.DUMMYFUNCTION("""COMPUTED_VALUE"""),"")</f>
        <v/>
      </c>
      <c r="D362" s="472" t="str">
        <f ca="1">IFERROR(__xludf.DUMMYFUNCTION("""COMPUTED_VALUE"""),"")</f>
        <v/>
      </c>
      <c r="E362" s="472" t="str">
        <f ca="1">IFERROR(__xludf.DUMMYFUNCTION("""COMPUTED_VALUE"""),"")</f>
        <v/>
      </c>
      <c r="F362" s="472" t="str">
        <f ca="1">IFERROR(__xludf.DUMMYFUNCTION("""COMPUTED_VALUE"""),"")</f>
        <v/>
      </c>
      <c r="G362" s="472" t="str">
        <f ca="1">IFERROR(__xludf.DUMMYFUNCTION("""COMPUTED_VALUE"""),"")</f>
        <v/>
      </c>
      <c r="H362" s="472" t="str">
        <f ca="1">IFERROR(__xludf.DUMMYFUNCTION("""COMPUTED_VALUE"""),"")</f>
        <v/>
      </c>
      <c r="I362" s="472" t="str">
        <f ca="1">IFERROR(__xludf.DUMMYFUNCTION("""COMPUTED_VALUE"""),"")</f>
        <v/>
      </c>
      <c r="J362" s="472" t="str">
        <f ca="1">IFERROR(__xludf.DUMMYFUNCTION("""COMPUTED_VALUE"""),"")</f>
        <v/>
      </c>
    </row>
    <row r="363" spans="1:10" ht="15.75">
      <c r="A363" s="472" t="str">
        <f ca="1">IFERROR(__xludf.DUMMYFUNCTION("""COMPUTED_VALUE"""),"")</f>
        <v/>
      </c>
      <c r="B363" s="472" t="str">
        <f ca="1">IFERROR(__xludf.DUMMYFUNCTION("""COMPUTED_VALUE"""),"")</f>
        <v/>
      </c>
      <c r="C363" s="472" t="str">
        <f ca="1">IFERROR(__xludf.DUMMYFUNCTION("""COMPUTED_VALUE"""),"")</f>
        <v/>
      </c>
      <c r="D363" s="472" t="str">
        <f ca="1">IFERROR(__xludf.DUMMYFUNCTION("""COMPUTED_VALUE"""),"")</f>
        <v/>
      </c>
      <c r="E363" s="472" t="str">
        <f ca="1">IFERROR(__xludf.DUMMYFUNCTION("""COMPUTED_VALUE"""),"")</f>
        <v/>
      </c>
      <c r="F363" s="472" t="str">
        <f ca="1">IFERROR(__xludf.DUMMYFUNCTION("""COMPUTED_VALUE"""),"")</f>
        <v/>
      </c>
      <c r="G363" s="472" t="str">
        <f ca="1">IFERROR(__xludf.DUMMYFUNCTION("""COMPUTED_VALUE"""),"")</f>
        <v/>
      </c>
      <c r="H363" s="472" t="str">
        <f ca="1">IFERROR(__xludf.DUMMYFUNCTION("""COMPUTED_VALUE"""),"")</f>
        <v/>
      </c>
      <c r="I363" s="472" t="str">
        <f ca="1">IFERROR(__xludf.DUMMYFUNCTION("""COMPUTED_VALUE"""),"")</f>
        <v/>
      </c>
      <c r="J363" s="472" t="str">
        <f ca="1">IFERROR(__xludf.DUMMYFUNCTION("""COMPUTED_VALUE"""),"")</f>
        <v/>
      </c>
    </row>
    <row r="364" spans="1:10" ht="15.75">
      <c r="A364" s="472" t="str">
        <f ca="1">IFERROR(__xludf.DUMMYFUNCTION("""COMPUTED_VALUE"""),"")</f>
        <v/>
      </c>
      <c r="B364" s="472" t="str">
        <f ca="1">IFERROR(__xludf.DUMMYFUNCTION("""COMPUTED_VALUE"""),"")</f>
        <v/>
      </c>
      <c r="C364" s="472" t="str">
        <f ca="1">IFERROR(__xludf.DUMMYFUNCTION("""COMPUTED_VALUE"""),"")</f>
        <v/>
      </c>
      <c r="D364" s="472" t="str">
        <f ca="1">IFERROR(__xludf.DUMMYFUNCTION("""COMPUTED_VALUE"""),"")</f>
        <v/>
      </c>
      <c r="E364" s="472" t="str">
        <f ca="1">IFERROR(__xludf.DUMMYFUNCTION("""COMPUTED_VALUE"""),"")</f>
        <v/>
      </c>
      <c r="F364" s="472" t="str">
        <f ca="1">IFERROR(__xludf.DUMMYFUNCTION("""COMPUTED_VALUE"""),"")</f>
        <v/>
      </c>
      <c r="G364" s="472" t="str">
        <f ca="1">IFERROR(__xludf.DUMMYFUNCTION("""COMPUTED_VALUE"""),"")</f>
        <v/>
      </c>
      <c r="H364" s="472" t="str">
        <f ca="1">IFERROR(__xludf.DUMMYFUNCTION("""COMPUTED_VALUE"""),"")</f>
        <v/>
      </c>
      <c r="I364" s="472" t="str">
        <f ca="1">IFERROR(__xludf.DUMMYFUNCTION("""COMPUTED_VALUE"""),"")</f>
        <v/>
      </c>
      <c r="J364" s="472" t="str">
        <f ca="1">IFERROR(__xludf.DUMMYFUNCTION("""COMPUTED_VALUE"""),"")</f>
        <v/>
      </c>
    </row>
    <row r="365" spans="1:10" ht="15.75">
      <c r="A365" s="472" t="str">
        <f ca="1">IFERROR(__xludf.DUMMYFUNCTION("""COMPUTED_VALUE"""),"")</f>
        <v/>
      </c>
      <c r="B365" s="472" t="str">
        <f ca="1">IFERROR(__xludf.DUMMYFUNCTION("""COMPUTED_VALUE"""),"")</f>
        <v/>
      </c>
      <c r="C365" s="472" t="str">
        <f ca="1">IFERROR(__xludf.DUMMYFUNCTION("""COMPUTED_VALUE"""),"")</f>
        <v/>
      </c>
      <c r="D365" s="472" t="str">
        <f ca="1">IFERROR(__xludf.DUMMYFUNCTION("""COMPUTED_VALUE"""),"")</f>
        <v/>
      </c>
      <c r="E365" s="472" t="str">
        <f ca="1">IFERROR(__xludf.DUMMYFUNCTION("""COMPUTED_VALUE"""),"")</f>
        <v/>
      </c>
      <c r="F365" s="472" t="str">
        <f ca="1">IFERROR(__xludf.DUMMYFUNCTION("""COMPUTED_VALUE"""),"")</f>
        <v/>
      </c>
      <c r="G365" s="472" t="str">
        <f ca="1">IFERROR(__xludf.DUMMYFUNCTION("""COMPUTED_VALUE"""),"")</f>
        <v/>
      </c>
      <c r="H365" s="472" t="str">
        <f ca="1">IFERROR(__xludf.DUMMYFUNCTION("""COMPUTED_VALUE"""),"")</f>
        <v/>
      </c>
      <c r="I365" s="472" t="str">
        <f ca="1">IFERROR(__xludf.DUMMYFUNCTION("""COMPUTED_VALUE"""),"")</f>
        <v/>
      </c>
      <c r="J365" s="472" t="str">
        <f ca="1">IFERROR(__xludf.DUMMYFUNCTION("""COMPUTED_VALUE"""),"")</f>
        <v/>
      </c>
    </row>
    <row r="366" spans="1:10" ht="15.75">
      <c r="A366" s="472" t="str">
        <f ca="1">IFERROR(__xludf.DUMMYFUNCTION("""COMPUTED_VALUE"""),"")</f>
        <v/>
      </c>
      <c r="B366" s="472" t="str">
        <f ca="1">IFERROR(__xludf.DUMMYFUNCTION("""COMPUTED_VALUE"""),"")</f>
        <v/>
      </c>
      <c r="C366" s="472" t="str">
        <f ca="1">IFERROR(__xludf.DUMMYFUNCTION("""COMPUTED_VALUE"""),"")</f>
        <v/>
      </c>
      <c r="D366" s="472" t="str">
        <f ca="1">IFERROR(__xludf.DUMMYFUNCTION("""COMPUTED_VALUE"""),"")</f>
        <v/>
      </c>
      <c r="E366" s="472" t="str">
        <f ca="1">IFERROR(__xludf.DUMMYFUNCTION("""COMPUTED_VALUE"""),"")</f>
        <v/>
      </c>
      <c r="F366" s="472" t="str">
        <f ca="1">IFERROR(__xludf.DUMMYFUNCTION("""COMPUTED_VALUE"""),"")</f>
        <v/>
      </c>
      <c r="G366" s="472" t="str">
        <f ca="1">IFERROR(__xludf.DUMMYFUNCTION("""COMPUTED_VALUE"""),"")</f>
        <v/>
      </c>
      <c r="H366" s="472" t="str">
        <f ca="1">IFERROR(__xludf.DUMMYFUNCTION("""COMPUTED_VALUE"""),"")</f>
        <v/>
      </c>
      <c r="I366" s="472" t="str">
        <f ca="1">IFERROR(__xludf.DUMMYFUNCTION("""COMPUTED_VALUE"""),"")</f>
        <v/>
      </c>
      <c r="J366" s="472" t="str">
        <f ca="1">IFERROR(__xludf.DUMMYFUNCTION("""COMPUTED_VALUE"""),"")</f>
        <v/>
      </c>
    </row>
    <row r="367" spans="1:10" ht="15.75">
      <c r="A367" s="472" t="str">
        <f ca="1">IFERROR(__xludf.DUMMYFUNCTION("""COMPUTED_VALUE"""),"")</f>
        <v/>
      </c>
      <c r="B367" s="472" t="str">
        <f ca="1">IFERROR(__xludf.DUMMYFUNCTION("""COMPUTED_VALUE"""),"")</f>
        <v/>
      </c>
      <c r="C367" s="472" t="str">
        <f ca="1">IFERROR(__xludf.DUMMYFUNCTION("""COMPUTED_VALUE"""),"")</f>
        <v/>
      </c>
      <c r="D367" s="472" t="str">
        <f ca="1">IFERROR(__xludf.DUMMYFUNCTION("""COMPUTED_VALUE"""),"")</f>
        <v/>
      </c>
      <c r="E367" s="472" t="str">
        <f ca="1">IFERROR(__xludf.DUMMYFUNCTION("""COMPUTED_VALUE"""),"")</f>
        <v/>
      </c>
      <c r="F367" s="472" t="str">
        <f ca="1">IFERROR(__xludf.DUMMYFUNCTION("""COMPUTED_VALUE"""),"")</f>
        <v/>
      </c>
      <c r="G367" s="472" t="str">
        <f ca="1">IFERROR(__xludf.DUMMYFUNCTION("""COMPUTED_VALUE"""),"")</f>
        <v/>
      </c>
      <c r="H367" s="472" t="str">
        <f ca="1">IFERROR(__xludf.DUMMYFUNCTION("""COMPUTED_VALUE"""),"")</f>
        <v/>
      </c>
      <c r="I367" s="472" t="str">
        <f ca="1">IFERROR(__xludf.DUMMYFUNCTION("""COMPUTED_VALUE"""),"")</f>
        <v/>
      </c>
      <c r="J367" s="472" t="str">
        <f ca="1">IFERROR(__xludf.DUMMYFUNCTION("""COMPUTED_VALUE"""),"")</f>
        <v/>
      </c>
    </row>
    <row r="368" spans="1:10" ht="15.75">
      <c r="A368" s="472" t="str">
        <f ca="1">IFERROR(__xludf.DUMMYFUNCTION("""COMPUTED_VALUE"""),"")</f>
        <v/>
      </c>
      <c r="B368" s="472" t="str">
        <f ca="1">IFERROR(__xludf.DUMMYFUNCTION("""COMPUTED_VALUE"""),"")</f>
        <v/>
      </c>
      <c r="C368" s="472" t="str">
        <f ca="1">IFERROR(__xludf.DUMMYFUNCTION("""COMPUTED_VALUE"""),"")</f>
        <v/>
      </c>
      <c r="D368" s="472" t="str">
        <f ca="1">IFERROR(__xludf.DUMMYFUNCTION("""COMPUTED_VALUE"""),"")</f>
        <v/>
      </c>
      <c r="E368" s="472" t="str">
        <f ca="1">IFERROR(__xludf.DUMMYFUNCTION("""COMPUTED_VALUE"""),"")</f>
        <v/>
      </c>
      <c r="F368" s="472" t="str">
        <f ca="1">IFERROR(__xludf.DUMMYFUNCTION("""COMPUTED_VALUE"""),"")</f>
        <v/>
      </c>
      <c r="G368" s="472" t="str">
        <f ca="1">IFERROR(__xludf.DUMMYFUNCTION("""COMPUTED_VALUE"""),"")</f>
        <v/>
      </c>
      <c r="H368" s="472" t="str">
        <f ca="1">IFERROR(__xludf.DUMMYFUNCTION("""COMPUTED_VALUE"""),"")</f>
        <v/>
      </c>
      <c r="I368" s="472" t="str">
        <f ca="1">IFERROR(__xludf.DUMMYFUNCTION("""COMPUTED_VALUE"""),"")</f>
        <v/>
      </c>
      <c r="J368" s="472" t="str">
        <f ca="1">IFERROR(__xludf.DUMMYFUNCTION("""COMPUTED_VALUE"""),"")</f>
        <v/>
      </c>
    </row>
    <row r="369" spans="1:10" ht="15.75">
      <c r="A369" s="472" t="str">
        <f ca="1">IFERROR(__xludf.DUMMYFUNCTION("""COMPUTED_VALUE"""),"")</f>
        <v/>
      </c>
      <c r="B369" s="472" t="str">
        <f ca="1">IFERROR(__xludf.DUMMYFUNCTION("""COMPUTED_VALUE"""),"")</f>
        <v/>
      </c>
      <c r="C369" s="472" t="str">
        <f ca="1">IFERROR(__xludf.DUMMYFUNCTION("""COMPUTED_VALUE"""),"")</f>
        <v/>
      </c>
      <c r="D369" s="472" t="str">
        <f ca="1">IFERROR(__xludf.DUMMYFUNCTION("""COMPUTED_VALUE"""),"")</f>
        <v/>
      </c>
      <c r="E369" s="472" t="str">
        <f ca="1">IFERROR(__xludf.DUMMYFUNCTION("""COMPUTED_VALUE"""),"")</f>
        <v/>
      </c>
      <c r="F369" s="472" t="str">
        <f ca="1">IFERROR(__xludf.DUMMYFUNCTION("""COMPUTED_VALUE"""),"")</f>
        <v/>
      </c>
      <c r="G369" s="472" t="str">
        <f ca="1">IFERROR(__xludf.DUMMYFUNCTION("""COMPUTED_VALUE"""),"")</f>
        <v/>
      </c>
      <c r="H369" s="472" t="str">
        <f ca="1">IFERROR(__xludf.DUMMYFUNCTION("""COMPUTED_VALUE"""),"")</f>
        <v/>
      </c>
      <c r="I369" s="472" t="str">
        <f ca="1">IFERROR(__xludf.DUMMYFUNCTION("""COMPUTED_VALUE"""),"")</f>
        <v/>
      </c>
      <c r="J369" s="472" t="str">
        <f ca="1">IFERROR(__xludf.DUMMYFUNCTION("""COMPUTED_VALUE"""),"")</f>
        <v/>
      </c>
    </row>
    <row r="370" spans="1:10" ht="15.75">
      <c r="A370" s="472" t="str">
        <f ca="1">IFERROR(__xludf.DUMMYFUNCTION("""COMPUTED_VALUE"""),"")</f>
        <v/>
      </c>
      <c r="B370" s="472" t="str">
        <f ca="1">IFERROR(__xludf.DUMMYFUNCTION("""COMPUTED_VALUE"""),"")</f>
        <v/>
      </c>
      <c r="C370" s="472" t="str">
        <f ca="1">IFERROR(__xludf.DUMMYFUNCTION("""COMPUTED_VALUE"""),"")</f>
        <v/>
      </c>
      <c r="D370" s="472" t="str">
        <f ca="1">IFERROR(__xludf.DUMMYFUNCTION("""COMPUTED_VALUE"""),"")</f>
        <v/>
      </c>
      <c r="E370" s="472" t="str">
        <f ca="1">IFERROR(__xludf.DUMMYFUNCTION("""COMPUTED_VALUE"""),"")</f>
        <v/>
      </c>
      <c r="F370" s="472" t="str">
        <f ca="1">IFERROR(__xludf.DUMMYFUNCTION("""COMPUTED_VALUE"""),"")</f>
        <v/>
      </c>
      <c r="G370" s="472" t="str">
        <f ca="1">IFERROR(__xludf.DUMMYFUNCTION("""COMPUTED_VALUE"""),"")</f>
        <v/>
      </c>
      <c r="H370" s="472" t="str">
        <f ca="1">IFERROR(__xludf.DUMMYFUNCTION("""COMPUTED_VALUE"""),"")</f>
        <v/>
      </c>
      <c r="I370" s="472" t="str">
        <f ca="1">IFERROR(__xludf.DUMMYFUNCTION("""COMPUTED_VALUE"""),"")</f>
        <v/>
      </c>
      <c r="J370" s="472" t="str">
        <f ca="1">IFERROR(__xludf.DUMMYFUNCTION("""COMPUTED_VALUE"""),"")</f>
        <v/>
      </c>
    </row>
    <row r="371" spans="1:10" ht="15.75">
      <c r="A371" s="472" t="str">
        <f ca="1">IFERROR(__xludf.DUMMYFUNCTION("""COMPUTED_VALUE"""),"")</f>
        <v/>
      </c>
      <c r="B371" s="472" t="str">
        <f ca="1">IFERROR(__xludf.DUMMYFUNCTION("""COMPUTED_VALUE"""),"")</f>
        <v/>
      </c>
      <c r="C371" s="472" t="str">
        <f ca="1">IFERROR(__xludf.DUMMYFUNCTION("""COMPUTED_VALUE"""),"")</f>
        <v/>
      </c>
      <c r="D371" s="472" t="str">
        <f ca="1">IFERROR(__xludf.DUMMYFUNCTION("""COMPUTED_VALUE"""),"")</f>
        <v/>
      </c>
      <c r="E371" s="472" t="str">
        <f ca="1">IFERROR(__xludf.DUMMYFUNCTION("""COMPUTED_VALUE"""),"")</f>
        <v/>
      </c>
      <c r="F371" s="472" t="str">
        <f ca="1">IFERROR(__xludf.DUMMYFUNCTION("""COMPUTED_VALUE"""),"")</f>
        <v/>
      </c>
      <c r="G371" s="472" t="str">
        <f ca="1">IFERROR(__xludf.DUMMYFUNCTION("""COMPUTED_VALUE"""),"")</f>
        <v/>
      </c>
      <c r="H371" s="472" t="str">
        <f ca="1">IFERROR(__xludf.DUMMYFUNCTION("""COMPUTED_VALUE"""),"")</f>
        <v/>
      </c>
      <c r="I371" s="472" t="str">
        <f ca="1">IFERROR(__xludf.DUMMYFUNCTION("""COMPUTED_VALUE"""),"")</f>
        <v/>
      </c>
      <c r="J371" s="472" t="str">
        <f ca="1">IFERROR(__xludf.DUMMYFUNCTION("""COMPUTED_VALUE"""),"")</f>
        <v/>
      </c>
    </row>
    <row r="372" spans="1:10" ht="15.75">
      <c r="A372" s="472" t="str">
        <f ca="1">IFERROR(__xludf.DUMMYFUNCTION("""COMPUTED_VALUE"""),"")</f>
        <v/>
      </c>
      <c r="B372" s="472" t="str">
        <f ca="1">IFERROR(__xludf.DUMMYFUNCTION("""COMPUTED_VALUE"""),"")</f>
        <v/>
      </c>
      <c r="C372" s="472" t="str">
        <f ca="1">IFERROR(__xludf.DUMMYFUNCTION("""COMPUTED_VALUE"""),"")</f>
        <v/>
      </c>
      <c r="D372" s="472" t="str">
        <f ca="1">IFERROR(__xludf.DUMMYFUNCTION("""COMPUTED_VALUE"""),"")</f>
        <v/>
      </c>
      <c r="E372" s="472" t="str">
        <f ca="1">IFERROR(__xludf.DUMMYFUNCTION("""COMPUTED_VALUE"""),"")</f>
        <v/>
      </c>
      <c r="F372" s="472" t="str">
        <f ca="1">IFERROR(__xludf.DUMMYFUNCTION("""COMPUTED_VALUE"""),"")</f>
        <v/>
      </c>
      <c r="G372" s="472" t="str">
        <f ca="1">IFERROR(__xludf.DUMMYFUNCTION("""COMPUTED_VALUE"""),"")</f>
        <v/>
      </c>
      <c r="H372" s="472" t="str">
        <f ca="1">IFERROR(__xludf.DUMMYFUNCTION("""COMPUTED_VALUE"""),"")</f>
        <v/>
      </c>
      <c r="I372" s="472" t="str">
        <f ca="1">IFERROR(__xludf.DUMMYFUNCTION("""COMPUTED_VALUE"""),"")</f>
        <v/>
      </c>
      <c r="J372" s="472" t="str">
        <f ca="1">IFERROR(__xludf.DUMMYFUNCTION("""COMPUTED_VALUE"""),"")</f>
        <v/>
      </c>
    </row>
    <row r="373" spans="1:10" ht="15.75">
      <c r="A373" s="472" t="str">
        <f ca="1">IFERROR(__xludf.DUMMYFUNCTION("""COMPUTED_VALUE"""),"")</f>
        <v/>
      </c>
      <c r="B373" s="472" t="str">
        <f ca="1">IFERROR(__xludf.DUMMYFUNCTION("""COMPUTED_VALUE"""),"")</f>
        <v/>
      </c>
      <c r="C373" s="472" t="str">
        <f ca="1">IFERROR(__xludf.DUMMYFUNCTION("""COMPUTED_VALUE"""),"")</f>
        <v/>
      </c>
      <c r="D373" s="472" t="str">
        <f ca="1">IFERROR(__xludf.DUMMYFUNCTION("""COMPUTED_VALUE"""),"")</f>
        <v/>
      </c>
      <c r="E373" s="472" t="str">
        <f ca="1">IFERROR(__xludf.DUMMYFUNCTION("""COMPUTED_VALUE"""),"")</f>
        <v/>
      </c>
      <c r="F373" s="472" t="str">
        <f ca="1">IFERROR(__xludf.DUMMYFUNCTION("""COMPUTED_VALUE"""),"")</f>
        <v/>
      </c>
      <c r="G373" s="472" t="str">
        <f ca="1">IFERROR(__xludf.DUMMYFUNCTION("""COMPUTED_VALUE"""),"")</f>
        <v/>
      </c>
      <c r="H373" s="472" t="str">
        <f ca="1">IFERROR(__xludf.DUMMYFUNCTION("""COMPUTED_VALUE"""),"")</f>
        <v/>
      </c>
      <c r="I373" s="472" t="str">
        <f ca="1">IFERROR(__xludf.DUMMYFUNCTION("""COMPUTED_VALUE"""),"")</f>
        <v/>
      </c>
      <c r="J373" s="472" t="str">
        <f ca="1">IFERROR(__xludf.DUMMYFUNCTION("""COMPUTED_VALUE"""),"")</f>
        <v/>
      </c>
    </row>
    <row r="374" spans="1:10" ht="15.75">
      <c r="A374" s="472" t="str">
        <f ca="1">IFERROR(__xludf.DUMMYFUNCTION("""COMPUTED_VALUE"""),"")</f>
        <v/>
      </c>
      <c r="B374" s="472" t="str">
        <f ca="1">IFERROR(__xludf.DUMMYFUNCTION("""COMPUTED_VALUE"""),"")</f>
        <v/>
      </c>
      <c r="C374" s="472" t="str">
        <f ca="1">IFERROR(__xludf.DUMMYFUNCTION("""COMPUTED_VALUE"""),"")</f>
        <v/>
      </c>
      <c r="D374" s="472" t="str">
        <f ca="1">IFERROR(__xludf.DUMMYFUNCTION("""COMPUTED_VALUE"""),"")</f>
        <v/>
      </c>
      <c r="E374" s="472" t="str">
        <f ca="1">IFERROR(__xludf.DUMMYFUNCTION("""COMPUTED_VALUE"""),"")</f>
        <v/>
      </c>
      <c r="F374" s="472" t="str">
        <f ca="1">IFERROR(__xludf.DUMMYFUNCTION("""COMPUTED_VALUE"""),"")</f>
        <v/>
      </c>
      <c r="G374" s="472" t="str">
        <f ca="1">IFERROR(__xludf.DUMMYFUNCTION("""COMPUTED_VALUE"""),"")</f>
        <v/>
      </c>
      <c r="H374" s="472" t="str">
        <f ca="1">IFERROR(__xludf.DUMMYFUNCTION("""COMPUTED_VALUE"""),"")</f>
        <v/>
      </c>
      <c r="I374" s="472" t="str">
        <f ca="1">IFERROR(__xludf.DUMMYFUNCTION("""COMPUTED_VALUE"""),"")</f>
        <v/>
      </c>
      <c r="J374" s="472" t="str">
        <f ca="1">IFERROR(__xludf.DUMMYFUNCTION("""COMPUTED_VALUE"""),"")</f>
        <v/>
      </c>
    </row>
    <row r="375" spans="1:10" ht="15.75">
      <c r="A375" s="472" t="str">
        <f ca="1">IFERROR(__xludf.DUMMYFUNCTION("""COMPUTED_VALUE"""),"")</f>
        <v/>
      </c>
      <c r="B375" s="472" t="str">
        <f ca="1">IFERROR(__xludf.DUMMYFUNCTION("""COMPUTED_VALUE"""),"")</f>
        <v/>
      </c>
      <c r="C375" s="472" t="str">
        <f ca="1">IFERROR(__xludf.DUMMYFUNCTION("""COMPUTED_VALUE"""),"")</f>
        <v/>
      </c>
      <c r="D375" s="472" t="str">
        <f ca="1">IFERROR(__xludf.DUMMYFUNCTION("""COMPUTED_VALUE"""),"")</f>
        <v/>
      </c>
      <c r="E375" s="472" t="str">
        <f ca="1">IFERROR(__xludf.DUMMYFUNCTION("""COMPUTED_VALUE"""),"")</f>
        <v/>
      </c>
      <c r="F375" s="472" t="str">
        <f ca="1">IFERROR(__xludf.DUMMYFUNCTION("""COMPUTED_VALUE"""),"")</f>
        <v/>
      </c>
      <c r="G375" s="472" t="str">
        <f ca="1">IFERROR(__xludf.DUMMYFUNCTION("""COMPUTED_VALUE"""),"")</f>
        <v/>
      </c>
      <c r="H375" s="472" t="str">
        <f ca="1">IFERROR(__xludf.DUMMYFUNCTION("""COMPUTED_VALUE"""),"")</f>
        <v/>
      </c>
      <c r="I375" s="472" t="str">
        <f ca="1">IFERROR(__xludf.DUMMYFUNCTION("""COMPUTED_VALUE"""),"")</f>
        <v/>
      </c>
      <c r="J375" s="472" t="str">
        <f ca="1">IFERROR(__xludf.DUMMYFUNCTION("""COMPUTED_VALUE"""),"")</f>
        <v/>
      </c>
    </row>
    <row r="376" spans="1:10" ht="15.75">
      <c r="A376" s="472" t="str">
        <f ca="1">IFERROR(__xludf.DUMMYFUNCTION("""COMPUTED_VALUE"""),"")</f>
        <v/>
      </c>
      <c r="B376" s="472" t="str">
        <f ca="1">IFERROR(__xludf.DUMMYFUNCTION("""COMPUTED_VALUE"""),"")</f>
        <v/>
      </c>
      <c r="C376" s="472" t="str">
        <f ca="1">IFERROR(__xludf.DUMMYFUNCTION("""COMPUTED_VALUE"""),"")</f>
        <v/>
      </c>
      <c r="D376" s="472" t="str">
        <f ca="1">IFERROR(__xludf.DUMMYFUNCTION("""COMPUTED_VALUE"""),"")</f>
        <v/>
      </c>
      <c r="E376" s="472" t="str">
        <f ca="1">IFERROR(__xludf.DUMMYFUNCTION("""COMPUTED_VALUE"""),"")</f>
        <v/>
      </c>
      <c r="F376" s="472" t="str">
        <f ca="1">IFERROR(__xludf.DUMMYFUNCTION("""COMPUTED_VALUE"""),"")</f>
        <v/>
      </c>
      <c r="G376" s="472" t="str">
        <f ca="1">IFERROR(__xludf.DUMMYFUNCTION("""COMPUTED_VALUE"""),"")</f>
        <v/>
      </c>
      <c r="H376" s="472" t="str">
        <f ca="1">IFERROR(__xludf.DUMMYFUNCTION("""COMPUTED_VALUE"""),"")</f>
        <v/>
      </c>
      <c r="I376" s="472" t="str">
        <f ca="1">IFERROR(__xludf.DUMMYFUNCTION("""COMPUTED_VALUE"""),"")</f>
        <v/>
      </c>
      <c r="J376" s="472" t="str">
        <f ca="1">IFERROR(__xludf.DUMMYFUNCTION("""COMPUTED_VALUE"""),"")</f>
        <v/>
      </c>
    </row>
    <row r="377" spans="1:10" ht="15.75">
      <c r="A377" s="472" t="str">
        <f ca="1">IFERROR(__xludf.DUMMYFUNCTION("""COMPUTED_VALUE"""),"")</f>
        <v/>
      </c>
      <c r="B377" s="472" t="str">
        <f ca="1">IFERROR(__xludf.DUMMYFUNCTION("""COMPUTED_VALUE"""),"")</f>
        <v/>
      </c>
      <c r="C377" s="472" t="str">
        <f ca="1">IFERROR(__xludf.DUMMYFUNCTION("""COMPUTED_VALUE"""),"")</f>
        <v/>
      </c>
      <c r="D377" s="472" t="str">
        <f ca="1">IFERROR(__xludf.DUMMYFUNCTION("""COMPUTED_VALUE"""),"")</f>
        <v/>
      </c>
      <c r="E377" s="472" t="str">
        <f ca="1">IFERROR(__xludf.DUMMYFUNCTION("""COMPUTED_VALUE"""),"")</f>
        <v/>
      </c>
      <c r="F377" s="472" t="str">
        <f ca="1">IFERROR(__xludf.DUMMYFUNCTION("""COMPUTED_VALUE"""),"")</f>
        <v/>
      </c>
      <c r="G377" s="472" t="str">
        <f ca="1">IFERROR(__xludf.DUMMYFUNCTION("""COMPUTED_VALUE"""),"")</f>
        <v/>
      </c>
      <c r="H377" s="472" t="str">
        <f ca="1">IFERROR(__xludf.DUMMYFUNCTION("""COMPUTED_VALUE"""),"")</f>
        <v/>
      </c>
      <c r="I377" s="472" t="str">
        <f ca="1">IFERROR(__xludf.DUMMYFUNCTION("""COMPUTED_VALUE"""),"")</f>
        <v/>
      </c>
      <c r="J377" s="472" t="str">
        <f ca="1">IFERROR(__xludf.DUMMYFUNCTION("""COMPUTED_VALUE"""),"")</f>
        <v/>
      </c>
    </row>
    <row r="378" spans="1:10" ht="15.75">
      <c r="A378" s="472" t="str">
        <f ca="1">IFERROR(__xludf.DUMMYFUNCTION("""COMPUTED_VALUE"""),"")</f>
        <v/>
      </c>
      <c r="B378" s="472" t="str">
        <f ca="1">IFERROR(__xludf.DUMMYFUNCTION("""COMPUTED_VALUE"""),"")</f>
        <v/>
      </c>
      <c r="C378" s="472" t="str">
        <f ca="1">IFERROR(__xludf.DUMMYFUNCTION("""COMPUTED_VALUE"""),"")</f>
        <v/>
      </c>
      <c r="D378" s="472" t="str">
        <f ca="1">IFERROR(__xludf.DUMMYFUNCTION("""COMPUTED_VALUE"""),"")</f>
        <v/>
      </c>
      <c r="E378" s="472" t="str">
        <f ca="1">IFERROR(__xludf.DUMMYFUNCTION("""COMPUTED_VALUE"""),"")</f>
        <v/>
      </c>
      <c r="F378" s="472" t="str">
        <f ca="1">IFERROR(__xludf.DUMMYFUNCTION("""COMPUTED_VALUE"""),"")</f>
        <v/>
      </c>
      <c r="G378" s="472" t="str">
        <f ca="1">IFERROR(__xludf.DUMMYFUNCTION("""COMPUTED_VALUE"""),"")</f>
        <v/>
      </c>
      <c r="H378" s="472" t="str">
        <f ca="1">IFERROR(__xludf.DUMMYFUNCTION("""COMPUTED_VALUE"""),"")</f>
        <v/>
      </c>
      <c r="I378" s="472" t="str">
        <f ca="1">IFERROR(__xludf.DUMMYFUNCTION("""COMPUTED_VALUE"""),"")</f>
        <v/>
      </c>
      <c r="J378" s="472" t="str">
        <f ca="1">IFERROR(__xludf.DUMMYFUNCTION("""COMPUTED_VALUE"""),"")</f>
        <v/>
      </c>
    </row>
    <row r="379" spans="1:10" ht="15.75">
      <c r="A379" s="472" t="str">
        <f ca="1">IFERROR(__xludf.DUMMYFUNCTION("""COMPUTED_VALUE"""),"")</f>
        <v/>
      </c>
      <c r="B379" s="472" t="str">
        <f ca="1">IFERROR(__xludf.DUMMYFUNCTION("""COMPUTED_VALUE"""),"")</f>
        <v/>
      </c>
      <c r="C379" s="472" t="str">
        <f ca="1">IFERROR(__xludf.DUMMYFUNCTION("""COMPUTED_VALUE"""),"")</f>
        <v/>
      </c>
      <c r="D379" s="472" t="str">
        <f ca="1">IFERROR(__xludf.DUMMYFUNCTION("""COMPUTED_VALUE"""),"")</f>
        <v/>
      </c>
      <c r="E379" s="472" t="str">
        <f ca="1">IFERROR(__xludf.DUMMYFUNCTION("""COMPUTED_VALUE"""),"")</f>
        <v/>
      </c>
      <c r="F379" s="472" t="str">
        <f ca="1">IFERROR(__xludf.DUMMYFUNCTION("""COMPUTED_VALUE"""),"")</f>
        <v/>
      </c>
      <c r="G379" s="472" t="str">
        <f ca="1">IFERROR(__xludf.DUMMYFUNCTION("""COMPUTED_VALUE"""),"")</f>
        <v/>
      </c>
      <c r="H379" s="472" t="str">
        <f ca="1">IFERROR(__xludf.DUMMYFUNCTION("""COMPUTED_VALUE"""),"")</f>
        <v/>
      </c>
      <c r="I379" s="472" t="str">
        <f ca="1">IFERROR(__xludf.DUMMYFUNCTION("""COMPUTED_VALUE"""),"")</f>
        <v/>
      </c>
      <c r="J379" s="472" t="str">
        <f ca="1">IFERROR(__xludf.DUMMYFUNCTION("""COMPUTED_VALUE"""),"")</f>
        <v/>
      </c>
    </row>
    <row r="380" spans="1:10" ht="15.75">
      <c r="A380" s="472" t="str">
        <f ca="1">IFERROR(__xludf.DUMMYFUNCTION("""COMPUTED_VALUE"""),"")</f>
        <v/>
      </c>
      <c r="B380" s="472" t="str">
        <f ca="1">IFERROR(__xludf.DUMMYFUNCTION("""COMPUTED_VALUE"""),"")</f>
        <v/>
      </c>
      <c r="C380" s="472" t="str">
        <f ca="1">IFERROR(__xludf.DUMMYFUNCTION("""COMPUTED_VALUE"""),"")</f>
        <v/>
      </c>
      <c r="D380" s="472" t="str">
        <f ca="1">IFERROR(__xludf.DUMMYFUNCTION("""COMPUTED_VALUE"""),"")</f>
        <v/>
      </c>
      <c r="E380" s="472" t="str">
        <f ca="1">IFERROR(__xludf.DUMMYFUNCTION("""COMPUTED_VALUE"""),"")</f>
        <v/>
      </c>
      <c r="F380" s="472" t="str">
        <f ca="1">IFERROR(__xludf.DUMMYFUNCTION("""COMPUTED_VALUE"""),"")</f>
        <v/>
      </c>
      <c r="G380" s="472" t="str">
        <f ca="1">IFERROR(__xludf.DUMMYFUNCTION("""COMPUTED_VALUE"""),"")</f>
        <v/>
      </c>
      <c r="H380" s="472" t="str">
        <f ca="1">IFERROR(__xludf.DUMMYFUNCTION("""COMPUTED_VALUE"""),"")</f>
        <v/>
      </c>
      <c r="I380" s="472" t="str">
        <f ca="1">IFERROR(__xludf.DUMMYFUNCTION("""COMPUTED_VALUE"""),"")</f>
        <v/>
      </c>
      <c r="J380" s="472" t="str">
        <f ca="1">IFERROR(__xludf.DUMMYFUNCTION("""COMPUTED_VALUE"""),"")</f>
        <v/>
      </c>
    </row>
    <row r="381" spans="1:10" ht="15.75">
      <c r="A381" s="472" t="str">
        <f ca="1">IFERROR(__xludf.DUMMYFUNCTION("""COMPUTED_VALUE"""),"")</f>
        <v/>
      </c>
      <c r="B381" s="472" t="str">
        <f ca="1">IFERROR(__xludf.DUMMYFUNCTION("""COMPUTED_VALUE"""),"")</f>
        <v/>
      </c>
      <c r="C381" s="472" t="str">
        <f ca="1">IFERROR(__xludf.DUMMYFUNCTION("""COMPUTED_VALUE"""),"")</f>
        <v/>
      </c>
      <c r="D381" s="472" t="str">
        <f ca="1">IFERROR(__xludf.DUMMYFUNCTION("""COMPUTED_VALUE"""),"")</f>
        <v/>
      </c>
      <c r="E381" s="472" t="str">
        <f ca="1">IFERROR(__xludf.DUMMYFUNCTION("""COMPUTED_VALUE"""),"")</f>
        <v/>
      </c>
      <c r="F381" s="472" t="str">
        <f ca="1">IFERROR(__xludf.DUMMYFUNCTION("""COMPUTED_VALUE"""),"")</f>
        <v/>
      </c>
      <c r="G381" s="472" t="str">
        <f ca="1">IFERROR(__xludf.DUMMYFUNCTION("""COMPUTED_VALUE"""),"")</f>
        <v/>
      </c>
      <c r="H381" s="472" t="str">
        <f ca="1">IFERROR(__xludf.DUMMYFUNCTION("""COMPUTED_VALUE"""),"")</f>
        <v/>
      </c>
      <c r="I381" s="472" t="str">
        <f ca="1">IFERROR(__xludf.DUMMYFUNCTION("""COMPUTED_VALUE"""),"")</f>
        <v/>
      </c>
      <c r="J381" s="472" t="str">
        <f ca="1">IFERROR(__xludf.DUMMYFUNCTION("""COMPUTED_VALUE"""),"")</f>
        <v/>
      </c>
    </row>
    <row r="382" spans="1:10" ht="15.75">
      <c r="A382" s="472" t="str">
        <f ca="1">IFERROR(__xludf.DUMMYFUNCTION("""COMPUTED_VALUE"""),"")</f>
        <v/>
      </c>
      <c r="B382" s="472" t="str">
        <f ca="1">IFERROR(__xludf.DUMMYFUNCTION("""COMPUTED_VALUE"""),"")</f>
        <v/>
      </c>
      <c r="C382" s="472" t="str">
        <f ca="1">IFERROR(__xludf.DUMMYFUNCTION("""COMPUTED_VALUE"""),"")</f>
        <v/>
      </c>
      <c r="D382" s="472" t="str">
        <f ca="1">IFERROR(__xludf.DUMMYFUNCTION("""COMPUTED_VALUE"""),"")</f>
        <v/>
      </c>
      <c r="E382" s="472" t="str">
        <f ca="1">IFERROR(__xludf.DUMMYFUNCTION("""COMPUTED_VALUE"""),"")</f>
        <v/>
      </c>
      <c r="F382" s="472" t="str">
        <f ca="1">IFERROR(__xludf.DUMMYFUNCTION("""COMPUTED_VALUE"""),"")</f>
        <v/>
      </c>
      <c r="G382" s="472" t="str">
        <f ca="1">IFERROR(__xludf.DUMMYFUNCTION("""COMPUTED_VALUE"""),"")</f>
        <v/>
      </c>
      <c r="H382" s="472" t="str">
        <f ca="1">IFERROR(__xludf.DUMMYFUNCTION("""COMPUTED_VALUE"""),"")</f>
        <v/>
      </c>
      <c r="I382" s="472" t="str">
        <f ca="1">IFERROR(__xludf.DUMMYFUNCTION("""COMPUTED_VALUE"""),"")</f>
        <v/>
      </c>
      <c r="J382" s="472" t="str">
        <f ca="1">IFERROR(__xludf.DUMMYFUNCTION("""COMPUTED_VALUE"""),"")</f>
        <v/>
      </c>
    </row>
    <row r="383" spans="1:10" ht="15.75">
      <c r="A383" s="472" t="str">
        <f ca="1">IFERROR(__xludf.DUMMYFUNCTION("""COMPUTED_VALUE"""),"")</f>
        <v/>
      </c>
      <c r="B383" s="472" t="str">
        <f ca="1">IFERROR(__xludf.DUMMYFUNCTION("""COMPUTED_VALUE"""),"")</f>
        <v/>
      </c>
      <c r="C383" s="472" t="str">
        <f ca="1">IFERROR(__xludf.DUMMYFUNCTION("""COMPUTED_VALUE"""),"")</f>
        <v/>
      </c>
      <c r="D383" s="472" t="str">
        <f ca="1">IFERROR(__xludf.DUMMYFUNCTION("""COMPUTED_VALUE"""),"")</f>
        <v/>
      </c>
      <c r="E383" s="472" t="str">
        <f ca="1">IFERROR(__xludf.DUMMYFUNCTION("""COMPUTED_VALUE"""),"")</f>
        <v/>
      </c>
      <c r="F383" s="472" t="str">
        <f ca="1">IFERROR(__xludf.DUMMYFUNCTION("""COMPUTED_VALUE"""),"")</f>
        <v/>
      </c>
      <c r="G383" s="472" t="str">
        <f ca="1">IFERROR(__xludf.DUMMYFUNCTION("""COMPUTED_VALUE"""),"")</f>
        <v/>
      </c>
      <c r="H383" s="472" t="str">
        <f ca="1">IFERROR(__xludf.DUMMYFUNCTION("""COMPUTED_VALUE"""),"")</f>
        <v/>
      </c>
      <c r="I383" s="472" t="str">
        <f ca="1">IFERROR(__xludf.DUMMYFUNCTION("""COMPUTED_VALUE"""),"")</f>
        <v/>
      </c>
      <c r="J383" s="472" t="str">
        <f ca="1">IFERROR(__xludf.DUMMYFUNCTION("""COMPUTED_VALUE"""),"")</f>
        <v/>
      </c>
    </row>
    <row r="384" spans="1:10" ht="15.75">
      <c r="A384" s="472" t="str">
        <f ca="1">IFERROR(__xludf.DUMMYFUNCTION("""COMPUTED_VALUE"""),"")</f>
        <v/>
      </c>
      <c r="B384" s="472" t="str">
        <f ca="1">IFERROR(__xludf.DUMMYFUNCTION("""COMPUTED_VALUE"""),"")</f>
        <v/>
      </c>
      <c r="C384" s="472" t="str">
        <f ca="1">IFERROR(__xludf.DUMMYFUNCTION("""COMPUTED_VALUE"""),"")</f>
        <v/>
      </c>
      <c r="D384" s="472" t="str">
        <f ca="1">IFERROR(__xludf.DUMMYFUNCTION("""COMPUTED_VALUE"""),"")</f>
        <v/>
      </c>
      <c r="E384" s="472" t="str">
        <f ca="1">IFERROR(__xludf.DUMMYFUNCTION("""COMPUTED_VALUE"""),"")</f>
        <v/>
      </c>
      <c r="F384" s="472" t="str">
        <f ca="1">IFERROR(__xludf.DUMMYFUNCTION("""COMPUTED_VALUE"""),"")</f>
        <v/>
      </c>
      <c r="G384" s="472" t="str">
        <f ca="1">IFERROR(__xludf.DUMMYFUNCTION("""COMPUTED_VALUE"""),"")</f>
        <v/>
      </c>
      <c r="H384" s="472" t="str">
        <f ca="1">IFERROR(__xludf.DUMMYFUNCTION("""COMPUTED_VALUE"""),"")</f>
        <v/>
      </c>
      <c r="I384" s="472" t="str">
        <f ca="1">IFERROR(__xludf.DUMMYFUNCTION("""COMPUTED_VALUE"""),"")</f>
        <v/>
      </c>
      <c r="J384" s="472" t="str">
        <f ca="1">IFERROR(__xludf.DUMMYFUNCTION("""COMPUTED_VALUE"""),"")</f>
        <v/>
      </c>
    </row>
    <row r="385" spans="1:10" ht="15.75">
      <c r="A385" s="472" t="str">
        <f ca="1">IFERROR(__xludf.DUMMYFUNCTION("""COMPUTED_VALUE"""),"")</f>
        <v/>
      </c>
      <c r="B385" s="472" t="str">
        <f ca="1">IFERROR(__xludf.DUMMYFUNCTION("""COMPUTED_VALUE"""),"")</f>
        <v/>
      </c>
      <c r="C385" s="472" t="str">
        <f ca="1">IFERROR(__xludf.DUMMYFUNCTION("""COMPUTED_VALUE"""),"")</f>
        <v/>
      </c>
      <c r="D385" s="472" t="str">
        <f ca="1">IFERROR(__xludf.DUMMYFUNCTION("""COMPUTED_VALUE"""),"")</f>
        <v/>
      </c>
      <c r="E385" s="472" t="str">
        <f ca="1">IFERROR(__xludf.DUMMYFUNCTION("""COMPUTED_VALUE"""),"")</f>
        <v/>
      </c>
      <c r="F385" s="472" t="str">
        <f ca="1">IFERROR(__xludf.DUMMYFUNCTION("""COMPUTED_VALUE"""),"")</f>
        <v/>
      </c>
      <c r="G385" s="472" t="str">
        <f ca="1">IFERROR(__xludf.DUMMYFUNCTION("""COMPUTED_VALUE"""),"")</f>
        <v/>
      </c>
      <c r="H385" s="472" t="str">
        <f ca="1">IFERROR(__xludf.DUMMYFUNCTION("""COMPUTED_VALUE"""),"")</f>
        <v/>
      </c>
      <c r="I385" s="472" t="str">
        <f ca="1">IFERROR(__xludf.DUMMYFUNCTION("""COMPUTED_VALUE"""),"")</f>
        <v/>
      </c>
      <c r="J385" s="472" t="str">
        <f ca="1">IFERROR(__xludf.DUMMYFUNCTION("""COMPUTED_VALUE"""),"")</f>
        <v/>
      </c>
    </row>
    <row r="386" spans="1:10" ht="15.75">
      <c r="A386" s="472" t="str">
        <f ca="1">IFERROR(__xludf.DUMMYFUNCTION("""COMPUTED_VALUE"""),"")</f>
        <v/>
      </c>
      <c r="B386" s="472" t="str">
        <f ca="1">IFERROR(__xludf.DUMMYFUNCTION("""COMPUTED_VALUE"""),"")</f>
        <v/>
      </c>
      <c r="C386" s="472" t="str">
        <f ca="1">IFERROR(__xludf.DUMMYFUNCTION("""COMPUTED_VALUE"""),"")</f>
        <v/>
      </c>
      <c r="D386" s="472" t="str">
        <f ca="1">IFERROR(__xludf.DUMMYFUNCTION("""COMPUTED_VALUE"""),"")</f>
        <v/>
      </c>
      <c r="E386" s="472" t="str">
        <f ca="1">IFERROR(__xludf.DUMMYFUNCTION("""COMPUTED_VALUE"""),"")</f>
        <v/>
      </c>
      <c r="F386" s="472" t="str">
        <f ca="1">IFERROR(__xludf.DUMMYFUNCTION("""COMPUTED_VALUE"""),"")</f>
        <v/>
      </c>
      <c r="G386" s="472" t="str">
        <f ca="1">IFERROR(__xludf.DUMMYFUNCTION("""COMPUTED_VALUE"""),"")</f>
        <v/>
      </c>
      <c r="H386" s="472" t="str">
        <f ca="1">IFERROR(__xludf.DUMMYFUNCTION("""COMPUTED_VALUE"""),"")</f>
        <v/>
      </c>
      <c r="I386" s="472" t="str">
        <f ca="1">IFERROR(__xludf.DUMMYFUNCTION("""COMPUTED_VALUE"""),"")</f>
        <v/>
      </c>
      <c r="J386" s="472" t="str">
        <f ca="1">IFERROR(__xludf.DUMMYFUNCTION("""COMPUTED_VALUE"""),"")</f>
        <v/>
      </c>
    </row>
    <row r="387" spans="1:10" ht="15.75">
      <c r="A387" s="472" t="str">
        <f ca="1">IFERROR(__xludf.DUMMYFUNCTION("""COMPUTED_VALUE"""),"")</f>
        <v/>
      </c>
      <c r="B387" s="472" t="str">
        <f ca="1">IFERROR(__xludf.DUMMYFUNCTION("""COMPUTED_VALUE"""),"")</f>
        <v/>
      </c>
      <c r="C387" s="472" t="str">
        <f ca="1">IFERROR(__xludf.DUMMYFUNCTION("""COMPUTED_VALUE"""),"")</f>
        <v/>
      </c>
      <c r="D387" s="472" t="str">
        <f ca="1">IFERROR(__xludf.DUMMYFUNCTION("""COMPUTED_VALUE"""),"")</f>
        <v/>
      </c>
      <c r="E387" s="472" t="str">
        <f ca="1">IFERROR(__xludf.DUMMYFUNCTION("""COMPUTED_VALUE"""),"")</f>
        <v/>
      </c>
      <c r="F387" s="472" t="str">
        <f ca="1">IFERROR(__xludf.DUMMYFUNCTION("""COMPUTED_VALUE"""),"")</f>
        <v/>
      </c>
      <c r="G387" s="472" t="str">
        <f ca="1">IFERROR(__xludf.DUMMYFUNCTION("""COMPUTED_VALUE"""),"")</f>
        <v/>
      </c>
      <c r="H387" s="472" t="str">
        <f ca="1">IFERROR(__xludf.DUMMYFUNCTION("""COMPUTED_VALUE"""),"")</f>
        <v/>
      </c>
      <c r="I387" s="472" t="str">
        <f ca="1">IFERROR(__xludf.DUMMYFUNCTION("""COMPUTED_VALUE"""),"")</f>
        <v/>
      </c>
      <c r="J387" s="472" t="str">
        <f ca="1">IFERROR(__xludf.DUMMYFUNCTION("""COMPUTED_VALUE"""),"")</f>
        <v/>
      </c>
    </row>
    <row r="388" spans="1:10" ht="15.75">
      <c r="A388" s="472" t="str">
        <f ca="1">IFERROR(__xludf.DUMMYFUNCTION("""COMPUTED_VALUE"""),"")</f>
        <v/>
      </c>
      <c r="B388" s="472" t="str">
        <f ca="1">IFERROR(__xludf.DUMMYFUNCTION("""COMPUTED_VALUE"""),"")</f>
        <v/>
      </c>
      <c r="C388" s="472" t="str">
        <f ca="1">IFERROR(__xludf.DUMMYFUNCTION("""COMPUTED_VALUE"""),"")</f>
        <v/>
      </c>
      <c r="D388" s="472" t="str">
        <f ca="1">IFERROR(__xludf.DUMMYFUNCTION("""COMPUTED_VALUE"""),"")</f>
        <v/>
      </c>
      <c r="E388" s="472" t="str">
        <f ca="1">IFERROR(__xludf.DUMMYFUNCTION("""COMPUTED_VALUE"""),"")</f>
        <v/>
      </c>
      <c r="F388" s="472" t="str">
        <f ca="1">IFERROR(__xludf.DUMMYFUNCTION("""COMPUTED_VALUE"""),"")</f>
        <v/>
      </c>
      <c r="G388" s="472" t="str">
        <f ca="1">IFERROR(__xludf.DUMMYFUNCTION("""COMPUTED_VALUE"""),"")</f>
        <v/>
      </c>
      <c r="H388" s="472" t="str">
        <f ca="1">IFERROR(__xludf.DUMMYFUNCTION("""COMPUTED_VALUE"""),"")</f>
        <v/>
      </c>
      <c r="I388" s="472" t="str">
        <f ca="1">IFERROR(__xludf.DUMMYFUNCTION("""COMPUTED_VALUE"""),"")</f>
        <v/>
      </c>
      <c r="J388" s="472" t="str">
        <f ca="1">IFERROR(__xludf.DUMMYFUNCTION("""COMPUTED_VALUE"""),"")</f>
        <v/>
      </c>
    </row>
    <row r="389" spans="1:10" ht="15.75">
      <c r="A389" s="472" t="str">
        <f ca="1">IFERROR(__xludf.DUMMYFUNCTION("""COMPUTED_VALUE"""),"")</f>
        <v/>
      </c>
      <c r="B389" s="472" t="str">
        <f ca="1">IFERROR(__xludf.DUMMYFUNCTION("""COMPUTED_VALUE"""),"")</f>
        <v/>
      </c>
      <c r="C389" s="472" t="str">
        <f ca="1">IFERROR(__xludf.DUMMYFUNCTION("""COMPUTED_VALUE"""),"")</f>
        <v/>
      </c>
      <c r="D389" s="472" t="str">
        <f ca="1">IFERROR(__xludf.DUMMYFUNCTION("""COMPUTED_VALUE"""),"")</f>
        <v/>
      </c>
      <c r="E389" s="472" t="str">
        <f ca="1">IFERROR(__xludf.DUMMYFUNCTION("""COMPUTED_VALUE"""),"")</f>
        <v/>
      </c>
      <c r="F389" s="472" t="str">
        <f ca="1">IFERROR(__xludf.DUMMYFUNCTION("""COMPUTED_VALUE"""),"")</f>
        <v/>
      </c>
      <c r="G389" s="472" t="str">
        <f ca="1">IFERROR(__xludf.DUMMYFUNCTION("""COMPUTED_VALUE"""),"")</f>
        <v/>
      </c>
      <c r="H389" s="472" t="str">
        <f ca="1">IFERROR(__xludf.DUMMYFUNCTION("""COMPUTED_VALUE"""),"")</f>
        <v/>
      </c>
      <c r="I389" s="472" t="str">
        <f ca="1">IFERROR(__xludf.DUMMYFUNCTION("""COMPUTED_VALUE"""),"")</f>
        <v/>
      </c>
      <c r="J389" s="472" t="str">
        <f ca="1">IFERROR(__xludf.DUMMYFUNCTION("""COMPUTED_VALUE"""),"")</f>
        <v/>
      </c>
    </row>
    <row r="390" spans="1:10" ht="15.75">
      <c r="A390" s="472" t="str">
        <f ca="1">IFERROR(__xludf.DUMMYFUNCTION("""COMPUTED_VALUE"""),"")</f>
        <v/>
      </c>
      <c r="B390" s="472" t="str">
        <f ca="1">IFERROR(__xludf.DUMMYFUNCTION("""COMPUTED_VALUE"""),"")</f>
        <v/>
      </c>
      <c r="C390" s="472" t="str">
        <f ca="1">IFERROR(__xludf.DUMMYFUNCTION("""COMPUTED_VALUE"""),"")</f>
        <v/>
      </c>
      <c r="D390" s="472" t="str">
        <f ca="1">IFERROR(__xludf.DUMMYFUNCTION("""COMPUTED_VALUE"""),"")</f>
        <v/>
      </c>
      <c r="E390" s="472" t="str">
        <f ca="1">IFERROR(__xludf.DUMMYFUNCTION("""COMPUTED_VALUE"""),"")</f>
        <v/>
      </c>
      <c r="F390" s="472" t="str">
        <f ca="1">IFERROR(__xludf.DUMMYFUNCTION("""COMPUTED_VALUE"""),"")</f>
        <v/>
      </c>
      <c r="G390" s="472" t="str">
        <f ca="1">IFERROR(__xludf.DUMMYFUNCTION("""COMPUTED_VALUE"""),"")</f>
        <v/>
      </c>
      <c r="H390" s="472" t="str">
        <f ca="1">IFERROR(__xludf.DUMMYFUNCTION("""COMPUTED_VALUE"""),"")</f>
        <v/>
      </c>
      <c r="I390" s="472" t="str">
        <f ca="1">IFERROR(__xludf.DUMMYFUNCTION("""COMPUTED_VALUE"""),"")</f>
        <v/>
      </c>
      <c r="J390" s="472" t="str">
        <f ca="1">IFERROR(__xludf.DUMMYFUNCTION("""COMPUTED_VALUE"""),"")</f>
        <v/>
      </c>
    </row>
    <row r="391" spans="1:10" ht="15.75">
      <c r="A391" s="472" t="str">
        <f ca="1">IFERROR(__xludf.DUMMYFUNCTION("""COMPUTED_VALUE"""),"")</f>
        <v/>
      </c>
      <c r="B391" s="472" t="str">
        <f ca="1">IFERROR(__xludf.DUMMYFUNCTION("""COMPUTED_VALUE"""),"")</f>
        <v/>
      </c>
      <c r="C391" s="472" t="str">
        <f ca="1">IFERROR(__xludf.DUMMYFUNCTION("""COMPUTED_VALUE"""),"")</f>
        <v/>
      </c>
      <c r="D391" s="472" t="str">
        <f ca="1">IFERROR(__xludf.DUMMYFUNCTION("""COMPUTED_VALUE"""),"")</f>
        <v/>
      </c>
      <c r="E391" s="472" t="str">
        <f ca="1">IFERROR(__xludf.DUMMYFUNCTION("""COMPUTED_VALUE"""),"")</f>
        <v/>
      </c>
      <c r="F391" s="472" t="str">
        <f ca="1">IFERROR(__xludf.DUMMYFUNCTION("""COMPUTED_VALUE"""),"")</f>
        <v/>
      </c>
      <c r="G391" s="472" t="str">
        <f ca="1">IFERROR(__xludf.DUMMYFUNCTION("""COMPUTED_VALUE"""),"")</f>
        <v/>
      </c>
      <c r="H391" s="472" t="str">
        <f ca="1">IFERROR(__xludf.DUMMYFUNCTION("""COMPUTED_VALUE"""),"")</f>
        <v/>
      </c>
      <c r="I391" s="472" t="str">
        <f ca="1">IFERROR(__xludf.DUMMYFUNCTION("""COMPUTED_VALUE"""),"")</f>
        <v/>
      </c>
      <c r="J391" s="472" t="str">
        <f ca="1">IFERROR(__xludf.DUMMYFUNCTION("""COMPUTED_VALUE"""),"")</f>
        <v/>
      </c>
    </row>
    <row r="392" spans="1:10" ht="15.75">
      <c r="A392" s="472" t="str">
        <f ca="1">IFERROR(__xludf.DUMMYFUNCTION("""COMPUTED_VALUE"""),"")</f>
        <v/>
      </c>
      <c r="B392" s="472" t="str">
        <f ca="1">IFERROR(__xludf.DUMMYFUNCTION("""COMPUTED_VALUE"""),"")</f>
        <v/>
      </c>
      <c r="C392" s="472" t="str">
        <f ca="1">IFERROR(__xludf.DUMMYFUNCTION("""COMPUTED_VALUE"""),"")</f>
        <v/>
      </c>
      <c r="D392" s="472" t="str">
        <f ca="1">IFERROR(__xludf.DUMMYFUNCTION("""COMPUTED_VALUE"""),"")</f>
        <v/>
      </c>
      <c r="E392" s="472" t="str">
        <f ca="1">IFERROR(__xludf.DUMMYFUNCTION("""COMPUTED_VALUE"""),"")</f>
        <v/>
      </c>
      <c r="F392" s="472" t="str">
        <f ca="1">IFERROR(__xludf.DUMMYFUNCTION("""COMPUTED_VALUE"""),"")</f>
        <v/>
      </c>
      <c r="G392" s="472" t="str">
        <f ca="1">IFERROR(__xludf.DUMMYFUNCTION("""COMPUTED_VALUE"""),"")</f>
        <v/>
      </c>
      <c r="H392" s="472" t="str">
        <f ca="1">IFERROR(__xludf.DUMMYFUNCTION("""COMPUTED_VALUE"""),"")</f>
        <v/>
      </c>
      <c r="I392" s="472" t="str">
        <f ca="1">IFERROR(__xludf.DUMMYFUNCTION("""COMPUTED_VALUE"""),"")</f>
        <v/>
      </c>
      <c r="J392" s="472" t="str">
        <f ca="1">IFERROR(__xludf.DUMMYFUNCTION("""COMPUTED_VALUE"""),"")</f>
        <v/>
      </c>
    </row>
    <row r="393" spans="1:10" ht="15.75">
      <c r="A393" s="472" t="str">
        <f ca="1">IFERROR(__xludf.DUMMYFUNCTION("""COMPUTED_VALUE"""),"")</f>
        <v/>
      </c>
      <c r="B393" s="472" t="str">
        <f ca="1">IFERROR(__xludf.DUMMYFUNCTION("""COMPUTED_VALUE"""),"")</f>
        <v/>
      </c>
      <c r="C393" s="472" t="str">
        <f ca="1">IFERROR(__xludf.DUMMYFUNCTION("""COMPUTED_VALUE"""),"")</f>
        <v/>
      </c>
      <c r="D393" s="472" t="str">
        <f ca="1">IFERROR(__xludf.DUMMYFUNCTION("""COMPUTED_VALUE"""),"")</f>
        <v/>
      </c>
      <c r="E393" s="472" t="str">
        <f ca="1">IFERROR(__xludf.DUMMYFUNCTION("""COMPUTED_VALUE"""),"")</f>
        <v/>
      </c>
      <c r="F393" s="472" t="str">
        <f ca="1">IFERROR(__xludf.DUMMYFUNCTION("""COMPUTED_VALUE"""),"")</f>
        <v/>
      </c>
      <c r="G393" s="472" t="str">
        <f ca="1">IFERROR(__xludf.DUMMYFUNCTION("""COMPUTED_VALUE"""),"")</f>
        <v/>
      </c>
      <c r="H393" s="472" t="str">
        <f ca="1">IFERROR(__xludf.DUMMYFUNCTION("""COMPUTED_VALUE"""),"")</f>
        <v/>
      </c>
      <c r="I393" s="472" t="str">
        <f ca="1">IFERROR(__xludf.DUMMYFUNCTION("""COMPUTED_VALUE"""),"")</f>
        <v/>
      </c>
      <c r="J393" s="472" t="str">
        <f ca="1">IFERROR(__xludf.DUMMYFUNCTION("""COMPUTED_VALUE"""),"")</f>
        <v/>
      </c>
    </row>
    <row r="394" spans="1:10" ht="15.75">
      <c r="A394" s="472" t="str">
        <f ca="1">IFERROR(__xludf.DUMMYFUNCTION("""COMPUTED_VALUE"""),"")</f>
        <v/>
      </c>
      <c r="B394" s="472" t="str">
        <f ca="1">IFERROR(__xludf.DUMMYFUNCTION("""COMPUTED_VALUE"""),"")</f>
        <v/>
      </c>
      <c r="C394" s="472" t="str">
        <f ca="1">IFERROR(__xludf.DUMMYFUNCTION("""COMPUTED_VALUE"""),"")</f>
        <v/>
      </c>
      <c r="D394" s="472" t="str">
        <f ca="1">IFERROR(__xludf.DUMMYFUNCTION("""COMPUTED_VALUE"""),"")</f>
        <v/>
      </c>
      <c r="E394" s="472" t="str">
        <f ca="1">IFERROR(__xludf.DUMMYFUNCTION("""COMPUTED_VALUE"""),"")</f>
        <v/>
      </c>
      <c r="F394" s="472" t="str">
        <f ca="1">IFERROR(__xludf.DUMMYFUNCTION("""COMPUTED_VALUE"""),"")</f>
        <v/>
      </c>
      <c r="G394" s="472" t="str">
        <f ca="1">IFERROR(__xludf.DUMMYFUNCTION("""COMPUTED_VALUE"""),"")</f>
        <v/>
      </c>
      <c r="H394" s="472" t="str">
        <f ca="1">IFERROR(__xludf.DUMMYFUNCTION("""COMPUTED_VALUE"""),"")</f>
        <v/>
      </c>
      <c r="I394" s="472" t="str">
        <f ca="1">IFERROR(__xludf.DUMMYFUNCTION("""COMPUTED_VALUE"""),"")</f>
        <v/>
      </c>
      <c r="J394" s="472" t="str">
        <f ca="1">IFERROR(__xludf.DUMMYFUNCTION("""COMPUTED_VALUE"""),"")</f>
        <v/>
      </c>
    </row>
    <row r="395" spans="1:10" ht="15.75">
      <c r="A395" s="472" t="str">
        <f ca="1">IFERROR(__xludf.DUMMYFUNCTION("""COMPUTED_VALUE"""),"")</f>
        <v/>
      </c>
      <c r="B395" s="472" t="str">
        <f ca="1">IFERROR(__xludf.DUMMYFUNCTION("""COMPUTED_VALUE"""),"")</f>
        <v/>
      </c>
      <c r="C395" s="472" t="str">
        <f ca="1">IFERROR(__xludf.DUMMYFUNCTION("""COMPUTED_VALUE"""),"")</f>
        <v/>
      </c>
      <c r="D395" s="472" t="str">
        <f ca="1">IFERROR(__xludf.DUMMYFUNCTION("""COMPUTED_VALUE"""),"")</f>
        <v/>
      </c>
      <c r="E395" s="472" t="str">
        <f ca="1">IFERROR(__xludf.DUMMYFUNCTION("""COMPUTED_VALUE"""),"")</f>
        <v/>
      </c>
      <c r="F395" s="472" t="str">
        <f ca="1">IFERROR(__xludf.DUMMYFUNCTION("""COMPUTED_VALUE"""),"")</f>
        <v/>
      </c>
      <c r="G395" s="472" t="str">
        <f ca="1">IFERROR(__xludf.DUMMYFUNCTION("""COMPUTED_VALUE"""),"")</f>
        <v/>
      </c>
      <c r="H395" s="472" t="str">
        <f ca="1">IFERROR(__xludf.DUMMYFUNCTION("""COMPUTED_VALUE"""),"")</f>
        <v/>
      </c>
      <c r="I395" s="472" t="str">
        <f ca="1">IFERROR(__xludf.DUMMYFUNCTION("""COMPUTED_VALUE"""),"")</f>
        <v/>
      </c>
      <c r="J395" s="472" t="str">
        <f ca="1">IFERROR(__xludf.DUMMYFUNCTION("""COMPUTED_VALUE"""),"")</f>
        <v/>
      </c>
    </row>
    <row r="396" spans="1:10" ht="15.75">
      <c r="A396" s="472" t="str">
        <f ca="1">IFERROR(__xludf.DUMMYFUNCTION("""COMPUTED_VALUE"""),"")</f>
        <v/>
      </c>
      <c r="B396" s="472" t="str">
        <f ca="1">IFERROR(__xludf.DUMMYFUNCTION("""COMPUTED_VALUE"""),"")</f>
        <v/>
      </c>
      <c r="C396" s="472" t="str">
        <f ca="1">IFERROR(__xludf.DUMMYFUNCTION("""COMPUTED_VALUE"""),"")</f>
        <v/>
      </c>
      <c r="D396" s="472" t="str">
        <f ca="1">IFERROR(__xludf.DUMMYFUNCTION("""COMPUTED_VALUE"""),"")</f>
        <v/>
      </c>
      <c r="E396" s="472" t="str">
        <f ca="1">IFERROR(__xludf.DUMMYFUNCTION("""COMPUTED_VALUE"""),"")</f>
        <v/>
      </c>
      <c r="F396" s="472" t="str">
        <f ca="1">IFERROR(__xludf.DUMMYFUNCTION("""COMPUTED_VALUE"""),"")</f>
        <v/>
      </c>
      <c r="G396" s="472" t="str">
        <f ca="1">IFERROR(__xludf.DUMMYFUNCTION("""COMPUTED_VALUE"""),"")</f>
        <v/>
      </c>
      <c r="H396" s="472" t="str">
        <f ca="1">IFERROR(__xludf.DUMMYFUNCTION("""COMPUTED_VALUE"""),"")</f>
        <v/>
      </c>
      <c r="I396" s="472" t="str">
        <f ca="1">IFERROR(__xludf.DUMMYFUNCTION("""COMPUTED_VALUE"""),"")</f>
        <v/>
      </c>
      <c r="J396" s="472" t="str">
        <f ca="1">IFERROR(__xludf.DUMMYFUNCTION("""COMPUTED_VALUE"""),"")</f>
        <v/>
      </c>
    </row>
    <row r="397" spans="1:10" ht="15.75">
      <c r="A397" s="472" t="str">
        <f ca="1">IFERROR(__xludf.DUMMYFUNCTION("""COMPUTED_VALUE"""),"")</f>
        <v/>
      </c>
      <c r="B397" s="472" t="str">
        <f ca="1">IFERROR(__xludf.DUMMYFUNCTION("""COMPUTED_VALUE"""),"")</f>
        <v/>
      </c>
      <c r="C397" s="472" t="str">
        <f ca="1">IFERROR(__xludf.DUMMYFUNCTION("""COMPUTED_VALUE"""),"")</f>
        <v/>
      </c>
      <c r="D397" s="472" t="str">
        <f ca="1">IFERROR(__xludf.DUMMYFUNCTION("""COMPUTED_VALUE"""),"")</f>
        <v/>
      </c>
      <c r="E397" s="472" t="str">
        <f ca="1">IFERROR(__xludf.DUMMYFUNCTION("""COMPUTED_VALUE"""),"")</f>
        <v/>
      </c>
      <c r="F397" s="472" t="str">
        <f ca="1">IFERROR(__xludf.DUMMYFUNCTION("""COMPUTED_VALUE"""),"")</f>
        <v/>
      </c>
      <c r="G397" s="472" t="str">
        <f ca="1">IFERROR(__xludf.DUMMYFUNCTION("""COMPUTED_VALUE"""),"")</f>
        <v/>
      </c>
      <c r="H397" s="472" t="str">
        <f ca="1">IFERROR(__xludf.DUMMYFUNCTION("""COMPUTED_VALUE"""),"")</f>
        <v/>
      </c>
      <c r="I397" s="472" t="str">
        <f ca="1">IFERROR(__xludf.DUMMYFUNCTION("""COMPUTED_VALUE"""),"")</f>
        <v/>
      </c>
      <c r="J397" s="472" t="str">
        <f ca="1">IFERROR(__xludf.DUMMYFUNCTION("""COMPUTED_VALUE"""),"")</f>
        <v/>
      </c>
    </row>
    <row r="398" spans="1:10" ht="15.75">
      <c r="A398" s="472" t="str">
        <f ca="1">IFERROR(__xludf.DUMMYFUNCTION("""COMPUTED_VALUE"""),"")</f>
        <v/>
      </c>
      <c r="B398" s="472" t="str">
        <f ca="1">IFERROR(__xludf.DUMMYFUNCTION("""COMPUTED_VALUE"""),"")</f>
        <v/>
      </c>
      <c r="C398" s="472" t="str">
        <f ca="1">IFERROR(__xludf.DUMMYFUNCTION("""COMPUTED_VALUE"""),"")</f>
        <v/>
      </c>
      <c r="D398" s="472" t="str">
        <f ca="1">IFERROR(__xludf.DUMMYFUNCTION("""COMPUTED_VALUE"""),"")</f>
        <v/>
      </c>
      <c r="E398" s="472" t="str">
        <f ca="1">IFERROR(__xludf.DUMMYFUNCTION("""COMPUTED_VALUE"""),"")</f>
        <v/>
      </c>
      <c r="F398" s="472" t="str">
        <f ca="1">IFERROR(__xludf.DUMMYFUNCTION("""COMPUTED_VALUE"""),"")</f>
        <v/>
      </c>
      <c r="G398" s="472" t="str">
        <f ca="1">IFERROR(__xludf.DUMMYFUNCTION("""COMPUTED_VALUE"""),"")</f>
        <v/>
      </c>
      <c r="H398" s="472" t="str">
        <f ca="1">IFERROR(__xludf.DUMMYFUNCTION("""COMPUTED_VALUE"""),"")</f>
        <v/>
      </c>
      <c r="I398" s="472" t="str">
        <f ca="1">IFERROR(__xludf.DUMMYFUNCTION("""COMPUTED_VALUE"""),"")</f>
        <v/>
      </c>
      <c r="J398" s="472" t="str">
        <f ca="1">IFERROR(__xludf.DUMMYFUNCTION("""COMPUTED_VALUE"""),"")</f>
        <v/>
      </c>
    </row>
    <row r="399" spans="1:10" ht="15.75">
      <c r="A399" s="472" t="str">
        <f ca="1">IFERROR(__xludf.DUMMYFUNCTION("""COMPUTED_VALUE"""),"")</f>
        <v/>
      </c>
      <c r="B399" s="472" t="str">
        <f ca="1">IFERROR(__xludf.DUMMYFUNCTION("""COMPUTED_VALUE"""),"")</f>
        <v/>
      </c>
      <c r="C399" s="472" t="str">
        <f ca="1">IFERROR(__xludf.DUMMYFUNCTION("""COMPUTED_VALUE"""),"")</f>
        <v/>
      </c>
      <c r="D399" s="472" t="str">
        <f ca="1">IFERROR(__xludf.DUMMYFUNCTION("""COMPUTED_VALUE"""),"")</f>
        <v/>
      </c>
      <c r="E399" s="472" t="str">
        <f ca="1">IFERROR(__xludf.DUMMYFUNCTION("""COMPUTED_VALUE"""),"")</f>
        <v/>
      </c>
      <c r="F399" s="472" t="str">
        <f ca="1">IFERROR(__xludf.DUMMYFUNCTION("""COMPUTED_VALUE"""),"")</f>
        <v/>
      </c>
      <c r="G399" s="472" t="str">
        <f ca="1">IFERROR(__xludf.DUMMYFUNCTION("""COMPUTED_VALUE"""),"")</f>
        <v/>
      </c>
      <c r="H399" s="472" t="str">
        <f ca="1">IFERROR(__xludf.DUMMYFUNCTION("""COMPUTED_VALUE"""),"")</f>
        <v/>
      </c>
      <c r="I399" s="472" t="str">
        <f ca="1">IFERROR(__xludf.DUMMYFUNCTION("""COMPUTED_VALUE"""),"")</f>
        <v/>
      </c>
      <c r="J399" s="472" t="str">
        <f ca="1">IFERROR(__xludf.DUMMYFUNCTION("""COMPUTED_VALUE"""),"")</f>
        <v/>
      </c>
    </row>
    <row r="400" spans="1:10" ht="15.75">
      <c r="A400" s="472" t="str">
        <f ca="1">IFERROR(__xludf.DUMMYFUNCTION("""COMPUTED_VALUE"""),"")</f>
        <v/>
      </c>
      <c r="B400" s="472" t="str">
        <f ca="1">IFERROR(__xludf.DUMMYFUNCTION("""COMPUTED_VALUE"""),"")</f>
        <v/>
      </c>
      <c r="C400" s="472" t="str">
        <f ca="1">IFERROR(__xludf.DUMMYFUNCTION("""COMPUTED_VALUE"""),"")</f>
        <v/>
      </c>
      <c r="D400" s="472" t="str">
        <f ca="1">IFERROR(__xludf.DUMMYFUNCTION("""COMPUTED_VALUE"""),"")</f>
        <v/>
      </c>
      <c r="E400" s="472" t="str">
        <f ca="1">IFERROR(__xludf.DUMMYFUNCTION("""COMPUTED_VALUE"""),"")</f>
        <v/>
      </c>
      <c r="F400" s="472" t="str">
        <f ca="1">IFERROR(__xludf.DUMMYFUNCTION("""COMPUTED_VALUE"""),"")</f>
        <v/>
      </c>
      <c r="G400" s="472" t="str">
        <f ca="1">IFERROR(__xludf.DUMMYFUNCTION("""COMPUTED_VALUE"""),"")</f>
        <v/>
      </c>
      <c r="H400" s="472" t="str">
        <f ca="1">IFERROR(__xludf.DUMMYFUNCTION("""COMPUTED_VALUE"""),"")</f>
        <v/>
      </c>
      <c r="I400" s="472" t="str">
        <f ca="1">IFERROR(__xludf.DUMMYFUNCTION("""COMPUTED_VALUE"""),"")</f>
        <v/>
      </c>
      <c r="J400" s="472" t="str">
        <f ca="1">IFERROR(__xludf.DUMMYFUNCTION("""COMPUTED_VALUE"""),"")</f>
        <v/>
      </c>
    </row>
    <row r="401" spans="1:10" ht="15.75">
      <c r="A401" s="472" t="str">
        <f ca="1">IFERROR(__xludf.DUMMYFUNCTION("""COMPUTED_VALUE"""),"")</f>
        <v/>
      </c>
      <c r="B401" s="472" t="str">
        <f ca="1">IFERROR(__xludf.DUMMYFUNCTION("""COMPUTED_VALUE"""),"")</f>
        <v/>
      </c>
      <c r="C401" s="472" t="str">
        <f ca="1">IFERROR(__xludf.DUMMYFUNCTION("""COMPUTED_VALUE"""),"")</f>
        <v/>
      </c>
      <c r="D401" s="472" t="str">
        <f ca="1">IFERROR(__xludf.DUMMYFUNCTION("""COMPUTED_VALUE"""),"")</f>
        <v/>
      </c>
      <c r="E401" s="472" t="str">
        <f ca="1">IFERROR(__xludf.DUMMYFUNCTION("""COMPUTED_VALUE"""),"")</f>
        <v/>
      </c>
      <c r="F401" s="472" t="str">
        <f ca="1">IFERROR(__xludf.DUMMYFUNCTION("""COMPUTED_VALUE"""),"")</f>
        <v/>
      </c>
      <c r="G401" s="472" t="str">
        <f ca="1">IFERROR(__xludf.DUMMYFUNCTION("""COMPUTED_VALUE"""),"")</f>
        <v/>
      </c>
      <c r="H401" s="472" t="str">
        <f ca="1">IFERROR(__xludf.DUMMYFUNCTION("""COMPUTED_VALUE"""),"")</f>
        <v/>
      </c>
      <c r="I401" s="472" t="str">
        <f ca="1">IFERROR(__xludf.DUMMYFUNCTION("""COMPUTED_VALUE"""),"")</f>
        <v/>
      </c>
      <c r="J401" s="472" t="str">
        <f ca="1">IFERROR(__xludf.DUMMYFUNCTION("""COMPUTED_VALUE"""),"")</f>
        <v/>
      </c>
    </row>
    <row r="402" spans="1:10" ht="15.75">
      <c r="A402" s="472" t="str">
        <f ca="1">IFERROR(__xludf.DUMMYFUNCTION("""COMPUTED_VALUE"""),"")</f>
        <v/>
      </c>
      <c r="B402" s="472" t="str">
        <f ca="1">IFERROR(__xludf.DUMMYFUNCTION("""COMPUTED_VALUE"""),"")</f>
        <v/>
      </c>
      <c r="C402" s="472" t="str">
        <f ca="1">IFERROR(__xludf.DUMMYFUNCTION("""COMPUTED_VALUE"""),"")</f>
        <v/>
      </c>
      <c r="D402" s="472" t="str">
        <f ca="1">IFERROR(__xludf.DUMMYFUNCTION("""COMPUTED_VALUE"""),"")</f>
        <v/>
      </c>
      <c r="E402" s="472" t="str">
        <f ca="1">IFERROR(__xludf.DUMMYFUNCTION("""COMPUTED_VALUE"""),"")</f>
        <v/>
      </c>
      <c r="F402" s="472" t="str">
        <f ca="1">IFERROR(__xludf.DUMMYFUNCTION("""COMPUTED_VALUE"""),"")</f>
        <v/>
      </c>
      <c r="G402" s="472" t="str">
        <f ca="1">IFERROR(__xludf.DUMMYFUNCTION("""COMPUTED_VALUE"""),"")</f>
        <v/>
      </c>
      <c r="H402" s="472" t="str">
        <f ca="1">IFERROR(__xludf.DUMMYFUNCTION("""COMPUTED_VALUE"""),"")</f>
        <v/>
      </c>
      <c r="I402" s="472" t="str">
        <f ca="1">IFERROR(__xludf.DUMMYFUNCTION("""COMPUTED_VALUE"""),"")</f>
        <v/>
      </c>
      <c r="J402" s="472" t="str">
        <f ca="1">IFERROR(__xludf.DUMMYFUNCTION("""COMPUTED_VALUE"""),"")</f>
        <v/>
      </c>
    </row>
    <row r="403" spans="1:10" ht="15.75">
      <c r="A403" s="472" t="str">
        <f ca="1">IFERROR(__xludf.DUMMYFUNCTION("""COMPUTED_VALUE"""),"")</f>
        <v/>
      </c>
      <c r="B403" s="472" t="str">
        <f ca="1">IFERROR(__xludf.DUMMYFUNCTION("""COMPUTED_VALUE"""),"")</f>
        <v/>
      </c>
      <c r="C403" s="472" t="str">
        <f ca="1">IFERROR(__xludf.DUMMYFUNCTION("""COMPUTED_VALUE"""),"")</f>
        <v/>
      </c>
      <c r="D403" s="472" t="str">
        <f ca="1">IFERROR(__xludf.DUMMYFUNCTION("""COMPUTED_VALUE"""),"")</f>
        <v/>
      </c>
      <c r="E403" s="472" t="str">
        <f ca="1">IFERROR(__xludf.DUMMYFUNCTION("""COMPUTED_VALUE"""),"")</f>
        <v/>
      </c>
      <c r="F403" s="472" t="str">
        <f ca="1">IFERROR(__xludf.DUMMYFUNCTION("""COMPUTED_VALUE"""),"")</f>
        <v/>
      </c>
      <c r="G403" s="472" t="str">
        <f ca="1">IFERROR(__xludf.DUMMYFUNCTION("""COMPUTED_VALUE"""),"")</f>
        <v/>
      </c>
      <c r="H403" s="472" t="str">
        <f ca="1">IFERROR(__xludf.DUMMYFUNCTION("""COMPUTED_VALUE"""),"")</f>
        <v/>
      </c>
      <c r="I403" s="472" t="str">
        <f ca="1">IFERROR(__xludf.DUMMYFUNCTION("""COMPUTED_VALUE"""),"")</f>
        <v/>
      </c>
      <c r="J403" s="472" t="str">
        <f ca="1">IFERROR(__xludf.DUMMYFUNCTION("""COMPUTED_VALUE"""),"")</f>
        <v/>
      </c>
    </row>
    <row r="404" spans="1:10" ht="15.75">
      <c r="A404" s="472" t="str">
        <f ca="1">IFERROR(__xludf.DUMMYFUNCTION("""COMPUTED_VALUE"""),"")</f>
        <v/>
      </c>
      <c r="B404" s="472" t="str">
        <f ca="1">IFERROR(__xludf.DUMMYFUNCTION("""COMPUTED_VALUE"""),"")</f>
        <v/>
      </c>
      <c r="C404" s="472" t="str">
        <f ca="1">IFERROR(__xludf.DUMMYFUNCTION("""COMPUTED_VALUE"""),"")</f>
        <v/>
      </c>
      <c r="D404" s="472" t="str">
        <f ca="1">IFERROR(__xludf.DUMMYFUNCTION("""COMPUTED_VALUE"""),"")</f>
        <v/>
      </c>
      <c r="E404" s="472" t="str">
        <f ca="1">IFERROR(__xludf.DUMMYFUNCTION("""COMPUTED_VALUE"""),"")</f>
        <v/>
      </c>
      <c r="F404" s="472" t="str">
        <f ca="1">IFERROR(__xludf.DUMMYFUNCTION("""COMPUTED_VALUE"""),"")</f>
        <v/>
      </c>
      <c r="G404" s="472" t="str">
        <f ca="1">IFERROR(__xludf.DUMMYFUNCTION("""COMPUTED_VALUE"""),"")</f>
        <v/>
      </c>
      <c r="H404" s="472" t="str">
        <f ca="1">IFERROR(__xludf.DUMMYFUNCTION("""COMPUTED_VALUE"""),"")</f>
        <v/>
      </c>
      <c r="I404" s="472" t="str">
        <f ca="1">IFERROR(__xludf.DUMMYFUNCTION("""COMPUTED_VALUE"""),"")</f>
        <v/>
      </c>
      <c r="J404" s="472" t="str">
        <f ca="1">IFERROR(__xludf.DUMMYFUNCTION("""COMPUTED_VALUE"""),"")</f>
        <v/>
      </c>
    </row>
    <row r="405" spans="1:10" ht="15.75">
      <c r="A405" s="472" t="str">
        <f ca="1">IFERROR(__xludf.DUMMYFUNCTION("""COMPUTED_VALUE"""),"")</f>
        <v/>
      </c>
      <c r="B405" s="472" t="str">
        <f ca="1">IFERROR(__xludf.DUMMYFUNCTION("""COMPUTED_VALUE"""),"")</f>
        <v/>
      </c>
      <c r="C405" s="472" t="str">
        <f ca="1">IFERROR(__xludf.DUMMYFUNCTION("""COMPUTED_VALUE"""),"")</f>
        <v/>
      </c>
      <c r="D405" s="472" t="str">
        <f ca="1">IFERROR(__xludf.DUMMYFUNCTION("""COMPUTED_VALUE"""),"")</f>
        <v/>
      </c>
      <c r="E405" s="472" t="str">
        <f ca="1">IFERROR(__xludf.DUMMYFUNCTION("""COMPUTED_VALUE"""),"")</f>
        <v/>
      </c>
      <c r="F405" s="472" t="str">
        <f ca="1">IFERROR(__xludf.DUMMYFUNCTION("""COMPUTED_VALUE"""),"")</f>
        <v/>
      </c>
      <c r="G405" s="472" t="str">
        <f ca="1">IFERROR(__xludf.DUMMYFUNCTION("""COMPUTED_VALUE"""),"")</f>
        <v/>
      </c>
      <c r="H405" s="472" t="str">
        <f ca="1">IFERROR(__xludf.DUMMYFUNCTION("""COMPUTED_VALUE"""),"")</f>
        <v/>
      </c>
      <c r="I405" s="472" t="str">
        <f ca="1">IFERROR(__xludf.DUMMYFUNCTION("""COMPUTED_VALUE"""),"")</f>
        <v/>
      </c>
      <c r="J405" s="472" t="str">
        <f ca="1">IFERROR(__xludf.DUMMYFUNCTION("""COMPUTED_VALUE"""),"")</f>
        <v/>
      </c>
    </row>
    <row r="406" spans="1:10" ht="15.75">
      <c r="A406" s="472" t="str">
        <f ca="1">IFERROR(__xludf.DUMMYFUNCTION("""COMPUTED_VALUE"""),"")</f>
        <v/>
      </c>
      <c r="B406" s="472" t="str">
        <f ca="1">IFERROR(__xludf.DUMMYFUNCTION("""COMPUTED_VALUE"""),"")</f>
        <v/>
      </c>
      <c r="C406" s="472" t="str">
        <f ca="1">IFERROR(__xludf.DUMMYFUNCTION("""COMPUTED_VALUE"""),"")</f>
        <v/>
      </c>
      <c r="D406" s="472" t="str">
        <f ca="1">IFERROR(__xludf.DUMMYFUNCTION("""COMPUTED_VALUE"""),"")</f>
        <v/>
      </c>
      <c r="E406" s="472" t="str">
        <f ca="1">IFERROR(__xludf.DUMMYFUNCTION("""COMPUTED_VALUE"""),"")</f>
        <v/>
      </c>
      <c r="F406" s="472" t="str">
        <f ca="1">IFERROR(__xludf.DUMMYFUNCTION("""COMPUTED_VALUE"""),"")</f>
        <v/>
      </c>
      <c r="G406" s="472" t="str">
        <f ca="1">IFERROR(__xludf.DUMMYFUNCTION("""COMPUTED_VALUE"""),"")</f>
        <v/>
      </c>
      <c r="H406" s="472" t="str">
        <f ca="1">IFERROR(__xludf.DUMMYFUNCTION("""COMPUTED_VALUE"""),"")</f>
        <v/>
      </c>
      <c r="I406" s="472" t="str">
        <f ca="1">IFERROR(__xludf.DUMMYFUNCTION("""COMPUTED_VALUE"""),"")</f>
        <v/>
      </c>
      <c r="J406" s="472" t="str">
        <f ca="1">IFERROR(__xludf.DUMMYFUNCTION("""COMPUTED_VALUE"""),"")</f>
        <v/>
      </c>
    </row>
    <row r="407" spans="1:10" ht="15.75">
      <c r="A407" s="472" t="str">
        <f ca="1">IFERROR(__xludf.DUMMYFUNCTION("""COMPUTED_VALUE"""),"")</f>
        <v/>
      </c>
      <c r="B407" s="472" t="str">
        <f ca="1">IFERROR(__xludf.DUMMYFUNCTION("""COMPUTED_VALUE"""),"")</f>
        <v/>
      </c>
      <c r="C407" s="472" t="str">
        <f ca="1">IFERROR(__xludf.DUMMYFUNCTION("""COMPUTED_VALUE"""),"")</f>
        <v/>
      </c>
      <c r="D407" s="472" t="str">
        <f ca="1">IFERROR(__xludf.DUMMYFUNCTION("""COMPUTED_VALUE"""),"")</f>
        <v/>
      </c>
      <c r="E407" s="472" t="str">
        <f ca="1">IFERROR(__xludf.DUMMYFUNCTION("""COMPUTED_VALUE"""),"")</f>
        <v/>
      </c>
      <c r="F407" s="472" t="str">
        <f ca="1">IFERROR(__xludf.DUMMYFUNCTION("""COMPUTED_VALUE"""),"")</f>
        <v/>
      </c>
      <c r="G407" s="472" t="str">
        <f ca="1">IFERROR(__xludf.DUMMYFUNCTION("""COMPUTED_VALUE"""),"")</f>
        <v/>
      </c>
      <c r="H407" s="472" t="str">
        <f ca="1">IFERROR(__xludf.DUMMYFUNCTION("""COMPUTED_VALUE"""),"")</f>
        <v/>
      </c>
      <c r="I407" s="472" t="str">
        <f ca="1">IFERROR(__xludf.DUMMYFUNCTION("""COMPUTED_VALUE"""),"")</f>
        <v/>
      </c>
      <c r="J407" s="472" t="str">
        <f ca="1">IFERROR(__xludf.DUMMYFUNCTION("""COMPUTED_VALUE"""),"")</f>
        <v/>
      </c>
    </row>
    <row r="408" spans="1:10" ht="15.75">
      <c r="A408" s="472" t="str">
        <f ca="1">IFERROR(__xludf.DUMMYFUNCTION("""COMPUTED_VALUE"""),"")</f>
        <v/>
      </c>
      <c r="B408" s="472" t="str">
        <f ca="1">IFERROR(__xludf.DUMMYFUNCTION("""COMPUTED_VALUE"""),"")</f>
        <v/>
      </c>
      <c r="C408" s="472" t="str">
        <f ca="1">IFERROR(__xludf.DUMMYFUNCTION("""COMPUTED_VALUE"""),"")</f>
        <v/>
      </c>
      <c r="D408" s="472" t="str">
        <f ca="1">IFERROR(__xludf.DUMMYFUNCTION("""COMPUTED_VALUE"""),"")</f>
        <v/>
      </c>
      <c r="E408" s="472" t="str">
        <f ca="1">IFERROR(__xludf.DUMMYFUNCTION("""COMPUTED_VALUE"""),"")</f>
        <v/>
      </c>
      <c r="F408" s="472" t="str">
        <f ca="1">IFERROR(__xludf.DUMMYFUNCTION("""COMPUTED_VALUE"""),"")</f>
        <v/>
      </c>
      <c r="G408" s="472" t="str">
        <f ca="1">IFERROR(__xludf.DUMMYFUNCTION("""COMPUTED_VALUE"""),"")</f>
        <v/>
      </c>
      <c r="H408" s="472" t="str">
        <f ca="1">IFERROR(__xludf.DUMMYFUNCTION("""COMPUTED_VALUE"""),"")</f>
        <v/>
      </c>
      <c r="I408" s="472" t="str">
        <f ca="1">IFERROR(__xludf.DUMMYFUNCTION("""COMPUTED_VALUE"""),"")</f>
        <v/>
      </c>
      <c r="J408" s="472" t="str">
        <f ca="1">IFERROR(__xludf.DUMMYFUNCTION("""COMPUTED_VALUE"""),"")</f>
        <v/>
      </c>
    </row>
    <row r="409" spans="1:10" ht="15.75">
      <c r="A409" s="472" t="str">
        <f ca="1">IFERROR(__xludf.DUMMYFUNCTION("""COMPUTED_VALUE"""),"")</f>
        <v/>
      </c>
      <c r="B409" s="472" t="str">
        <f ca="1">IFERROR(__xludf.DUMMYFUNCTION("""COMPUTED_VALUE"""),"")</f>
        <v/>
      </c>
      <c r="C409" s="472" t="str">
        <f ca="1">IFERROR(__xludf.DUMMYFUNCTION("""COMPUTED_VALUE"""),"")</f>
        <v/>
      </c>
      <c r="D409" s="472" t="str">
        <f ca="1">IFERROR(__xludf.DUMMYFUNCTION("""COMPUTED_VALUE"""),"")</f>
        <v/>
      </c>
      <c r="E409" s="472" t="str">
        <f ca="1">IFERROR(__xludf.DUMMYFUNCTION("""COMPUTED_VALUE"""),"")</f>
        <v/>
      </c>
      <c r="F409" s="472" t="str">
        <f ca="1">IFERROR(__xludf.DUMMYFUNCTION("""COMPUTED_VALUE"""),"")</f>
        <v/>
      </c>
      <c r="G409" s="472" t="str">
        <f ca="1">IFERROR(__xludf.DUMMYFUNCTION("""COMPUTED_VALUE"""),"")</f>
        <v/>
      </c>
      <c r="H409" s="472" t="str">
        <f ca="1">IFERROR(__xludf.DUMMYFUNCTION("""COMPUTED_VALUE"""),"")</f>
        <v/>
      </c>
      <c r="I409" s="472" t="str">
        <f ca="1">IFERROR(__xludf.DUMMYFUNCTION("""COMPUTED_VALUE"""),"")</f>
        <v/>
      </c>
      <c r="J409" s="472" t="str">
        <f ca="1">IFERROR(__xludf.DUMMYFUNCTION("""COMPUTED_VALUE"""),"")</f>
        <v/>
      </c>
    </row>
    <row r="410" spans="1:10" ht="15.75">
      <c r="C410" s="472" t="str">
        <f ca="1">IFERROR(__xludf.DUMMYFUNCTION("""COMPUTED_VALUE"""),"")</f>
        <v/>
      </c>
      <c r="D410" s="472" t="str">
        <f ca="1">IFERROR(__xludf.DUMMYFUNCTION("""COMPUTED_VALUE"""),"")</f>
        <v/>
      </c>
      <c r="E410" s="472" t="str">
        <f ca="1">IFERROR(__xludf.DUMMYFUNCTION("""COMPUTED_VALUE"""),"")</f>
        <v/>
      </c>
      <c r="F410" s="472" t="str">
        <f ca="1">IFERROR(__xludf.DUMMYFUNCTION("""COMPUTED_VALUE"""),"")</f>
        <v/>
      </c>
      <c r="G410" s="472" t="str">
        <f ca="1">IFERROR(__xludf.DUMMYFUNCTION("""COMPUTED_VALUE"""),"")</f>
        <v/>
      </c>
      <c r="H410" s="472" t="str">
        <f ca="1">IFERROR(__xludf.DUMMYFUNCTION("""COMPUTED_VALUE"""),"")</f>
        <v/>
      </c>
      <c r="I410" s="472" t="str">
        <f ca="1">IFERROR(__xludf.DUMMYFUNCTION("""COMPUTED_VALUE"""),"")</f>
        <v/>
      </c>
      <c r="J410" s="472" t="str">
        <f ca="1">IFERROR(__xludf.DUMMYFUNCTION("""COMPUTED_VALUE"""),"")</f>
        <v/>
      </c>
    </row>
  </sheetData>
  <autoFilter ref="A1:AA497" xr:uid="{00000000-0009-0000-0000-000004000000}"/>
  <sortState xmlns:xlrd2="http://schemas.microsoft.com/office/spreadsheetml/2017/richdata2" ref="A2:P43">
    <sortCondition ref="P2:P43"/>
  </sortState>
  <mergeCells count="2">
    <mergeCell ref="A55:B55"/>
    <mergeCell ref="D55:G55"/>
  </mergeCells>
  <phoneticPr fontId="17"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538"/>
  <sheetViews>
    <sheetView zoomScale="70" zoomScaleNormal="70" workbookViewId="0">
      <selection activeCell="G26" sqref="G26"/>
    </sheetView>
  </sheetViews>
  <sheetFormatPr defaultColWidth="12.625" defaultRowHeight="15" customHeight="1"/>
  <cols>
    <col min="1" max="1" width="36.125" style="28" customWidth="1"/>
    <col min="2" max="2" width="12.5" style="28" customWidth="1"/>
    <col min="3" max="3" width="10.875" style="28" customWidth="1"/>
    <col min="4" max="4" width="15.75" style="28" customWidth="1"/>
    <col min="5" max="5" width="22.25" style="28" customWidth="1"/>
    <col min="6" max="6" width="19.625" style="28" customWidth="1"/>
    <col min="7" max="7" width="21.125" style="28" customWidth="1"/>
    <col min="8" max="8" width="7.25" style="28" customWidth="1"/>
    <col min="9" max="9" width="15.5" style="28" customWidth="1"/>
    <col min="10" max="10" width="15.625" style="28" hidden="1" customWidth="1"/>
    <col min="11" max="13" width="0" hidden="1" customWidth="1"/>
    <col min="14" max="14" width="0" style="31" hidden="1" customWidth="1"/>
    <col min="16" max="16" width="12.625" style="28"/>
    <col min="17" max="22" width="0" style="28" hidden="1" customWidth="1"/>
    <col min="23" max="23" width="4.875" style="28" hidden="1" customWidth="1"/>
    <col min="24" max="16384" width="12.625" style="28"/>
  </cols>
  <sheetData>
    <row r="1" spans="1:27" s="236" customFormat="1" ht="60">
      <c r="A1" s="166" t="s">
        <v>1224</v>
      </c>
      <c r="B1" s="166" t="s">
        <v>1225</v>
      </c>
      <c r="C1" s="166" t="s">
        <v>1228</v>
      </c>
      <c r="D1" s="166" t="s">
        <v>1246</v>
      </c>
      <c r="E1" s="166" t="s">
        <v>1247</v>
      </c>
      <c r="F1" s="166" t="s">
        <v>1248</v>
      </c>
      <c r="G1" s="166" t="s">
        <v>18</v>
      </c>
      <c r="H1" s="166" t="s">
        <v>1249</v>
      </c>
      <c r="I1" s="166" t="s">
        <v>1250</v>
      </c>
      <c r="J1" s="166" t="s">
        <v>10</v>
      </c>
      <c r="K1" s="167" t="s">
        <v>3651</v>
      </c>
      <c r="L1" s="167" t="s">
        <v>3652</v>
      </c>
      <c r="M1" s="167" t="s">
        <v>3653</v>
      </c>
      <c r="N1" s="167" t="s">
        <v>3654</v>
      </c>
      <c r="O1" s="235">
        <v>43991</v>
      </c>
      <c r="P1" s="53" t="s">
        <v>3655</v>
      </c>
      <c r="Q1" s="89" t="s">
        <v>3656</v>
      </c>
      <c r="R1" s="53"/>
      <c r="S1" s="53" t="s">
        <v>3657</v>
      </c>
      <c r="T1" s="167" t="s">
        <v>3658</v>
      </c>
    </row>
    <row r="2" spans="1:27" s="57" customFormat="1">
      <c r="A2" s="181" t="s">
        <v>2478</v>
      </c>
      <c r="B2" s="181" t="s">
        <v>2423</v>
      </c>
      <c r="C2" s="181" t="s">
        <v>2277</v>
      </c>
      <c r="D2" s="181" t="s">
        <v>2479</v>
      </c>
      <c r="E2" s="181" t="s">
        <v>2480</v>
      </c>
      <c r="F2" s="181" t="s">
        <v>2280</v>
      </c>
      <c r="G2" s="181" t="s">
        <v>18</v>
      </c>
      <c r="H2" s="181" t="s">
        <v>1298</v>
      </c>
      <c r="I2" s="181">
        <v>97</v>
      </c>
      <c r="J2" s="181" t="s">
        <v>3659</v>
      </c>
      <c r="K2" s="142">
        <v>2.6944444444444446</v>
      </c>
      <c r="L2" s="142">
        <v>3.4444444444444446</v>
      </c>
      <c r="M2" s="219">
        <v>5</v>
      </c>
      <c r="N2" s="132">
        <v>1</v>
      </c>
      <c r="O2" s="70">
        <f>$O$1+N2</f>
        <v>43992</v>
      </c>
      <c r="P2" s="145" t="s">
        <v>3679</v>
      </c>
      <c r="Q2" s="144">
        <f>ROUNDUP(I2/$R$2,0)</f>
        <v>2</v>
      </c>
      <c r="R2" s="181">
        <v>50</v>
      </c>
      <c r="S2" s="181" t="s">
        <v>3661</v>
      </c>
      <c r="T2" s="181">
        <v>3</v>
      </c>
      <c r="U2" s="181"/>
      <c r="V2" s="181"/>
      <c r="W2" s="181"/>
      <c r="X2" s="181"/>
      <c r="Y2" s="181"/>
      <c r="Z2" s="181"/>
      <c r="AA2" s="181"/>
    </row>
    <row r="3" spans="1:27" s="57" customFormat="1">
      <c r="A3" s="181" t="s">
        <v>534</v>
      </c>
      <c r="B3" s="181" t="s">
        <v>2274</v>
      </c>
      <c r="C3" s="181" t="s">
        <v>2277</v>
      </c>
      <c r="D3" s="181" t="s">
        <v>537</v>
      </c>
      <c r="E3" s="181" t="s">
        <v>2279</v>
      </c>
      <c r="F3" s="181" t="s">
        <v>2280</v>
      </c>
      <c r="G3" s="181" t="s">
        <v>18</v>
      </c>
      <c r="H3" s="181" t="s">
        <v>30</v>
      </c>
      <c r="I3" s="181">
        <v>80</v>
      </c>
      <c r="J3" s="181" t="s">
        <v>538</v>
      </c>
      <c r="K3" s="142">
        <v>2.2222222222222223</v>
      </c>
      <c r="L3" s="142">
        <v>2.9722222222222223</v>
      </c>
      <c r="M3" s="219"/>
      <c r="N3" s="132">
        <v>1</v>
      </c>
      <c r="O3" s="70">
        <f t="shared" ref="O3:O18" si="0">$O$1+N3</f>
        <v>43992</v>
      </c>
      <c r="P3" s="145" t="s">
        <v>3737</v>
      </c>
      <c r="Q3" s="144">
        <f t="shared" ref="Q3:Q66" si="1">ROUNDUP(I3/$R$2,0)</f>
        <v>2</v>
      </c>
      <c r="R3" s="181"/>
      <c r="S3" s="181"/>
      <c r="U3" s="181"/>
      <c r="V3" s="181"/>
      <c r="W3" s="181"/>
      <c r="X3" s="181"/>
      <c r="Y3" s="181"/>
      <c r="Z3" s="181"/>
      <c r="AA3" s="181"/>
    </row>
    <row r="4" spans="1:27" s="55" customFormat="1">
      <c r="A4" s="181" t="s">
        <v>45</v>
      </c>
      <c r="B4" s="181" t="s">
        <v>1323</v>
      </c>
      <c r="C4" s="181" t="s">
        <v>1325</v>
      </c>
      <c r="D4" s="181" t="s">
        <v>1329</v>
      </c>
      <c r="E4" s="181" t="s">
        <v>1330</v>
      </c>
      <c r="F4" s="181" t="s">
        <v>1331</v>
      </c>
      <c r="G4" s="181" t="s">
        <v>18</v>
      </c>
      <c r="H4" s="181" t="s">
        <v>30</v>
      </c>
      <c r="I4" s="181">
        <v>60</v>
      </c>
      <c r="J4" s="181" t="s">
        <v>49</v>
      </c>
      <c r="K4" s="142">
        <v>1.6666666666666667</v>
      </c>
      <c r="L4" s="142">
        <v>2.416666666666667</v>
      </c>
      <c r="M4" s="219"/>
      <c r="N4" s="132">
        <v>2</v>
      </c>
      <c r="O4" s="70">
        <f t="shared" si="0"/>
        <v>43993</v>
      </c>
      <c r="P4" s="174" t="s">
        <v>3664</v>
      </c>
      <c r="Q4" s="144">
        <f t="shared" si="1"/>
        <v>2</v>
      </c>
      <c r="R4" s="143"/>
      <c r="S4" s="143"/>
      <c r="T4" s="143"/>
      <c r="U4" s="143"/>
      <c r="V4" s="143"/>
      <c r="W4" s="143"/>
      <c r="X4" s="143"/>
      <c r="Y4" s="143"/>
      <c r="Z4" s="143"/>
      <c r="AA4" s="143"/>
    </row>
    <row r="5" spans="1:27" s="57" customFormat="1">
      <c r="A5" s="181" t="s">
        <v>112</v>
      </c>
      <c r="B5" s="181"/>
      <c r="C5" s="181" t="s">
        <v>1430</v>
      </c>
      <c r="D5" s="181" t="s">
        <v>1432</v>
      </c>
      <c r="E5" s="181" t="s">
        <v>1433</v>
      </c>
      <c r="F5" s="181" t="s">
        <v>1434</v>
      </c>
      <c r="G5" s="181" t="s">
        <v>18</v>
      </c>
      <c r="H5" s="181" t="s">
        <v>30</v>
      </c>
      <c r="I5" s="181">
        <v>150</v>
      </c>
      <c r="J5" s="181" t="s">
        <v>116</v>
      </c>
      <c r="K5" s="142">
        <v>4.166666666666667</v>
      </c>
      <c r="L5" s="142">
        <v>4.916666666666667</v>
      </c>
      <c r="M5" s="223"/>
      <c r="N5" s="132">
        <v>2</v>
      </c>
      <c r="O5" s="70">
        <f t="shared" si="0"/>
        <v>43993</v>
      </c>
      <c r="P5" s="145" t="s">
        <v>3738</v>
      </c>
      <c r="Q5" s="144">
        <f t="shared" si="1"/>
        <v>3</v>
      </c>
      <c r="R5" s="181"/>
      <c r="S5" s="181"/>
      <c r="T5" s="181"/>
      <c r="U5" s="181"/>
      <c r="V5" s="181"/>
      <c r="W5" s="181"/>
      <c r="X5" s="181"/>
      <c r="Y5" s="181"/>
      <c r="Z5" s="181"/>
      <c r="AA5" s="181"/>
    </row>
    <row r="6" spans="1:27" s="57" customFormat="1">
      <c r="A6" s="181" t="s">
        <v>1521</v>
      </c>
      <c r="B6" s="181" t="s">
        <v>343</v>
      </c>
      <c r="C6" s="181" t="s">
        <v>1430</v>
      </c>
      <c r="D6" s="181" t="s">
        <v>1522</v>
      </c>
      <c r="E6" s="181" t="s">
        <v>1523</v>
      </c>
      <c r="F6" s="181" t="s">
        <v>1434</v>
      </c>
      <c r="G6" s="181" t="s">
        <v>18</v>
      </c>
      <c r="H6" s="181" t="s">
        <v>1298</v>
      </c>
      <c r="I6" s="181">
        <v>125</v>
      </c>
      <c r="J6" s="181" t="s">
        <v>3659</v>
      </c>
      <c r="K6" s="142">
        <v>3.4722222222222223</v>
      </c>
      <c r="L6" s="142">
        <v>4.2222222222222223</v>
      </c>
      <c r="M6" s="223"/>
      <c r="N6" s="132">
        <v>3</v>
      </c>
      <c r="O6" s="70">
        <f t="shared" si="0"/>
        <v>43994</v>
      </c>
      <c r="P6" s="145" t="s">
        <v>3739</v>
      </c>
      <c r="Q6" s="144">
        <f t="shared" si="1"/>
        <v>3</v>
      </c>
      <c r="R6" s="181"/>
      <c r="S6" s="181"/>
      <c r="T6" s="181"/>
      <c r="U6" s="181"/>
      <c r="V6" s="181"/>
      <c r="W6" s="181"/>
      <c r="X6" s="181"/>
      <c r="Y6" s="181"/>
      <c r="Z6" s="181"/>
      <c r="AA6" s="181"/>
    </row>
    <row r="7" spans="1:27" s="57" customFormat="1">
      <c r="A7" s="181" t="s">
        <v>2454</v>
      </c>
      <c r="B7" s="181" t="s">
        <v>2423</v>
      </c>
      <c r="C7" s="181" t="s">
        <v>1430</v>
      </c>
      <c r="D7" s="181" t="s">
        <v>2456</v>
      </c>
      <c r="E7" s="181" t="s">
        <v>2457</v>
      </c>
      <c r="F7" s="181" t="s">
        <v>2458</v>
      </c>
      <c r="G7" s="181" t="s">
        <v>18</v>
      </c>
      <c r="H7" s="181" t="s">
        <v>1298</v>
      </c>
      <c r="I7" s="181">
        <v>87</v>
      </c>
      <c r="J7" s="181" t="s">
        <v>3659</v>
      </c>
      <c r="K7" s="142">
        <v>2.4166666666666665</v>
      </c>
      <c r="L7" s="142">
        <v>3.1666666666666665</v>
      </c>
      <c r="M7" s="223"/>
      <c r="N7" s="132">
        <v>3</v>
      </c>
      <c r="O7" s="70">
        <f t="shared" si="0"/>
        <v>43994</v>
      </c>
      <c r="P7" s="145" t="s">
        <v>3663</v>
      </c>
      <c r="Q7" s="144">
        <f t="shared" si="1"/>
        <v>2</v>
      </c>
      <c r="R7" s="181"/>
      <c r="S7" s="181"/>
      <c r="T7" s="181"/>
      <c r="U7" s="181"/>
      <c r="V7" s="181"/>
      <c r="W7" s="181"/>
      <c r="X7" s="181"/>
      <c r="Y7" s="181"/>
      <c r="Z7" s="181"/>
      <c r="AA7" s="181"/>
    </row>
    <row r="8" spans="1:27" s="57" customFormat="1">
      <c r="A8" s="181" t="s">
        <v>1067</v>
      </c>
      <c r="B8" s="181" t="s">
        <v>2320</v>
      </c>
      <c r="C8" s="181" t="s">
        <v>1453</v>
      </c>
      <c r="D8" s="181" t="s">
        <v>581</v>
      </c>
      <c r="E8" s="181" t="s">
        <v>2322</v>
      </c>
      <c r="F8" s="181" t="s">
        <v>2323</v>
      </c>
      <c r="G8" s="181" t="s">
        <v>18</v>
      </c>
      <c r="H8" s="181"/>
      <c r="I8" s="181">
        <v>152</v>
      </c>
      <c r="J8" s="181" t="s">
        <v>3665</v>
      </c>
      <c r="K8" s="142">
        <v>4.2222222222222223</v>
      </c>
      <c r="L8" s="142">
        <v>4.9722222222222223</v>
      </c>
      <c r="M8" s="223"/>
      <c r="N8" s="144">
        <v>4</v>
      </c>
      <c r="O8" s="70">
        <f t="shared" si="0"/>
        <v>43995</v>
      </c>
      <c r="P8" s="145" t="s">
        <v>3660</v>
      </c>
      <c r="Q8" s="144">
        <f t="shared" si="1"/>
        <v>4</v>
      </c>
      <c r="R8" s="181"/>
      <c r="S8" s="181"/>
      <c r="T8" s="181"/>
      <c r="U8" s="181"/>
      <c r="V8" s="181"/>
      <c r="W8" s="181"/>
      <c r="X8" s="181"/>
      <c r="Y8" s="181"/>
      <c r="Z8" s="181"/>
      <c r="AA8" s="181"/>
    </row>
    <row r="9" spans="1:27" s="57" customFormat="1">
      <c r="A9" s="181" t="s">
        <v>2659</v>
      </c>
      <c r="B9" s="181" t="s">
        <v>1312</v>
      </c>
      <c r="C9" s="181" t="s">
        <v>1453</v>
      </c>
      <c r="D9" s="181" t="s">
        <v>2660</v>
      </c>
      <c r="E9" s="181" t="s">
        <v>2661</v>
      </c>
      <c r="F9" s="181" t="s">
        <v>2170</v>
      </c>
      <c r="G9" s="181" t="s">
        <v>18</v>
      </c>
      <c r="H9" s="181" t="s">
        <v>1298</v>
      </c>
      <c r="I9" s="181">
        <v>116</v>
      </c>
      <c r="J9" s="181" t="s">
        <v>3659</v>
      </c>
      <c r="K9" s="142">
        <v>3.2222222222222223</v>
      </c>
      <c r="L9" s="142">
        <v>3.9722222222222223</v>
      </c>
      <c r="M9" s="223"/>
      <c r="N9" s="132">
        <v>4</v>
      </c>
      <c r="O9" s="70">
        <f t="shared" si="0"/>
        <v>43995</v>
      </c>
      <c r="P9" s="145" t="s">
        <v>3685</v>
      </c>
      <c r="Q9" s="144">
        <f t="shared" si="1"/>
        <v>3</v>
      </c>
      <c r="R9" s="181"/>
      <c r="S9" s="181"/>
      <c r="T9" s="181"/>
      <c r="U9" s="181"/>
      <c r="V9" s="181"/>
      <c r="W9" s="181"/>
      <c r="X9" s="181"/>
      <c r="Y9" s="181"/>
      <c r="Z9" s="181"/>
      <c r="AA9" s="181"/>
    </row>
    <row r="10" spans="1:27" s="55" customFormat="1">
      <c r="A10" s="181" t="s">
        <v>2166</v>
      </c>
      <c r="B10" s="181" t="s">
        <v>2148</v>
      </c>
      <c r="C10" s="181" t="s">
        <v>1453</v>
      </c>
      <c r="D10" s="181" t="s">
        <v>2168</v>
      </c>
      <c r="E10" s="181" t="s">
        <v>2169</v>
      </c>
      <c r="F10" s="181" t="s">
        <v>2170</v>
      </c>
      <c r="G10" s="181" t="s">
        <v>18</v>
      </c>
      <c r="H10" s="181" t="s">
        <v>1298</v>
      </c>
      <c r="I10" s="181">
        <v>35</v>
      </c>
      <c r="J10" s="181" t="s">
        <v>3659</v>
      </c>
      <c r="K10" s="142">
        <v>0.97222222222222221</v>
      </c>
      <c r="L10" s="142">
        <v>1.7222222222222223</v>
      </c>
      <c r="M10" s="223"/>
      <c r="N10" s="132">
        <v>6</v>
      </c>
      <c r="O10" s="70">
        <f t="shared" si="0"/>
        <v>43997</v>
      </c>
      <c r="P10" s="174" t="s">
        <v>3728</v>
      </c>
      <c r="Q10" s="144">
        <f t="shared" si="1"/>
        <v>1</v>
      </c>
      <c r="R10" s="143"/>
      <c r="S10" s="143"/>
      <c r="T10" s="143"/>
      <c r="U10" s="143"/>
      <c r="V10" s="143"/>
      <c r="W10" s="143"/>
      <c r="X10" s="143"/>
      <c r="Y10" s="143"/>
      <c r="Z10" s="143"/>
      <c r="AA10" s="143"/>
    </row>
    <row r="11" spans="1:27" s="55" customFormat="1">
      <c r="A11" s="181" t="s">
        <v>1451</v>
      </c>
      <c r="B11" s="181" t="s">
        <v>343</v>
      </c>
      <c r="C11" s="181" t="s">
        <v>1453</v>
      </c>
      <c r="D11" s="181" t="s">
        <v>1454</v>
      </c>
      <c r="E11" s="181" t="s">
        <v>1455</v>
      </c>
      <c r="F11" s="181" t="s">
        <v>1456</v>
      </c>
      <c r="G11" s="181" t="s">
        <v>18</v>
      </c>
      <c r="H11" s="181" t="s">
        <v>1298</v>
      </c>
      <c r="I11" s="181">
        <v>80</v>
      </c>
      <c r="J11" s="181" t="s">
        <v>3659</v>
      </c>
      <c r="K11" s="142">
        <v>2.2222222222222223</v>
      </c>
      <c r="L11" s="142">
        <v>2.9722222222222223</v>
      </c>
      <c r="M11" s="223"/>
      <c r="N11" s="132">
        <v>6</v>
      </c>
      <c r="O11" s="70">
        <f t="shared" si="0"/>
        <v>43997</v>
      </c>
      <c r="P11" s="174" t="s">
        <v>3743</v>
      </c>
      <c r="Q11" s="144">
        <f t="shared" si="1"/>
        <v>2</v>
      </c>
      <c r="R11" s="143"/>
      <c r="S11" s="143"/>
      <c r="T11" s="143"/>
      <c r="U11" s="143"/>
      <c r="V11" s="143"/>
      <c r="W11" s="143"/>
      <c r="X11" s="143"/>
      <c r="Y11" s="143"/>
      <c r="Z11" s="143"/>
      <c r="AA11" s="143"/>
    </row>
    <row r="12" spans="1:27" s="55" customFormat="1">
      <c r="A12" s="181" t="s">
        <v>686</v>
      </c>
      <c r="B12" s="181" t="s">
        <v>1527</v>
      </c>
      <c r="C12" s="181" t="s">
        <v>1453</v>
      </c>
      <c r="D12" s="181" t="s">
        <v>2619</v>
      </c>
      <c r="E12" s="181" t="s">
        <v>2620</v>
      </c>
      <c r="F12" s="181" t="s">
        <v>2621</v>
      </c>
      <c r="G12" s="181" t="s">
        <v>18</v>
      </c>
      <c r="H12" s="181" t="s">
        <v>30</v>
      </c>
      <c r="I12" s="181">
        <v>65</v>
      </c>
      <c r="J12" s="181" t="s">
        <v>3659</v>
      </c>
      <c r="K12" s="142">
        <v>1.8055555555555556</v>
      </c>
      <c r="L12" s="142">
        <v>2.5555555555555554</v>
      </c>
      <c r="M12" s="223"/>
      <c r="N12" s="144">
        <v>7</v>
      </c>
      <c r="O12" s="70">
        <f t="shared" si="0"/>
        <v>43998</v>
      </c>
      <c r="P12" s="174" t="s">
        <v>3724</v>
      </c>
      <c r="Q12" s="144">
        <f t="shared" si="1"/>
        <v>2</v>
      </c>
      <c r="R12" s="143"/>
      <c r="S12" s="143"/>
      <c r="T12" s="143"/>
      <c r="U12" s="143"/>
      <c r="V12" s="143"/>
      <c r="W12" s="143"/>
      <c r="X12" s="143"/>
      <c r="Y12" s="143"/>
      <c r="Z12" s="143"/>
      <c r="AA12" s="143"/>
    </row>
    <row r="13" spans="1:27" s="55" customFormat="1">
      <c r="A13" s="181" t="s">
        <v>1640</v>
      </c>
      <c r="B13" s="181"/>
      <c r="C13" s="181" t="s">
        <v>1252</v>
      </c>
      <c r="D13" s="181" t="s">
        <v>1643</v>
      </c>
      <c r="E13" s="181" t="s">
        <v>1644</v>
      </c>
      <c r="F13" s="181" t="s">
        <v>1645</v>
      </c>
      <c r="G13" s="181" t="s">
        <v>18</v>
      </c>
      <c r="H13" s="181" t="s">
        <v>19</v>
      </c>
      <c r="I13" s="181">
        <v>135</v>
      </c>
      <c r="J13" s="181" t="s">
        <v>3665</v>
      </c>
      <c r="K13" s="142">
        <v>3.75</v>
      </c>
      <c r="L13" s="142">
        <v>4.5</v>
      </c>
      <c r="M13" s="223"/>
      <c r="N13" s="144">
        <v>7</v>
      </c>
      <c r="O13" s="70">
        <f t="shared" si="0"/>
        <v>43998</v>
      </c>
      <c r="P13" s="174" t="s">
        <v>3738</v>
      </c>
      <c r="Q13" s="144">
        <f t="shared" si="1"/>
        <v>3</v>
      </c>
      <c r="R13" s="143"/>
      <c r="S13" s="143"/>
      <c r="T13" s="143"/>
      <c r="U13" s="143"/>
      <c r="V13" s="143"/>
      <c r="W13" s="143"/>
      <c r="X13" s="143"/>
      <c r="Y13" s="143"/>
      <c r="Z13" s="143"/>
      <c r="AA13" s="143"/>
    </row>
    <row r="14" spans="1:27" s="57" customFormat="1">
      <c r="A14" s="181" t="s">
        <v>2422</v>
      </c>
      <c r="B14" s="181" t="s">
        <v>2423</v>
      </c>
      <c r="C14" s="181" t="s">
        <v>2425</v>
      </c>
      <c r="D14" s="181" t="s">
        <v>2427</v>
      </c>
      <c r="E14" s="181" t="s">
        <v>2428</v>
      </c>
      <c r="F14" s="181" t="s">
        <v>2429</v>
      </c>
      <c r="G14" s="181" t="s">
        <v>18</v>
      </c>
      <c r="H14" s="181" t="s">
        <v>1298</v>
      </c>
      <c r="I14" s="181">
        <v>93</v>
      </c>
      <c r="J14" s="181" t="s">
        <v>3659</v>
      </c>
      <c r="K14" s="142">
        <v>2.5833333333333335</v>
      </c>
      <c r="L14" s="142">
        <v>3.3333333333333335</v>
      </c>
      <c r="M14" s="223"/>
      <c r="N14" s="144">
        <v>8</v>
      </c>
      <c r="O14" s="70">
        <f t="shared" si="0"/>
        <v>43999</v>
      </c>
      <c r="P14" s="145" t="s">
        <v>3720</v>
      </c>
      <c r="Q14" s="144">
        <f t="shared" si="1"/>
        <v>2</v>
      </c>
      <c r="R14" s="181"/>
      <c r="S14" s="181"/>
      <c r="T14" s="181"/>
      <c r="U14" s="181"/>
      <c r="V14" s="181"/>
      <c r="W14" s="181"/>
      <c r="X14" s="181"/>
      <c r="Y14" s="181"/>
      <c r="Z14" s="181"/>
      <c r="AA14" s="181"/>
    </row>
    <row r="15" spans="1:27" s="55" customFormat="1">
      <c r="A15" s="181" t="s">
        <v>2438</v>
      </c>
      <c r="B15" s="181" t="s">
        <v>2423</v>
      </c>
      <c r="C15" s="181" t="s">
        <v>2425</v>
      </c>
      <c r="D15" s="181" t="s">
        <v>2439</v>
      </c>
      <c r="E15" s="181" t="s">
        <v>2440</v>
      </c>
      <c r="F15" s="181" t="s">
        <v>2429</v>
      </c>
      <c r="G15" s="181" t="s">
        <v>18</v>
      </c>
      <c r="H15" s="181" t="s">
        <v>1298</v>
      </c>
      <c r="I15" s="181">
        <v>54</v>
      </c>
      <c r="J15" s="181" t="s">
        <v>3659</v>
      </c>
      <c r="K15" s="142">
        <v>1.5</v>
      </c>
      <c r="L15" s="142">
        <v>2.25</v>
      </c>
      <c r="M15" s="223"/>
      <c r="N15" s="132">
        <v>8</v>
      </c>
      <c r="O15" s="70">
        <f t="shared" si="0"/>
        <v>43999</v>
      </c>
      <c r="P15" s="174" t="s">
        <v>3744</v>
      </c>
      <c r="Q15" s="144">
        <f t="shared" si="1"/>
        <v>2</v>
      </c>
      <c r="R15" s="143"/>
      <c r="S15" s="143"/>
      <c r="T15" s="143"/>
      <c r="U15" s="143"/>
      <c r="V15" s="143"/>
      <c r="W15" s="143"/>
      <c r="X15" s="143"/>
      <c r="Y15" s="143"/>
      <c r="Z15" s="143"/>
      <c r="AA15" s="143"/>
    </row>
    <row r="16" spans="1:27" s="57" customFormat="1">
      <c r="A16" s="181" t="s">
        <v>574</v>
      </c>
      <c r="B16" s="181"/>
      <c r="C16" s="181" t="s">
        <v>1252</v>
      </c>
      <c r="D16" s="181" t="s">
        <v>577</v>
      </c>
      <c r="E16" s="181" t="s">
        <v>2318</v>
      </c>
      <c r="F16" s="181" t="s">
        <v>2319</v>
      </c>
      <c r="G16" s="181" t="s">
        <v>18</v>
      </c>
      <c r="H16" s="181" t="s">
        <v>30</v>
      </c>
      <c r="I16" s="181">
        <v>325</v>
      </c>
      <c r="J16" s="181" t="s">
        <v>3659</v>
      </c>
      <c r="K16" s="142">
        <v>9.0277777777777786</v>
      </c>
      <c r="L16" s="142">
        <v>9.7777777777777786</v>
      </c>
      <c r="M16" s="223"/>
      <c r="N16" s="132">
        <v>9</v>
      </c>
      <c r="O16" s="70">
        <f t="shared" si="0"/>
        <v>44000</v>
      </c>
      <c r="P16" s="145" t="s">
        <v>3745</v>
      </c>
      <c r="Q16" s="144">
        <f t="shared" si="1"/>
        <v>7</v>
      </c>
      <c r="R16" s="181"/>
      <c r="S16" s="181"/>
      <c r="T16" s="181"/>
      <c r="U16" s="181"/>
      <c r="V16" s="181"/>
      <c r="W16" s="181"/>
      <c r="X16" s="181"/>
      <c r="Y16" s="181"/>
      <c r="Z16" s="181"/>
      <c r="AA16" s="181"/>
    </row>
    <row r="17" spans="1:27" s="55" customFormat="1">
      <c r="A17" s="181" t="s">
        <v>6944</v>
      </c>
      <c r="B17" s="181"/>
      <c r="C17" s="181" t="s">
        <v>1252</v>
      </c>
      <c r="D17" s="181" t="s">
        <v>3300</v>
      </c>
      <c r="E17" s="181" t="s">
        <v>3301</v>
      </c>
      <c r="F17" s="181" t="s">
        <v>1895</v>
      </c>
      <c r="G17" s="181" t="s">
        <v>18</v>
      </c>
      <c r="H17" s="181" t="s">
        <v>30</v>
      </c>
      <c r="I17" s="181">
        <v>76</v>
      </c>
      <c r="J17" s="181" t="s">
        <v>3665</v>
      </c>
      <c r="K17" s="142">
        <v>2.1111111111111112</v>
      </c>
      <c r="L17" s="142">
        <v>2.8611111111111112</v>
      </c>
      <c r="M17" s="223"/>
      <c r="N17" s="132">
        <v>10</v>
      </c>
      <c r="O17" s="70">
        <f t="shared" si="0"/>
        <v>44001</v>
      </c>
      <c r="P17" s="174" t="s">
        <v>3664</v>
      </c>
      <c r="Q17" s="144">
        <f t="shared" si="1"/>
        <v>2</v>
      </c>
      <c r="R17" s="143"/>
      <c r="S17" s="143"/>
      <c r="T17" s="143"/>
      <c r="U17" s="143"/>
      <c r="V17" s="143"/>
      <c r="W17" s="143"/>
      <c r="X17" s="143"/>
      <c r="Y17" s="143"/>
      <c r="Z17" s="143"/>
      <c r="AA17" s="143"/>
    </row>
    <row r="18" spans="1:27" s="55" customFormat="1">
      <c r="A18" s="181" t="s">
        <v>2848</v>
      </c>
      <c r="B18" s="181"/>
      <c r="C18" s="181" t="s">
        <v>1252</v>
      </c>
      <c r="D18" s="181" t="s">
        <v>3746</v>
      </c>
      <c r="E18" s="181" t="s">
        <v>2849</v>
      </c>
      <c r="F18" s="181" t="s">
        <v>3747</v>
      </c>
      <c r="G18" s="181" t="s">
        <v>18</v>
      </c>
      <c r="H18" s="181" t="s">
        <v>19</v>
      </c>
      <c r="I18" s="181">
        <v>300</v>
      </c>
      <c r="J18" s="181" t="s">
        <v>3665</v>
      </c>
      <c r="K18" s="142">
        <v>8.3333333333333339</v>
      </c>
      <c r="L18" s="142">
        <v>9.0833333333333339</v>
      </c>
      <c r="M18" s="223"/>
      <c r="N18" s="132">
        <v>11</v>
      </c>
      <c r="O18" s="70">
        <f t="shared" si="0"/>
        <v>44002</v>
      </c>
      <c r="P18" s="174" t="s">
        <v>3699</v>
      </c>
      <c r="Q18" s="144">
        <f t="shared" si="1"/>
        <v>6</v>
      </c>
      <c r="R18" s="143"/>
      <c r="S18" s="143"/>
      <c r="T18" s="143"/>
      <c r="U18" s="143"/>
      <c r="V18" s="143"/>
      <c r="W18" s="143"/>
      <c r="X18" s="143"/>
      <c r="Y18" s="143"/>
      <c r="Z18" s="143"/>
      <c r="AA18" s="143"/>
    </row>
    <row r="19" spans="1:27" s="59" customFormat="1">
      <c r="A19" s="182" t="s">
        <v>107</v>
      </c>
      <c r="B19" s="182"/>
      <c r="C19" s="182" t="s">
        <v>1252</v>
      </c>
      <c r="D19" s="182" t="s">
        <v>3748</v>
      </c>
      <c r="E19" s="182" t="s">
        <v>1414</v>
      </c>
      <c r="F19" s="182" t="s">
        <v>3749</v>
      </c>
      <c r="G19" s="182" t="s">
        <v>18</v>
      </c>
      <c r="H19" s="182" t="s">
        <v>30</v>
      </c>
      <c r="I19" s="182">
        <v>200</v>
      </c>
      <c r="J19" s="182" t="s">
        <v>111</v>
      </c>
      <c r="K19" s="147">
        <v>5.5555555555555554</v>
      </c>
      <c r="L19" s="147">
        <v>6.3055555555555554</v>
      </c>
      <c r="M19" s="220">
        <v>6</v>
      </c>
      <c r="N19" s="133">
        <v>1</v>
      </c>
      <c r="O19" s="62">
        <f>$O$1+N19</f>
        <v>43992</v>
      </c>
      <c r="P19" s="138" t="s">
        <v>3750</v>
      </c>
      <c r="Q19" s="61">
        <f t="shared" si="1"/>
        <v>4</v>
      </c>
      <c r="R19" s="149"/>
      <c r="S19" s="169" t="s">
        <v>3661</v>
      </c>
      <c r="T19" s="149">
        <v>4</v>
      </c>
      <c r="U19" s="149"/>
      <c r="V19" s="149"/>
      <c r="W19" s="149"/>
      <c r="X19" s="149"/>
      <c r="Y19" s="149"/>
      <c r="Z19" s="149"/>
      <c r="AA19" s="149"/>
    </row>
    <row r="20" spans="1:27" s="59" customFormat="1">
      <c r="A20" s="182" t="s">
        <v>1606</v>
      </c>
      <c r="B20" s="182" t="s">
        <v>343</v>
      </c>
      <c r="C20" s="182" t="s">
        <v>1252</v>
      </c>
      <c r="D20" s="182" t="s">
        <v>1607</v>
      </c>
      <c r="E20" s="182" t="s">
        <v>1608</v>
      </c>
      <c r="F20" s="182" t="s">
        <v>1520</v>
      </c>
      <c r="G20" s="182" t="s">
        <v>18</v>
      </c>
      <c r="H20" s="182" t="s">
        <v>1298</v>
      </c>
      <c r="I20" s="182">
        <v>150</v>
      </c>
      <c r="J20" s="182" t="s">
        <v>3659</v>
      </c>
      <c r="K20" s="147">
        <v>4.166666666666667</v>
      </c>
      <c r="L20" s="147">
        <v>4.916666666666667</v>
      </c>
      <c r="M20" s="224"/>
      <c r="N20" s="61">
        <v>2</v>
      </c>
      <c r="O20" s="62">
        <f t="shared" ref="O20:O58" si="2">$O$1+N20</f>
        <v>43993</v>
      </c>
      <c r="P20" s="138" t="s">
        <v>3752</v>
      </c>
      <c r="Q20" s="61">
        <f t="shared" si="1"/>
        <v>3</v>
      </c>
      <c r="R20" s="149"/>
      <c r="S20" s="149"/>
      <c r="T20" s="149"/>
      <c r="U20" s="149"/>
      <c r="V20" s="149"/>
      <c r="W20" s="149"/>
      <c r="X20" s="149"/>
      <c r="Y20" s="149"/>
      <c r="Z20" s="149"/>
      <c r="AA20" s="149"/>
    </row>
    <row r="21" spans="1:27" s="59" customFormat="1">
      <c r="A21" s="182" t="s">
        <v>415</v>
      </c>
      <c r="B21" s="182"/>
      <c r="C21" s="182" t="s">
        <v>1252</v>
      </c>
      <c r="D21" s="182" t="s">
        <v>2132</v>
      </c>
      <c r="E21" s="182" t="s">
        <v>2133</v>
      </c>
      <c r="F21" s="182" t="s">
        <v>1520</v>
      </c>
      <c r="G21" s="182" t="s">
        <v>18</v>
      </c>
      <c r="H21" s="182" t="s">
        <v>30</v>
      </c>
      <c r="I21" s="182">
        <v>130</v>
      </c>
      <c r="J21" s="182" t="s">
        <v>3659</v>
      </c>
      <c r="K21" s="147">
        <v>3.6111111111111112</v>
      </c>
      <c r="L21" s="147">
        <v>4.3611111111111107</v>
      </c>
      <c r="M21" s="224"/>
      <c r="N21" s="133">
        <v>3</v>
      </c>
      <c r="O21" s="62">
        <f t="shared" si="2"/>
        <v>43994</v>
      </c>
      <c r="P21" s="138" t="s">
        <v>3660</v>
      </c>
      <c r="Q21" s="61">
        <f t="shared" si="1"/>
        <v>3</v>
      </c>
      <c r="R21" s="149"/>
      <c r="S21" s="149"/>
      <c r="T21" s="149"/>
      <c r="U21" s="149"/>
      <c r="V21" s="149"/>
      <c r="W21" s="149"/>
      <c r="X21" s="149"/>
      <c r="Y21" s="149"/>
      <c r="Z21" s="149"/>
      <c r="AA21" s="149"/>
    </row>
    <row r="22" spans="1:27" s="60" customFormat="1">
      <c r="A22" s="182" t="s">
        <v>2138</v>
      </c>
      <c r="B22" s="182" t="s">
        <v>343</v>
      </c>
      <c r="C22" s="182" t="s">
        <v>1252</v>
      </c>
      <c r="D22" s="182" t="s">
        <v>2139</v>
      </c>
      <c r="E22" s="182" t="s">
        <v>2140</v>
      </c>
      <c r="F22" s="182" t="s">
        <v>1895</v>
      </c>
      <c r="G22" s="182" t="s">
        <v>18</v>
      </c>
      <c r="H22" s="182" t="s">
        <v>1298</v>
      </c>
      <c r="I22" s="182">
        <v>240</v>
      </c>
      <c r="J22" s="182" t="s">
        <v>3659</v>
      </c>
      <c r="K22" s="147">
        <v>6.666666666666667</v>
      </c>
      <c r="L22" s="147">
        <v>7.416666666666667</v>
      </c>
      <c r="M22" s="224"/>
      <c r="N22" s="133">
        <v>3</v>
      </c>
      <c r="O22" s="62">
        <f t="shared" si="2"/>
        <v>43994</v>
      </c>
      <c r="P22" s="146" t="s">
        <v>3753</v>
      </c>
      <c r="Q22" s="61">
        <f t="shared" si="1"/>
        <v>5</v>
      </c>
      <c r="R22" s="182"/>
      <c r="S22" s="182"/>
      <c r="T22" s="182"/>
      <c r="U22" s="182"/>
      <c r="V22" s="182"/>
      <c r="W22" s="182"/>
      <c r="X22" s="182"/>
      <c r="Y22" s="182"/>
      <c r="Z22" s="182"/>
      <c r="AA22" s="182"/>
    </row>
    <row r="23" spans="1:27" s="59" customFormat="1">
      <c r="A23" s="182" t="s">
        <v>1892</v>
      </c>
      <c r="B23" s="182" t="s">
        <v>343</v>
      </c>
      <c r="C23" s="182" t="s">
        <v>1252</v>
      </c>
      <c r="D23" s="182" t="s">
        <v>1893</v>
      </c>
      <c r="E23" s="182" t="s">
        <v>1894</v>
      </c>
      <c r="F23" s="182" t="s">
        <v>1895</v>
      </c>
      <c r="G23" s="182" t="s">
        <v>18</v>
      </c>
      <c r="H23" s="182" t="s">
        <v>1298</v>
      </c>
      <c r="I23" s="182">
        <v>94</v>
      </c>
      <c r="J23" s="182" t="s">
        <v>3659</v>
      </c>
      <c r="K23" s="147">
        <v>2.6111111111111112</v>
      </c>
      <c r="L23" s="147">
        <v>3.3611111111111112</v>
      </c>
      <c r="M23" s="224"/>
      <c r="N23" s="133">
        <v>4</v>
      </c>
      <c r="O23" s="62">
        <f t="shared" si="2"/>
        <v>43995</v>
      </c>
      <c r="P23" s="138" t="s">
        <v>3679</v>
      </c>
      <c r="Q23" s="61">
        <f t="shared" si="1"/>
        <v>2</v>
      </c>
      <c r="R23" s="149"/>
      <c r="S23" s="149"/>
      <c r="T23" s="149"/>
      <c r="U23" s="149"/>
      <c r="V23" s="149"/>
      <c r="W23" s="149"/>
      <c r="X23" s="149"/>
      <c r="Y23" s="149"/>
      <c r="Z23" s="149"/>
      <c r="AA23" s="149"/>
    </row>
    <row r="24" spans="1:27" s="59" customFormat="1">
      <c r="A24" s="182" t="s">
        <v>591</v>
      </c>
      <c r="B24" s="182" t="s">
        <v>2329</v>
      </c>
      <c r="C24" s="182" t="s">
        <v>1252</v>
      </c>
      <c r="D24" s="182" t="s">
        <v>2338</v>
      </c>
      <c r="E24" s="182" t="s">
        <v>2339</v>
      </c>
      <c r="F24" s="182" t="s">
        <v>2340</v>
      </c>
      <c r="G24" s="182" t="s">
        <v>18</v>
      </c>
      <c r="H24" s="182" t="s">
        <v>1298</v>
      </c>
      <c r="I24" s="182">
        <v>126</v>
      </c>
      <c r="J24" s="182" t="s">
        <v>3659</v>
      </c>
      <c r="K24" s="147">
        <v>3.5</v>
      </c>
      <c r="L24" s="147">
        <v>4.25</v>
      </c>
      <c r="M24" s="224"/>
      <c r="N24" s="61">
        <v>4</v>
      </c>
      <c r="O24" s="62">
        <f t="shared" si="2"/>
        <v>43995</v>
      </c>
      <c r="P24" s="138" t="s">
        <v>3754</v>
      </c>
      <c r="Q24" s="61">
        <f t="shared" si="1"/>
        <v>3</v>
      </c>
      <c r="R24" s="149"/>
      <c r="S24" s="149"/>
      <c r="T24" s="149"/>
      <c r="U24" s="149"/>
      <c r="V24" s="149"/>
      <c r="W24" s="149"/>
      <c r="X24" s="149"/>
      <c r="Y24" s="149"/>
      <c r="Z24" s="149"/>
      <c r="AA24" s="149"/>
    </row>
    <row r="25" spans="1:27" s="59" customFormat="1">
      <c r="A25" s="182" t="s">
        <v>3004</v>
      </c>
      <c r="B25" s="182" t="s">
        <v>343</v>
      </c>
      <c r="C25" s="182" t="s">
        <v>1252</v>
      </c>
      <c r="D25" s="182" t="s">
        <v>3005</v>
      </c>
      <c r="E25" s="182" t="s">
        <v>3006</v>
      </c>
      <c r="F25" s="182" t="s">
        <v>1895</v>
      </c>
      <c r="G25" s="182" t="s">
        <v>18</v>
      </c>
      <c r="H25" s="182" t="s">
        <v>1298</v>
      </c>
      <c r="I25" s="182">
        <v>96</v>
      </c>
      <c r="J25" s="182" t="s">
        <v>3659</v>
      </c>
      <c r="K25" s="147">
        <v>2.6666666666666665</v>
      </c>
      <c r="L25" s="147">
        <v>3.4166666666666665</v>
      </c>
      <c r="M25" s="224"/>
      <c r="N25" s="133">
        <v>6</v>
      </c>
      <c r="O25" s="62">
        <f t="shared" si="2"/>
        <v>43997</v>
      </c>
      <c r="P25" s="175" t="s">
        <v>3679</v>
      </c>
      <c r="Q25" s="61">
        <f t="shared" si="1"/>
        <v>2</v>
      </c>
      <c r="R25" s="149"/>
      <c r="S25" s="149"/>
      <c r="T25" s="149"/>
      <c r="U25" s="149"/>
      <c r="V25" s="149"/>
      <c r="W25" s="149"/>
      <c r="X25" s="149"/>
      <c r="Y25" s="149"/>
      <c r="Z25" s="149"/>
      <c r="AA25" s="149"/>
    </row>
    <row r="26" spans="1:27" s="59" customFormat="1">
      <c r="A26" s="182" t="s">
        <v>529</v>
      </c>
      <c r="B26" s="182" t="s">
        <v>2274</v>
      </c>
      <c r="C26" s="182" t="s">
        <v>1252</v>
      </c>
      <c r="D26" s="182" t="s">
        <v>532</v>
      </c>
      <c r="E26" s="182" t="s">
        <v>2275</v>
      </c>
      <c r="F26" s="182" t="s">
        <v>1895</v>
      </c>
      <c r="G26" s="182" t="s">
        <v>18</v>
      </c>
      <c r="H26" s="182" t="s">
        <v>30</v>
      </c>
      <c r="I26" s="182">
        <v>75</v>
      </c>
      <c r="J26" s="182" t="s">
        <v>533</v>
      </c>
      <c r="K26" s="147">
        <v>2.0833333333333335</v>
      </c>
      <c r="L26" s="147">
        <v>2.8333333333333335</v>
      </c>
      <c r="M26" s="224"/>
      <c r="N26" s="133">
        <v>6</v>
      </c>
      <c r="O26" s="62">
        <f t="shared" si="2"/>
        <v>43997</v>
      </c>
      <c r="P26" s="138" t="s">
        <v>3737</v>
      </c>
      <c r="Q26" s="61">
        <f t="shared" si="1"/>
        <v>2</v>
      </c>
      <c r="R26" s="149"/>
      <c r="S26" s="149"/>
      <c r="T26" s="149"/>
      <c r="U26" s="149"/>
      <c r="V26" s="149"/>
      <c r="W26" s="149"/>
      <c r="X26" s="149"/>
      <c r="Y26" s="149"/>
      <c r="Z26" s="149"/>
      <c r="AA26" s="149"/>
    </row>
    <row r="27" spans="1:27" s="59" customFormat="1">
      <c r="A27" s="182" t="s">
        <v>578</v>
      </c>
      <c r="B27" s="182" t="s">
        <v>2320</v>
      </c>
      <c r="C27" s="182" t="s">
        <v>1252</v>
      </c>
      <c r="D27" s="182" t="s">
        <v>2324</v>
      </c>
      <c r="E27" s="182" t="s">
        <v>2325</v>
      </c>
      <c r="F27" s="182" t="s">
        <v>2326</v>
      </c>
      <c r="G27" s="182" t="s">
        <v>18</v>
      </c>
      <c r="H27" s="182" t="s">
        <v>30</v>
      </c>
      <c r="I27" s="182">
        <v>211</v>
      </c>
      <c r="J27" s="182" t="s">
        <v>3659</v>
      </c>
      <c r="K27" s="147">
        <v>5.8611111111111107</v>
      </c>
      <c r="L27" s="147">
        <v>6.6111111111111107</v>
      </c>
      <c r="M27" s="224"/>
      <c r="N27" s="133">
        <v>7</v>
      </c>
      <c r="O27" s="62">
        <f t="shared" si="2"/>
        <v>43998</v>
      </c>
      <c r="P27" s="138" t="s">
        <v>3750</v>
      </c>
      <c r="Q27" s="61">
        <f t="shared" si="1"/>
        <v>5</v>
      </c>
      <c r="R27" s="149"/>
      <c r="S27" s="149"/>
      <c r="T27" s="149"/>
      <c r="U27" s="149"/>
      <c r="V27" s="149"/>
      <c r="W27" s="149"/>
      <c r="X27" s="149"/>
      <c r="Y27" s="149"/>
      <c r="Z27" s="149"/>
      <c r="AA27" s="149"/>
    </row>
    <row r="28" spans="1:27" s="330" customFormat="1">
      <c r="A28" s="324" t="s">
        <v>2056</v>
      </c>
      <c r="B28" s="324"/>
      <c r="C28" s="324" t="s">
        <v>1252</v>
      </c>
      <c r="D28" s="324" t="s">
        <v>3751</v>
      </c>
      <c r="E28" s="324" t="s">
        <v>2057</v>
      </c>
      <c r="F28" s="324" t="s">
        <v>3749</v>
      </c>
      <c r="G28" s="324" t="s">
        <v>18</v>
      </c>
      <c r="H28" s="324" t="s">
        <v>30</v>
      </c>
      <c r="I28" s="324">
        <v>150</v>
      </c>
      <c r="J28" s="324" t="s">
        <v>3665</v>
      </c>
      <c r="K28" s="325">
        <v>4.166666666666667</v>
      </c>
      <c r="L28" s="325">
        <v>4.916666666666667</v>
      </c>
      <c r="M28" s="326"/>
      <c r="N28" s="327">
        <v>7</v>
      </c>
      <c r="O28" s="328">
        <f t="shared" ref="O28" si="3">$O$1+N28</f>
        <v>43998</v>
      </c>
      <c r="P28" s="329" t="s">
        <v>6902</v>
      </c>
      <c r="Q28" s="327">
        <f t="shared" ref="Q28" si="4">ROUNDUP(I28/$R$2,0)</f>
        <v>3</v>
      </c>
    </row>
    <row r="29" spans="1:27" s="59" customFormat="1">
      <c r="A29" s="182" t="s">
        <v>61</v>
      </c>
      <c r="B29" s="182" t="s">
        <v>1323</v>
      </c>
      <c r="C29" s="182" t="s">
        <v>1252</v>
      </c>
      <c r="D29" s="182" t="s">
        <v>1345</v>
      </c>
      <c r="E29" s="182" t="s">
        <v>1346</v>
      </c>
      <c r="F29" s="182" t="s">
        <v>1347</v>
      </c>
      <c r="G29" s="182" t="s">
        <v>18</v>
      </c>
      <c r="H29" s="182" t="s">
        <v>30</v>
      </c>
      <c r="I29" s="182">
        <v>120</v>
      </c>
      <c r="J29" s="182" t="s">
        <v>65</v>
      </c>
      <c r="K29" s="147">
        <v>3.3333333333333335</v>
      </c>
      <c r="L29" s="147">
        <v>4.0833333333333339</v>
      </c>
      <c r="M29" s="224"/>
      <c r="N29" s="133">
        <v>8</v>
      </c>
      <c r="O29" s="62">
        <f t="shared" si="2"/>
        <v>43999</v>
      </c>
      <c r="P29" s="138" t="s">
        <v>3662</v>
      </c>
      <c r="Q29" s="61">
        <f t="shared" si="1"/>
        <v>3</v>
      </c>
      <c r="R29" s="149"/>
      <c r="S29" s="149"/>
      <c r="T29" s="149"/>
      <c r="U29" s="149"/>
      <c r="V29" s="149"/>
      <c r="W29" s="149"/>
      <c r="X29" s="149"/>
      <c r="Y29" s="149"/>
      <c r="Z29" s="149"/>
      <c r="AA29" s="149"/>
    </row>
    <row r="30" spans="1:27" s="59" customFormat="1">
      <c r="A30" s="182" t="s">
        <v>1727</v>
      </c>
      <c r="B30" s="182" t="s">
        <v>343</v>
      </c>
      <c r="C30" s="182" t="s">
        <v>1252</v>
      </c>
      <c r="D30" s="182" t="s">
        <v>1728</v>
      </c>
      <c r="E30" s="182" t="s">
        <v>1729</v>
      </c>
      <c r="F30" s="182" t="s">
        <v>1347</v>
      </c>
      <c r="G30" s="182" t="s">
        <v>18</v>
      </c>
      <c r="H30" s="182" t="s">
        <v>1298</v>
      </c>
      <c r="I30" s="182">
        <v>180</v>
      </c>
      <c r="J30" s="182" t="s">
        <v>3659</v>
      </c>
      <c r="K30" s="147">
        <v>5</v>
      </c>
      <c r="L30" s="147">
        <v>5.75</v>
      </c>
      <c r="M30" s="224"/>
      <c r="N30" s="133">
        <v>8</v>
      </c>
      <c r="O30" s="62">
        <f t="shared" si="2"/>
        <v>43999</v>
      </c>
      <c r="P30" s="138" t="s">
        <v>3755</v>
      </c>
      <c r="Q30" s="61">
        <f t="shared" si="1"/>
        <v>4</v>
      </c>
      <c r="R30" s="149"/>
      <c r="S30" s="149"/>
      <c r="T30" s="149"/>
      <c r="U30" s="149"/>
      <c r="V30" s="149"/>
      <c r="W30" s="149"/>
      <c r="X30" s="149"/>
      <c r="Y30" s="149"/>
      <c r="Z30" s="149"/>
      <c r="AA30" s="149"/>
    </row>
    <row r="31" spans="1:27" s="59" customFormat="1">
      <c r="A31" s="182" t="s">
        <v>586</v>
      </c>
      <c r="B31" s="182" t="s">
        <v>2329</v>
      </c>
      <c r="C31" s="182" t="s">
        <v>1252</v>
      </c>
      <c r="D31" s="182" t="s">
        <v>2334</v>
      </c>
      <c r="E31" s="182" t="s">
        <v>2335</v>
      </c>
      <c r="F31" s="182" t="s">
        <v>2252</v>
      </c>
      <c r="G31" s="182" t="s">
        <v>18</v>
      </c>
      <c r="H31" s="182" t="s">
        <v>1298</v>
      </c>
      <c r="I31" s="182">
        <v>86</v>
      </c>
      <c r="J31" s="182" t="s">
        <v>3659</v>
      </c>
      <c r="K31" s="147">
        <v>2.3888888888888888</v>
      </c>
      <c r="L31" s="147">
        <v>3.1388888888888888</v>
      </c>
      <c r="M31" s="224"/>
      <c r="N31" s="133">
        <v>9</v>
      </c>
      <c r="O31" s="62">
        <f t="shared" si="2"/>
        <v>44000</v>
      </c>
      <c r="P31" s="138" t="s">
        <v>3756</v>
      </c>
      <c r="Q31" s="61">
        <f t="shared" si="1"/>
        <v>2</v>
      </c>
      <c r="R31" s="149"/>
      <c r="S31" s="149"/>
      <c r="T31" s="149"/>
      <c r="U31" s="149"/>
      <c r="V31" s="149"/>
      <c r="W31" s="149"/>
      <c r="X31" s="149"/>
      <c r="Y31" s="149"/>
      <c r="Z31" s="149"/>
      <c r="AA31" s="149"/>
    </row>
    <row r="32" spans="1:27" s="59" customFormat="1">
      <c r="A32" s="182" t="s">
        <v>1220</v>
      </c>
      <c r="B32" s="182" t="s">
        <v>1463</v>
      </c>
      <c r="C32" s="182" t="s">
        <v>1252</v>
      </c>
      <c r="D32" s="182" t="s">
        <v>3058</v>
      </c>
      <c r="E32" s="182" t="s">
        <v>3059</v>
      </c>
      <c r="F32" s="182" t="s">
        <v>1379</v>
      </c>
      <c r="G32" s="182" t="s">
        <v>18</v>
      </c>
      <c r="H32" s="182" t="s">
        <v>30</v>
      </c>
      <c r="I32" s="182">
        <v>20</v>
      </c>
      <c r="J32" s="182" t="s">
        <v>3665</v>
      </c>
      <c r="K32" s="147">
        <v>0.55555555555555558</v>
      </c>
      <c r="L32" s="147">
        <v>1.3055555555555556</v>
      </c>
      <c r="M32" s="224"/>
      <c r="N32" s="133">
        <v>9</v>
      </c>
      <c r="O32" s="62">
        <f t="shared" si="2"/>
        <v>44000</v>
      </c>
      <c r="P32" s="138" t="s">
        <v>3757</v>
      </c>
      <c r="Q32" s="61">
        <f t="shared" si="1"/>
        <v>1</v>
      </c>
      <c r="R32" s="149"/>
      <c r="S32" s="149"/>
      <c r="T32" s="149"/>
      <c r="U32" s="149"/>
      <c r="V32" s="149"/>
      <c r="W32" s="149"/>
      <c r="X32" s="149"/>
      <c r="Y32" s="149"/>
      <c r="Z32" s="149"/>
      <c r="AA32" s="149"/>
    </row>
    <row r="33" spans="1:27" s="59" customFormat="1">
      <c r="A33" s="182" t="s">
        <v>1517</v>
      </c>
      <c r="B33" s="182" t="s">
        <v>343</v>
      </c>
      <c r="C33" s="182" t="s">
        <v>1252</v>
      </c>
      <c r="D33" s="182" t="s">
        <v>1518</v>
      </c>
      <c r="E33" s="182" t="s">
        <v>1519</v>
      </c>
      <c r="F33" s="182" t="s">
        <v>1520</v>
      </c>
      <c r="G33" s="182" t="s">
        <v>18</v>
      </c>
      <c r="H33" s="182" t="s">
        <v>1298</v>
      </c>
      <c r="I33" s="182">
        <v>99</v>
      </c>
      <c r="J33" s="182" t="s">
        <v>3659</v>
      </c>
      <c r="K33" s="147">
        <v>2.75</v>
      </c>
      <c r="L33" s="147">
        <v>3.5</v>
      </c>
      <c r="M33" s="224"/>
      <c r="N33" s="133">
        <v>9</v>
      </c>
      <c r="O33" s="62">
        <f t="shared" si="2"/>
        <v>44000</v>
      </c>
      <c r="P33" s="138" t="s">
        <v>3758</v>
      </c>
      <c r="Q33" s="61">
        <f t="shared" si="1"/>
        <v>2</v>
      </c>
      <c r="R33" s="149"/>
      <c r="S33" s="149"/>
      <c r="T33" s="149"/>
      <c r="U33" s="149"/>
      <c r="V33" s="149"/>
      <c r="W33" s="149"/>
      <c r="X33" s="149"/>
      <c r="Y33" s="149"/>
      <c r="Z33" s="149"/>
      <c r="AA33" s="149"/>
    </row>
    <row r="34" spans="1:27" s="59" customFormat="1">
      <c r="A34" s="182" t="s">
        <v>13</v>
      </c>
      <c r="B34" s="182"/>
      <c r="C34" s="182" t="s">
        <v>1252</v>
      </c>
      <c r="D34" s="182" t="s">
        <v>1256</v>
      </c>
      <c r="E34" s="182" t="s">
        <v>1257</v>
      </c>
      <c r="F34" s="182" t="s">
        <v>1258</v>
      </c>
      <c r="G34" s="182" t="s">
        <v>18</v>
      </c>
      <c r="H34" s="182" t="s">
        <v>19</v>
      </c>
      <c r="I34" s="182">
        <v>90</v>
      </c>
      <c r="J34" s="182" t="s">
        <v>20</v>
      </c>
      <c r="K34" s="147">
        <v>2.5</v>
      </c>
      <c r="L34" s="147">
        <v>3.25</v>
      </c>
      <c r="M34" s="224"/>
      <c r="N34" s="61">
        <v>10</v>
      </c>
      <c r="O34" s="62">
        <f t="shared" si="2"/>
        <v>44001</v>
      </c>
      <c r="P34" s="138" t="s">
        <v>3756</v>
      </c>
      <c r="Q34" s="61">
        <f t="shared" si="1"/>
        <v>2</v>
      </c>
      <c r="R34" s="149"/>
      <c r="S34" s="149"/>
      <c r="T34" s="149"/>
      <c r="U34" s="149"/>
      <c r="V34" s="149"/>
      <c r="W34" s="149"/>
      <c r="X34" s="149"/>
      <c r="Y34" s="149"/>
      <c r="Z34" s="149"/>
      <c r="AA34" s="149"/>
    </row>
    <row r="35" spans="1:27" s="59" customFormat="1">
      <c r="A35" s="182" t="s">
        <v>2451</v>
      </c>
      <c r="B35" s="182" t="s">
        <v>2423</v>
      </c>
      <c r="C35" s="182" t="s">
        <v>1252</v>
      </c>
      <c r="D35" s="182" t="s">
        <v>2452</v>
      </c>
      <c r="E35" s="182" t="s">
        <v>2453</v>
      </c>
      <c r="F35" s="182" t="s">
        <v>1993</v>
      </c>
      <c r="G35" s="182" t="s">
        <v>18</v>
      </c>
      <c r="H35" s="182" t="s">
        <v>1298</v>
      </c>
      <c r="I35" s="182">
        <v>80</v>
      </c>
      <c r="J35" s="182" t="s">
        <v>3659</v>
      </c>
      <c r="K35" s="147">
        <v>2.2222222222222223</v>
      </c>
      <c r="L35" s="147">
        <v>2.9722222222222223</v>
      </c>
      <c r="M35" s="224"/>
      <c r="N35" s="133">
        <v>10</v>
      </c>
      <c r="O35" s="62">
        <f t="shared" si="2"/>
        <v>44001</v>
      </c>
      <c r="P35" s="138" t="s">
        <v>3668</v>
      </c>
      <c r="Q35" s="61">
        <f t="shared" si="1"/>
        <v>2</v>
      </c>
      <c r="R35" s="149"/>
      <c r="S35" s="149"/>
      <c r="T35" s="149"/>
      <c r="U35" s="149"/>
      <c r="V35" s="149"/>
      <c r="W35" s="149"/>
      <c r="X35" s="149"/>
      <c r="Y35" s="149"/>
      <c r="Z35" s="149"/>
      <c r="AA35" s="149"/>
    </row>
    <row r="36" spans="1:27" s="59" customFormat="1">
      <c r="A36" s="182" t="s">
        <v>21</v>
      </c>
      <c r="B36" s="182"/>
      <c r="C36" s="182" t="s">
        <v>1260</v>
      </c>
      <c r="D36" s="182" t="s">
        <v>1262</v>
      </c>
      <c r="E36" s="182" t="s">
        <v>1263</v>
      </c>
      <c r="F36" s="182" t="s">
        <v>1264</v>
      </c>
      <c r="G36" s="182" t="s">
        <v>18</v>
      </c>
      <c r="H36" s="182" t="s">
        <v>19</v>
      </c>
      <c r="I36" s="182">
        <v>220</v>
      </c>
      <c r="J36" s="182" t="s">
        <v>3659</v>
      </c>
      <c r="K36" s="147">
        <v>6.1111111111111107</v>
      </c>
      <c r="L36" s="147">
        <v>6.8611111111111107</v>
      </c>
      <c r="M36" s="224"/>
      <c r="N36" s="61">
        <v>11</v>
      </c>
      <c r="O36" s="62">
        <f t="shared" si="2"/>
        <v>44002</v>
      </c>
      <c r="P36" s="138" t="s">
        <v>3750</v>
      </c>
      <c r="Q36" s="61">
        <f t="shared" si="1"/>
        <v>5</v>
      </c>
      <c r="R36" s="149"/>
      <c r="S36" s="149"/>
      <c r="T36" s="149"/>
      <c r="U36" s="149"/>
      <c r="V36" s="149"/>
      <c r="W36" s="149"/>
      <c r="X36" s="149"/>
      <c r="Y36" s="149"/>
      <c r="Z36" s="149"/>
      <c r="AA36" s="149"/>
    </row>
    <row r="37" spans="1:27" s="59" customFormat="1">
      <c r="A37" s="182" t="s">
        <v>604</v>
      </c>
      <c r="B37" s="182" t="s">
        <v>2329</v>
      </c>
      <c r="C37" s="182" t="s">
        <v>1252</v>
      </c>
      <c r="D37" s="182" t="s">
        <v>2352</v>
      </c>
      <c r="E37" s="182" t="s">
        <v>2353</v>
      </c>
      <c r="F37" s="182" t="s">
        <v>2354</v>
      </c>
      <c r="G37" s="182" t="s">
        <v>18</v>
      </c>
      <c r="H37" s="182" t="s">
        <v>1298</v>
      </c>
      <c r="I37" s="182">
        <v>77</v>
      </c>
      <c r="J37" s="182" t="s">
        <v>3659</v>
      </c>
      <c r="K37" s="147">
        <v>2.1388888888888888</v>
      </c>
      <c r="L37" s="147">
        <v>2.8888888888888888</v>
      </c>
      <c r="M37" s="224"/>
      <c r="N37" s="61">
        <v>13</v>
      </c>
      <c r="O37" s="62">
        <f t="shared" si="2"/>
        <v>44004</v>
      </c>
      <c r="P37" s="138" t="s">
        <v>3664</v>
      </c>
      <c r="Q37" s="61">
        <f t="shared" si="1"/>
        <v>2</v>
      </c>
      <c r="R37" s="149"/>
      <c r="S37" s="149"/>
      <c r="T37" s="149"/>
      <c r="U37" s="149"/>
      <c r="V37" s="149"/>
      <c r="W37" s="149"/>
      <c r="X37" s="149"/>
      <c r="Y37" s="149"/>
      <c r="Z37" s="149"/>
      <c r="AA37" s="149"/>
    </row>
    <row r="38" spans="1:27" s="59" customFormat="1">
      <c r="A38" s="182" t="s">
        <v>2626</v>
      </c>
      <c r="B38" s="182" t="s">
        <v>343</v>
      </c>
      <c r="C38" s="182" t="s">
        <v>1252</v>
      </c>
      <c r="D38" s="182" t="s">
        <v>2627</v>
      </c>
      <c r="E38" s="182" t="s">
        <v>2628</v>
      </c>
      <c r="F38" s="182" t="s">
        <v>1979</v>
      </c>
      <c r="G38" s="182" t="s">
        <v>18</v>
      </c>
      <c r="H38" s="182" t="s">
        <v>1298</v>
      </c>
      <c r="I38" s="182">
        <v>55</v>
      </c>
      <c r="J38" s="182" t="s">
        <v>3659</v>
      </c>
      <c r="K38" s="147">
        <v>1.5277777777777777</v>
      </c>
      <c r="L38" s="147">
        <v>2.2777777777777777</v>
      </c>
      <c r="M38" s="224"/>
      <c r="N38" s="133">
        <v>13</v>
      </c>
      <c r="O38" s="62">
        <f t="shared" si="2"/>
        <v>44004</v>
      </c>
      <c r="P38" s="138" t="s">
        <v>3725</v>
      </c>
      <c r="Q38" s="61">
        <f t="shared" si="1"/>
        <v>2</v>
      </c>
      <c r="R38" s="149"/>
      <c r="S38" s="149"/>
      <c r="T38" s="149"/>
      <c r="U38" s="149"/>
      <c r="V38" s="149"/>
      <c r="W38" s="149"/>
      <c r="X38" s="149"/>
      <c r="Y38" s="149"/>
      <c r="Z38" s="149"/>
      <c r="AA38" s="149"/>
    </row>
    <row r="39" spans="1:27" s="68" customFormat="1">
      <c r="A39" s="183" t="s">
        <v>1042</v>
      </c>
      <c r="B39" s="183"/>
      <c r="C39" s="183" t="s">
        <v>1260</v>
      </c>
      <c r="D39" s="183" t="s">
        <v>3019</v>
      </c>
      <c r="E39" s="183" t="s">
        <v>3020</v>
      </c>
      <c r="F39" s="183" t="s">
        <v>1652</v>
      </c>
      <c r="G39" s="183" t="s">
        <v>18</v>
      </c>
      <c r="H39" s="183" t="s">
        <v>19</v>
      </c>
      <c r="I39" s="183">
        <v>360</v>
      </c>
      <c r="J39" s="183" t="s">
        <v>3665</v>
      </c>
      <c r="K39" s="65">
        <v>10</v>
      </c>
      <c r="L39" s="65">
        <v>10.75</v>
      </c>
      <c r="M39" s="225">
        <v>7</v>
      </c>
      <c r="N39" s="66">
        <v>1</v>
      </c>
      <c r="O39" s="67">
        <f t="shared" si="2"/>
        <v>43992</v>
      </c>
      <c r="P39" s="139" t="s">
        <v>3712</v>
      </c>
      <c r="Q39" s="66">
        <f t="shared" si="1"/>
        <v>8</v>
      </c>
      <c r="R39" s="152"/>
      <c r="S39" s="211" t="s">
        <v>3661</v>
      </c>
      <c r="T39" s="152">
        <v>8</v>
      </c>
      <c r="U39" s="152"/>
      <c r="V39" s="152"/>
      <c r="W39" s="152"/>
      <c r="X39" s="152"/>
      <c r="Y39" s="152"/>
      <c r="Z39" s="152"/>
      <c r="AA39" s="152"/>
    </row>
    <row r="40" spans="1:27" s="68" customFormat="1">
      <c r="A40" s="183" t="s">
        <v>222</v>
      </c>
      <c r="B40" s="183"/>
      <c r="C40" s="183" t="s">
        <v>1260</v>
      </c>
      <c r="D40" s="183" t="s">
        <v>1650</v>
      </c>
      <c r="E40" s="183" t="s">
        <v>1651</v>
      </c>
      <c r="F40" s="183" t="s">
        <v>1652</v>
      </c>
      <c r="G40" s="183" t="s">
        <v>18</v>
      </c>
      <c r="H40" s="183" t="s">
        <v>19</v>
      </c>
      <c r="I40" s="183">
        <v>60</v>
      </c>
      <c r="J40" s="183" t="s">
        <v>3659</v>
      </c>
      <c r="K40" s="65">
        <v>1.6666666666666667</v>
      </c>
      <c r="L40" s="65">
        <v>2.416666666666667</v>
      </c>
      <c r="M40" s="226"/>
      <c r="N40" s="66">
        <v>2</v>
      </c>
      <c r="O40" s="67">
        <f t="shared" si="2"/>
        <v>43993</v>
      </c>
      <c r="P40" s="139" t="s">
        <v>3664</v>
      </c>
      <c r="Q40" s="66">
        <f t="shared" si="1"/>
        <v>2</v>
      </c>
      <c r="R40" s="152"/>
      <c r="S40" s="152"/>
      <c r="T40" s="152"/>
      <c r="U40" s="152"/>
      <c r="V40" s="152"/>
      <c r="W40" s="152"/>
      <c r="X40" s="152"/>
      <c r="Y40" s="152"/>
      <c r="Z40" s="152"/>
      <c r="AA40" s="152"/>
    </row>
    <row r="41" spans="1:27" s="69" customFormat="1">
      <c r="A41" s="183" t="s">
        <v>2662</v>
      </c>
      <c r="B41" s="183" t="s">
        <v>1265</v>
      </c>
      <c r="C41" s="183" t="s">
        <v>1534</v>
      </c>
      <c r="D41" s="183" t="s">
        <v>3759</v>
      </c>
      <c r="E41" s="183" t="s">
        <v>2664</v>
      </c>
      <c r="F41" s="183" t="s">
        <v>3760</v>
      </c>
      <c r="G41" s="183" t="s">
        <v>18</v>
      </c>
      <c r="H41" s="183" t="s">
        <v>30</v>
      </c>
      <c r="I41" s="183">
        <v>155</v>
      </c>
      <c r="J41" s="183" t="s">
        <v>3665</v>
      </c>
      <c r="K41" s="65">
        <v>4.3055555555555554</v>
      </c>
      <c r="L41" s="65">
        <v>5.0555555555555554</v>
      </c>
      <c r="M41" s="226"/>
      <c r="N41" s="153">
        <v>2</v>
      </c>
      <c r="O41" s="67">
        <f t="shared" si="2"/>
        <v>43993</v>
      </c>
      <c r="P41" s="176" t="s">
        <v>3761</v>
      </c>
      <c r="Q41" s="66">
        <f t="shared" si="1"/>
        <v>4</v>
      </c>
      <c r="R41" s="183"/>
      <c r="S41" s="183"/>
      <c r="T41" s="183"/>
      <c r="U41" s="183"/>
      <c r="V41" s="183"/>
      <c r="W41" s="183"/>
      <c r="X41" s="183"/>
      <c r="Y41" s="183"/>
      <c r="Z41" s="183"/>
      <c r="AA41" s="183"/>
    </row>
    <row r="42" spans="1:27" s="68" customFormat="1">
      <c r="A42" s="183" t="s">
        <v>2375</v>
      </c>
      <c r="B42" s="183" t="s">
        <v>343</v>
      </c>
      <c r="C42" s="183" t="s">
        <v>1534</v>
      </c>
      <c r="D42" s="183" t="s">
        <v>2377</v>
      </c>
      <c r="E42" s="183" t="s">
        <v>2378</v>
      </c>
      <c r="F42" s="183" t="s">
        <v>2379</v>
      </c>
      <c r="G42" s="183" t="s">
        <v>18</v>
      </c>
      <c r="H42" s="183" t="s">
        <v>1298</v>
      </c>
      <c r="I42" s="183">
        <v>115</v>
      </c>
      <c r="J42" s="183" t="s">
        <v>3659</v>
      </c>
      <c r="K42" s="65">
        <v>3.1944444444444446</v>
      </c>
      <c r="L42" s="65">
        <v>3.9444444444444446</v>
      </c>
      <c r="M42" s="226"/>
      <c r="N42" s="153">
        <v>3</v>
      </c>
      <c r="O42" s="67">
        <f t="shared" si="2"/>
        <v>43994</v>
      </c>
      <c r="P42" s="139" t="s">
        <v>3679</v>
      </c>
      <c r="Q42" s="66">
        <f t="shared" si="1"/>
        <v>3</v>
      </c>
      <c r="R42" s="152"/>
      <c r="S42" s="152"/>
      <c r="T42" s="152"/>
      <c r="U42" s="152"/>
      <c r="V42" s="152"/>
      <c r="W42" s="152"/>
      <c r="X42" s="152"/>
      <c r="Y42" s="152"/>
      <c r="Z42" s="152"/>
      <c r="AA42" s="152"/>
    </row>
    <row r="43" spans="1:27" s="69" customFormat="1">
      <c r="A43" s="183" t="s">
        <v>1102</v>
      </c>
      <c r="B43" s="183" t="s">
        <v>2880</v>
      </c>
      <c r="C43" s="183" t="s">
        <v>1534</v>
      </c>
      <c r="D43" s="183" t="s">
        <v>2884</v>
      </c>
      <c r="E43" s="183" t="s">
        <v>2885</v>
      </c>
      <c r="F43" s="183" t="s">
        <v>1538</v>
      </c>
      <c r="G43" s="183" t="s">
        <v>18</v>
      </c>
      <c r="H43" s="183"/>
      <c r="I43" s="183">
        <v>60</v>
      </c>
      <c r="J43" s="183" t="s">
        <v>3665</v>
      </c>
      <c r="K43" s="65">
        <v>1.6666666666666667</v>
      </c>
      <c r="L43" s="65">
        <v>2.416666666666667</v>
      </c>
      <c r="M43" s="65"/>
      <c r="N43" s="153">
        <v>3</v>
      </c>
      <c r="O43" s="67">
        <f t="shared" si="2"/>
        <v>43994</v>
      </c>
      <c r="P43" s="176" t="s">
        <v>3737</v>
      </c>
      <c r="Q43" s="66">
        <f t="shared" si="1"/>
        <v>2</v>
      </c>
      <c r="R43" s="183"/>
      <c r="S43" s="183"/>
      <c r="T43" s="183"/>
      <c r="U43" s="183"/>
      <c r="V43" s="183"/>
      <c r="W43" s="183"/>
      <c r="X43" s="183"/>
      <c r="Y43" s="183"/>
      <c r="Z43" s="183"/>
      <c r="AA43" s="183"/>
    </row>
    <row r="44" spans="1:27" s="68" customFormat="1">
      <c r="A44" s="183" t="s">
        <v>419</v>
      </c>
      <c r="B44" s="183"/>
      <c r="C44" s="183" t="s">
        <v>2134</v>
      </c>
      <c r="D44" s="183" t="s">
        <v>2135</v>
      </c>
      <c r="E44" s="183" t="s">
        <v>2136</v>
      </c>
      <c r="F44" s="183" t="s">
        <v>2137</v>
      </c>
      <c r="G44" s="183" t="s">
        <v>18</v>
      </c>
      <c r="H44" s="183" t="s">
        <v>19</v>
      </c>
      <c r="I44" s="183">
        <v>160</v>
      </c>
      <c r="J44" s="183" t="s">
        <v>423</v>
      </c>
      <c r="K44" s="65">
        <v>4.4444444444444446</v>
      </c>
      <c r="L44" s="65">
        <v>5.1944444444444446</v>
      </c>
      <c r="M44" s="65"/>
      <c r="N44" s="153">
        <v>4</v>
      </c>
      <c r="O44" s="67">
        <f t="shared" si="2"/>
        <v>43995</v>
      </c>
      <c r="P44" s="139" t="s">
        <v>3689</v>
      </c>
      <c r="Q44" s="66">
        <f t="shared" si="1"/>
        <v>4</v>
      </c>
      <c r="R44" s="152"/>
      <c r="S44" s="152"/>
      <c r="T44" s="152"/>
      <c r="U44" s="152"/>
      <c r="V44" s="152"/>
      <c r="W44" s="152"/>
      <c r="X44" s="152"/>
      <c r="Y44" s="152"/>
      <c r="Z44" s="152"/>
      <c r="AA44" s="152"/>
    </row>
    <row r="45" spans="1:27" s="69" customFormat="1">
      <c r="A45" s="183" t="s">
        <v>2472</v>
      </c>
      <c r="B45" s="183" t="s">
        <v>2423</v>
      </c>
      <c r="C45" s="183" t="s">
        <v>2134</v>
      </c>
      <c r="D45" s="183" t="s">
        <v>2473</v>
      </c>
      <c r="E45" s="183" t="s">
        <v>2474</v>
      </c>
      <c r="F45" s="183" t="s">
        <v>2137</v>
      </c>
      <c r="G45" s="183" t="s">
        <v>18</v>
      </c>
      <c r="H45" s="183" t="s">
        <v>1298</v>
      </c>
      <c r="I45" s="183">
        <v>92</v>
      </c>
      <c r="J45" s="183" t="s">
        <v>3659</v>
      </c>
      <c r="K45" s="65">
        <v>2.5555555555555554</v>
      </c>
      <c r="L45" s="65">
        <v>3.3055555555555554</v>
      </c>
      <c r="M45" s="65"/>
      <c r="N45" s="153">
        <v>6</v>
      </c>
      <c r="O45" s="67">
        <f t="shared" si="2"/>
        <v>43997</v>
      </c>
      <c r="P45" s="176" t="s">
        <v>3762</v>
      </c>
      <c r="Q45" s="66">
        <f t="shared" si="1"/>
        <v>2</v>
      </c>
      <c r="R45" s="183"/>
      <c r="S45" s="183"/>
      <c r="T45" s="183"/>
      <c r="U45" s="183"/>
      <c r="V45" s="183"/>
      <c r="W45" s="183"/>
      <c r="X45" s="183"/>
      <c r="Y45" s="183"/>
      <c r="Z45" s="183"/>
      <c r="AA45" s="183"/>
    </row>
    <row r="46" spans="1:27" s="68" customFormat="1">
      <c r="A46" s="183" t="s">
        <v>716</v>
      </c>
      <c r="B46" s="183"/>
      <c r="C46" s="183" t="s">
        <v>2134</v>
      </c>
      <c r="D46" s="183" t="s">
        <v>719</v>
      </c>
      <c r="E46" s="183" t="s">
        <v>2655</v>
      </c>
      <c r="F46" s="183" t="s">
        <v>2137</v>
      </c>
      <c r="G46" s="183" t="s">
        <v>18</v>
      </c>
      <c r="H46" s="183" t="s">
        <v>30</v>
      </c>
      <c r="I46" s="183">
        <v>40</v>
      </c>
      <c r="J46" s="183" t="s">
        <v>3659</v>
      </c>
      <c r="K46" s="65">
        <v>1.1111111111111112</v>
      </c>
      <c r="L46" s="65">
        <v>1.8611111111111112</v>
      </c>
      <c r="M46" s="65"/>
      <c r="N46" s="153">
        <v>6</v>
      </c>
      <c r="O46" s="67">
        <f t="shared" si="2"/>
        <v>43997</v>
      </c>
      <c r="P46" s="139" t="s">
        <v>3757</v>
      </c>
      <c r="Q46" s="66">
        <f t="shared" si="1"/>
        <v>1</v>
      </c>
      <c r="R46" s="152"/>
      <c r="S46" s="152"/>
      <c r="T46" s="152"/>
      <c r="U46" s="152"/>
      <c r="V46" s="152"/>
      <c r="W46" s="152"/>
      <c r="X46" s="152"/>
      <c r="Y46" s="152"/>
      <c r="Z46" s="152"/>
      <c r="AA46" s="152"/>
    </row>
    <row r="47" spans="1:27" s="68" customFormat="1">
      <c r="A47" s="183" t="s">
        <v>2163</v>
      </c>
      <c r="B47" s="183" t="s">
        <v>2148</v>
      </c>
      <c r="C47" s="183" t="s">
        <v>2134</v>
      </c>
      <c r="D47" s="183" t="s">
        <v>2164</v>
      </c>
      <c r="E47" s="183" t="s">
        <v>2165</v>
      </c>
      <c r="F47" s="183" t="s">
        <v>2137</v>
      </c>
      <c r="G47" s="183" t="s">
        <v>18</v>
      </c>
      <c r="H47" s="183" t="s">
        <v>1298</v>
      </c>
      <c r="I47" s="183">
        <v>31</v>
      </c>
      <c r="J47" s="183" t="s">
        <v>3659</v>
      </c>
      <c r="K47" s="65">
        <v>0.86111111111111116</v>
      </c>
      <c r="L47" s="65">
        <v>1.6111111111111112</v>
      </c>
      <c r="M47" s="65"/>
      <c r="N47" s="153">
        <v>6</v>
      </c>
      <c r="O47" s="67">
        <f t="shared" si="2"/>
        <v>43997</v>
      </c>
      <c r="P47" s="139" t="s">
        <v>3763</v>
      </c>
      <c r="Q47" s="66">
        <f t="shared" si="1"/>
        <v>1</v>
      </c>
      <c r="R47" s="152"/>
      <c r="S47" s="152"/>
      <c r="T47" s="152"/>
      <c r="U47" s="152"/>
      <c r="V47" s="152"/>
      <c r="W47" s="152"/>
      <c r="X47" s="152"/>
      <c r="Y47" s="152"/>
      <c r="Z47" s="152"/>
      <c r="AA47" s="152"/>
    </row>
    <row r="48" spans="1:27" s="68" customFormat="1">
      <c r="A48" s="183" t="s">
        <v>2705</v>
      </c>
      <c r="B48" s="183"/>
      <c r="C48" s="183" t="s">
        <v>1436</v>
      </c>
      <c r="D48" s="183" t="s">
        <v>2707</v>
      </c>
      <c r="E48" s="183" t="s">
        <v>2708</v>
      </c>
      <c r="F48" s="183" t="s">
        <v>2709</v>
      </c>
      <c r="G48" s="183" t="s">
        <v>18</v>
      </c>
      <c r="H48" s="183" t="s">
        <v>19</v>
      </c>
      <c r="I48" s="183">
        <v>350</v>
      </c>
      <c r="J48" s="183" t="s">
        <v>3665</v>
      </c>
      <c r="K48" s="65">
        <v>9.7222222222222214</v>
      </c>
      <c r="L48" s="65">
        <v>10.472222222222221</v>
      </c>
      <c r="M48" s="65"/>
      <c r="N48" s="153">
        <v>7</v>
      </c>
      <c r="O48" s="67">
        <f t="shared" si="2"/>
        <v>43998</v>
      </c>
      <c r="P48" s="139" t="s">
        <v>3764</v>
      </c>
      <c r="Q48" s="66">
        <f t="shared" si="1"/>
        <v>7</v>
      </c>
      <c r="R48" s="152"/>
      <c r="S48" s="152"/>
      <c r="T48" s="152"/>
      <c r="U48" s="152"/>
      <c r="V48" s="152"/>
      <c r="W48" s="152"/>
      <c r="X48" s="152"/>
      <c r="Y48" s="152"/>
      <c r="Z48" s="152"/>
      <c r="AA48" s="152"/>
    </row>
    <row r="49" spans="1:27" s="68" customFormat="1">
      <c r="A49" s="183" t="s">
        <v>3204</v>
      </c>
      <c r="B49" s="183" t="s">
        <v>1312</v>
      </c>
      <c r="C49" s="183" t="s">
        <v>1436</v>
      </c>
      <c r="D49" s="183" t="s">
        <v>3205</v>
      </c>
      <c r="E49" s="183" t="s">
        <v>3206</v>
      </c>
      <c r="F49" s="183" t="s">
        <v>1439</v>
      </c>
      <c r="G49" s="183" t="s">
        <v>18</v>
      </c>
      <c r="H49" s="183" t="s">
        <v>1298</v>
      </c>
      <c r="I49" s="183">
        <v>117</v>
      </c>
      <c r="J49" s="183" t="s">
        <v>3659</v>
      </c>
      <c r="K49" s="65">
        <v>3.25</v>
      </c>
      <c r="L49" s="65">
        <v>4</v>
      </c>
      <c r="M49" s="65"/>
      <c r="N49" s="66">
        <v>8</v>
      </c>
      <c r="O49" s="67">
        <f t="shared" si="2"/>
        <v>43999</v>
      </c>
      <c r="P49" s="139" t="s">
        <v>3679</v>
      </c>
      <c r="Q49" s="66">
        <f t="shared" si="1"/>
        <v>3</v>
      </c>
      <c r="R49" s="152"/>
      <c r="S49" s="152"/>
      <c r="T49" s="152"/>
      <c r="U49" s="152"/>
      <c r="V49" s="152"/>
      <c r="W49" s="152"/>
      <c r="X49" s="152"/>
      <c r="Y49" s="152"/>
      <c r="Z49" s="152"/>
      <c r="AA49" s="152"/>
    </row>
    <row r="50" spans="1:27" s="68" customFormat="1">
      <c r="A50" s="183" t="s">
        <v>2530</v>
      </c>
      <c r="B50" s="183" t="s">
        <v>2423</v>
      </c>
      <c r="C50" s="183" t="s">
        <v>1436</v>
      </c>
      <c r="D50" s="183" t="s">
        <v>2531</v>
      </c>
      <c r="E50" s="183" t="s">
        <v>2532</v>
      </c>
      <c r="F50" s="183" t="s">
        <v>1439</v>
      </c>
      <c r="G50" s="183" t="s">
        <v>18</v>
      </c>
      <c r="H50" s="183" t="s">
        <v>1298</v>
      </c>
      <c r="I50" s="183">
        <v>96</v>
      </c>
      <c r="J50" s="183" t="s">
        <v>3659</v>
      </c>
      <c r="K50" s="65">
        <v>2.6666666666666665</v>
      </c>
      <c r="L50" s="65">
        <v>3.4166666666666665</v>
      </c>
      <c r="M50" s="65"/>
      <c r="N50" s="153">
        <v>8</v>
      </c>
      <c r="O50" s="67">
        <f t="shared" si="2"/>
        <v>43999</v>
      </c>
      <c r="P50" s="139" t="s">
        <v>3765</v>
      </c>
      <c r="Q50" s="66">
        <f t="shared" si="1"/>
        <v>2</v>
      </c>
      <c r="R50" s="152"/>
      <c r="S50" s="152"/>
      <c r="T50" s="152"/>
      <c r="U50" s="152"/>
      <c r="V50" s="152"/>
      <c r="W50" s="152"/>
      <c r="X50" s="152"/>
      <c r="Y50" s="152"/>
      <c r="Z50" s="152"/>
      <c r="AA50" s="152"/>
    </row>
    <row r="51" spans="1:27" s="68" customFormat="1">
      <c r="A51" s="183" t="s">
        <v>1435</v>
      </c>
      <c r="B51" s="183" t="s">
        <v>343</v>
      </c>
      <c r="C51" s="183" t="s">
        <v>1436</v>
      </c>
      <c r="D51" s="183" t="s">
        <v>1437</v>
      </c>
      <c r="E51" s="183" t="s">
        <v>1438</v>
      </c>
      <c r="F51" s="183" t="s">
        <v>1439</v>
      </c>
      <c r="G51" s="183" t="s">
        <v>18</v>
      </c>
      <c r="H51" s="183" t="s">
        <v>1298</v>
      </c>
      <c r="I51" s="183">
        <v>72</v>
      </c>
      <c r="J51" s="183" t="s">
        <v>3659</v>
      </c>
      <c r="K51" s="65">
        <v>2</v>
      </c>
      <c r="L51" s="65">
        <v>2.75</v>
      </c>
      <c r="M51" s="65"/>
      <c r="N51" s="153">
        <v>9</v>
      </c>
      <c r="O51" s="67">
        <f t="shared" si="2"/>
        <v>44000</v>
      </c>
      <c r="P51" s="139" t="s">
        <v>3664</v>
      </c>
      <c r="Q51" s="66">
        <f t="shared" si="1"/>
        <v>2</v>
      </c>
      <c r="R51" s="152"/>
      <c r="S51" s="152"/>
      <c r="T51" s="152"/>
      <c r="U51" s="152"/>
      <c r="V51" s="152"/>
      <c r="W51" s="152"/>
      <c r="X51" s="152"/>
      <c r="Y51" s="152"/>
      <c r="Z51" s="152"/>
      <c r="AA51" s="152"/>
    </row>
    <row r="52" spans="1:27" s="68" customFormat="1">
      <c r="A52" s="183" t="s">
        <v>1524</v>
      </c>
      <c r="B52" s="183" t="s">
        <v>1312</v>
      </c>
      <c r="C52" s="183" t="s">
        <v>1365</v>
      </c>
      <c r="D52" s="183" t="s">
        <v>1525</v>
      </c>
      <c r="E52" s="183" t="s">
        <v>1526</v>
      </c>
      <c r="F52" s="183" t="s">
        <v>1369</v>
      </c>
      <c r="G52" s="183" t="s">
        <v>18</v>
      </c>
      <c r="H52" s="183" t="s">
        <v>1298</v>
      </c>
      <c r="I52" s="183">
        <v>117</v>
      </c>
      <c r="J52" s="183" t="s">
        <v>3659</v>
      </c>
      <c r="K52" s="65">
        <v>3.25</v>
      </c>
      <c r="L52" s="65">
        <v>4</v>
      </c>
      <c r="M52" s="65"/>
      <c r="N52" s="66">
        <v>9</v>
      </c>
      <c r="O52" s="67">
        <f t="shared" si="2"/>
        <v>44000</v>
      </c>
      <c r="P52" s="139" t="s">
        <v>3690</v>
      </c>
      <c r="Q52" s="66">
        <f t="shared" si="1"/>
        <v>3</v>
      </c>
      <c r="R52" s="152"/>
      <c r="S52" s="152"/>
      <c r="T52" s="152"/>
      <c r="U52" s="152"/>
      <c r="V52" s="152"/>
      <c r="W52" s="152"/>
      <c r="X52" s="152"/>
      <c r="Y52" s="152"/>
      <c r="Z52" s="152"/>
      <c r="AA52" s="152"/>
    </row>
    <row r="53" spans="1:27" s="69" customFormat="1">
      <c r="A53" s="183" t="s">
        <v>2826</v>
      </c>
      <c r="B53" s="183" t="s">
        <v>1265</v>
      </c>
      <c r="C53" s="183" t="s">
        <v>1436</v>
      </c>
      <c r="D53" s="183" t="s">
        <v>3766</v>
      </c>
      <c r="E53" s="183" t="s">
        <v>2828</v>
      </c>
      <c r="F53" s="183" t="s">
        <v>3767</v>
      </c>
      <c r="G53" s="183" t="s">
        <v>18</v>
      </c>
      <c r="H53" s="183" t="s">
        <v>19</v>
      </c>
      <c r="I53" s="183">
        <v>110</v>
      </c>
      <c r="J53" s="183" t="s">
        <v>3665</v>
      </c>
      <c r="K53" s="65">
        <v>3.0555555555555554</v>
      </c>
      <c r="L53" s="65">
        <v>3.8055555555555554</v>
      </c>
      <c r="M53" s="65"/>
      <c r="N53" s="153">
        <v>10</v>
      </c>
      <c r="O53" s="67">
        <f t="shared" si="2"/>
        <v>44001</v>
      </c>
      <c r="P53" s="176" t="s">
        <v>3679</v>
      </c>
      <c r="Q53" s="66">
        <f t="shared" si="1"/>
        <v>3</v>
      </c>
      <c r="R53" s="183"/>
      <c r="S53" s="183"/>
      <c r="T53" s="183"/>
      <c r="U53" s="183"/>
      <c r="V53" s="183"/>
      <c r="W53" s="183"/>
      <c r="X53" s="183"/>
      <c r="Y53" s="183"/>
      <c r="Z53" s="183"/>
      <c r="AA53" s="183"/>
    </row>
    <row r="54" spans="1:27" s="68" customFormat="1">
      <c r="A54" s="183" t="s">
        <v>2533</v>
      </c>
      <c r="B54" s="183" t="s">
        <v>2423</v>
      </c>
      <c r="C54" s="183" t="s">
        <v>1436</v>
      </c>
      <c r="D54" s="183" t="s">
        <v>2534</v>
      </c>
      <c r="E54" s="183" t="s">
        <v>2535</v>
      </c>
      <c r="F54" s="183" t="s">
        <v>1439</v>
      </c>
      <c r="G54" s="183" t="s">
        <v>18</v>
      </c>
      <c r="H54" s="183" t="s">
        <v>1298</v>
      </c>
      <c r="I54" s="183">
        <v>35</v>
      </c>
      <c r="J54" s="183" t="s">
        <v>3659</v>
      </c>
      <c r="K54" s="65">
        <v>0.97222222222222221</v>
      </c>
      <c r="L54" s="65">
        <v>1.7222222222222223</v>
      </c>
      <c r="M54" s="65"/>
      <c r="N54" s="153">
        <v>10</v>
      </c>
      <c r="O54" s="67">
        <f t="shared" si="2"/>
        <v>44001</v>
      </c>
      <c r="P54" s="139" t="s">
        <v>3768</v>
      </c>
      <c r="Q54" s="66">
        <f t="shared" si="1"/>
        <v>1</v>
      </c>
      <c r="R54" s="152"/>
      <c r="S54" s="152"/>
      <c r="T54" s="152"/>
      <c r="U54" s="152"/>
      <c r="V54" s="152"/>
      <c r="W54" s="152"/>
      <c r="X54" s="152"/>
      <c r="Y54" s="152"/>
      <c r="Z54" s="152"/>
      <c r="AA54" s="152"/>
    </row>
    <row r="55" spans="1:27" s="68" customFormat="1">
      <c r="A55" s="183" t="s">
        <v>2497</v>
      </c>
      <c r="B55" s="183" t="s">
        <v>2423</v>
      </c>
      <c r="C55" s="183" t="s">
        <v>1365</v>
      </c>
      <c r="D55" s="183" t="s">
        <v>2498</v>
      </c>
      <c r="E55" s="183" t="s">
        <v>2499</v>
      </c>
      <c r="F55" s="183" t="s">
        <v>1369</v>
      </c>
      <c r="G55" s="183" t="s">
        <v>18</v>
      </c>
      <c r="H55" s="183" t="s">
        <v>1298</v>
      </c>
      <c r="I55" s="183">
        <v>95</v>
      </c>
      <c r="J55" s="183" t="s">
        <v>3659</v>
      </c>
      <c r="K55" s="65">
        <v>2.6388888888888888</v>
      </c>
      <c r="L55" s="65">
        <v>3.3888888888888888</v>
      </c>
      <c r="M55" s="65"/>
      <c r="N55" s="153">
        <v>11</v>
      </c>
      <c r="O55" s="67">
        <f t="shared" si="2"/>
        <v>44002</v>
      </c>
      <c r="P55" s="139" t="s">
        <v>3720</v>
      </c>
      <c r="Q55" s="66">
        <f t="shared" si="1"/>
        <v>2</v>
      </c>
      <c r="R55" s="152"/>
      <c r="S55" s="152"/>
      <c r="T55" s="152"/>
      <c r="U55" s="152"/>
      <c r="V55" s="152"/>
      <c r="W55" s="152"/>
      <c r="X55" s="152"/>
      <c r="Y55" s="152"/>
      <c r="Z55" s="152"/>
      <c r="AA55" s="152"/>
    </row>
    <row r="56" spans="1:27" s="68" customFormat="1">
      <c r="A56" s="183" t="s">
        <v>2176</v>
      </c>
      <c r="B56" s="183" t="s">
        <v>2148</v>
      </c>
      <c r="C56" s="183" t="s">
        <v>1365</v>
      </c>
      <c r="D56" s="183" t="s">
        <v>2178</v>
      </c>
      <c r="E56" s="183" t="s">
        <v>2179</v>
      </c>
      <c r="F56" s="183" t="s">
        <v>1369</v>
      </c>
      <c r="G56" s="183" t="s">
        <v>18</v>
      </c>
      <c r="H56" s="183" t="s">
        <v>1298</v>
      </c>
      <c r="I56" s="183">
        <v>42</v>
      </c>
      <c r="J56" s="183" t="s">
        <v>3659</v>
      </c>
      <c r="K56" s="65">
        <v>1.1666666666666667</v>
      </c>
      <c r="L56" s="65">
        <v>1.9166666666666667</v>
      </c>
      <c r="M56" s="65"/>
      <c r="N56" s="153">
        <v>11</v>
      </c>
      <c r="O56" s="67">
        <f t="shared" si="2"/>
        <v>44002</v>
      </c>
      <c r="P56" s="139" t="s">
        <v>3757</v>
      </c>
      <c r="Q56" s="66">
        <f t="shared" si="1"/>
        <v>1</v>
      </c>
      <c r="R56" s="152"/>
      <c r="S56" s="152"/>
      <c r="T56" s="152"/>
      <c r="U56" s="152"/>
      <c r="V56" s="152"/>
      <c r="W56" s="152"/>
      <c r="X56" s="152"/>
      <c r="Y56" s="152"/>
      <c r="Z56" s="152"/>
      <c r="AA56" s="152"/>
    </row>
    <row r="57" spans="1:27" s="69" customFormat="1">
      <c r="A57" s="183" t="s">
        <v>83</v>
      </c>
      <c r="B57" s="183" t="s">
        <v>1323</v>
      </c>
      <c r="C57" s="183" t="s">
        <v>1365</v>
      </c>
      <c r="D57" s="183" t="s">
        <v>1367</v>
      </c>
      <c r="E57" s="183" t="s">
        <v>1368</v>
      </c>
      <c r="F57" s="183" t="s">
        <v>1369</v>
      </c>
      <c r="G57" s="183" t="s">
        <v>18</v>
      </c>
      <c r="H57" s="183" t="s">
        <v>3659</v>
      </c>
      <c r="I57" s="183">
        <v>30</v>
      </c>
      <c r="J57" s="183" t="s">
        <v>3659</v>
      </c>
      <c r="K57" s="65">
        <v>0.83333333333333337</v>
      </c>
      <c r="L57" s="65">
        <v>1.5833333333333335</v>
      </c>
      <c r="M57" s="65"/>
      <c r="N57" s="153">
        <v>11</v>
      </c>
      <c r="O57" s="67">
        <f t="shared" si="2"/>
        <v>44002</v>
      </c>
      <c r="P57" s="176" t="s">
        <v>3763</v>
      </c>
      <c r="Q57" s="66">
        <f t="shared" si="1"/>
        <v>1</v>
      </c>
      <c r="R57" s="183"/>
      <c r="S57" s="183"/>
      <c r="T57" s="183"/>
      <c r="U57" s="183"/>
      <c r="V57" s="183"/>
      <c r="W57" s="183"/>
      <c r="X57" s="183"/>
      <c r="Y57" s="183"/>
      <c r="Z57" s="183"/>
      <c r="AA57" s="183"/>
    </row>
    <row r="58" spans="1:27" s="347" customFormat="1">
      <c r="A58" s="258" t="s">
        <v>690</v>
      </c>
      <c r="B58" s="258" t="s">
        <v>3659</v>
      </c>
      <c r="C58" s="258" t="s">
        <v>1325</v>
      </c>
      <c r="D58" s="258" t="s">
        <v>2634</v>
      </c>
      <c r="E58" s="258" t="s">
        <v>2635</v>
      </c>
      <c r="F58" s="258" t="s">
        <v>1331</v>
      </c>
      <c r="G58" s="258" t="s">
        <v>18</v>
      </c>
      <c r="H58" s="258" t="s">
        <v>3659</v>
      </c>
      <c r="I58" s="258">
        <v>110</v>
      </c>
      <c r="J58" s="258" t="s">
        <v>6936</v>
      </c>
      <c r="K58" s="259">
        <f>I58/B82</f>
        <v>3.0555555555555554</v>
      </c>
      <c r="L58" s="259">
        <f>K58+(B79+B80)/60</f>
        <v>3.8055555555555554</v>
      </c>
      <c r="M58" s="259"/>
      <c r="N58" s="260">
        <v>13</v>
      </c>
      <c r="O58" s="261">
        <f t="shared" si="2"/>
        <v>44004</v>
      </c>
      <c r="P58" s="346" t="s">
        <v>3851</v>
      </c>
      <c r="Q58" s="66">
        <f t="shared" si="1"/>
        <v>3</v>
      </c>
      <c r="R58" s="258"/>
      <c r="S58" s="258"/>
      <c r="T58" s="258"/>
      <c r="U58" s="258"/>
      <c r="V58" s="258"/>
      <c r="W58" s="258"/>
      <c r="X58" s="258"/>
      <c r="Y58" s="258"/>
      <c r="Z58" s="258"/>
      <c r="AA58" s="258"/>
    </row>
    <row r="59" spans="1:27" s="353" customFormat="1">
      <c r="A59" s="348" t="s">
        <v>424</v>
      </c>
      <c r="B59" s="348" t="s">
        <v>3659</v>
      </c>
      <c r="C59" s="348" t="s">
        <v>2134</v>
      </c>
      <c r="D59" s="348" t="s">
        <v>2145</v>
      </c>
      <c r="E59" s="348" t="s">
        <v>2146</v>
      </c>
      <c r="F59" s="348" t="s">
        <v>2147</v>
      </c>
      <c r="G59" s="348" t="s">
        <v>91</v>
      </c>
      <c r="H59" s="348" t="s">
        <v>3659</v>
      </c>
      <c r="I59" s="348">
        <v>345</v>
      </c>
      <c r="J59" s="348" t="s">
        <v>3659</v>
      </c>
      <c r="K59" s="349">
        <v>21.875</v>
      </c>
      <c r="L59" s="349">
        <v>24.375</v>
      </c>
      <c r="M59" s="349" t="s">
        <v>6935</v>
      </c>
      <c r="N59" s="351" t="s">
        <v>6937</v>
      </c>
      <c r="O59" s="393" t="s">
        <v>6949</v>
      </c>
      <c r="P59" s="353" t="s">
        <v>6950</v>
      </c>
      <c r="Q59" s="351">
        <f t="shared" si="1"/>
        <v>7</v>
      </c>
    </row>
    <row r="60" spans="1:27" s="353" customFormat="1">
      <c r="A60" s="348" t="s">
        <v>850</v>
      </c>
      <c r="B60" s="348" t="s">
        <v>3659</v>
      </c>
      <c r="C60" s="348" t="s">
        <v>1436</v>
      </c>
      <c r="D60" s="348" t="s">
        <v>3046</v>
      </c>
      <c r="E60" s="348" t="s">
        <v>3047</v>
      </c>
      <c r="F60" s="348" t="s">
        <v>2709</v>
      </c>
      <c r="G60" s="348" t="s">
        <v>91</v>
      </c>
      <c r="H60" s="348" t="s">
        <v>3659</v>
      </c>
      <c r="I60" s="348">
        <v>240</v>
      </c>
      <c r="J60" s="348" t="s">
        <v>3659</v>
      </c>
      <c r="K60" s="349">
        <v>15.625</v>
      </c>
      <c r="L60" s="349">
        <v>18.125</v>
      </c>
      <c r="M60" s="349" t="s">
        <v>6935</v>
      </c>
      <c r="N60" s="362" t="s">
        <v>6938</v>
      </c>
      <c r="O60" s="393" t="s">
        <v>6947</v>
      </c>
      <c r="P60" s="353" t="s">
        <v>6940</v>
      </c>
      <c r="Q60" s="351">
        <f t="shared" si="1"/>
        <v>5</v>
      </c>
    </row>
    <row r="61" spans="1:27" s="386" customFormat="1">
      <c r="A61" s="348" t="s">
        <v>880</v>
      </c>
      <c r="B61" s="348" t="s">
        <v>3659</v>
      </c>
      <c r="C61" s="348" t="s">
        <v>1436</v>
      </c>
      <c r="D61" s="348" t="s">
        <v>3108</v>
      </c>
      <c r="E61" s="348" t="s">
        <v>3109</v>
      </c>
      <c r="F61" s="348" t="s">
        <v>1439</v>
      </c>
      <c r="G61" s="348" t="s">
        <v>91</v>
      </c>
      <c r="H61" s="348" t="s">
        <v>3659</v>
      </c>
      <c r="I61" s="348">
        <v>80</v>
      </c>
      <c r="J61" s="348" t="s">
        <v>3659</v>
      </c>
      <c r="K61" s="349">
        <v>6.25</v>
      </c>
      <c r="L61" s="349">
        <v>8.75</v>
      </c>
      <c r="M61" s="349" t="s">
        <v>6935</v>
      </c>
      <c r="N61" s="362">
        <v>6</v>
      </c>
      <c r="O61" s="364">
        <v>44010</v>
      </c>
      <c r="P61" s="348" t="s">
        <v>6940</v>
      </c>
      <c r="Q61" s="362">
        <f t="shared" si="1"/>
        <v>2</v>
      </c>
      <c r="R61" s="348"/>
      <c r="S61" s="348"/>
      <c r="T61" s="348"/>
      <c r="U61" s="348"/>
      <c r="V61" s="348"/>
      <c r="W61" s="348"/>
      <c r="X61" s="348"/>
      <c r="Y61" s="348"/>
      <c r="Z61" s="348"/>
      <c r="AA61" s="348"/>
    </row>
    <row r="62" spans="1:27" s="358" customFormat="1">
      <c r="A62" s="387" t="s">
        <v>195</v>
      </c>
      <c r="B62" s="387" t="s">
        <v>3659</v>
      </c>
      <c r="C62" s="387" t="s">
        <v>1252</v>
      </c>
      <c r="D62" s="387" t="s">
        <v>1597</v>
      </c>
      <c r="E62" s="388" t="s">
        <v>6904</v>
      </c>
      <c r="F62" s="387" t="s">
        <v>1895</v>
      </c>
      <c r="G62" s="387" t="s">
        <v>91</v>
      </c>
      <c r="H62" s="387" t="s">
        <v>3659</v>
      </c>
      <c r="I62" s="387">
        <v>140</v>
      </c>
      <c r="J62" s="387" t="s">
        <v>3659</v>
      </c>
      <c r="K62" s="389">
        <v>9.375</v>
      </c>
      <c r="L62" s="389">
        <v>11.875</v>
      </c>
      <c r="M62" s="389" t="s">
        <v>3454</v>
      </c>
      <c r="N62" s="390" t="s">
        <v>3736</v>
      </c>
      <c r="O62" s="394" t="s">
        <v>6922</v>
      </c>
      <c r="P62" s="387" t="s">
        <v>3850</v>
      </c>
      <c r="Q62" s="398">
        <f t="shared" si="1"/>
        <v>3</v>
      </c>
      <c r="R62" s="387"/>
      <c r="S62" s="387"/>
      <c r="T62" s="387"/>
      <c r="U62" s="387"/>
      <c r="V62" s="387"/>
      <c r="W62" s="387"/>
      <c r="X62" s="387"/>
      <c r="Y62" s="387"/>
      <c r="Z62" s="387"/>
      <c r="AA62" s="387"/>
    </row>
    <row r="63" spans="1:27" s="358" customFormat="1">
      <c r="A63" s="355" t="s">
        <v>335</v>
      </c>
      <c r="B63" s="355" t="s">
        <v>3659</v>
      </c>
      <c r="C63" s="355" t="s">
        <v>1252</v>
      </c>
      <c r="D63" s="355" t="s">
        <v>1991</v>
      </c>
      <c r="E63" s="355" t="s">
        <v>1992</v>
      </c>
      <c r="F63" s="355" t="s">
        <v>1993</v>
      </c>
      <c r="G63" s="355" t="s">
        <v>91</v>
      </c>
      <c r="H63" s="355" t="s">
        <v>3659</v>
      </c>
      <c r="I63" s="355">
        <v>230</v>
      </c>
      <c r="J63" s="355" t="s">
        <v>3659</v>
      </c>
      <c r="K63" s="356">
        <v>15.625</v>
      </c>
      <c r="L63" s="356">
        <v>18.125</v>
      </c>
      <c r="M63" s="356" t="s">
        <v>3454</v>
      </c>
      <c r="N63" s="391" t="s">
        <v>3733</v>
      </c>
      <c r="O63" s="395" t="s">
        <v>3734</v>
      </c>
      <c r="P63" s="358" t="s">
        <v>6950</v>
      </c>
      <c r="Q63" s="357">
        <f t="shared" si="1"/>
        <v>5</v>
      </c>
    </row>
    <row r="64" spans="1:27" s="358" customFormat="1">
      <c r="A64" s="355" t="s">
        <v>996</v>
      </c>
      <c r="B64" s="355" t="s">
        <v>2244</v>
      </c>
      <c r="C64" s="355" t="s">
        <v>1252</v>
      </c>
      <c r="D64" s="355" t="s">
        <v>2246</v>
      </c>
      <c r="E64" s="355" t="s">
        <v>2247</v>
      </c>
      <c r="F64" s="355" t="s">
        <v>1379</v>
      </c>
      <c r="G64" s="355" t="s">
        <v>91</v>
      </c>
      <c r="H64" s="355"/>
      <c r="I64" s="355">
        <v>230</v>
      </c>
      <c r="J64" s="355" t="s">
        <v>3665</v>
      </c>
      <c r="K64" s="356">
        <v>15.625</v>
      </c>
      <c r="L64" s="356">
        <v>18.125</v>
      </c>
      <c r="M64" s="356" t="s">
        <v>3454</v>
      </c>
      <c r="N64" s="357" t="s">
        <v>3735</v>
      </c>
      <c r="O64" s="395" t="s">
        <v>6928</v>
      </c>
      <c r="P64" s="358" t="s">
        <v>6950</v>
      </c>
      <c r="Q64" s="357">
        <f t="shared" si="1"/>
        <v>5</v>
      </c>
    </row>
    <row r="65" spans="1:27" s="392" customFormat="1">
      <c r="A65" s="376" t="s">
        <v>2846</v>
      </c>
      <c r="B65" s="376" t="s">
        <v>3659</v>
      </c>
      <c r="C65" s="376" t="s">
        <v>1252</v>
      </c>
      <c r="D65" s="376" t="s">
        <v>3769</v>
      </c>
      <c r="E65" s="376" t="s">
        <v>2847</v>
      </c>
      <c r="F65" s="376" t="s">
        <v>3770</v>
      </c>
      <c r="G65" s="376" t="s">
        <v>91</v>
      </c>
      <c r="H65" s="376"/>
      <c r="I65" s="376">
        <v>67</v>
      </c>
      <c r="J65" s="376" t="s">
        <v>3665</v>
      </c>
      <c r="K65" s="377">
        <v>6.25</v>
      </c>
      <c r="L65" s="377">
        <v>8.75</v>
      </c>
      <c r="M65" s="377" t="s">
        <v>6929</v>
      </c>
      <c r="N65" s="378">
        <v>2</v>
      </c>
      <c r="O65" s="396">
        <v>44006</v>
      </c>
      <c r="P65" s="392" t="s">
        <v>6940</v>
      </c>
      <c r="Q65" s="378">
        <f t="shared" si="1"/>
        <v>2</v>
      </c>
    </row>
    <row r="66" spans="1:27" s="380" customFormat="1">
      <c r="A66" s="376" t="s">
        <v>499</v>
      </c>
      <c r="B66" s="376" t="s">
        <v>1624</v>
      </c>
      <c r="C66" s="376" t="s">
        <v>1453</v>
      </c>
      <c r="D66" s="376" t="s">
        <v>2242</v>
      </c>
      <c r="E66" s="376" t="s">
        <v>2243</v>
      </c>
      <c r="F66" s="376" t="s">
        <v>2170</v>
      </c>
      <c r="G66" s="376" t="s">
        <v>91</v>
      </c>
      <c r="H66" s="376" t="s">
        <v>3659</v>
      </c>
      <c r="I66" s="376">
        <v>45</v>
      </c>
      <c r="J66" s="376" t="s">
        <v>503</v>
      </c>
      <c r="K66" s="377">
        <v>3.125</v>
      </c>
      <c r="L66" s="377">
        <v>5.625</v>
      </c>
      <c r="M66" s="377" t="s">
        <v>6929</v>
      </c>
      <c r="N66" s="378">
        <v>1</v>
      </c>
      <c r="O66" s="396">
        <v>44005</v>
      </c>
      <c r="P66" s="392" t="s">
        <v>3850</v>
      </c>
      <c r="Q66" s="378">
        <f t="shared" si="1"/>
        <v>1</v>
      </c>
      <c r="R66" s="392"/>
      <c r="S66" s="392"/>
      <c r="T66" s="392"/>
      <c r="U66" s="392"/>
      <c r="V66" s="392"/>
      <c r="W66" s="392"/>
      <c r="X66" s="392"/>
      <c r="Y66" s="392"/>
      <c r="Z66" s="392"/>
      <c r="AA66" s="392"/>
    </row>
    <row r="67" spans="1:27" s="380" customFormat="1">
      <c r="A67" s="376" t="s">
        <v>1129</v>
      </c>
      <c r="B67" s="376" t="s">
        <v>3659</v>
      </c>
      <c r="C67" s="376" t="s">
        <v>1534</v>
      </c>
      <c r="D67" s="376" t="s">
        <v>1661</v>
      </c>
      <c r="E67" s="376" t="s">
        <v>1662</v>
      </c>
      <c r="F67" s="376" t="s">
        <v>1538</v>
      </c>
      <c r="G67" s="376" t="s">
        <v>91</v>
      </c>
      <c r="H67" s="376" t="s">
        <v>30</v>
      </c>
      <c r="I67" s="376">
        <v>160</v>
      </c>
      <c r="J67" s="376" t="s">
        <v>3665</v>
      </c>
      <c r="K67" s="377">
        <v>12.5</v>
      </c>
      <c r="L67" s="377">
        <v>15</v>
      </c>
      <c r="M67" s="377" t="s">
        <v>6929</v>
      </c>
      <c r="N67" s="378" t="s">
        <v>3733</v>
      </c>
      <c r="O67" s="397" t="s">
        <v>3734</v>
      </c>
      <c r="P67" s="392" t="s">
        <v>3863</v>
      </c>
      <c r="Q67" s="399">
        <f t="shared" ref="Q67:Q68" si="5">ROUNDUP(I67/$R$2,0)</f>
        <v>4</v>
      </c>
      <c r="R67" s="376"/>
      <c r="S67" s="376"/>
      <c r="T67" s="376"/>
      <c r="U67" s="376"/>
      <c r="V67" s="376"/>
      <c r="W67" s="376"/>
      <c r="X67" s="376"/>
      <c r="Y67" s="376"/>
      <c r="Z67" s="376"/>
      <c r="AA67" s="376"/>
    </row>
    <row r="68" spans="1:27" s="392" customFormat="1">
      <c r="A68" s="376" t="s">
        <v>770</v>
      </c>
      <c r="B68" s="376" t="s">
        <v>1624</v>
      </c>
      <c r="C68" s="376" t="s">
        <v>1534</v>
      </c>
      <c r="D68" s="376" t="s">
        <v>2798</v>
      </c>
      <c r="E68" s="376" t="s">
        <v>2799</v>
      </c>
      <c r="F68" s="376" t="s">
        <v>1538</v>
      </c>
      <c r="G68" s="376" t="s">
        <v>91</v>
      </c>
      <c r="H68" s="376" t="s">
        <v>3659</v>
      </c>
      <c r="I68" s="376">
        <v>90</v>
      </c>
      <c r="J68" s="376" t="s">
        <v>3659</v>
      </c>
      <c r="K68" s="377">
        <v>6.25</v>
      </c>
      <c r="L68" s="377">
        <v>8.75</v>
      </c>
      <c r="M68" s="377" t="s">
        <v>6929</v>
      </c>
      <c r="N68" s="378">
        <v>5</v>
      </c>
      <c r="O68" s="396">
        <v>44009</v>
      </c>
      <c r="P68" s="392" t="s">
        <v>6940</v>
      </c>
      <c r="Q68" s="378">
        <f t="shared" si="5"/>
        <v>2</v>
      </c>
    </row>
    <row r="69" spans="1:27" customFormat="1">
      <c r="A69" s="180" t="s">
        <v>1094</v>
      </c>
      <c r="B69" s="180" t="s">
        <v>2880</v>
      </c>
      <c r="C69" s="180" t="s">
        <v>1252</v>
      </c>
      <c r="D69" s="180" t="s">
        <v>2890</v>
      </c>
      <c r="E69" s="180" t="s">
        <v>2891</v>
      </c>
      <c r="F69" s="180" t="s">
        <v>1993</v>
      </c>
      <c r="G69" s="180" t="s">
        <v>54</v>
      </c>
      <c r="H69" s="180"/>
      <c r="I69" s="180">
        <v>104</v>
      </c>
      <c r="J69" s="180" t="s">
        <v>3665</v>
      </c>
      <c r="K69" s="29"/>
      <c r="L69" s="29"/>
      <c r="M69" s="29"/>
      <c r="N69" s="31"/>
    </row>
    <row r="70" spans="1:27" customFormat="1">
      <c r="A70" s="180" t="s">
        <v>93</v>
      </c>
      <c r="B70" s="180" t="s">
        <v>1323</v>
      </c>
      <c r="C70" s="180" t="s">
        <v>1252</v>
      </c>
      <c r="D70" s="180" t="s">
        <v>1377</v>
      </c>
      <c r="E70" s="180" t="s">
        <v>1378</v>
      </c>
      <c r="F70" s="180" t="s">
        <v>1379</v>
      </c>
      <c r="G70" s="180" t="s">
        <v>54</v>
      </c>
      <c r="H70" s="180" t="s">
        <v>30</v>
      </c>
      <c r="I70" s="180">
        <v>20</v>
      </c>
      <c r="J70" s="180" t="s">
        <v>97</v>
      </c>
      <c r="K70" s="29"/>
      <c r="L70" s="29"/>
      <c r="M70" s="29"/>
      <c r="N70" s="135"/>
    </row>
    <row r="72" spans="1:27" customFormat="1">
      <c r="A72" s="180" t="s">
        <v>1532</v>
      </c>
      <c r="B72" s="180" t="s">
        <v>3659</v>
      </c>
      <c r="C72" s="180" t="s">
        <v>1534</v>
      </c>
      <c r="D72" s="180" t="s">
        <v>1536</v>
      </c>
      <c r="E72" s="180" t="s">
        <v>1537</v>
      </c>
      <c r="F72" s="180" t="s">
        <v>1538</v>
      </c>
      <c r="G72" s="180" t="s">
        <v>54</v>
      </c>
      <c r="H72" s="180"/>
      <c r="I72" s="180" t="s">
        <v>3659</v>
      </c>
      <c r="J72" s="180"/>
      <c r="N72" s="135"/>
    </row>
    <row r="73" spans="1:27" s="141" customFormat="1">
      <c r="A73" s="140" t="s">
        <v>783</v>
      </c>
      <c r="B73" s="140"/>
      <c r="C73" s="140" t="s">
        <v>1453</v>
      </c>
      <c r="D73" s="140" t="s">
        <v>3740</v>
      </c>
      <c r="E73" s="140" t="s">
        <v>2745</v>
      </c>
      <c r="F73" s="140" t="s">
        <v>3741</v>
      </c>
      <c r="G73" s="140" t="s">
        <v>54</v>
      </c>
      <c r="H73" s="140" t="s">
        <v>30</v>
      </c>
      <c r="I73" s="140">
        <v>140</v>
      </c>
      <c r="J73" s="140" t="s">
        <v>3742</v>
      </c>
      <c r="K73" s="164"/>
      <c r="L73" s="164"/>
      <c r="M73" s="267"/>
      <c r="N73" s="165"/>
      <c r="O73" s="268"/>
      <c r="P73" s="265"/>
      <c r="Q73" s="251"/>
    </row>
    <row r="74" spans="1:27" customFormat="1" ht="15.75" hidden="1" thickBot="1">
      <c r="A74" s="134" t="str">
        <f ca="1">IFERROR(__xludf.DUMMYFUNCTION("""COMPUTED_VALUE"""),"")</f>
        <v/>
      </c>
      <c r="B74" s="134" t="str">
        <f ca="1">IFERROR(__xludf.DUMMYFUNCTION("""COMPUTED_VALUE"""),"")</f>
        <v/>
      </c>
      <c r="C74" s="134" t="str">
        <f ca="1">IFERROR(__xludf.DUMMYFUNCTION("""COMPUTED_VALUE"""),"")</f>
        <v/>
      </c>
      <c r="D74" s="134" t="str">
        <f ca="1">IFERROR(__xludf.DUMMYFUNCTION("""COMPUTED_VALUE"""),"")</f>
        <v/>
      </c>
      <c r="E74" s="134" t="str">
        <f ca="1">IFERROR(__xludf.DUMMYFUNCTION("""COMPUTED_VALUE"""),"")</f>
        <v/>
      </c>
      <c r="F74" s="134" t="str">
        <f ca="1">IFERROR(__xludf.DUMMYFUNCTION("""COMPUTED_VALUE"""),"")</f>
        <v/>
      </c>
      <c r="G74" s="134" t="str">
        <f ca="1">IFERROR(__xludf.DUMMYFUNCTION("""COMPUTED_VALUE"""),"")</f>
        <v/>
      </c>
      <c r="H74" s="134" t="str">
        <f ca="1">IFERROR(__xludf.DUMMYFUNCTION("""COMPUTED_VALUE"""),"")</f>
        <v/>
      </c>
      <c r="I74" s="134" t="str">
        <f ca="1">IFERROR(__xludf.DUMMYFUNCTION("""COMPUTED_VALUE"""),"")</f>
        <v/>
      </c>
      <c r="J74" s="134" t="str">
        <f ca="1">IFERROR(__xludf.DUMMYFUNCTION("""COMPUTED_VALUE"""),"")</f>
        <v/>
      </c>
      <c r="K74" s="29"/>
      <c r="L74" s="29"/>
      <c r="M74" s="29"/>
      <c r="N74" s="31"/>
    </row>
    <row r="75" spans="1:27" customFormat="1" ht="15.75" hidden="1" thickBot="1">
      <c r="A75" s="414" t="s">
        <v>3695</v>
      </c>
      <c r="B75" s="415"/>
      <c r="C75" s="134" t="str">
        <f ca="1">IFERROR(__xludf.DUMMYFUNCTION("""COMPUTED_VALUE"""),"")</f>
        <v/>
      </c>
      <c r="D75" s="414" t="s">
        <v>3696</v>
      </c>
      <c r="E75" s="416"/>
      <c r="F75" s="416"/>
      <c r="G75" s="415"/>
      <c r="H75" s="134" t="str">
        <f ca="1">IFERROR(__xludf.DUMMYFUNCTION("""COMPUTED_VALUE"""),"")</f>
        <v/>
      </c>
      <c r="I75" s="134">
        <v>60</v>
      </c>
      <c r="J75" s="134" t="s">
        <v>3697</v>
      </c>
      <c r="K75" s="29"/>
      <c r="L75" s="162">
        <v>43992</v>
      </c>
      <c r="M75" s="162"/>
      <c r="N75" s="162">
        <v>43993</v>
      </c>
      <c r="O75" s="162"/>
      <c r="P75" s="162">
        <v>43994</v>
      </c>
      <c r="Q75" s="162"/>
      <c r="R75" s="162">
        <v>43995</v>
      </c>
      <c r="S75" s="162"/>
      <c r="T75" s="159">
        <v>43997</v>
      </c>
      <c r="U75" s="159"/>
      <c r="V75" s="159">
        <v>43998</v>
      </c>
      <c r="W75" s="159"/>
    </row>
    <row r="76" spans="1:27" customFormat="1" hidden="1">
      <c r="A76" s="43"/>
      <c r="B76" s="36" t="s">
        <v>3365</v>
      </c>
      <c r="C76" s="134" t="str">
        <f ca="1">IFERROR(__xludf.DUMMYFUNCTION("""COMPUTED_VALUE"""),"")</f>
        <v/>
      </c>
      <c r="D76" s="43"/>
      <c r="E76" s="44" t="s">
        <v>3366</v>
      </c>
      <c r="F76" s="50" t="s">
        <v>3367</v>
      </c>
      <c r="G76" s="36"/>
      <c r="H76" s="134" t="str">
        <f ca="1">IFERROR(__xludf.DUMMYFUNCTION("""COMPUTED_VALUE"""),"")</f>
        <v/>
      </c>
      <c r="I76" s="134" t="str">
        <f ca="1">IFERROR(__xludf.DUMMYFUNCTION("""COMPUTED_VALUE"""),"")</f>
        <v/>
      </c>
      <c r="J76" s="134" t="str">
        <f ca="1">IFERROR(__xludf.DUMMYFUNCTION("""COMPUTED_VALUE"""),"")</f>
        <v/>
      </c>
      <c r="K76" s="29"/>
      <c r="L76" s="163">
        <f>SUM(I2,I3,I39,I19)</f>
        <v>737</v>
      </c>
      <c r="M76" s="163">
        <f>SUM(Q2,Q3,Q39,Q19)</f>
        <v>16</v>
      </c>
      <c r="N76" s="163">
        <f>SUM(I4:I5,I20:I20,I40:I41)</f>
        <v>575</v>
      </c>
      <c r="O76" s="163">
        <f>SUM(Q4:Q5,Q20:Q20,Q40:Q41)</f>
        <v>14</v>
      </c>
      <c r="P76" s="163">
        <f>SUM(I6:I7,I21:I22,I42:I43)</f>
        <v>757</v>
      </c>
      <c r="Q76" s="163">
        <f>SUM(Q6:Q7,Q21:Q22,Q42:Q43)</f>
        <v>18</v>
      </c>
      <c r="R76" s="163">
        <f>SUM(I8:I9,I23:I24,I44)</f>
        <v>648</v>
      </c>
      <c r="S76" s="163">
        <f>SUM(Q8:Q9,Q23:Q24,Q44)</f>
        <v>16</v>
      </c>
      <c r="T76" s="134">
        <f>SUM(I10:I11,I25:I26,I45:I47)</f>
        <v>449</v>
      </c>
      <c r="U76" s="134">
        <f>SUM(Q10:Q11,Q25:Q26,Q45:Q47)</f>
        <v>11</v>
      </c>
      <c r="V76" s="134">
        <f>SUM(I27,I48,I12:I13)</f>
        <v>761</v>
      </c>
      <c r="W76" s="134">
        <f>SUM(Q27,Q48,Q12:Q13)</f>
        <v>17</v>
      </c>
    </row>
    <row r="77" spans="1:27" customFormat="1" hidden="1">
      <c r="A77" s="45" t="s">
        <v>3368</v>
      </c>
      <c r="B77" s="48">
        <v>5</v>
      </c>
      <c r="C77" s="134" t="str">
        <f ca="1">IFERROR(__xludf.DUMMYFUNCTION("""COMPUTED_VALUE"""),"")</f>
        <v/>
      </c>
      <c r="D77" s="45" t="s">
        <v>3369</v>
      </c>
      <c r="E77" s="27">
        <f>(50/$F$80)*60</f>
        <v>187.5</v>
      </c>
      <c r="F77" s="37">
        <v>15</v>
      </c>
      <c r="G77" s="38" t="s">
        <v>3370</v>
      </c>
      <c r="H77" s="134" t="str">
        <f ca="1">IFERROR(__xludf.DUMMYFUNCTION("""COMPUTED_VALUE"""),"")</f>
        <v/>
      </c>
      <c r="I77" s="134" t="str">
        <f ca="1">IFERROR(__xludf.DUMMYFUNCTION("""COMPUTED_VALUE"""),"")</f>
        <v/>
      </c>
      <c r="J77" s="134" t="str">
        <f ca="1">IFERROR(__xludf.DUMMYFUNCTION("""COMPUTED_VALUE"""),"")</f>
        <v/>
      </c>
      <c r="K77" s="29"/>
      <c r="L77" s="163" t="str">
        <f ca="1">IFERROR(__xludf.DUMMYFUNCTION("""COMPUTED_VALUE"""),"")</f>
        <v/>
      </c>
      <c r="M77" s="163" t="str">
        <f ca="1">IFERROR(__xludf.DUMMYFUNCTION("""COMPUTED_VALUE"""),"")</f>
        <v/>
      </c>
      <c r="N77" s="163" t="str">
        <f ca="1">IFERROR(__xludf.DUMMYFUNCTION("""COMPUTED_VALUE"""),"")</f>
        <v/>
      </c>
      <c r="O77" s="163" t="str">
        <f ca="1">IFERROR(__xludf.DUMMYFUNCTION("""COMPUTED_VALUE"""),"")</f>
        <v/>
      </c>
      <c r="P77" s="130"/>
      <c r="Q77" s="130"/>
      <c r="R77" s="130"/>
      <c r="S77" s="130"/>
      <c r="T77" s="137"/>
      <c r="U77" s="137"/>
      <c r="V77" s="131"/>
    </row>
    <row r="78" spans="1:27" customFormat="1" hidden="1">
      <c r="A78" s="45" t="s">
        <v>3371</v>
      </c>
      <c r="B78" s="48">
        <v>3</v>
      </c>
      <c r="C78" s="134" t="str">
        <f ca="1">IFERROR(__xludf.DUMMYFUNCTION("""COMPUTED_VALUE"""),"")</f>
        <v/>
      </c>
      <c r="D78" s="45" t="s">
        <v>3372</v>
      </c>
      <c r="E78" s="27">
        <f>(100/$F$80)*60</f>
        <v>375</v>
      </c>
      <c r="F78" s="37">
        <v>5</v>
      </c>
      <c r="G78" s="38" t="s">
        <v>3373</v>
      </c>
      <c r="H78" s="134" t="str">
        <f ca="1">IFERROR(__xludf.DUMMYFUNCTION("""COMPUTED_VALUE"""),"")</f>
        <v/>
      </c>
      <c r="I78" s="134" t="str">
        <f ca="1">IFERROR(__xludf.DUMMYFUNCTION("""COMPUTED_VALUE"""),"")</f>
        <v/>
      </c>
      <c r="J78" s="134" t="str">
        <f ca="1">IFERROR(__xludf.DUMMYFUNCTION("""COMPUTED_VALUE"""),"")</f>
        <v/>
      </c>
      <c r="K78" s="29"/>
      <c r="L78" s="163" t="str">
        <f ca="1">IFERROR(__xludf.DUMMYFUNCTION("""COMPUTED_VALUE"""),"")</f>
        <v/>
      </c>
      <c r="M78" s="163" t="str">
        <f ca="1">IFERROR(__xludf.DUMMYFUNCTION("""COMPUTED_VALUE"""),"")</f>
        <v/>
      </c>
      <c r="N78" s="163" t="str">
        <f ca="1">IFERROR(__xludf.DUMMYFUNCTION("""COMPUTED_VALUE"""),"")</f>
        <v/>
      </c>
      <c r="O78" s="163" t="str">
        <f ca="1">IFERROR(__xludf.DUMMYFUNCTION("""COMPUTED_VALUE"""),"")</f>
        <v/>
      </c>
      <c r="P78" s="163"/>
      <c r="Q78" s="163"/>
      <c r="R78" s="163"/>
      <c r="S78" s="163"/>
      <c r="T78" s="135"/>
      <c r="U78" s="135"/>
      <c r="V78" s="135"/>
    </row>
    <row r="79" spans="1:27" customFormat="1" hidden="1">
      <c r="A79" s="45" t="s">
        <v>3374</v>
      </c>
      <c r="B79" s="48">
        <v>15</v>
      </c>
      <c r="C79" s="134" t="str">
        <f ca="1">IFERROR(__xludf.DUMMYFUNCTION("""COMPUTED_VALUE"""),"")</f>
        <v/>
      </c>
      <c r="D79" s="45" t="s">
        <v>3375</v>
      </c>
      <c r="E79" s="27">
        <f>(150/$F$80)*60</f>
        <v>562.5</v>
      </c>
      <c r="F79" s="37">
        <v>5.5</v>
      </c>
      <c r="G79" s="38" t="s">
        <v>3376</v>
      </c>
      <c r="H79" s="134" t="str">
        <f ca="1">IFERROR(__xludf.DUMMYFUNCTION("""COMPUTED_VALUE"""),"")</f>
        <v/>
      </c>
      <c r="I79" s="134" t="str">
        <f ca="1">IFERROR(__xludf.DUMMYFUNCTION("""COMPUTED_VALUE"""),"")</f>
        <v/>
      </c>
      <c r="J79" s="134" t="str">
        <f ca="1">IFERROR(__xludf.DUMMYFUNCTION("""COMPUTED_VALUE"""),"")</f>
        <v/>
      </c>
      <c r="K79" s="29"/>
      <c r="L79" s="163" t="str">
        <f ca="1">IFERROR(__xludf.DUMMYFUNCTION("""COMPUTED_VALUE"""),"")</f>
        <v/>
      </c>
      <c r="M79" s="163" t="str">
        <f ca="1">IFERROR(__xludf.DUMMYFUNCTION("""COMPUTED_VALUE"""),"")</f>
        <v/>
      </c>
      <c r="N79" s="163" t="str">
        <f ca="1">IFERROR(__xludf.DUMMYFUNCTION("""COMPUTED_VALUE"""),"")</f>
        <v/>
      </c>
      <c r="O79" s="163" t="str">
        <f ca="1">IFERROR(__xludf.DUMMYFUNCTION("""COMPUTED_VALUE"""),"")</f>
        <v/>
      </c>
      <c r="P79" s="163"/>
      <c r="Q79" s="163"/>
      <c r="R79" s="163"/>
      <c r="S79" s="163"/>
      <c r="T79" s="135"/>
      <c r="U79" s="135"/>
      <c r="V79" s="135"/>
    </row>
    <row r="80" spans="1:27" customFormat="1" hidden="1">
      <c r="A80" s="45" t="s">
        <v>3377</v>
      </c>
      <c r="B80" s="48">
        <v>30</v>
      </c>
      <c r="C80" s="134" t="str">
        <f ca="1">IFERROR(__xludf.DUMMYFUNCTION("""COMPUTED_VALUE"""),"")</f>
        <v/>
      </c>
      <c r="D80" s="45" t="s">
        <v>3378</v>
      </c>
      <c r="E80" s="27">
        <f>(200/$F$80)*60</f>
        <v>750</v>
      </c>
      <c r="F80" s="37">
        <f>ROUNDDOWN(F79*3,0)</f>
        <v>16</v>
      </c>
      <c r="G80" s="38" t="s">
        <v>3698</v>
      </c>
      <c r="H80" s="134" t="str">
        <f ca="1">IFERROR(__xludf.DUMMYFUNCTION("""COMPUTED_VALUE"""),"")</f>
        <v/>
      </c>
      <c r="I80" s="134" t="str">
        <f ca="1">IFERROR(__xludf.DUMMYFUNCTION("""COMPUTED_VALUE"""),"")</f>
        <v/>
      </c>
      <c r="J80" s="134" t="str">
        <f ca="1">IFERROR(__xludf.DUMMYFUNCTION("""COMPUTED_VALUE"""),"")</f>
        <v/>
      </c>
      <c r="K80" s="29"/>
      <c r="L80" s="162">
        <v>43999</v>
      </c>
      <c r="M80" s="162"/>
      <c r="N80" s="162">
        <v>44000</v>
      </c>
      <c r="O80" s="162"/>
      <c r="P80" s="162">
        <v>44001</v>
      </c>
      <c r="Q80" s="162"/>
      <c r="R80" s="162">
        <v>44002</v>
      </c>
      <c r="S80" s="162"/>
      <c r="T80" s="159">
        <v>44004</v>
      </c>
      <c r="U80" s="159"/>
      <c r="V80" s="159"/>
    </row>
    <row r="81" spans="1:22" customFormat="1" hidden="1">
      <c r="A81" s="45"/>
      <c r="B81" s="48"/>
      <c r="C81" s="134" t="str">
        <f ca="1">IFERROR(__xludf.DUMMYFUNCTION("""COMPUTED_VALUE"""),"")</f>
        <v/>
      </c>
      <c r="D81" s="45" t="s">
        <v>3381</v>
      </c>
      <c r="E81" s="27">
        <f>(250/$F$80)*60</f>
        <v>937.5</v>
      </c>
      <c r="F81" s="37">
        <v>45</v>
      </c>
      <c r="G81" s="38" t="s">
        <v>3382</v>
      </c>
      <c r="H81" s="134" t="str">
        <f ca="1">IFERROR(__xludf.DUMMYFUNCTION("""COMPUTED_VALUE"""),"")</f>
        <v/>
      </c>
      <c r="I81" s="134" t="str">
        <f ca="1">IFERROR(__xludf.DUMMYFUNCTION("""COMPUTED_VALUE"""),"")</f>
        <v/>
      </c>
      <c r="J81" s="134" t="str">
        <f ca="1">IFERROR(__xludf.DUMMYFUNCTION("""COMPUTED_VALUE"""),"")</f>
        <v/>
      </c>
      <c r="K81" s="29"/>
      <c r="L81" s="130">
        <f>SUM(I29:I30,I14:I15,I49:I50)</f>
        <v>660</v>
      </c>
      <c r="M81" s="130">
        <f>SUM(Q29:Q30,Q14:Q15,Q49:Q50)</f>
        <v>16</v>
      </c>
      <c r="N81" s="130">
        <f>SUM(I16,I31:I33,I51:I52)</f>
        <v>719</v>
      </c>
      <c r="O81" s="130">
        <f>SUM(Q16,Q31:Q33,Q51:Q52)</f>
        <v>17</v>
      </c>
      <c r="P81" s="130">
        <f>SUM(I17,I34:I35,I53:I54)</f>
        <v>391</v>
      </c>
      <c r="Q81" s="130">
        <f>SUM(Q17,Q34:Q35,Q53:Q54)</f>
        <v>10</v>
      </c>
      <c r="R81" s="130">
        <f>SUM(I18,I36,I55:I57)</f>
        <v>687</v>
      </c>
      <c r="S81" s="130">
        <f>SUM(Q18,Q36,Q55:Q57)</f>
        <v>15</v>
      </c>
      <c r="T81" s="130">
        <f>SUM(I37:I38,)</f>
        <v>132</v>
      </c>
      <c r="U81" s="130">
        <f>SUM(Q37:Q38,)</f>
        <v>4</v>
      </c>
      <c r="V81" s="137"/>
    </row>
    <row r="82" spans="1:22" customFormat="1" hidden="1">
      <c r="A82" s="45" t="s">
        <v>3380</v>
      </c>
      <c r="B82" s="48">
        <f>(60/B77)*B78</f>
        <v>36</v>
      </c>
      <c r="C82" s="134" t="str">
        <f ca="1">IFERROR(__xludf.DUMMYFUNCTION("""COMPUTED_VALUE"""),"")</f>
        <v/>
      </c>
      <c r="D82" s="45" t="s">
        <v>3385</v>
      </c>
      <c r="E82" s="27">
        <f>(300/$F$80)*60</f>
        <v>1125</v>
      </c>
      <c r="F82" s="39">
        <v>60</v>
      </c>
      <c r="G82" s="40" t="s">
        <v>3386</v>
      </c>
      <c r="H82" s="134" t="str">
        <f ca="1">IFERROR(__xludf.DUMMYFUNCTION("""COMPUTED_VALUE"""),"")</f>
        <v/>
      </c>
      <c r="I82" s="134" t="str">
        <f ca="1">IFERROR(__xludf.DUMMYFUNCTION("""COMPUTED_VALUE"""),"")</f>
        <v/>
      </c>
      <c r="J82" s="134" t="str">
        <f ca="1">IFERROR(__xludf.DUMMYFUNCTION("""COMPUTED_VALUE"""),"")</f>
        <v/>
      </c>
      <c r="K82" s="29"/>
      <c r="L82" s="29"/>
      <c r="M82" s="29"/>
      <c r="N82" s="31"/>
    </row>
    <row r="83" spans="1:22" customFormat="1" ht="15.75" hidden="1" thickBot="1">
      <c r="A83" s="46" t="s">
        <v>3383</v>
      </c>
      <c r="B83" s="49" t="s">
        <v>3384</v>
      </c>
      <c r="C83" s="134" t="str">
        <f ca="1">IFERROR(__xludf.DUMMYFUNCTION("""COMPUTED_VALUE"""),"")</f>
        <v/>
      </c>
      <c r="D83" s="46" t="s">
        <v>3387</v>
      </c>
      <c r="E83" s="27">
        <f>(350/$F$80)*60</f>
        <v>1312.5</v>
      </c>
      <c r="F83" s="41">
        <v>45</v>
      </c>
      <c r="G83" s="42" t="s">
        <v>3388</v>
      </c>
      <c r="H83" s="134" t="str">
        <f ca="1">IFERROR(__xludf.DUMMYFUNCTION("""COMPUTED_VALUE"""),"")</f>
        <v/>
      </c>
      <c r="I83" s="134" t="str">
        <f ca="1">IFERROR(__xludf.DUMMYFUNCTION("""COMPUTED_VALUE"""),"")</f>
        <v/>
      </c>
      <c r="J83" s="134" t="str">
        <f ca="1">IFERROR(__xludf.DUMMYFUNCTION("""COMPUTED_VALUE"""),"")</f>
        <v/>
      </c>
      <c r="K83" s="29"/>
      <c r="L83" s="29"/>
      <c r="M83" s="29"/>
      <c r="N83" s="31"/>
    </row>
    <row r="84" spans="1:22" customFormat="1" hidden="1">
      <c r="A84" s="134" t="str">
        <f ca="1">IFERROR(__xludf.DUMMYFUNCTION("""COMPUTED_VALUE"""),"")</f>
        <v/>
      </c>
      <c r="B84" s="134" t="str">
        <f ca="1">IFERROR(__xludf.DUMMYFUNCTION("""COMPUTED_VALUE"""),"")</f>
        <v/>
      </c>
      <c r="C84" s="134" t="str">
        <f ca="1">IFERROR(__xludf.DUMMYFUNCTION("""COMPUTED_VALUE"""),"")</f>
        <v/>
      </c>
      <c r="D84" s="134" t="str">
        <f ca="1">IFERROR(__xludf.DUMMYFUNCTION("""COMPUTED_VALUE"""),"")</f>
        <v/>
      </c>
      <c r="E84" s="134" t="str">
        <f ca="1">IFERROR(__xludf.DUMMYFUNCTION("""COMPUTED_VALUE"""),"")</f>
        <v/>
      </c>
      <c r="F84" s="134" t="str">
        <f ca="1">IFERROR(__xludf.DUMMYFUNCTION("""COMPUTED_VALUE"""),"")</f>
        <v/>
      </c>
      <c r="G84" s="134" t="str">
        <f ca="1">IFERROR(__xludf.DUMMYFUNCTION("""COMPUTED_VALUE"""),"")</f>
        <v/>
      </c>
      <c r="H84" s="134" t="str">
        <f ca="1">IFERROR(__xludf.DUMMYFUNCTION("""COMPUTED_VALUE"""),"")</f>
        <v/>
      </c>
      <c r="I84" s="134" t="str">
        <f ca="1">IFERROR(__xludf.DUMMYFUNCTION("""COMPUTED_VALUE"""),"")</f>
        <v/>
      </c>
      <c r="J84" s="134" t="str">
        <f ca="1">IFERROR(__xludf.DUMMYFUNCTION("""COMPUTED_VALUE"""),"")</f>
        <v/>
      </c>
      <c r="K84" s="29"/>
      <c r="L84" s="29"/>
      <c r="M84" s="29"/>
      <c r="N84" s="31"/>
    </row>
    <row r="85" spans="1:22" customFormat="1" hidden="1">
      <c r="A85" s="134" t="str">
        <f ca="1">IFERROR(__xludf.DUMMYFUNCTION("""COMPUTED_VALUE"""),"")</f>
        <v/>
      </c>
      <c r="B85" s="134" t="str">
        <f ca="1">IFERROR(__xludf.DUMMYFUNCTION("""COMPUTED_VALUE"""),"")</f>
        <v/>
      </c>
      <c r="C85" s="134" t="str">
        <f ca="1">IFERROR(__xludf.DUMMYFUNCTION("""COMPUTED_VALUE"""),"")</f>
        <v/>
      </c>
      <c r="D85" s="134" t="str">
        <f ca="1">IFERROR(__xludf.DUMMYFUNCTION("""COMPUTED_VALUE"""),"")</f>
        <v/>
      </c>
      <c r="E85" s="134" t="str">
        <f ca="1">IFERROR(__xludf.DUMMYFUNCTION("""COMPUTED_VALUE"""),"")</f>
        <v/>
      </c>
      <c r="F85" s="134" t="str">
        <f ca="1">IFERROR(__xludf.DUMMYFUNCTION("""COMPUTED_VALUE"""),"")</f>
        <v/>
      </c>
      <c r="G85" s="134" t="str">
        <f ca="1">IFERROR(__xludf.DUMMYFUNCTION("""COMPUTED_VALUE"""),"")</f>
        <v/>
      </c>
      <c r="H85" s="134" t="str">
        <f ca="1">IFERROR(__xludf.DUMMYFUNCTION("""COMPUTED_VALUE"""),"")</f>
        <v/>
      </c>
      <c r="I85" s="134" t="str">
        <f ca="1">IFERROR(__xludf.DUMMYFUNCTION("""COMPUTED_VALUE"""),"")</f>
        <v/>
      </c>
      <c r="J85" s="134" t="str">
        <f ca="1">IFERROR(__xludf.DUMMYFUNCTION("""COMPUTED_VALUE"""),"")</f>
        <v/>
      </c>
      <c r="K85" s="29"/>
      <c r="L85" s="29"/>
      <c r="M85" s="29"/>
      <c r="N85" s="31"/>
    </row>
    <row r="86" spans="1:22" customFormat="1" hidden="1">
      <c r="A86" s="134" t="str">
        <f ca="1">IFERROR(__xludf.DUMMYFUNCTION("""COMPUTED_VALUE"""),"")</f>
        <v/>
      </c>
      <c r="B86" s="134" t="str">
        <f ca="1">IFERROR(__xludf.DUMMYFUNCTION("""COMPUTED_VALUE"""),"")</f>
        <v/>
      </c>
      <c r="C86" s="134" t="str">
        <f ca="1">IFERROR(__xludf.DUMMYFUNCTION("""COMPUTED_VALUE"""),"")</f>
        <v/>
      </c>
      <c r="D86" s="134" t="str">
        <f ca="1">IFERROR(__xludf.DUMMYFUNCTION("""COMPUTED_VALUE"""),"")</f>
        <v/>
      </c>
      <c r="E86" s="134" t="str">
        <f ca="1">IFERROR(__xludf.DUMMYFUNCTION("""COMPUTED_VALUE"""),"")</f>
        <v/>
      </c>
      <c r="F86" s="134" t="str">
        <f ca="1">IFERROR(__xludf.DUMMYFUNCTION("""COMPUTED_VALUE"""),"")</f>
        <v/>
      </c>
      <c r="G86" s="134" t="str">
        <f ca="1">IFERROR(__xludf.DUMMYFUNCTION("""COMPUTED_VALUE"""),"")</f>
        <v/>
      </c>
      <c r="H86" s="134" t="str">
        <f ca="1">IFERROR(__xludf.DUMMYFUNCTION("""COMPUTED_VALUE"""),"")</f>
        <v/>
      </c>
      <c r="I86" s="134" t="str">
        <f ca="1">IFERROR(__xludf.DUMMYFUNCTION("""COMPUTED_VALUE"""),"")</f>
        <v/>
      </c>
      <c r="J86" s="134" t="str">
        <f ca="1">IFERROR(__xludf.DUMMYFUNCTION("""COMPUTED_VALUE"""),"")</f>
        <v/>
      </c>
      <c r="K86" s="29"/>
      <c r="L86" s="29"/>
      <c r="M86" s="29"/>
      <c r="N86" s="31"/>
    </row>
    <row r="87" spans="1:22" customFormat="1" hidden="1">
      <c r="A87" s="134" t="str">
        <f ca="1">IFERROR(__xludf.DUMMYFUNCTION("""COMPUTED_VALUE"""),"")</f>
        <v/>
      </c>
      <c r="B87" s="134" t="str">
        <f ca="1">IFERROR(__xludf.DUMMYFUNCTION("""COMPUTED_VALUE"""),"")</f>
        <v/>
      </c>
      <c r="C87" s="134" t="str">
        <f ca="1">IFERROR(__xludf.DUMMYFUNCTION("""COMPUTED_VALUE"""),"")</f>
        <v/>
      </c>
      <c r="D87" s="134" t="str">
        <f ca="1">IFERROR(__xludf.DUMMYFUNCTION("""COMPUTED_VALUE"""),"")</f>
        <v/>
      </c>
      <c r="E87" s="134" t="str">
        <f ca="1">IFERROR(__xludf.DUMMYFUNCTION("""COMPUTED_VALUE"""),"")</f>
        <v/>
      </c>
      <c r="F87" s="134" t="str">
        <f ca="1">IFERROR(__xludf.DUMMYFUNCTION("""COMPUTED_VALUE"""),"")</f>
        <v/>
      </c>
      <c r="G87" s="134" t="str">
        <f ca="1">IFERROR(__xludf.DUMMYFUNCTION("""COMPUTED_VALUE"""),"")</f>
        <v/>
      </c>
      <c r="H87" s="134" t="str">
        <f ca="1">IFERROR(__xludf.DUMMYFUNCTION("""COMPUTED_VALUE"""),"")</f>
        <v/>
      </c>
      <c r="I87" s="134" t="str">
        <f ca="1">IFERROR(__xludf.DUMMYFUNCTION("""COMPUTED_VALUE"""),"")</f>
        <v/>
      </c>
      <c r="J87" s="134" t="str">
        <f ca="1">IFERROR(__xludf.DUMMYFUNCTION("""COMPUTED_VALUE"""),"")</f>
        <v/>
      </c>
      <c r="K87" s="29"/>
      <c r="L87" s="29"/>
      <c r="M87" s="29"/>
      <c r="N87" s="31"/>
    </row>
    <row r="88" spans="1:22" customFormat="1">
      <c r="A88" s="134" t="str">
        <f ca="1">IFERROR(__xludf.DUMMYFUNCTION("""COMPUTED_VALUE"""),"")</f>
        <v/>
      </c>
      <c r="B88" s="134" t="str">
        <f ca="1">IFERROR(__xludf.DUMMYFUNCTION("""COMPUTED_VALUE"""),"")</f>
        <v/>
      </c>
      <c r="C88" s="134" t="str">
        <f ca="1">IFERROR(__xludf.DUMMYFUNCTION("""COMPUTED_VALUE"""),"")</f>
        <v/>
      </c>
      <c r="D88" s="134" t="str">
        <f ca="1">IFERROR(__xludf.DUMMYFUNCTION("""COMPUTED_VALUE"""),"")</f>
        <v/>
      </c>
      <c r="E88" s="134" t="str">
        <f ca="1">IFERROR(__xludf.DUMMYFUNCTION("""COMPUTED_VALUE"""),"")</f>
        <v/>
      </c>
      <c r="F88" s="134" t="str">
        <f ca="1">IFERROR(__xludf.DUMMYFUNCTION("""COMPUTED_VALUE"""),"")</f>
        <v/>
      </c>
      <c r="G88" s="134" t="str">
        <f ca="1">IFERROR(__xludf.DUMMYFUNCTION("""COMPUTED_VALUE"""),"")</f>
        <v/>
      </c>
      <c r="H88" s="134" t="str">
        <f ca="1">IFERROR(__xludf.DUMMYFUNCTION("""COMPUTED_VALUE"""),"")</f>
        <v/>
      </c>
      <c r="I88" s="134" t="str">
        <f ca="1">IFERROR(__xludf.DUMMYFUNCTION("""COMPUTED_VALUE"""),"")</f>
        <v/>
      </c>
      <c r="J88" s="134" t="str">
        <f ca="1">IFERROR(__xludf.DUMMYFUNCTION("""COMPUTED_VALUE"""),"")</f>
        <v/>
      </c>
      <c r="K88" s="29"/>
      <c r="L88" s="29"/>
      <c r="M88" s="29"/>
      <c r="N88" s="31"/>
    </row>
    <row r="89" spans="1:22" customFormat="1">
      <c r="A89" s="134" t="str">
        <f ca="1">IFERROR(__xludf.DUMMYFUNCTION("""COMPUTED_VALUE"""),"")</f>
        <v/>
      </c>
      <c r="B89" s="134" t="str">
        <f ca="1">IFERROR(__xludf.DUMMYFUNCTION("""COMPUTED_VALUE"""),"")</f>
        <v/>
      </c>
      <c r="C89" s="134" t="str">
        <f ca="1">IFERROR(__xludf.DUMMYFUNCTION("""COMPUTED_VALUE"""),"")</f>
        <v/>
      </c>
      <c r="D89" s="134" t="str">
        <f ca="1">IFERROR(__xludf.DUMMYFUNCTION("""COMPUTED_VALUE"""),"")</f>
        <v/>
      </c>
      <c r="E89" s="134" t="str">
        <f ca="1">IFERROR(__xludf.DUMMYFUNCTION("""COMPUTED_VALUE"""),"")</f>
        <v/>
      </c>
      <c r="F89" s="134" t="str">
        <f ca="1">IFERROR(__xludf.DUMMYFUNCTION("""COMPUTED_VALUE"""),"")</f>
        <v/>
      </c>
      <c r="G89" s="134" t="str">
        <f ca="1">IFERROR(__xludf.DUMMYFUNCTION("""COMPUTED_VALUE"""),"")</f>
        <v/>
      </c>
      <c r="H89" s="134" t="str">
        <f ca="1">IFERROR(__xludf.DUMMYFUNCTION("""COMPUTED_VALUE"""),"")</f>
        <v/>
      </c>
      <c r="I89" s="134" t="str">
        <f ca="1">IFERROR(__xludf.DUMMYFUNCTION("""COMPUTED_VALUE"""),"")</f>
        <v/>
      </c>
      <c r="J89" s="134" t="str">
        <f ca="1">IFERROR(__xludf.DUMMYFUNCTION("""COMPUTED_VALUE"""),"")</f>
        <v/>
      </c>
      <c r="K89" s="29"/>
      <c r="L89" s="29"/>
      <c r="M89" s="29"/>
      <c r="N89" s="31"/>
    </row>
    <row r="90" spans="1:22" customFormat="1">
      <c r="A90" s="134" t="str">
        <f ca="1">IFERROR(__xludf.DUMMYFUNCTION("""COMPUTED_VALUE"""),"")</f>
        <v/>
      </c>
      <c r="B90" s="134" t="str">
        <f ca="1">IFERROR(__xludf.DUMMYFUNCTION("""COMPUTED_VALUE"""),"")</f>
        <v/>
      </c>
      <c r="C90" s="134" t="str">
        <f ca="1">IFERROR(__xludf.DUMMYFUNCTION("""COMPUTED_VALUE"""),"")</f>
        <v/>
      </c>
      <c r="D90" s="134" t="str">
        <f ca="1">IFERROR(__xludf.DUMMYFUNCTION("""COMPUTED_VALUE"""),"")</f>
        <v/>
      </c>
      <c r="E90" s="134" t="str">
        <f ca="1">IFERROR(__xludf.DUMMYFUNCTION("""COMPUTED_VALUE"""),"")</f>
        <v/>
      </c>
      <c r="F90" s="134" t="str">
        <f ca="1">IFERROR(__xludf.DUMMYFUNCTION("""COMPUTED_VALUE"""),"")</f>
        <v/>
      </c>
      <c r="G90" s="134" t="str">
        <f ca="1">IFERROR(__xludf.DUMMYFUNCTION("""COMPUTED_VALUE"""),"")</f>
        <v/>
      </c>
      <c r="H90" s="134" t="str">
        <f ca="1">IFERROR(__xludf.DUMMYFUNCTION("""COMPUTED_VALUE"""),"")</f>
        <v/>
      </c>
      <c r="I90" s="134" t="str">
        <f ca="1">IFERROR(__xludf.DUMMYFUNCTION("""COMPUTED_VALUE"""),"")</f>
        <v/>
      </c>
      <c r="J90" s="134" t="str">
        <f ca="1">IFERROR(__xludf.DUMMYFUNCTION("""COMPUTED_VALUE"""),"")</f>
        <v/>
      </c>
      <c r="K90" s="29"/>
      <c r="L90" s="29"/>
      <c r="M90" s="29"/>
      <c r="N90" s="31"/>
    </row>
    <row r="91" spans="1:22" customFormat="1">
      <c r="A91" s="134" t="str">
        <f ca="1">IFERROR(__xludf.DUMMYFUNCTION("""COMPUTED_VALUE"""),"")</f>
        <v/>
      </c>
      <c r="B91" s="134" t="str">
        <f ca="1">IFERROR(__xludf.DUMMYFUNCTION("""COMPUTED_VALUE"""),"")</f>
        <v/>
      </c>
      <c r="C91" s="134" t="str">
        <f ca="1">IFERROR(__xludf.DUMMYFUNCTION("""COMPUTED_VALUE"""),"")</f>
        <v/>
      </c>
      <c r="D91" s="134" t="str">
        <f ca="1">IFERROR(__xludf.DUMMYFUNCTION("""COMPUTED_VALUE"""),"")</f>
        <v/>
      </c>
      <c r="E91" s="134" t="str">
        <f ca="1">IFERROR(__xludf.DUMMYFUNCTION("""COMPUTED_VALUE"""),"")</f>
        <v/>
      </c>
      <c r="F91" s="134" t="str">
        <f ca="1">IFERROR(__xludf.DUMMYFUNCTION("""COMPUTED_VALUE"""),"")</f>
        <v/>
      </c>
      <c r="G91" s="134" t="str">
        <f ca="1">IFERROR(__xludf.DUMMYFUNCTION("""COMPUTED_VALUE"""),"")</f>
        <v/>
      </c>
      <c r="H91" s="134" t="str">
        <f ca="1">IFERROR(__xludf.DUMMYFUNCTION("""COMPUTED_VALUE"""),"")</f>
        <v/>
      </c>
      <c r="I91" s="134" t="str">
        <f ca="1">IFERROR(__xludf.DUMMYFUNCTION("""COMPUTED_VALUE"""),"")</f>
        <v/>
      </c>
      <c r="J91" s="134" t="str">
        <f ca="1">IFERROR(__xludf.DUMMYFUNCTION("""COMPUTED_VALUE"""),"")</f>
        <v/>
      </c>
      <c r="K91" s="29"/>
      <c r="L91" s="29"/>
      <c r="M91" s="29"/>
      <c r="N91" s="31"/>
    </row>
    <row r="92" spans="1:22" customFormat="1">
      <c r="A92" s="134" t="str">
        <f ca="1">IFERROR(__xludf.DUMMYFUNCTION("""COMPUTED_VALUE"""),"")</f>
        <v/>
      </c>
      <c r="B92" s="134" t="str">
        <f ca="1">IFERROR(__xludf.DUMMYFUNCTION("""COMPUTED_VALUE"""),"")</f>
        <v/>
      </c>
      <c r="C92" s="134" t="str">
        <f ca="1">IFERROR(__xludf.DUMMYFUNCTION("""COMPUTED_VALUE"""),"")</f>
        <v/>
      </c>
      <c r="D92" s="134" t="str">
        <f ca="1">IFERROR(__xludf.DUMMYFUNCTION("""COMPUTED_VALUE"""),"")</f>
        <v/>
      </c>
      <c r="E92" s="134" t="str">
        <f ca="1">IFERROR(__xludf.DUMMYFUNCTION("""COMPUTED_VALUE"""),"")</f>
        <v/>
      </c>
      <c r="F92" s="134" t="str">
        <f ca="1">IFERROR(__xludf.DUMMYFUNCTION("""COMPUTED_VALUE"""),"")</f>
        <v/>
      </c>
      <c r="G92" s="134" t="str">
        <f ca="1">IFERROR(__xludf.DUMMYFUNCTION("""COMPUTED_VALUE"""),"")</f>
        <v/>
      </c>
      <c r="H92" s="134" t="str">
        <f ca="1">IFERROR(__xludf.DUMMYFUNCTION("""COMPUTED_VALUE"""),"")</f>
        <v/>
      </c>
      <c r="I92" s="134" t="str">
        <f ca="1">IFERROR(__xludf.DUMMYFUNCTION("""COMPUTED_VALUE"""),"")</f>
        <v/>
      </c>
      <c r="J92" s="134" t="str">
        <f ca="1">IFERROR(__xludf.DUMMYFUNCTION("""COMPUTED_VALUE"""),"")</f>
        <v/>
      </c>
      <c r="K92" s="29"/>
      <c r="L92" s="29"/>
      <c r="M92" s="29"/>
      <c r="N92" s="31"/>
    </row>
    <row r="93" spans="1:22" customFormat="1">
      <c r="A93" s="134" t="str">
        <f ca="1">IFERROR(__xludf.DUMMYFUNCTION("""COMPUTED_VALUE"""),"")</f>
        <v/>
      </c>
      <c r="B93" s="134" t="str">
        <f ca="1">IFERROR(__xludf.DUMMYFUNCTION("""COMPUTED_VALUE"""),"")</f>
        <v/>
      </c>
      <c r="C93" s="134" t="str">
        <f ca="1">IFERROR(__xludf.DUMMYFUNCTION("""COMPUTED_VALUE"""),"")</f>
        <v/>
      </c>
      <c r="D93" s="134" t="str">
        <f ca="1">IFERROR(__xludf.DUMMYFUNCTION("""COMPUTED_VALUE"""),"")</f>
        <v/>
      </c>
      <c r="E93" s="134" t="str">
        <f ca="1">IFERROR(__xludf.DUMMYFUNCTION("""COMPUTED_VALUE"""),"")</f>
        <v/>
      </c>
      <c r="F93" s="134" t="str">
        <f ca="1">IFERROR(__xludf.DUMMYFUNCTION("""COMPUTED_VALUE"""),"")</f>
        <v/>
      </c>
      <c r="G93" s="134" t="str">
        <f ca="1">IFERROR(__xludf.DUMMYFUNCTION("""COMPUTED_VALUE"""),"")</f>
        <v/>
      </c>
      <c r="H93" s="134" t="str">
        <f ca="1">IFERROR(__xludf.DUMMYFUNCTION("""COMPUTED_VALUE"""),"")</f>
        <v/>
      </c>
      <c r="I93" s="134" t="str">
        <f ca="1">IFERROR(__xludf.DUMMYFUNCTION("""COMPUTED_VALUE"""),"")</f>
        <v/>
      </c>
      <c r="J93" s="134" t="str">
        <f ca="1">IFERROR(__xludf.DUMMYFUNCTION("""COMPUTED_VALUE"""),"")</f>
        <v/>
      </c>
      <c r="K93" s="29"/>
      <c r="L93" s="29"/>
      <c r="M93" s="29"/>
      <c r="N93" s="31"/>
    </row>
    <row r="94" spans="1:22" customFormat="1">
      <c r="A94" s="134" t="str">
        <f ca="1">IFERROR(__xludf.DUMMYFUNCTION("""COMPUTED_VALUE"""),"")</f>
        <v/>
      </c>
      <c r="B94" s="134" t="str">
        <f ca="1">IFERROR(__xludf.DUMMYFUNCTION("""COMPUTED_VALUE"""),"")</f>
        <v/>
      </c>
      <c r="C94" s="134" t="str">
        <f ca="1">IFERROR(__xludf.DUMMYFUNCTION("""COMPUTED_VALUE"""),"")</f>
        <v/>
      </c>
      <c r="D94" s="134" t="str">
        <f ca="1">IFERROR(__xludf.DUMMYFUNCTION("""COMPUTED_VALUE"""),"")</f>
        <v/>
      </c>
      <c r="E94" s="134" t="str">
        <f ca="1">IFERROR(__xludf.DUMMYFUNCTION("""COMPUTED_VALUE"""),"")</f>
        <v/>
      </c>
      <c r="F94" s="134" t="str">
        <f ca="1">IFERROR(__xludf.DUMMYFUNCTION("""COMPUTED_VALUE"""),"")</f>
        <v/>
      </c>
      <c r="G94" s="134" t="str">
        <f ca="1">IFERROR(__xludf.DUMMYFUNCTION("""COMPUTED_VALUE"""),"")</f>
        <v/>
      </c>
      <c r="H94" s="134" t="str">
        <f ca="1">IFERROR(__xludf.DUMMYFUNCTION("""COMPUTED_VALUE"""),"")</f>
        <v/>
      </c>
      <c r="I94" s="134" t="str">
        <f ca="1">IFERROR(__xludf.DUMMYFUNCTION("""COMPUTED_VALUE"""),"")</f>
        <v/>
      </c>
      <c r="J94" s="134" t="str">
        <f ca="1">IFERROR(__xludf.DUMMYFUNCTION("""COMPUTED_VALUE"""),"")</f>
        <v/>
      </c>
      <c r="K94" s="29"/>
      <c r="L94" s="29"/>
      <c r="M94" s="29"/>
      <c r="N94" s="31"/>
    </row>
    <row r="95" spans="1:22" customFormat="1">
      <c r="A95" s="134" t="str">
        <f ca="1">IFERROR(__xludf.DUMMYFUNCTION("""COMPUTED_VALUE"""),"")</f>
        <v/>
      </c>
      <c r="B95" s="134" t="str">
        <f ca="1">IFERROR(__xludf.DUMMYFUNCTION("""COMPUTED_VALUE"""),"")</f>
        <v/>
      </c>
      <c r="C95" s="134" t="str">
        <f ca="1">IFERROR(__xludf.DUMMYFUNCTION("""COMPUTED_VALUE"""),"")</f>
        <v/>
      </c>
      <c r="D95" s="134" t="str">
        <f ca="1">IFERROR(__xludf.DUMMYFUNCTION("""COMPUTED_VALUE"""),"")</f>
        <v/>
      </c>
      <c r="E95" s="134" t="str">
        <f ca="1">IFERROR(__xludf.DUMMYFUNCTION("""COMPUTED_VALUE"""),"")</f>
        <v/>
      </c>
      <c r="F95" s="134" t="str">
        <f ca="1">IFERROR(__xludf.DUMMYFUNCTION("""COMPUTED_VALUE"""),"")</f>
        <v/>
      </c>
      <c r="G95" s="134" t="str">
        <f ca="1">IFERROR(__xludf.DUMMYFUNCTION("""COMPUTED_VALUE"""),"")</f>
        <v/>
      </c>
      <c r="H95" s="134" t="str">
        <f ca="1">IFERROR(__xludf.DUMMYFUNCTION("""COMPUTED_VALUE"""),"")</f>
        <v/>
      </c>
      <c r="I95" s="134" t="str">
        <f ca="1">IFERROR(__xludf.DUMMYFUNCTION("""COMPUTED_VALUE"""),"")</f>
        <v/>
      </c>
      <c r="J95" s="134" t="str">
        <f ca="1">IFERROR(__xludf.DUMMYFUNCTION("""COMPUTED_VALUE"""),"")</f>
        <v/>
      </c>
      <c r="K95" s="29"/>
      <c r="L95" s="29"/>
      <c r="M95" s="29"/>
      <c r="N95" s="31"/>
    </row>
    <row r="96" spans="1:22" customFormat="1">
      <c r="A96" s="134" t="str">
        <f ca="1">IFERROR(__xludf.DUMMYFUNCTION("""COMPUTED_VALUE"""),"")</f>
        <v/>
      </c>
      <c r="B96" s="134" t="str">
        <f ca="1">IFERROR(__xludf.DUMMYFUNCTION("""COMPUTED_VALUE"""),"")</f>
        <v/>
      </c>
      <c r="C96" s="134" t="str">
        <f ca="1">IFERROR(__xludf.DUMMYFUNCTION("""COMPUTED_VALUE"""),"")</f>
        <v/>
      </c>
      <c r="D96" s="134" t="str">
        <f ca="1">IFERROR(__xludf.DUMMYFUNCTION("""COMPUTED_VALUE"""),"")</f>
        <v/>
      </c>
      <c r="E96" s="134" t="str">
        <f ca="1">IFERROR(__xludf.DUMMYFUNCTION("""COMPUTED_VALUE"""),"")</f>
        <v/>
      </c>
      <c r="F96" s="134" t="str">
        <f ca="1">IFERROR(__xludf.DUMMYFUNCTION("""COMPUTED_VALUE"""),"")</f>
        <v/>
      </c>
      <c r="G96" s="134" t="str">
        <f ca="1">IFERROR(__xludf.DUMMYFUNCTION("""COMPUTED_VALUE"""),"")</f>
        <v/>
      </c>
      <c r="H96" s="134" t="str">
        <f ca="1">IFERROR(__xludf.DUMMYFUNCTION("""COMPUTED_VALUE"""),"")</f>
        <v/>
      </c>
      <c r="I96" s="134" t="str">
        <f ca="1">IFERROR(__xludf.DUMMYFUNCTION("""COMPUTED_VALUE"""),"")</f>
        <v/>
      </c>
      <c r="J96" s="134" t="str">
        <f ca="1">IFERROR(__xludf.DUMMYFUNCTION("""COMPUTED_VALUE"""),"")</f>
        <v/>
      </c>
      <c r="K96" s="29"/>
      <c r="L96" s="29"/>
      <c r="M96" s="29"/>
      <c r="N96" s="31"/>
    </row>
    <row r="97" spans="1:14" customFormat="1">
      <c r="A97" s="134" t="str">
        <f ca="1">IFERROR(__xludf.DUMMYFUNCTION("""COMPUTED_VALUE"""),"")</f>
        <v/>
      </c>
      <c r="B97" s="134" t="str">
        <f ca="1">IFERROR(__xludf.DUMMYFUNCTION("""COMPUTED_VALUE"""),"")</f>
        <v/>
      </c>
      <c r="C97" s="134" t="str">
        <f ca="1">IFERROR(__xludf.DUMMYFUNCTION("""COMPUTED_VALUE"""),"")</f>
        <v/>
      </c>
      <c r="D97" s="134" t="str">
        <f ca="1">IFERROR(__xludf.DUMMYFUNCTION("""COMPUTED_VALUE"""),"")</f>
        <v/>
      </c>
      <c r="E97" s="134" t="str">
        <f ca="1">IFERROR(__xludf.DUMMYFUNCTION("""COMPUTED_VALUE"""),"")</f>
        <v/>
      </c>
      <c r="F97" s="134" t="str">
        <f ca="1">IFERROR(__xludf.DUMMYFUNCTION("""COMPUTED_VALUE"""),"")</f>
        <v/>
      </c>
      <c r="G97" s="134" t="str">
        <f ca="1">IFERROR(__xludf.DUMMYFUNCTION("""COMPUTED_VALUE"""),"")</f>
        <v/>
      </c>
      <c r="H97" s="134" t="str">
        <f ca="1">IFERROR(__xludf.DUMMYFUNCTION("""COMPUTED_VALUE"""),"")</f>
        <v/>
      </c>
      <c r="I97" s="134" t="str">
        <f ca="1">IFERROR(__xludf.DUMMYFUNCTION("""COMPUTED_VALUE"""),"")</f>
        <v/>
      </c>
      <c r="J97" s="134" t="str">
        <f ca="1">IFERROR(__xludf.DUMMYFUNCTION("""COMPUTED_VALUE"""),"")</f>
        <v/>
      </c>
      <c r="K97" s="29"/>
      <c r="L97" s="29"/>
      <c r="M97" s="29"/>
      <c r="N97" s="31"/>
    </row>
    <row r="98" spans="1:14" customFormat="1">
      <c r="A98" s="134" t="str">
        <f ca="1">IFERROR(__xludf.DUMMYFUNCTION("""COMPUTED_VALUE"""),"")</f>
        <v/>
      </c>
      <c r="B98" s="134" t="str">
        <f ca="1">IFERROR(__xludf.DUMMYFUNCTION("""COMPUTED_VALUE"""),"")</f>
        <v/>
      </c>
      <c r="C98" s="134" t="str">
        <f ca="1">IFERROR(__xludf.DUMMYFUNCTION("""COMPUTED_VALUE"""),"")</f>
        <v/>
      </c>
      <c r="D98" s="134" t="str">
        <f ca="1">IFERROR(__xludf.DUMMYFUNCTION("""COMPUTED_VALUE"""),"")</f>
        <v/>
      </c>
      <c r="E98" s="134" t="str">
        <f ca="1">IFERROR(__xludf.DUMMYFUNCTION("""COMPUTED_VALUE"""),"")</f>
        <v/>
      </c>
      <c r="F98" s="134" t="str">
        <f ca="1">IFERROR(__xludf.DUMMYFUNCTION("""COMPUTED_VALUE"""),"")</f>
        <v/>
      </c>
      <c r="G98" s="134" t="str">
        <f ca="1">IFERROR(__xludf.DUMMYFUNCTION("""COMPUTED_VALUE"""),"")</f>
        <v/>
      </c>
      <c r="H98" s="134" t="str">
        <f ca="1">IFERROR(__xludf.DUMMYFUNCTION("""COMPUTED_VALUE"""),"")</f>
        <v/>
      </c>
      <c r="I98" s="134" t="str">
        <f ca="1">IFERROR(__xludf.DUMMYFUNCTION("""COMPUTED_VALUE"""),"")</f>
        <v/>
      </c>
      <c r="J98" s="134" t="str">
        <f ca="1">IFERROR(__xludf.DUMMYFUNCTION("""COMPUTED_VALUE"""),"")</f>
        <v/>
      </c>
      <c r="K98" s="29"/>
      <c r="L98" s="29"/>
      <c r="M98" s="29"/>
      <c r="N98" s="31"/>
    </row>
    <row r="99" spans="1:14" customFormat="1">
      <c r="A99" s="134" t="str">
        <f ca="1">IFERROR(__xludf.DUMMYFUNCTION("""COMPUTED_VALUE"""),"")</f>
        <v/>
      </c>
      <c r="B99" s="134" t="str">
        <f ca="1">IFERROR(__xludf.DUMMYFUNCTION("""COMPUTED_VALUE"""),"")</f>
        <v/>
      </c>
      <c r="C99" s="134" t="str">
        <f ca="1">IFERROR(__xludf.DUMMYFUNCTION("""COMPUTED_VALUE"""),"")</f>
        <v/>
      </c>
      <c r="D99" s="134" t="str">
        <f ca="1">IFERROR(__xludf.DUMMYFUNCTION("""COMPUTED_VALUE"""),"")</f>
        <v/>
      </c>
      <c r="E99" s="134" t="str">
        <f ca="1">IFERROR(__xludf.DUMMYFUNCTION("""COMPUTED_VALUE"""),"")</f>
        <v/>
      </c>
      <c r="F99" s="134" t="str">
        <f ca="1">IFERROR(__xludf.DUMMYFUNCTION("""COMPUTED_VALUE"""),"")</f>
        <v/>
      </c>
      <c r="G99" s="134" t="str">
        <f ca="1">IFERROR(__xludf.DUMMYFUNCTION("""COMPUTED_VALUE"""),"")</f>
        <v/>
      </c>
      <c r="H99" s="134" t="str">
        <f ca="1">IFERROR(__xludf.DUMMYFUNCTION("""COMPUTED_VALUE"""),"")</f>
        <v/>
      </c>
      <c r="I99" s="134" t="str">
        <f ca="1">IFERROR(__xludf.DUMMYFUNCTION("""COMPUTED_VALUE"""),"")</f>
        <v/>
      </c>
      <c r="J99" s="134" t="str">
        <f ca="1">IFERROR(__xludf.DUMMYFUNCTION("""COMPUTED_VALUE"""),"")</f>
        <v/>
      </c>
      <c r="K99" s="29"/>
      <c r="L99" s="29"/>
      <c r="M99" s="29"/>
      <c r="N99" s="31"/>
    </row>
    <row r="100" spans="1:14" customFormat="1">
      <c r="A100" s="134" t="str">
        <f ca="1">IFERROR(__xludf.DUMMYFUNCTION("""COMPUTED_VALUE"""),"")</f>
        <v/>
      </c>
      <c r="B100" s="134" t="str">
        <f ca="1">IFERROR(__xludf.DUMMYFUNCTION("""COMPUTED_VALUE"""),"")</f>
        <v/>
      </c>
      <c r="C100" s="134" t="str">
        <f ca="1">IFERROR(__xludf.DUMMYFUNCTION("""COMPUTED_VALUE"""),"")</f>
        <v/>
      </c>
      <c r="D100" s="134" t="str">
        <f ca="1">IFERROR(__xludf.DUMMYFUNCTION("""COMPUTED_VALUE"""),"")</f>
        <v/>
      </c>
      <c r="E100" s="134" t="str">
        <f ca="1">IFERROR(__xludf.DUMMYFUNCTION("""COMPUTED_VALUE"""),"")</f>
        <v/>
      </c>
      <c r="F100" s="134" t="str">
        <f ca="1">IFERROR(__xludf.DUMMYFUNCTION("""COMPUTED_VALUE"""),"")</f>
        <v/>
      </c>
      <c r="G100" s="134" t="str">
        <f ca="1">IFERROR(__xludf.DUMMYFUNCTION("""COMPUTED_VALUE"""),"")</f>
        <v/>
      </c>
      <c r="H100" s="134" t="str">
        <f ca="1">IFERROR(__xludf.DUMMYFUNCTION("""COMPUTED_VALUE"""),"")</f>
        <v/>
      </c>
      <c r="I100" s="134" t="str">
        <f ca="1">IFERROR(__xludf.DUMMYFUNCTION("""COMPUTED_VALUE"""),"")</f>
        <v/>
      </c>
      <c r="J100" s="134" t="str">
        <f ca="1">IFERROR(__xludf.DUMMYFUNCTION("""COMPUTED_VALUE"""),"")</f>
        <v/>
      </c>
      <c r="K100" s="29"/>
      <c r="L100" s="29"/>
      <c r="M100" s="29"/>
      <c r="N100" s="31"/>
    </row>
    <row r="101" spans="1:14" customFormat="1">
      <c r="A101" s="134" t="str">
        <f ca="1">IFERROR(__xludf.DUMMYFUNCTION("""COMPUTED_VALUE"""),"")</f>
        <v/>
      </c>
      <c r="B101" s="134" t="str">
        <f ca="1">IFERROR(__xludf.DUMMYFUNCTION("""COMPUTED_VALUE"""),"")</f>
        <v/>
      </c>
      <c r="C101" s="134" t="str">
        <f ca="1">IFERROR(__xludf.DUMMYFUNCTION("""COMPUTED_VALUE"""),"")</f>
        <v/>
      </c>
      <c r="D101" s="134" t="str">
        <f ca="1">IFERROR(__xludf.DUMMYFUNCTION("""COMPUTED_VALUE"""),"")</f>
        <v/>
      </c>
      <c r="E101" s="134" t="str">
        <f ca="1">IFERROR(__xludf.DUMMYFUNCTION("""COMPUTED_VALUE"""),"")</f>
        <v/>
      </c>
      <c r="F101" s="134" t="str">
        <f ca="1">IFERROR(__xludf.DUMMYFUNCTION("""COMPUTED_VALUE"""),"")</f>
        <v/>
      </c>
      <c r="G101" s="134" t="str">
        <f ca="1">IFERROR(__xludf.DUMMYFUNCTION("""COMPUTED_VALUE"""),"")</f>
        <v/>
      </c>
      <c r="H101" s="134" t="str">
        <f ca="1">IFERROR(__xludf.DUMMYFUNCTION("""COMPUTED_VALUE"""),"")</f>
        <v/>
      </c>
      <c r="I101" s="134" t="str">
        <f ca="1">IFERROR(__xludf.DUMMYFUNCTION("""COMPUTED_VALUE"""),"")</f>
        <v/>
      </c>
      <c r="J101" s="134" t="str">
        <f ca="1">IFERROR(__xludf.DUMMYFUNCTION("""COMPUTED_VALUE"""),"")</f>
        <v/>
      </c>
      <c r="K101" s="29"/>
      <c r="L101" s="29"/>
      <c r="M101" s="29"/>
      <c r="N101" s="31"/>
    </row>
    <row r="102" spans="1:14" customFormat="1">
      <c r="A102" s="134" t="str">
        <f ca="1">IFERROR(__xludf.DUMMYFUNCTION("""COMPUTED_VALUE"""),"")</f>
        <v/>
      </c>
      <c r="B102" s="134" t="str">
        <f ca="1">IFERROR(__xludf.DUMMYFUNCTION("""COMPUTED_VALUE"""),"")</f>
        <v/>
      </c>
      <c r="C102" s="134" t="str">
        <f ca="1">IFERROR(__xludf.DUMMYFUNCTION("""COMPUTED_VALUE"""),"")</f>
        <v/>
      </c>
      <c r="D102" s="134" t="str">
        <f ca="1">IFERROR(__xludf.DUMMYFUNCTION("""COMPUTED_VALUE"""),"")</f>
        <v/>
      </c>
      <c r="E102" s="134" t="str">
        <f ca="1">IFERROR(__xludf.DUMMYFUNCTION("""COMPUTED_VALUE"""),"")</f>
        <v/>
      </c>
      <c r="F102" s="134" t="str">
        <f ca="1">IFERROR(__xludf.DUMMYFUNCTION("""COMPUTED_VALUE"""),"")</f>
        <v/>
      </c>
      <c r="G102" s="134" t="str">
        <f ca="1">IFERROR(__xludf.DUMMYFUNCTION("""COMPUTED_VALUE"""),"")</f>
        <v/>
      </c>
      <c r="H102" s="134" t="str">
        <f ca="1">IFERROR(__xludf.DUMMYFUNCTION("""COMPUTED_VALUE"""),"")</f>
        <v/>
      </c>
      <c r="I102" s="134" t="str">
        <f ca="1">IFERROR(__xludf.DUMMYFUNCTION("""COMPUTED_VALUE"""),"")</f>
        <v/>
      </c>
      <c r="J102" s="134" t="str">
        <f ca="1">IFERROR(__xludf.DUMMYFUNCTION("""COMPUTED_VALUE"""),"")</f>
        <v/>
      </c>
      <c r="K102" s="29"/>
      <c r="L102" s="29"/>
      <c r="M102" s="29"/>
      <c r="N102" s="31"/>
    </row>
    <row r="103" spans="1:14" customFormat="1">
      <c r="A103" s="134" t="str">
        <f ca="1">IFERROR(__xludf.DUMMYFUNCTION("""COMPUTED_VALUE"""),"")</f>
        <v/>
      </c>
      <c r="B103" s="134" t="str">
        <f ca="1">IFERROR(__xludf.DUMMYFUNCTION("""COMPUTED_VALUE"""),"")</f>
        <v/>
      </c>
      <c r="C103" s="134" t="str">
        <f ca="1">IFERROR(__xludf.DUMMYFUNCTION("""COMPUTED_VALUE"""),"")</f>
        <v/>
      </c>
      <c r="D103" s="134" t="str">
        <f ca="1">IFERROR(__xludf.DUMMYFUNCTION("""COMPUTED_VALUE"""),"")</f>
        <v/>
      </c>
      <c r="E103" s="134" t="str">
        <f ca="1">IFERROR(__xludf.DUMMYFUNCTION("""COMPUTED_VALUE"""),"")</f>
        <v/>
      </c>
      <c r="F103" s="134" t="str">
        <f ca="1">IFERROR(__xludf.DUMMYFUNCTION("""COMPUTED_VALUE"""),"")</f>
        <v/>
      </c>
      <c r="G103" s="134" t="str">
        <f ca="1">IFERROR(__xludf.DUMMYFUNCTION("""COMPUTED_VALUE"""),"")</f>
        <v/>
      </c>
      <c r="H103" s="134" t="str">
        <f ca="1">IFERROR(__xludf.DUMMYFUNCTION("""COMPUTED_VALUE"""),"")</f>
        <v/>
      </c>
      <c r="I103" s="134" t="str">
        <f ca="1">IFERROR(__xludf.DUMMYFUNCTION("""COMPUTED_VALUE"""),"")</f>
        <v/>
      </c>
      <c r="J103" s="134" t="str">
        <f ca="1">IFERROR(__xludf.DUMMYFUNCTION("""COMPUTED_VALUE"""),"")</f>
        <v/>
      </c>
      <c r="K103" s="29"/>
      <c r="L103" s="29"/>
      <c r="M103" s="29"/>
      <c r="N103" s="31"/>
    </row>
    <row r="104" spans="1:14" customFormat="1">
      <c r="A104" s="134" t="str">
        <f ca="1">IFERROR(__xludf.DUMMYFUNCTION("""COMPUTED_VALUE"""),"")</f>
        <v/>
      </c>
      <c r="B104" s="134" t="str">
        <f ca="1">IFERROR(__xludf.DUMMYFUNCTION("""COMPUTED_VALUE"""),"")</f>
        <v/>
      </c>
      <c r="C104" s="134" t="str">
        <f ca="1">IFERROR(__xludf.DUMMYFUNCTION("""COMPUTED_VALUE"""),"")</f>
        <v/>
      </c>
      <c r="D104" s="134" t="str">
        <f ca="1">IFERROR(__xludf.DUMMYFUNCTION("""COMPUTED_VALUE"""),"")</f>
        <v/>
      </c>
      <c r="E104" s="134" t="str">
        <f ca="1">IFERROR(__xludf.DUMMYFUNCTION("""COMPUTED_VALUE"""),"")</f>
        <v/>
      </c>
      <c r="F104" s="134" t="str">
        <f ca="1">IFERROR(__xludf.DUMMYFUNCTION("""COMPUTED_VALUE"""),"")</f>
        <v/>
      </c>
      <c r="G104" s="134" t="str">
        <f ca="1">IFERROR(__xludf.DUMMYFUNCTION("""COMPUTED_VALUE"""),"")</f>
        <v/>
      </c>
      <c r="H104" s="134" t="str">
        <f ca="1">IFERROR(__xludf.DUMMYFUNCTION("""COMPUTED_VALUE"""),"")</f>
        <v/>
      </c>
      <c r="I104" s="134" t="str">
        <f ca="1">IFERROR(__xludf.DUMMYFUNCTION("""COMPUTED_VALUE"""),"")</f>
        <v/>
      </c>
      <c r="J104" s="134" t="str">
        <f ca="1">IFERROR(__xludf.DUMMYFUNCTION("""COMPUTED_VALUE"""),"")</f>
        <v/>
      </c>
      <c r="K104" s="29"/>
      <c r="L104" s="29"/>
      <c r="M104" s="29"/>
      <c r="N104" s="31"/>
    </row>
    <row r="105" spans="1:14" customFormat="1">
      <c r="A105" s="134" t="str">
        <f ca="1">IFERROR(__xludf.DUMMYFUNCTION("""COMPUTED_VALUE"""),"")</f>
        <v/>
      </c>
      <c r="B105" s="134" t="str">
        <f ca="1">IFERROR(__xludf.DUMMYFUNCTION("""COMPUTED_VALUE"""),"")</f>
        <v/>
      </c>
      <c r="C105" s="134" t="str">
        <f ca="1">IFERROR(__xludf.DUMMYFUNCTION("""COMPUTED_VALUE"""),"")</f>
        <v/>
      </c>
      <c r="D105" s="134" t="str">
        <f ca="1">IFERROR(__xludf.DUMMYFUNCTION("""COMPUTED_VALUE"""),"")</f>
        <v/>
      </c>
      <c r="E105" s="134" t="str">
        <f ca="1">IFERROR(__xludf.DUMMYFUNCTION("""COMPUTED_VALUE"""),"")</f>
        <v/>
      </c>
      <c r="F105" s="134" t="str">
        <f ca="1">IFERROR(__xludf.DUMMYFUNCTION("""COMPUTED_VALUE"""),"")</f>
        <v/>
      </c>
      <c r="G105" s="134" t="str">
        <f ca="1">IFERROR(__xludf.DUMMYFUNCTION("""COMPUTED_VALUE"""),"")</f>
        <v/>
      </c>
      <c r="H105" s="134" t="str">
        <f ca="1">IFERROR(__xludf.DUMMYFUNCTION("""COMPUTED_VALUE"""),"")</f>
        <v/>
      </c>
      <c r="I105" s="134" t="str">
        <f ca="1">IFERROR(__xludf.DUMMYFUNCTION("""COMPUTED_VALUE"""),"")</f>
        <v/>
      </c>
      <c r="J105" s="134" t="str">
        <f ca="1">IFERROR(__xludf.DUMMYFUNCTION("""COMPUTED_VALUE"""),"")</f>
        <v/>
      </c>
      <c r="K105" s="29"/>
      <c r="L105" s="29"/>
      <c r="M105" s="29"/>
      <c r="N105" s="31"/>
    </row>
    <row r="106" spans="1:14" customFormat="1">
      <c r="A106" s="134" t="str">
        <f ca="1">IFERROR(__xludf.DUMMYFUNCTION("""COMPUTED_VALUE"""),"")</f>
        <v/>
      </c>
      <c r="B106" s="134" t="str">
        <f ca="1">IFERROR(__xludf.DUMMYFUNCTION("""COMPUTED_VALUE"""),"")</f>
        <v/>
      </c>
      <c r="C106" s="134" t="str">
        <f ca="1">IFERROR(__xludf.DUMMYFUNCTION("""COMPUTED_VALUE"""),"")</f>
        <v/>
      </c>
      <c r="D106" s="134" t="str">
        <f ca="1">IFERROR(__xludf.DUMMYFUNCTION("""COMPUTED_VALUE"""),"")</f>
        <v/>
      </c>
      <c r="E106" s="134" t="str">
        <f ca="1">IFERROR(__xludf.DUMMYFUNCTION("""COMPUTED_VALUE"""),"")</f>
        <v/>
      </c>
      <c r="F106" s="134" t="str">
        <f ca="1">IFERROR(__xludf.DUMMYFUNCTION("""COMPUTED_VALUE"""),"")</f>
        <v/>
      </c>
      <c r="G106" s="134" t="str">
        <f ca="1">IFERROR(__xludf.DUMMYFUNCTION("""COMPUTED_VALUE"""),"")</f>
        <v/>
      </c>
      <c r="H106" s="134" t="str">
        <f ca="1">IFERROR(__xludf.DUMMYFUNCTION("""COMPUTED_VALUE"""),"")</f>
        <v/>
      </c>
      <c r="I106" s="134" t="str">
        <f ca="1">IFERROR(__xludf.DUMMYFUNCTION("""COMPUTED_VALUE"""),"")</f>
        <v/>
      </c>
      <c r="J106" s="134" t="str">
        <f ca="1">IFERROR(__xludf.DUMMYFUNCTION("""COMPUTED_VALUE"""),"")</f>
        <v/>
      </c>
      <c r="K106" s="29"/>
      <c r="L106" s="29"/>
      <c r="M106" s="29"/>
      <c r="N106" s="31"/>
    </row>
    <row r="107" spans="1:14" customFormat="1">
      <c r="A107" s="134" t="str">
        <f ca="1">IFERROR(__xludf.DUMMYFUNCTION("""COMPUTED_VALUE"""),"")</f>
        <v/>
      </c>
      <c r="B107" s="134" t="str">
        <f ca="1">IFERROR(__xludf.DUMMYFUNCTION("""COMPUTED_VALUE"""),"")</f>
        <v/>
      </c>
      <c r="C107" s="134" t="str">
        <f ca="1">IFERROR(__xludf.DUMMYFUNCTION("""COMPUTED_VALUE"""),"")</f>
        <v/>
      </c>
      <c r="D107" s="134" t="str">
        <f ca="1">IFERROR(__xludf.DUMMYFUNCTION("""COMPUTED_VALUE"""),"")</f>
        <v/>
      </c>
      <c r="E107" s="134" t="str">
        <f ca="1">IFERROR(__xludf.DUMMYFUNCTION("""COMPUTED_VALUE"""),"")</f>
        <v/>
      </c>
      <c r="F107" s="134" t="str">
        <f ca="1">IFERROR(__xludf.DUMMYFUNCTION("""COMPUTED_VALUE"""),"")</f>
        <v/>
      </c>
      <c r="G107" s="134" t="str">
        <f ca="1">IFERROR(__xludf.DUMMYFUNCTION("""COMPUTED_VALUE"""),"")</f>
        <v/>
      </c>
      <c r="H107" s="134" t="str">
        <f ca="1">IFERROR(__xludf.DUMMYFUNCTION("""COMPUTED_VALUE"""),"")</f>
        <v/>
      </c>
      <c r="I107" s="134" t="str">
        <f ca="1">IFERROR(__xludf.DUMMYFUNCTION("""COMPUTED_VALUE"""),"")</f>
        <v/>
      </c>
      <c r="J107" s="134" t="str">
        <f ca="1">IFERROR(__xludf.DUMMYFUNCTION("""COMPUTED_VALUE"""),"")</f>
        <v/>
      </c>
      <c r="K107" s="29"/>
      <c r="L107" s="29"/>
      <c r="M107" s="29"/>
      <c r="N107" s="31"/>
    </row>
    <row r="108" spans="1:14" customFormat="1">
      <c r="A108" s="134" t="str">
        <f ca="1">IFERROR(__xludf.DUMMYFUNCTION("""COMPUTED_VALUE"""),"")</f>
        <v/>
      </c>
      <c r="B108" s="134" t="str">
        <f ca="1">IFERROR(__xludf.DUMMYFUNCTION("""COMPUTED_VALUE"""),"")</f>
        <v/>
      </c>
      <c r="C108" s="134" t="str">
        <f ca="1">IFERROR(__xludf.DUMMYFUNCTION("""COMPUTED_VALUE"""),"")</f>
        <v/>
      </c>
      <c r="D108" s="134" t="str">
        <f ca="1">IFERROR(__xludf.DUMMYFUNCTION("""COMPUTED_VALUE"""),"")</f>
        <v/>
      </c>
      <c r="E108" s="134" t="str">
        <f ca="1">IFERROR(__xludf.DUMMYFUNCTION("""COMPUTED_VALUE"""),"")</f>
        <v/>
      </c>
      <c r="F108" s="134" t="str">
        <f ca="1">IFERROR(__xludf.DUMMYFUNCTION("""COMPUTED_VALUE"""),"")</f>
        <v/>
      </c>
      <c r="G108" s="134" t="str">
        <f ca="1">IFERROR(__xludf.DUMMYFUNCTION("""COMPUTED_VALUE"""),"")</f>
        <v/>
      </c>
      <c r="H108" s="134" t="str">
        <f ca="1">IFERROR(__xludf.DUMMYFUNCTION("""COMPUTED_VALUE"""),"")</f>
        <v/>
      </c>
      <c r="I108" s="134" t="str">
        <f ca="1">IFERROR(__xludf.DUMMYFUNCTION("""COMPUTED_VALUE"""),"")</f>
        <v/>
      </c>
      <c r="J108" s="134" t="str">
        <f ca="1">IFERROR(__xludf.DUMMYFUNCTION("""COMPUTED_VALUE"""),"")</f>
        <v/>
      </c>
      <c r="K108" s="29"/>
      <c r="L108" s="29"/>
      <c r="M108" s="29"/>
      <c r="N108" s="31"/>
    </row>
    <row r="109" spans="1:14" customFormat="1">
      <c r="A109" s="134" t="str">
        <f ca="1">IFERROR(__xludf.DUMMYFUNCTION("""COMPUTED_VALUE"""),"")</f>
        <v/>
      </c>
      <c r="B109" s="134" t="str">
        <f ca="1">IFERROR(__xludf.DUMMYFUNCTION("""COMPUTED_VALUE"""),"")</f>
        <v/>
      </c>
      <c r="C109" s="134" t="str">
        <f ca="1">IFERROR(__xludf.DUMMYFUNCTION("""COMPUTED_VALUE"""),"")</f>
        <v/>
      </c>
      <c r="D109" s="134" t="str">
        <f ca="1">IFERROR(__xludf.DUMMYFUNCTION("""COMPUTED_VALUE"""),"")</f>
        <v/>
      </c>
      <c r="E109" s="134" t="str">
        <f ca="1">IFERROR(__xludf.DUMMYFUNCTION("""COMPUTED_VALUE"""),"")</f>
        <v/>
      </c>
      <c r="F109" s="134" t="str">
        <f ca="1">IFERROR(__xludf.DUMMYFUNCTION("""COMPUTED_VALUE"""),"")</f>
        <v/>
      </c>
      <c r="G109" s="134" t="str">
        <f ca="1">IFERROR(__xludf.DUMMYFUNCTION("""COMPUTED_VALUE"""),"")</f>
        <v/>
      </c>
      <c r="H109" s="134" t="str">
        <f ca="1">IFERROR(__xludf.DUMMYFUNCTION("""COMPUTED_VALUE"""),"")</f>
        <v/>
      </c>
      <c r="I109" s="134" t="str">
        <f ca="1">IFERROR(__xludf.DUMMYFUNCTION("""COMPUTED_VALUE"""),"")</f>
        <v/>
      </c>
      <c r="J109" s="134" t="str">
        <f ca="1">IFERROR(__xludf.DUMMYFUNCTION("""COMPUTED_VALUE"""),"")</f>
        <v/>
      </c>
      <c r="K109" s="29"/>
      <c r="L109" s="29"/>
      <c r="M109" s="29"/>
      <c r="N109" s="31"/>
    </row>
    <row r="110" spans="1:14" customFormat="1">
      <c r="A110" s="134" t="str">
        <f ca="1">IFERROR(__xludf.DUMMYFUNCTION("""COMPUTED_VALUE"""),"")</f>
        <v/>
      </c>
      <c r="B110" s="134" t="str">
        <f ca="1">IFERROR(__xludf.DUMMYFUNCTION("""COMPUTED_VALUE"""),"")</f>
        <v/>
      </c>
      <c r="C110" s="134" t="str">
        <f ca="1">IFERROR(__xludf.DUMMYFUNCTION("""COMPUTED_VALUE"""),"")</f>
        <v/>
      </c>
      <c r="D110" s="134" t="str">
        <f ca="1">IFERROR(__xludf.DUMMYFUNCTION("""COMPUTED_VALUE"""),"")</f>
        <v/>
      </c>
      <c r="E110" s="134" t="str">
        <f ca="1">IFERROR(__xludf.DUMMYFUNCTION("""COMPUTED_VALUE"""),"")</f>
        <v/>
      </c>
      <c r="F110" s="134" t="str">
        <f ca="1">IFERROR(__xludf.DUMMYFUNCTION("""COMPUTED_VALUE"""),"")</f>
        <v/>
      </c>
      <c r="G110" s="134" t="str">
        <f ca="1">IFERROR(__xludf.DUMMYFUNCTION("""COMPUTED_VALUE"""),"")</f>
        <v/>
      </c>
      <c r="H110" s="134" t="str">
        <f ca="1">IFERROR(__xludf.DUMMYFUNCTION("""COMPUTED_VALUE"""),"")</f>
        <v/>
      </c>
      <c r="I110" s="134" t="str">
        <f ca="1">IFERROR(__xludf.DUMMYFUNCTION("""COMPUTED_VALUE"""),"")</f>
        <v/>
      </c>
      <c r="J110" s="134" t="str">
        <f ca="1">IFERROR(__xludf.DUMMYFUNCTION("""COMPUTED_VALUE"""),"")</f>
        <v/>
      </c>
      <c r="K110" s="29"/>
      <c r="L110" s="29"/>
      <c r="M110" s="29"/>
      <c r="N110" s="31"/>
    </row>
    <row r="111" spans="1:14" customFormat="1">
      <c r="A111" s="134" t="str">
        <f ca="1">IFERROR(__xludf.DUMMYFUNCTION("""COMPUTED_VALUE"""),"")</f>
        <v/>
      </c>
      <c r="B111" s="134" t="str">
        <f ca="1">IFERROR(__xludf.DUMMYFUNCTION("""COMPUTED_VALUE"""),"")</f>
        <v/>
      </c>
      <c r="C111" s="134" t="str">
        <f ca="1">IFERROR(__xludf.DUMMYFUNCTION("""COMPUTED_VALUE"""),"")</f>
        <v/>
      </c>
      <c r="D111" s="134" t="str">
        <f ca="1">IFERROR(__xludf.DUMMYFUNCTION("""COMPUTED_VALUE"""),"")</f>
        <v/>
      </c>
      <c r="E111" s="134" t="str">
        <f ca="1">IFERROR(__xludf.DUMMYFUNCTION("""COMPUTED_VALUE"""),"")</f>
        <v/>
      </c>
      <c r="F111" s="134" t="str">
        <f ca="1">IFERROR(__xludf.DUMMYFUNCTION("""COMPUTED_VALUE"""),"")</f>
        <v/>
      </c>
      <c r="G111" s="134" t="str">
        <f ca="1">IFERROR(__xludf.DUMMYFUNCTION("""COMPUTED_VALUE"""),"")</f>
        <v/>
      </c>
      <c r="H111" s="134" t="str">
        <f ca="1">IFERROR(__xludf.DUMMYFUNCTION("""COMPUTED_VALUE"""),"")</f>
        <v/>
      </c>
      <c r="I111" s="134" t="str">
        <f ca="1">IFERROR(__xludf.DUMMYFUNCTION("""COMPUTED_VALUE"""),"")</f>
        <v/>
      </c>
      <c r="J111" s="134" t="str">
        <f ca="1">IFERROR(__xludf.DUMMYFUNCTION("""COMPUTED_VALUE"""),"")</f>
        <v/>
      </c>
      <c r="K111" s="29"/>
      <c r="L111" s="29"/>
      <c r="M111" s="29"/>
      <c r="N111" s="31"/>
    </row>
    <row r="112" spans="1:14" customFormat="1">
      <c r="A112" s="134" t="str">
        <f ca="1">IFERROR(__xludf.DUMMYFUNCTION("""COMPUTED_VALUE"""),"")</f>
        <v/>
      </c>
      <c r="B112" s="134" t="str">
        <f ca="1">IFERROR(__xludf.DUMMYFUNCTION("""COMPUTED_VALUE"""),"")</f>
        <v/>
      </c>
      <c r="C112" s="134" t="str">
        <f ca="1">IFERROR(__xludf.DUMMYFUNCTION("""COMPUTED_VALUE"""),"")</f>
        <v/>
      </c>
      <c r="D112" s="134" t="str">
        <f ca="1">IFERROR(__xludf.DUMMYFUNCTION("""COMPUTED_VALUE"""),"")</f>
        <v/>
      </c>
      <c r="E112" s="134" t="str">
        <f ca="1">IFERROR(__xludf.DUMMYFUNCTION("""COMPUTED_VALUE"""),"")</f>
        <v/>
      </c>
      <c r="F112" s="134" t="str">
        <f ca="1">IFERROR(__xludf.DUMMYFUNCTION("""COMPUTED_VALUE"""),"")</f>
        <v/>
      </c>
      <c r="G112" s="134" t="str">
        <f ca="1">IFERROR(__xludf.DUMMYFUNCTION("""COMPUTED_VALUE"""),"")</f>
        <v/>
      </c>
      <c r="H112" s="134" t="str">
        <f ca="1">IFERROR(__xludf.DUMMYFUNCTION("""COMPUTED_VALUE"""),"")</f>
        <v/>
      </c>
      <c r="I112" s="134" t="str">
        <f ca="1">IFERROR(__xludf.DUMMYFUNCTION("""COMPUTED_VALUE"""),"")</f>
        <v/>
      </c>
      <c r="J112" s="134" t="str">
        <f ca="1">IFERROR(__xludf.DUMMYFUNCTION("""COMPUTED_VALUE"""),"")</f>
        <v/>
      </c>
      <c r="N112" s="31"/>
    </row>
    <row r="113" spans="1:14" customFormat="1">
      <c r="A113" s="134" t="str">
        <f ca="1">IFERROR(__xludf.DUMMYFUNCTION("""COMPUTED_VALUE"""),"")</f>
        <v/>
      </c>
      <c r="B113" s="134" t="str">
        <f ca="1">IFERROR(__xludf.DUMMYFUNCTION("""COMPUTED_VALUE"""),"")</f>
        <v/>
      </c>
      <c r="C113" s="134" t="str">
        <f ca="1">IFERROR(__xludf.DUMMYFUNCTION("""COMPUTED_VALUE"""),"")</f>
        <v/>
      </c>
      <c r="D113" s="134" t="str">
        <f ca="1">IFERROR(__xludf.DUMMYFUNCTION("""COMPUTED_VALUE"""),"")</f>
        <v/>
      </c>
      <c r="E113" s="134" t="str">
        <f ca="1">IFERROR(__xludf.DUMMYFUNCTION("""COMPUTED_VALUE"""),"")</f>
        <v/>
      </c>
      <c r="F113" s="134" t="str">
        <f ca="1">IFERROR(__xludf.DUMMYFUNCTION("""COMPUTED_VALUE"""),"")</f>
        <v/>
      </c>
      <c r="G113" s="134" t="str">
        <f ca="1">IFERROR(__xludf.DUMMYFUNCTION("""COMPUTED_VALUE"""),"")</f>
        <v/>
      </c>
      <c r="H113" s="134" t="str">
        <f ca="1">IFERROR(__xludf.DUMMYFUNCTION("""COMPUTED_VALUE"""),"")</f>
        <v/>
      </c>
      <c r="I113" s="134" t="str">
        <f ca="1">IFERROR(__xludf.DUMMYFUNCTION("""COMPUTED_VALUE"""),"")</f>
        <v/>
      </c>
      <c r="J113" s="134" t="str">
        <f ca="1">IFERROR(__xludf.DUMMYFUNCTION("""COMPUTED_VALUE"""),"")</f>
        <v/>
      </c>
      <c r="N113" s="31"/>
    </row>
    <row r="114" spans="1:14" customFormat="1">
      <c r="A114" s="134" t="str">
        <f ca="1">IFERROR(__xludf.DUMMYFUNCTION("""COMPUTED_VALUE"""),"")</f>
        <v/>
      </c>
      <c r="B114" s="134" t="str">
        <f ca="1">IFERROR(__xludf.DUMMYFUNCTION("""COMPUTED_VALUE"""),"")</f>
        <v/>
      </c>
      <c r="C114" s="134" t="str">
        <f ca="1">IFERROR(__xludf.DUMMYFUNCTION("""COMPUTED_VALUE"""),"")</f>
        <v/>
      </c>
      <c r="D114" s="134" t="str">
        <f ca="1">IFERROR(__xludf.DUMMYFUNCTION("""COMPUTED_VALUE"""),"")</f>
        <v/>
      </c>
      <c r="E114" s="134" t="str">
        <f ca="1">IFERROR(__xludf.DUMMYFUNCTION("""COMPUTED_VALUE"""),"")</f>
        <v/>
      </c>
      <c r="F114" s="134" t="str">
        <f ca="1">IFERROR(__xludf.DUMMYFUNCTION("""COMPUTED_VALUE"""),"")</f>
        <v/>
      </c>
      <c r="G114" s="134" t="str">
        <f ca="1">IFERROR(__xludf.DUMMYFUNCTION("""COMPUTED_VALUE"""),"")</f>
        <v/>
      </c>
      <c r="H114" s="134" t="str">
        <f ca="1">IFERROR(__xludf.DUMMYFUNCTION("""COMPUTED_VALUE"""),"")</f>
        <v/>
      </c>
      <c r="I114" s="134" t="str">
        <f ca="1">IFERROR(__xludf.DUMMYFUNCTION("""COMPUTED_VALUE"""),"")</f>
        <v/>
      </c>
      <c r="J114" s="134" t="str">
        <f ca="1">IFERROR(__xludf.DUMMYFUNCTION("""COMPUTED_VALUE"""),"")</f>
        <v/>
      </c>
      <c r="N114" s="31"/>
    </row>
    <row r="115" spans="1:14" customFormat="1">
      <c r="A115" s="134" t="str">
        <f ca="1">IFERROR(__xludf.DUMMYFUNCTION("""COMPUTED_VALUE"""),"")</f>
        <v/>
      </c>
      <c r="B115" s="134" t="str">
        <f ca="1">IFERROR(__xludf.DUMMYFUNCTION("""COMPUTED_VALUE"""),"")</f>
        <v/>
      </c>
      <c r="C115" s="134" t="str">
        <f ca="1">IFERROR(__xludf.DUMMYFUNCTION("""COMPUTED_VALUE"""),"")</f>
        <v/>
      </c>
      <c r="D115" s="134" t="str">
        <f ca="1">IFERROR(__xludf.DUMMYFUNCTION("""COMPUTED_VALUE"""),"")</f>
        <v/>
      </c>
      <c r="E115" s="134" t="str">
        <f ca="1">IFERROR(__xludf.DUMMYFUNCTION("""COMPUTED_VALUE"""),"")</f>
        <v/>
      </c>
      <c r="F115" s="134" t="str">
        <f ca="1">IFERROR(__xludf.DUMMYFUNCTION("""COMPUTED_VALUE"""),"")</f>
        <v/>
      </c>
      <c r="G115" s="134" t="str">
        <f ca="1">IFERROR(__xludf.DUMMYFUNCTION("""COMPUTED_VALUE"""),"")</f>
        <v/>
      </c>
      <c r="H115" s="134" t="str">
        <f ca="1">IFERROR(__xludf.DUMMYFUNCTION("""COMPUTED_VALUE"""),"")</f>
        <v/>
      </c>
      <c r="I115" s="134" t="str">
        <f ca="1">IFERROR(__xludf.DUMMYFUNCTION("""COMPUTED_VALUE"""),"")</f>
        <v/>
      </c>
      <c r="J115" s="134" t="str">
        <f ca="1">IFERROR(__xludf.DUMMYFUNCTION("""COMPUTED_VALUE"""),"")</f>
        <v/>
      </c>
      <c r="N115" s="31"/>
    </row>
    <row r="116" spans="1:14" customFormat="1">
      <c r="A116" s="134" t="str">
        <f ca="1">IFERROR(__xludf.DUMMYFUNCTION("""COMPUTED_VALUE"""),"")</f>
        <v/>
      </c>
      <c r="B116" s="134" t="str">
        <f ca="1">IFERROR(__xludf.DUMMYFUNCTION("""COMPUTED_VALUE"""),"")</f>
        <v/>
      </c>
      <c r="C116" s="134" t="str">
        <f ca="1">IFERROR(__xludf.DUMMYFUNCTION("""COMPUTED_VALUE"""),"")</f>
        <v/>
      </c>
      <c r="D116" s="134" t="str">
        <f ca="1">IFERROR(__xludf.DUMMYFUNCTION("""COMPUTED_VALUE"""),"")</f>
        <v/>
      </c>
      <c r="E116" s="134" t="str">
        <f ca="1">IFERROR(__xludf.DUMMYFUNCTION("""COMPUTED_VALUE"""),"")</f>
        <v/>
      </c>
      <c r="F116" s="134" t="str">
        <f ca="1">IFERROR(__xludf.DUMMYFUNCTION("""COMPUTED_VALUE"""),"")</f>
        <v/>
      </c>
      <c r="G116" s="134" t="str">
        <f ca="1">IFERROR(__xludf.DUMMYFUNCTION("""COMPUTED_VALUE"""),"")</f>
        <v/>
      </c>
      <c r="H116" s="134" t="str">
        <f ca="1">IFERROR(__xludf.DUMMYFUNCTION("""COMPUTED_VALUE"""),"")</f>
        <v/>
      </c>
      <c r="I116" s="134" t="str">
        <f ca="1">IFERROR(__xludf.DUMMYFUNCTION("""COMPUTED_VALUE"""),"")</f>
        <v/>
      </c>
      <c r="J116" s="134" t="str">
        <f ca="1">IFERROR(__xludf.DUMMYFUNCTION("""COMPUTED_VALUE"""),"")</f>
        <v/>
      </c>
      <c r="N116" s="31"/>
    </row>
    <row r="117" spans="1:14" customFormat="1">
      <c r="A117" s="134" t="str">
        <f ca="1">IFERROR(__xludf.DUMMYFUNCTION("""COMPUTED_VALUE"""),"")</f>
        <v/>
      </c>
      <c r="B117" s="134" t="str">
        <f ca="1">IFERROR(__xludf.DUMMYFUNCTION("""COMPUTED_VALUE"""),"")</f>
        <v/>
      </c>
      <c r="C117" s="134" t="str">
        <f ca="1">IFERROR(__xludf.DUMMYFUNCTION("""COMPUTED_VALUE"""),"")</f>
        <v/>
      </c>
      <c r="D117" s="134" t="str">
        <f ca="1">IFERROR(__xludf.DUMMYFUNCTION("""COMPUTED_VALUE"""),"")</f>
        <v/>
      </c>
      <c r="E117" s="134" t="str">
        <f ca="1">IFERROR(__xludf.DUMMYFUNCTION("""COMPUTED_VALUE"""),"")</f>
        <v/>
      </c>
      <c r="F117" s="134" t="str">
        <f ca="1">IFERROR(__xludf.DUMMYFUNCTION("""COMPUTED_VALUE"""),"")</f>
        <v/>
      </c>
      <c r="G117" s="134" t="str">
        <f ca="1">IFERROR(__xludf.DUMMYFUNCTION("""COMPUTED_VALUE"""),"")</f>
        <v/>
      </c>
      <c r="H117" s="134" t="str">
        <f ca="1">IFERROR(__xludf.DUMMYFUNCTION("""COMPUTED_VALUE"""),"")</f>
        <v/>
      </c>
      <c r="I117" s="134" t="str">
        <f ca="1">IFERROR(__xludf.DUMMYFUNCTION("""COMPUTED_VALUE"""),"")</f>
        <v/>
      </c>
      <c r="J117" s="134" t="str">
        <f ca="1">IFERROR(__xludf.DUMMYFUNCTION("""COMPUTED_VALUE"""),"")</f>
        <v/>
      </c>
      <c r="N117" s="31"/>
    </row>
    <row r="118" spans="1:14" customFormat="1">
      <c r="A118" s="134" t="str">
        <f ca="1">IFERROR(__xludf.DUMMYFUNCTION("""COMPUTED_VALUE"""),"")</f>
        <v/>
      </c>
      <c r="B118" s="134" t="str">
        <f ca="1">IFERROR(__xludf.DUMMYFUNCTION("""COMPUTED_VALUE"""),"")</f>
        <v/>
      </c>
      <c r="C118" s="134" t="str">
        <f ca="1">IFERROR(__xludf.DUMMYFUNCTION("""COMPUTED_VALUE"""),"")</f>
        <v/>
      </c>
      <c r="D118" s="134" t="str">
        <f ca="1">IFERROR(__xludf.DUMMYFUNCTION("""COMPUTED_VALUE"""),"")</f>
        <v/>
      </c>
      <c r="E118" s="134" t="str">
        <f ca="1">IFERROR(__xludf.DUMMYFUNCTION("""COMPUTED_VALUE"""),"")</f>
        <v/>
      </c>
      <c r="F118" s="134" t="str">
        <f ca="1">IFERROR(__xludf.DUMMYFUNCTION("""COMPUTED_VALUE"""),"")</f>
        <v/>
      </c>
      <c r="G118" s="134" t="str">
        <f ca="1">IFERROR(__xludf.DUMMYFUNCTION("""COMPUTED_VALUE"""),"")</f>
        <v/>
      </c>
      <c r="H118" s="134" t="str">
        <f ca="1">IFERROR(__xludf.DUMMYFUNCTION("""COMPUTED_VALUE"""),"")</f>
        <v/>
      </c>
      <c r="I118" s="134" t="str">
        <f ca="1">IFERROR(__xludf.DUMMYFUNCTION("""COMPUTED_VALUE"""),"")</f>
        <v/>
      </c>
      <c r="J118" s="134" t="str">
        <f ca="1">IFERROR(__xludf.DUMMYFUNCTION("""COMPUTED_VALUE"""),"")</f>
        <v/>
      </c>
      <c r="N118" s="31"/>
    </row>
    <row r="119" spans="1:14" customFormat="1">
      <c r="A119" s="134" t="str">
        <f ca="1">IFERROR(__xludf.DUMMYFUNCTION("""COMPUTED_VALUE"""),"")</f>
        <v/>
      </c>
      <c r="B119" s="134" t="str">
        <f ca="1">IFERROR(__xludf.DUMMYFUNCTION("""COMPUTED_VALUE"""),"")</f>
        <v/>
      </c>
      <c r="C119" s="134" t="str">
        <f ca="1">IFERROR(__xludf.DUMMYFUNCTION("""COMPUTED_VALUE"""),"")</f>
        <v/>
      </c>
      <c r="D119" s="134" t="str">
        <f ca="1">IFERROR(__xludf.DUMMYFUNCTION("""COMPUTED_VALUE"""),"")</f>
        <v/>
      </c>
      <c r="E119" s="134" t="str">
        <f ca="1">IFERROR(__xludf.DUMMYFUNCTION("""COMPUTED_VALUE"""),"")</f>
        <v/>
      </c>
      <c r="F119" s="134" t="str">
        <f ca="1">IFERROR(__xludf.DUMMYFUNCTION("""COMPUTED_VALUE"""),"")</f>
        <v/>
      </c>
      <c r="G119" s="134" t="str">
        <f ca="1">IFERROR(__xludf.DUMMYFUNCTION("""COMPUTED_VALUE"""),"")</f>
        <v/>
      </c>
      <c r="H119" s="134" t="str">
        <f ca="1">IFERROR(__xludf.DUMMYFUNCTION("""COMPUTED_VALUE"""),"")</f>
        <v/>
      </c>
      <c r="I119" s="134" t="str">
        <f ca="1">IFERROR(__xludf.DUMMYFUNCTION("""COMPUTED_VALUE"""),"")</f>
        <v/>
      </c>
      <c r="J119" s="134" t="str">
        <f ca="1">IFERROR(__xludf.DUMMYFUNCTION("""COMPUTED_VALUE"""),"")</f>
        <v/>
      </c>
      <c r="N119" s="31"/>
    </row>
    <row r="120" spans="1:14" customFormat="1">
      <c r="A120" s="134" t="str">
        <f ca="1">IFERROR(__xludf.DUMMYFUNCTION("""COMPUTED_VALUE"""),"")</f>
        <v/>
      </c>
      <c r="B120" s="134" t="str">
        <f ca="1">IFERROR(__xludf.DUMMYFUNCTION("""COMPUTED_VALUE"""),"")</f>
        <v/>
      </c>
      <c r="C120" s="134" t="str">
        <f ca="1">IFERROR(__xludf.DUMMYFUNCTION("""COMPUTED_VALUE"""),"")</f>
        <v/>
      </c>
      <c r="D120" s="134" t="str">
        <f ca="1">IFERROR(__xludf.DUMMYFUNCTION("""COMPUTED_VALUE"""),"")</f>
        <v/>
      </c>
      <c r="E120" s="134" t="str">
        <f ca="1">IFERROR(__xludf.DUMMYFUNCTION("""COMPUTED_VALUE"""),"")</f>
        <v/>
      </c>
      <c r="F120" s="134" t="str">
        <f ca="1">IFERROR(__xludf.DUMMYFUNCTION("""COMPUTED_VALUE"""),"")</f>
        <v/>
      </c>
      <c r="G120" s="134" t="str">
        <f ca="1">IFERROR(__xludf.DUMMYFUNCTION("""COMPUTED_VALUE"""),"")</f>
        <v/>
      </c>
      <c r="H120" s="134" t="str">
        <f ca="1">IFERROR(__xludf.DUMMYFUNCTION("""COMPUTED_VALUE"""),"")</f>
        <v/>
      </c>
      <c r="I120" s="134" t="str">
        <f ca="1">IFERROR(__xludf.DUMMYFUNCTION("""COMPUTED_VALUE"""),"")</f>
        <v/>
      </c>
      <c r="J120" s="134" t="str">
        <f ca="1">IFERROR(__xludf.DUMMYFUNCTION("""COMPUTED_VALUE"""),"")</f>
        <v/>
      </c>
      <c r="N120" s="31"/>
    </row>
    <row r="121" spans="1:14" customFormat="1">
      <c r="A121" s="134" t="str">
        <f ca="1">IFERROR(__xludf.DUMMYFUNCTION("""COMPUTED_VALUE"""),"")</f>
        <v/>
      </c>
      <c r="B121" s="134" t="str">
        <f ca="1">IFERROR(__xludf.DUMMYFUNCTION("""COMPUTED_VALUE"""),"")</f>
        <v/>
      </c>
      <c r="C121" s="134" t="str">
        <f ca="1">IFERROR(__xludf.DUMMYFUNCTION("""COMPUTED_VALUE"""),"")</f>
        <v/>
      </c>
      <c r="D121" s="134" t="str">
        <f ca="1">IFERROR(__xludf.DUMMYFUNCTION("""COMPUTED_VALUE"""),"")</f>
        <v/>
      </c>
      <c r="E121" s="134" t="str">
        <f ca="1">IFERROR(__xludf.DUMMYFUNCTION("""COMPUTED_VALUE"""),"")</f>
        <v/>
      </c>
      <c r="F121" s="134" t="str">
        <f ca="1">IFERROR(__xludf.DUMMYFUNCTION("""COMPUTED_VALUE"""),"")</f>
        <v/>
      </c>
      <c r="G121" s="134" t="str">
        <f ca="1">IFERROR(__xludf.DUMMYFUNCTION("""COMPUTED_VALUE"""),"")</f>
        <v/>
      </c>
      <c r="H121" s="134" t="str">
        <f ca="1">IFERROR(__xludf.DUMMYFUNCTION("""COMPUTED_VALUE"""),"")</f>
        <v/>
      </c>
      <c r="I121" s="134" t="str">
        <f ca="1">IFERROR(__xludf.DUMMYFUNCTION("""COMPUTED_VALUE"""),"")</f>
        <v/>
      </c>
      <c r="J121" s="134" t="str">
        <f ca="1">IFERROR(__xludf.DUMMYFUNCTION("""COMPUTED_VALUE"""),"")</f>
        <v/>
      </c>
      <c r="N121" s="31"/>
    </row>
    <row r="122" spans="1:14" customFormat="1">
      <c r="A122" s="134" t="str">
        <f ca="1">IFERROR(__xludf.DUMMYFUNCTION("""COMPUTED_VALUE"""),"")</f>
        <v/>
      </c>
      <c r="B122" s="134" t="str">
        <f ca="1">IFERROR(__xludf.DUMMYFUNCTION("""COMPUTED_VALUE"""),"")</f>
        <v/>
      </c>
      <c r="C122" s="134" t="str">
        <f ca="1">IFERROR(__xludf.DUMMYFUNCTION("""COMPUTED_VALUE"""),"")</f>
        <v/>
      </c>
      <c r="D122" s="134" t="str">
        <f ca="1">IFERROR(__xludf.DUMMYFUNCTION("""COMPUTED_VALUE"""),"")</f>
        <v/>
      </c>
      <c r="E122" s="134" t="str">
        <f ca="1">IFERROR(__xludf.DUMMYFUNCTION("""COMPUTED_VALUE"""),"")</f>
        <v/>
      </c>
      <c r="F122" s="134" t="str">
        <f ca="1">IFERROR(__xludf.DUMMYFUNCTION("""COMPUTED_VALUE"""),"")</f>
        <v/>
      </c>
      <c r="G122" s="134" t="str">
        <f ca="1">IFERROR(__xludf.DUMMYFUNCTION("""COMPUTED_VALUE"""),"")</f>
        <v/>
      </c>
      <c r="H122" s="134" t="str">
        <f ca="1">IFERROR(__xludf.DUMMYFUNCTION("""COMPUTED_VALUE"""),"")</f>
        <v/>
      </c>
      <c r="I122" s="134" t="str">
        <f ca="1">IFERROR(__xludf.DUMMYFUNCTION("""COMPUTED_VALUE"""),"")</f>
        <v/>
      </c>
      <c r="J122" s="134" t="str">
        <f ca="1">IFERROR(__xludf.DUMMYFUNCTION("""COMPUTED_VALUE"""),"")</f>
        <v/>
      </c>
      <c r="N122" s="31"/>
    </row>
    <row r="123" spans="1:14" customFormat="1">
      <c r="A123" s="134" t="str">
        <f ca="1">IFERROR(__xludf.DUMMYFUNCTION("""COMPUTED_VALUE"""),"")</f>
        <v/>
      </c>
      <c r="B123" s="134" t="str">
        <f ca="1">IFERROR(__xludf.DUMMYFUNCTION("""COMPUTED_VALUE"""),"")</f>
        <v/>
      </c>
      <c r="C123" s="134" t="str">
        <f ca="1">IFERROR(__xludf.DUMMYFUNCTION("""COMPUTED_VALUE"""),"")</f>
        <v/>
      </c>
      <c r="D123" s="134" t="str">
        <f ca="1">IFERROR(__xludf.DUMMYFUNCTION("""COMPUTED_VALUE"""),"")</f>
        <v/>
      </c>
      <c r="E123" s="134" t="str">
        <f ca="1">IFERROR(__xludf.DUMMYFUNCTION("""COMPUTED_VALUE"""),"")</f>
        <v/>
      </c>
      <c r="F123" s="134" t="str">
        <f ca="1">IFERROR(__xludf.DUMMYFUNCTION("""COMPUTED_VALUE"""),"")</f>
        <v/>
      </c>
      <c r="G123" s="134" t="str">
        <f ca="1">IFERROR(__xludf.DUMMYFUNCTION("""COMPUTED_VALUE"""),"")</f>
        <v/>
      </c>
      <c r="H123" s="134" t="str">
        <f ca="1">IFERROR(__xludf.DUMMYFUNCTION("""COMPUTED_VALUE"""),"")</f>
        <v/>
      </c>
      <c r="I123" s="134" t="str">
        <f ca="1">IFERROR(__xludf.DUMMYFUNCTION("""COMPUTED_VALUE"""),"")</f>
        <v/>
      </c>
      <c r="J123" s="134" t="str">
        <f ca="1">IFERROR(__xludf.DUMMYFUNCTION("""COMPUTED_VALUE"""),"")</f>
        <v/>
      </c>
      <c r="N123" s="31"/>
    </row>
    <row r="124" spans="1:14" customFormat="1">
      <c r="A124" s="134" t="str">
        <f ca="1">IFERROR(__xludf.DUMMYFUNCTION("""COMPUTED_VALUE"""),"")</f>
        <v/>
      </c>
      <c r="B124" s="134" t="str">
        <f ca="1">IFERROR(__xludf.DUMMYFUNCTION("""COMPUTED_VALUE"""),"")</f>
        <v/>
      </c>
      <c r="C124" s="134" t="str">
        <f ca="1">IFERROR(__xludf.DUMMYFUNCTION("""COMPUTED_VALUE"""),"")</f>
        <v/>
      </c>
      <c r="D124" s="134" t="str">
        <f ca="1">IFERROR(__xludf.DUMMYFUNCTION("""COMPUTED_VALUE"""),"")</f>
        <v/>
      </c>
      <c r="E124" s="134" t="str">
        <f ca="1">IFERROR(__xludf.DUMMYFUNCTION("""COMPUTED_VALUE"""),"")</f>
        <v/>
      </c>
      <c r="F124" s="134" t="str">
        <f ca="1">IFERROR(__xludf.DUMMYFUNCTION("""COMPUTED_VALUE"""),"")</f>
        <v/>
      </c>
      <c r="G124" s="134" t="str">
        <f ca="1">IFERROR(__xludf.DUMMYFUNCTION("""COMPUTED_VALUE"""),"")</f>
        <v/>
      </c>
      <c r="H124" s="134" t="str">
        <f ca="1">IFERROR(__xludf.DUMMYFUNCTION("""COMPUTED_VALUE"""),"")</f>
        <v/>
      </c>
      <c r="I124" s="134" t="str">
        <f ca="1">IFERROR(__xludf.DUMMYFUNCTION("""COMPUTED_VALUE"""),"")</f>
        <v/>
      </c>
      <c r="J124" s="134" t="str">
        <f ca="1">IFERROR(__xludf.DUMMYFUNCTION("""COMPUTED_VALUE"""),"")</f>
        <v/>
      </c>
      <c r="N124" s="31"/>
    </row>
    <row r="125" spans="1:14" customFormat="1">
      <c r="A125" s="134" t="str">
        <f ca="1">IFERROR(__xludf.DUMMYFUNCTION("""COMPUTED_VALUE"""),"")</f>
        <v/>
      </c>
      <c r="B125" s="134" t="str">
        <f ca="1">IFERROR(__xludf.DUMMYFUNCTION("""COMPUTED_VALUE"""),"")</f>
        <v/>
      </c>
      <c r="C125" s="134" t="str">
        <f ca="1">IFERROR(__xludf.DUMMYFUNCTION("""COMPUTED_VALUE"""),"")</f>
        <v/>
      </c>
      <c r="D125" s="134" t="str">
        <f ca="1">IFERROR(__xludf.DUMMYFUNCTION("""COMPUTED_VALUE"""),"")</f>
        <v/>
      </c>
      <c r="E125" s="134" t="str">
        <f ca="1">IFERROR(__xludf.DUMMYFUNCTION("""COMPUTED_VALUE"""),"")</f>
        <v/>
      </c>
      <c r="F125" s="134" t="str">
        <f ca="1">IFERROR(__xludf.DUMMYFUNCTION("""COMPUTED_VALUE"""),"")</f>
        <v/>
      </c>
      <c r="G125" s="134" t="str">
        <f ca="1">IFERROR(__xludf.DUMMYFUNCTION("""COMPUTED_VALUE"""),"")</f>
        <v/>
      </c>
      <c r="H125" s="134" t="str">
        <f ca="1">IFERROR(__xludf.DUMMYFUNCTION("""COMPUTED_VALUE"""),"")</f>
        <v/>
      </c>
      <c r="I125" s="134" t="str">
        <f ca="1">IFERROR(__xludf.DUMMYFUNCTION("""COMPUTED_VALUE"""),"")</f>
        <v/>
      </c>
      <c r="J125" s="134" t="str">
        <f ca="1">IFERROR(__xludf.DUMMYFUNCTION("""COMPUTED_VALUE"""),"")</f>
        <v/>
      </c>
      <c r="N125" s="31"/>
    </row>
    <row r="126" spans="1:14" customFormat="1">
      <c r="A126" s="134" t="str">
        <f ca="1">IFERROR(__xludf.DUMMYFUNCTION("""COMPUTED_VALUE"""),"")</f>
        <v/>
      </c>
      <c r="B126" s="134" t="str">
        <f ca="1">IFERROR(__xludf.DUMMYFUNCTION("""COMPUTED_VALUE"""),"")</f>
        <v/>
      </c>
      <c r="C126" s="134" t="str">
        <f ca="1">IFERROR(__xludf.DUMMYFUNCTION("""COMPUTED_VALUE"""),"")</f>
        <v/>
      </c>
      <c r="D126" s="134" t="str">
        <f ca="1">IFERROR(__xludf.DUMMYFUNCTION("""COMPUTED_VALUE"""),"")</f>
        <v/>
      </c>
      <c r="E126" s="134" t="str">
        <f ca="1">IFERROR(__xludf.DUMMYFUNCTION("""COMPUTED_VALUE"""),"")</f>
        <v/>
      </c>
      <c r="F126" s="134" t="str">
        <f ca="1">IFERROR(__xludf.DUMMYFUNCTION("""COMPUTED_VALUE"""),"")</f>
        <v/>
      </c>
      <c r="G126" s="134" t="str">
        <f ca="1">IFERROR(__xludf.DUMMYFUNCTION("""COMPUTED_VALUE"""),"")</f>
        <v/>
      </c>
      <c r="H126" s="134" t="str">
        <f ca="1">IFERROR(__xludf.DUMMYFUNCTION("""COMPUTED_VALUE"""),"")</f>
        <v/>
      </c>
      <c r="I126" s="134" t="str">
        <f ca="1">IFERROR(__xludf.DUMMYFUNCTION("""COMPUTED_VALUE"""),"")</f>
        <v/>
      </c>
      <c r="J126" s="134" t="str">
        <f ca="1">IFERROR(__xludf.DUMMYFUNCTION("""COMPUTED_VALUE"""),"")</f>
        <v/>
      </c>
      <c r="N126" s="31"/>
    </row>
    <row r="127" spans="1:14" customFormat="1">
      <c r="A127" s="134" t="str">
        <f ca="1">IFERROR(__xludf.DUMMYFUNCTION("""COMPUTED_VALUE"""),"")</f>
        <v/>
      </c>
      <c r="B127" s="134" t="str">
        <f ca="1">IFERROR(__xludf.DUMMYFUNCTION("""COMPUTED_VALUE"""),"")</f>
        <v/>
      </c>
      <c r="C127" s="134" t="str">
        <f ca="1">IFERROR(__xludf.DUMMYFUNCTION("""COMPUTED_VALUE"""),"")</f>
        <v/>
      </c>
      <c r="D127" s="134" t="str">
        <f ca="1">IFERROR(__xludf.DUMMYFUNCTION("""COMPUTED_VALUE"""),"")</f>
        <v/>
      </c>
      <c r="E127" s="134" t="str">
        <f ca="1">IFERROR(__xludf.DUMMYFUNCTION("""COMPUTED_VALUE"""),"")</f>
        <v/>
      </c>
      <c r="F127" s="134" t="str">
        <f ca="1">IFERROR(__xludf.DUMMYFUNCTION("""COMPUTED_VALUE"""),"")</f>
        <v/>
      </c>
      <c r="G127" s="134" t="str">
        <f ca="1">IFERROR(__xludf.DUMMYFUNCTION("""COMPUTED_VALUE"""),"")</f>
        <v/>
      </c>
      <c r="H127" s="134" t="str">
        <f ca="1">IFERROR(__xludf.DUMMYFUNCTION("""COMPUTED_VALUE"""),"")</f>
        <v/>
      </c>
      <c r="I127" s="134" t="str">
        <f ca="1">IFERROR(__xludf.DUMMYFUNCTION("""COMPUTED_VALUE"""),"")</f>
        <v/>
      </c>
      <c r="J127" s="134" t="str">
        <f ca="1">IFERROR(__xludf.DUMMYFUNCTION("""COMPUTED_VALUE"""),"")</f>
        <v/>
      </c>
      <c r="N127" s="31"/>
    </row>
    <row r="128" spans="1:14" customFormat="1">
      <c r="A128" s="134" t="str">
        <f ca="1">IFERROR(__xludf.DUMMYFUNCTION("""COMPUTED_VALUE"""),"")</f>
        <v/>
      </c>
      <c r="B128" s="134" t="str">
        <f ca="1">IFERROR(__xludf.DUMMYFUNCTION("""COMPUTED_VALUE"""),"")</f>
        <v/>
      </c>
      <c r="C128" s="134" t="str">
        <f ca="1">IFERROR(__xludf.DUMMYFUNCTION("""COMPUTED_VALUE"""),"")</f>
        <v/>
      </c>
      <c r="D128" s="134" t="str">
        <f ca="1">IFERROR(__xludf.DUMMYFUNCTION("""COMPUTED_VALUE"""),"")</f>
        <v/>
      </c>
      <c r="E128" s="134" t="str">
        <f ca="1">IFERROR(__xludf.DUMMYFUNCTION("""COMPUTED_VALUE"""),"")</f>
        <v/>
      </c>
      <c r="F128" s="134" t="str">
        <f ca="1">IFERROR(__xludf.DUMMYFUNCTION("""COMPUTED_VALUE"""),"")</f>
        <v/>
      </c>
      <c r="G128" s="134" t="str">
        <f ca="1">IFERROR(__xludf.DUMMYFUNCTION("""COMPUTED_VALUE"""),"")</f>
        <v/>
      </c>
      <c r="H128" s="134" t="str">
        <f ca="1">IFERROR(__xludf.DUMMYFUNCTION("""COMPUTED_VALUE"""),"")</f>
        <v/>
      </c>
      <c r="I128" s="134" t="str">
        <f ca="1">IFERROR(__xludf.DUMMYFUNCTION("""COMPUTED_VALUE"""),"")</f>
        <v/>
      </c>
      <c r="J128" s="134" t="str">
        <f ca="1">IFERROR(__xludf.DUMMYFUNCTION("""COMPUTED_VALUE"""),"")</f>
        <v/>
      </c>
      <c r="N128" s="31"/>
    </row>
    <row r="129" spans="1:14" customFormat="1">
      <c r="A129" s="134" t="str">
        <f ca="1">IFERROR(__xludf.DUMMYFUNCTION("""COMPUTED_VALUE"""),"")</f>
        <v/>
      </c>
      <c r="B129" s="134" t="str">
        <f ca="1">IFERROR(__xludf.DUMMYFUNCTION("""COMPUTED_VALUE"""),"")</f>
        <v/>
      </c>
      <c r="C129" s="134" t="str">
        <f ca="1">IFERROR(__xludf.DUMMYFUNCTION("""COMPUTED_VALUE"""),"")</f>
        <v/>
      </c>
      <c r="D129" s="134" t="str">
        <f ca="1">IFERROR(__xludf.DUMMYFUNCTION("""COMPUTED_VALUE"""),"")</f>
        <v/>
      </c>
      <c r="E129" s="134" t="str">
        <f ca="1">IFERROR(__xludf.DUMMYFUNCTION("""COMPUTED_VALUE"""),"")</f>
        <v/>
      </c>
      <c r="F129" s="134" t="str">
        <f ca="1">IFERROR(__xludf.DUMMYFUNCTION("""COMPUTED_VALUE"""),"")</f>
        <v/>
      </c>
      <c r="G129" s="134" t="str">
        <f ca="1">IFERROR(__xludf.DUMMYFUNCTION("""COMPUTED_VALUE"""),"")</f>
        <v/>
      </c>
      <c r="H129" s="134" t="str">
        <f ca="1">IFERROR(__xludf.DUMMYFUNCTION("""COMPUTED_VALUE"""),"")</f>
        <v/>
      </c>
      <c r="I129" s="134" t="str">
        <f ca="1">IFERROR(__xludf.DUMMYFUNCTION("""COMPUTED_VALUE"""),"")</f>
        <v/>
      </c>
      <c r="J129" s="134" t="str">
        <f ca="1">IFERROR(__xludf.DUMMYFUNCTION("""COMPUTED_VALUE"""),"")</f>
        <v/>
      </c>
      <c r="N129" s="31"/>
    </row>
    <row r="130" spans="1:14" customFormat="1">
      <c r="A130" s="134" t="str">
        <f ca="1">IFERROR(__xludf.DUMMYFUNCTION("""COMPUTED_VALUE"""),"")</f>
        <v/>
      </c>
      <c r="B130" s="134" t="str">
        <f ca="1">IFERROR(__xludf.DUMMYFUNCTION("""COMPUTED_VALUE"""),"")</f>
        <v/>
      </c>
      <c r="C130" s="134" t="str">
        <f ca="1">IFERROR(__xludf.DUMMYFUNCTION("""COMPUTED_VALUE"""),"")</f>
        <v/>
      </c>
      <c r="D130" s="134" t="str">
        <f ca="1">IFERROR(__xludf.DUMMYFUNCTION("""COMPUTED_VALUE"""),"")</f>
        <v/>
      </c>
      <c r="E130" s="134" t="str">
        <f ca="1">IFERROR(__xludf.DUMMYFUNCTION("""COMPUTED_VALUE"""),"")</f>
        <v/>
      </c>
      <c r="F130" s="134" t="str">
        <f ca="1">IFERROR(__xludf.DUMMYFUNCTION("""COMPUTED_VALUE"""),"")</f>
        <v/>
      </c>
      <c r="G130" s="134" t="str">
        <f ca="1">IFERROR(__xludf.DUMMYFUNCTION("""COMPUTED_VALUE"""),"")</f>
        <v/>
      </c>
      <c r="H130" s="134" t="str">
        <f ca="1">IFERROR(__xludf.DUMMYFUNCTION("""COMPUTED_VALUE"""),"")</f>
        <v/>
      </c>
      <c r="I130" s="134" t="str">
        <f ca="1">IFERROR(__xludf.DUMMYFUNCTION("""COMPUTED_VALUE"""),"")</f>
        <v/>
      </c>
      <c r="J130" s="134" t="str">
        <f ca="1">IFERROR(__xludf.DUMMYFUNCTION("""COMPUTED_VALUE"""),"")</f>
        <v/>
      </c>
      <c r="N130" s="31"/>
    </row>
    <row r="131" spans="1:14" customFormat="1">
      <c r="A131" s="134" t="str">
        <f ca="1">IFERROR(__xludf.DUMMYFUNCTION("""COMPUTED_VALUE"""),"")</f>
        <v/>
      </c>
      <c r="B131" s="134" t="str">
        <f ca="1">IFERROR(__xludf.DUMMYFUNCTION("""COMPUTED_VALUE"""),"")</f>
        <v/>
      </c>
      <c r="C131" s="134" t="str">
        <f ca="1">IFERROR(__xludf.DUMMYFUNCTION("""COMPUTED_VALUE"""),"")</f>
        <v/>
      </c>
      <c r="D131" s="134" t="str">
        <f ca="1">IFERROR(__xludf.DUMMYFUNCTION("""COMPUTED_VALUE"""),"")</f>
        <v/>
      </c>
      <c r="E131" s="134" t="str">
        <f ca="1">IFERROR(__xludf.DUMMYFUNCTION("""COMPUTED_VALUE"""),"")</f>
        <v/>
      </c>
      <c r="F131" s="134" t="str">
        <f ca="1">IFERROR(__xludf.DUMMYFUNCTION("""COMPUTED_VALUE"""),"")</f>
        <v/>
      </c>
      <c r="G131" s="134" t="str">
        <f ca="1">IFERROR(__xludf.DUMMYFUNCTION("""COMPUTED_VALUE"""),"")</f>
        <v/>
      </c>
      <c r="H131" s="134" t="str">
        <f ca="1">IFERROR(__xludf.DUMMYFUNCTION("""COMPUTED_VALUE"""),"")</f>
        <v/>
      </c>
      <c r="I131" s="134" t="str">
        <f ca="1">IFERROR(__xludf.DUMMYFUNCTION("""COMPUTED_VALUE"""),"")</f>
        <v/>
      </c>
      <c r="J131" s="134" t="str">
        <f ca="1">IFERROR(__xludf.DUMMYFUNCTION("""COMPUTED_VALUE"""),"")</f>
        <v/>
      </c>
      <c r="N131" s="31"/>
    </row>
    <row r="132" spans="1:14" customFormat="1">
      <c r="A132" s="134" t="str">
        <f ca="1">IFERROR(__xludf.DUMMYFUNCTION("""COMPUTED_VALUE"""),"")</f>
        <v/>
      </c>
      <c r="B132" s="134" t="str">
        <f ca="1">IFERROR(__xludf.DUMMYFUNCTION("""COMPUTED_VALUE"""),"")</f>
        <v/>
      </c>
      <c r="C132" s="134" t="str">
        <f ca="1">IFERROR(__xludf.DUMMYFUNCTION("""COMPUTED_VALUE"""),"")</f>
        <v/>
      </c>
      <c r="D132" s="134" t="str">
        <f ca="1">IFERROR(__xludf.DUMMYFUNCTION("""COMPUTED_VALUE"""),"")</f>
        <v/>
      </c>
      <c r="E132" s="134" t="str">
        <f ca="1">IFERROR(__xludf.DUMMYFUNCTION("""COMPUTED_VALUE"""),"")</f>
        <v/>
      </c>
      <c r="F132" s="134" t="str">
        <f ca="1">IFERROR(__xludf.DUMMYFUNCTION("""COMPUTED_VALUE"""),"")</f>
        <v/>
      </c>
      <c r="G132" s="134" t="str">
        <f ca="1">IFERROR(__xludf.DUMMYFUNCTION("""COMPUTED_VALUE"""),"")</f>
        <v/>
      </c>
      <c r="H132" s="134" t="str">
        <f ca="1">IFERROR(__xludf.DUMMYFUNCTION("""COMPUTED_VALUE"""),"")</f>
        <v/>
      </c>
      <c r="I132" s="134" t="str">
        <f ca="1">IFERROR(__xludf.DUMMYFUNCTION("""COMPUTED_VALUE"""),"")</f>
        <v/>
      </c>
      <c r="J132" s="134" t="str">
        <f ca="1">IFERROR(__xludf.DUMMYFUNCTION("""COMPUTED_VALUE"""),"")</f>
        <v/>
      </c>
      <c r="N132" s="31"/>
    </row>
    <row r="133" spans="1:14" customFormat="1">
      <c r="A133" s="134" t="str">
        <f ca="1">IFERROR(__xludf.DUMMYFUNCTION("""COMPUTED_VALUE"""),"")</f>
        <v/>
      </c>
      <c r="B133" s="134" t="str">
        <f ca="1">IFERROR(__xludf.DUMMYFUNCTION("""COMPUTED_VALUE"""),"")</f>
        <v/>
      </c>
      <c r="C133" s="134" t="str">
        <f ca="1">IFERROR(__xludf.DUMMYFUNCTION("""COMPUTED_VALUE"""),"")</f>
        <v/>
      </c>
      <c r="D133" s="134" t="str">
        <f ca="1">IFERROR(__xludf.DUMMYFUNCTION("""COMPUTED_VALUE"""),"")</f>
        <v/>
      </c>
      <c r="E133" s="134" t="str">
        <f ca="1">IFERROR(__xludf.DUMMYFUNCTION("""COMPUTED_VALUE"""),"")</f>
        <v/>
      </c>
      <c r="F133" s="134" t="str">
        <f ca="1">IFERROR(__xludf.DUMMYFUNCTION("""COMPUTED_VALUE"""),"")</f>
        <v/>
      </c>
      <c r="G133" s="134" t="str">
        <f ca="1">IFERROR(__xludf.DUMMYFUNCTION("""COMPUTED_VALUE"""),"")</f>
        <v/>
      </c>
      <c r="H133" s="134" t="str">
        <f ca="1">IFERROR(__xludf.DUMMYFUNCTION("""COMPUTED_VALUE"""),"")</f>
        <v/>
      </c>
      <c r="I133" s="134" t="str">
        <f ca="1">IFERROR(__xludf.DUMMYFUNCTION("""COMPUTED_VALUE"""),"")</f>
        <v/>
      </c>
      <c r="J133" s="134" t="str">
        <f ca="1">IFERROR(__xludf.DUMMYFUNCTION("""COMPUTED_VALUE"""),"")</f>
        <v/>
      </c>
      <c r="N133" s="31"/>
    </row>
    <row r="134" spans="1:14" customFormat="1">
      <c r="A134" s="134" t="str">
        <f ca="1">IFERROR(__xludf.DUMMYFUNCTION("""COMPUTED_VALUE"""),"")</f>
        <v/>
      </c>
      <c r="B134" s="134" t="str">
        <f ca="1">IFERROR(__xludf.DUMMYFUNCTION("""COMPUTED_VALUE"""),"")</f>
        <v/>
      </c>
      <c r="C134" s="134" t="str">
        <f ca="1">IFERROR(__xludf.DUMMYFUNCTION("""COMPUTED_VALUE"""),"")</f>
        <v/>
      </c>
      <c r="D134" s="134" t="str">
        <f ca="1">IFERROR(__xludf.DUMMYFUNCTION("""COMPUTED_VALUE"""),"")</f>
        <v/>
      </c>
      <c r="E134" s="134" t="str">
        <f ca="1">IFERROR(__xludf.DUMMYFUNCTION("""COMPUTED_VALUE"""),"")</f>
        <v/>
      </c>
      <c r="F134" s="134" t="str">
        <f ca="1">IFERROR(__xludf.DUMMYFUNCTION("""COMPUTED_VALUE"""),"")</f>
        <v/>
      </c>
      <c r="G134" s="134" t="str">
        <f ca="1">IFERROR(__xludf.DUMMYFUNCTION("""COMPUTED_VALUE"""),"")</f>
        <v/>
      </c>
      <c r="H134" s="134" t="str">
        <f ca="1">IFERROR(__xludf.DUMMYFUNCTION("""COMPUTED_VALUE"""),"")</f>
        <v/>
      </c>
      <c r="I134" s="134" t="str">
        <f ca="1">IFERROR(__xludf.DUMMYFUNCTION("""COMPUTED_VALUE"""),"")</f>
        <v/>
      </c>
      <c r="J134" s="134" t="str">
        <f ca="1">IFERROR(__xludf.DUMMYFUNCTION("""COMPUTED_VALUE"""),"")</f>
        <v/>
      </c>
      <c r="N134" s="31"/>
    </row>
    <row r="135" spans="1:14" customFormat="1">
      <c r="A135" s="134" t="str">
        <f ca="1">IFERROR(__xludf.DUMMYFUNCTION("""COMPUTED_VALUE"""),"")</f>
        <v/>
      </c>
      <c r="B135" s="134" t="str">
        <f ca="1">IFERROR(__xludf.DUMMYFUNCTION("""COMPUTED_VALUE"""),"")</f>
        <v/>
      </c>
      <c r="C135" s="134" t="str">
        <f ca="1">IFERROR(__xludf.DUMMYFUNCTION("""COMPUTED_VALUE"""),"")</f>
        <v/>
      </c>
      <c r="D135" s="134" t="str">
        <f ca="1">IFERROR(__xludf.DUMMYFUNCTION("""COMPUTED_VALUE"""),"")</f>
        <v/>
      </c>
      <c r="E135" s="134" t="str">
        <f ca="1">IFERROR(__xludf.DUMMYFUNCTION("""COMPUTED_VALUE"""),"")</f>
        <v/>
      </c>
      <c r="F135" s="134" t="str">
        <f ca="1">IFERROR(__xludf.DUMMYFUNCTION("""COMPUTED_VALUE"""),"")</f>
        <v/>
      </c>
      <c r="G135" s="134" t="str">
        <f ca="1">IFERROR(__xludf.DUMMYFUNCTION("""COMPUTED_VALUE"""),"")</f>
        <v/>
      </c>
      <c r="H135" s="134" t="str">
        <f ca="1">IFERROR(__xludf.DUMMYFUNCTION("""COMPUTED_VALUE"""),"")</f>
        <v/>
      </c>
      <c r="I135" s="134" t="str">
        <f ca="1">IFERROR(__xludf.DUMMYFUNCTION("""COMPUTED_VALUE"""),"")</f>
        <v/>
      </c>
      <c r="J135" s="134" t="str">
        <f ca="1">IFERROR(__xludf.DUMMYFUNCTION("""COMPUTED_VALUE"""),"")</f>
        <v/>
      </c>
      <c r="N135" s="31"/>
    </row>
    <row r="136" spans="1:14" customFormat="1">
      <c r="A136" s="134" t="str">
        <f ca="1">IFERROR(__xludf.DUMMYFUNCTION("""COMPUTED_VALUE"""),"")</f>
        <v/>
      </c>
      <c r="B136" s="134" t="str">
        <f ca="1">IFERROR(__xludf.DUMMYFUNCTION("""COMPUTED_VALUE"""),"")</f>
        <v/>
      </c>
      <c r="C136" s="134" t="str">
        <f ca="1">IFERROR(__xludf.DUMMYFUNCTION("""COMPUTED_VALUE"""),"")</f>
        <v/>
      </c>
      <c r="D136" s="134" t="str">
        <f ca="1">IFERROR(__xludf.DUMMYFUNCTION("""COMPUTED_VALUE"""),"")</f>
        <v/>
      </c>
      <c r="E136" s="134" t="str">
        <f ca="1">IFERROR(__xludf.DUMMYFUNCTION("""COMPUTED_VALUE"""),"")</f>
        <v/>
      </c>
      <c r="F136" s="134" t="str">
        <f ca="1">IFERROR(__xludf.DUMMYFUNCTION("""COMPUTED_VALUE"""),"")</f>
        <v/>
      </c>
      <c r="G136" s="134" t="str">
        <f ca="1">IFERROR(__xludf.DUMMYFUNCTION("""COMPUTED_VALUE"""),"")</f>
        <v/>
      </c>
      <c r="H136" s="134" t="str">
        <f ca="1">IFERROR(__xludf.DUMMYFUNCTION("""COMPUTED_VALUE"""),"")</f>
        <v/>
      </c>
      <c r="I136" s="134" t="str">
        <f ca="1">IFERROR(__xludf.DUMMYFUNCTION("""COMPUTED_VALUE"""),"")</f>
        <v/>
      </c>
      <c r="J136" s="134" t="str">
        <f ca="1">IFERROR(__xludf.DUMMYFUNCTION("""COMPUTED_VALUE"""),"")</f>
        <v/>
      </c>
      <c r="N136" s="31"/>
    </row>
    <row r="137" spans="1:14" customFormat="1">
      <c r="A137" s="134" t="str">
        <f ca="1">IFERROR(__xludf.DUMMYFUNCTION("""COMPUTED_VALUE"""),"")</f>
        <v/>
      </c>
      <c r="B137" s="134" t="str">
        <f ca="1">IFERROR(__xludf.DUMMYFUNCTION("""COMPUTED_VALUE"""),"")</f>
        <v/>
      </c>
      <c r="C137" s="134" t="str">
        <f ca="1">IFERROR(__xludf.DUMMYFUNCTION("""COMPUTED_VALUE"""),"")</f>
        <v/>
      </c>
      <c r="D137" s="134" t="str">
        <f ca="1">IFERROR(__xludf.DUMMYFUNCTION("""COMPUTED_VALUE"""),"")</f>
        <v/>
      </c>
      <c r="E137" s="134" t="str">
        <f ca="1">IFERROR(__xludf.DUMMYFUNCTION("""COMPUTED_VALUE"""),"")</f>
        <v/>
      </c>
      <c r="F137" s="134" t="str">
        <f ca="1">IFERROR(__xludf.DUMMYFUNCTION("""COMPUTED_VALUE"""),"")</f>
        <v/>
      </c>
      <c r="G137" s="134" t="str">
        <f ca="1">IFERROR(__xludf.DUMMYFUNCTION("""COMPUTED_VALUE"""),"")</f>
        <v/>
      </c>
      <c r="H137" s="134" t="str">
        <f ca="1">IFERROR(__xludf.DUMMYFUNCTION("""COMPUTED_VALUE"""),"")</f>
        <v/>
      </c>
      <c r="I137" s="134" t="str">
        <f ca="1">IFERROR(__xludf.DUMMYFUNCTION("""COMPUTED_VALUE"""),"")</f>
        <v/>
      </c>
      <c r="J137" s="134" t="str">
        <f ca="1">IFERROR(__xludf.DUMMYFUNCTION("""COMPUTED_VALUE"""),"")</f>
        <v/>
      </c>
      <c r="N137" s="31"/>
    </row>
    <row r="138" spans="1:14" customFormat="1">
      <c r="A138" s="134" t="str">
        <f ca="1">IFERROR(__xludf.DUMMYFUNCTION("""COMPUTED_VALUE"""),"")</f>
        <v/>
      </c>
      <c r="B138" s="134" t="str">
        <f ca="1">IFERROR(__xludf.DUMMYFUNCTION("""COMPUTED_VALUE"""),"")</f>
        <v/>
      </c>
      <c r="C138" s="134" t="str">
        <f ca="1">IFERROR(__xludf.DUMMYFUNCTION("""COMPUTED_VALUE"""),"")</f>
        <v/>
      </c>
      <c r="D138" s="134" t="str">
        <f ca="1">IFERROR(__xludf.DUMMYFUNCTION("""COMPUTED_VALUE"""),"")</f>
        <v/>
      </c>
      <c r="E138" s="134" t="str">
        <f ca="1">IFERROR(__xludf.DUMMYFUNCTION("""COMPUTED_VALUE"""),"")</f>
        <v/>
      </c>
      <c r="F138" s="134" t="str">
        <f ca="1">IFERROR(__xludf.DUMMYFUNCTION("""COMPUTED_VALUE"""),"")</f>
        <v/>
      </c>
      <c r="G138" s="134" t="str">
        <f ca="1">IFERROR(__xludf.DUMMYFUNCTION("""COMPUTED_VALUE"""),"")</f>
        <v/>
      </c>
      <c r="H138" s="134" t="str">
        <f ca="1">IFERROR(__xludf.DUMMYFUNCTION("""COMPUTED_VALUE"""),"")</f>
        <v/>
      </c>
      <c r="I138" s="134" t="str">
        <f ca="1">IFERROR(__xludf.DUMMYFUNCTION("""COMPUTED_VALUE"""),"")</f>
        <v/>
      </c>
      <c r="J138" s="134" t="str">
        <f ca="1">IFERROR(__xludf.DUMMYFUNCTION("""COMPUTED_VALUE"""),"")</f>
        <v/>
      </c>
      <c r="N138" s="31"/>
    </row>
    <row r="139" spans="1:14" customFormat="1">
      <c r="A139" s="134" t="str">
        <f ca="1">IFERROR(__xludf.DUMMYFUNCTION("""COMPUTED_VALUE"""),"")</f>
        <v/>
      </c>
      <c r="B139" s="134" t="str">
        <f ca="1">IFERROR(__xludf.DUMMYFUNCTION("""COMPUTED_VALUE"""),"")</f>
        <v/>
      </c>
      <c r="C139" s="134" t="str">
        <f ca="1">IFERROR(__xludf.DUMMYFUNCTION("""COMPUTED_VALUE"""),"")</f>
        <v/>
      </c>
      <c r="D139" s="134" t="str">
        <f ca="1">IFERROR(__xludf.DUMMYFUNCTION("""COMPUTED_VALUE"""),"")</f>
        <v/>
      </c>
      <c r="E139" s="134" t="str">
        <f ca="1">IFERROR(__xludf.DUMMYFUNCTION("""COMPUTED_VALUE"""),"")</f>
        <v/>
      </c>
      <c r="F139" s="134" t="str">
        <f ca="1">IFERROR(__xludf.DUMMYFUNCTION("""COMPUTED_VALUE"""),"")</f>
        <v/>
      </c>
      <c r="G139" s="134" t="str">
        <f ca="1">IFERROR(__xludf.DUMMYFUNCTION("""COMPUTED_VALUE"""),"")</f>
        <v/>
      </c>
      <c r="H139" s="134" t="str">
        <f ca="1">IFERROR(__xludf.DUMMYFUNCTION("""COMPUTED_VALUE"""),"")</f>
        <v/>
      </c>
      <c r="I139" s="134" t="str">
        <f ca="1">IFERROR(__xludf.DUMMYFUNCTION("""COMPUTED_VALUE"""),"")</f>
        <v/>
      </c>
      <c r="J139" s="134" t="str">
        <f ca="1">IFERROR(__xludf.DUMMYFUNCTION("""COMPUTED_VALUE"""),"")</f>
        <v/>
      </c>
      <c r="N139" s="31"/>
    </row>
    <row r="140" spans="1:14" customFormat="1">
      <c r="A140" s="134" t="str">
        <f ca="1">IFERROR(__xludf.DUMMYFUNCTION("""COMPUTED_VALUE"""),"")</f>
        <v/>
      </c>
      <c r="B140" s="134" t="str">
        <f ca="1">IFERROR(__xludf.DUMMYFUNCTION("""COMPUTED_VALUE"""),"")</f>
        <v/>
      </c>
      <c r="C140" s="134" t="str">
        <f ca="1">IFERROR(__xludf.DUMMYFUNCTION("""COMPUTED_VALUE"""),"")</f>
        <v/>
      </c>
      <c r="D140" s="134" t="str">
        <f ca="1">IFERROR(__xludf.DUMMYFUNCTION("""COMPUTED_VALUE"""),"")</f>
        <v/>
      </c>
      <c r="E140" s="134" t="str">
        <f ca="1">IFERROR(__xludf.DUMMYFUNCTION("""COMPUTED_VALUE"""),"")</f>
        <v/>
      </c>
      <c r="F140" s="134" t="str">
        <f ca="1">IFERROR(__xludf.DUMMYFUNCTION("""COMPUTED_VALUE"""),"")</f>
        <v/>
      </c>
      <c r="G140" s="134" t="str">
        <f ca="1">IFERROR(__xludf.DUMMYFUNCTION("""COMPUTED_VALUE"""),"")</f>
        <v/>
      </c>
      <c r="H140" s="134" t="str">
        <f ca="1">IFERROR(__xludf.DUMMYFUNCTION("""COMPUTED_VALUE"""),"")</f>
        <v/>
      </c>
      <c r="I140" s="134" t="str">
        <f ca="1">IFERROR(__xludf.DUMMYFUNCTION("""COMPUTED_VALUE"""),"")</f>
        <v/>
      </c>
      <c r="J140" s="134" t="str">
        <f ca="1">IFERROR(__xludf.DUMMYFUNCTION("""COMPUTED_VALUE"""),"")</f>
        <v/>
      </c>
      <c r="N140" s="31"/>
    </row>
    <row r="141" spans="1:14" customFormat="1">
      <c r="A141" s="134" t="str">
        <f ca="1">IFERROR(__xludf.DUMMYFUNCTION("""COMPUTED_VALUE"""),"")</f>
        <v/>
      </c>
      <c r="B141" s="134" t="str">
        <f ca="1">IFERROR(__xludf.DUMMYFUNCTION("""COMPUTED_VALUE"""),"")</f>
        <v/>
      </c>
      <c r="C141" s="134" t="str">
        <f ca="1">IFERROR(__xludf.DUMMYFUNCTION("""COMPUTED_VALUE"""),"")</f>
        <v/>
      </c>
      <c r="D141" s="134" t="str">
        <f ca="1">IFERROR(__xludf.DUMMYFUNCTION("""COMPUTED_VALUE"""),"")</f>
        <v/>
      </c>
      <c r="E141" s="134" t="str">
        <f ca="1">IFERROR(__xludf.DUMMYFUNCTION("""COMPUTED_VALUE"""),"")</f>
        <v/>
      </c>
      <c r="F141" s="134" t="str">
        <f ca="1">IFERROR(__xludf.DUMMYFUNCTION("""COMPUTED_VALUE"""),"")</f>
        <v/>
      </c>
      <c r="G141" s="134" t="str">
        <f ca="1">IFERROR(__xludf.DUMMYFUNCTION("""COMPUTED_VALUE"""),"")</f>
        <v/>
      </c>
      <c r="H141" s="134" t="str">
        <f ca="1">IFERROR(__xludf.DUMMYFUNCTION("""COMPUTED_VALUE"""),"")</f>
        <v/>
      </c>
      <c r="I141" s="134" t="str">
        <f ca="1">IFERROR(__xludf.DUMMYFUNCTION("""COMPUTED_VALUE"""),"")</f>
        <v/>
      </c>
      <c r="J141" s="134" t="str">
        <f ca="1">IFERROR(__xludf.DUMMYFUNCTION("""COMPUTED_VALUE"""),"")</f>
        <v/>
      </c>
      <c r="N141" s="31"/>
    </row>
    <row r="142" spans="1:14" customFormat="1">
      <c r="A142" s="134" t="str">
        <f ca="1">IFERROR(__xludf.DUMMYFUNCTION("""COMPUTED_VALUE"""),"")</f>
        <v/>
      </c>
      <c r="B142" s="134" t="str">
        <f ca="1">IFERROR(__xludf.DUMMYFUNCTION("""COMPUTED_VALUE"""),"")</f>
        <v/>
      </c>
      <c r="C142" s="134" t="str">
        <f ca="1">IFERROR(__xludf.DUMMYFUNCTION("""COMPUTED_VALUE"""),"")</f>
        <v/>
      </c>
      <c r="D142" s="134" t="str">
        <f ca="1">IFERROR(__xludf.DUMMYFUNCTION("""COMPUTED_VALUE"""),"")</f>
        <v/>
      </c>
      <c r="E142" s="134" t="str">
        <f ca="1">IFERROR(__xludf.DUMMYFUNCTION("""COMPUTED_VALUE"""),"")</f>
        <v/>
      </c>
      <c r="F142" s="134" t="str">
        <f ca="1">IFERROR(__xludf.DUMMYFUNCTION("""COMPUTED_VALUE"""),"")</f>
        <v/>
      </c>
      <c r="G142" s="134" t="str">
        <f ca="1">IFERROR(__xludf.DUMMYFUNCTION("""COMPUTED_VALUE"""),"")</f>
        <v/>
      </c>
      <c r="H142" s="134" t="str">
        <f ca="1">IFERROR(__xludf.DUMMYFUNCTION("""COMPUTED_VALUE"""),"")</f>
        <v/>
      </c>
      <c r="I142" s="134" t="str">
        <f ca="1">IFERROR(__xludf.DUMMYFUNCTION("""COMPUTED_VALUE"""),"")</f>
        <v/>
      </c>
      <c r="J142" s="134" t="str">
        <f ca="1">IFERROR(__xludf.DUMMYFUNCTION("""COMPUTED_VALUE"""),"")</f>
        <v/>
      </c>
      <c r="N142" s="31"/>
    </row>
    <row r="143" spans="1:14" customFormat="1">
      <c r="A143" s="134" t="str">
        <f ca="1">IFERROR(__xludf.DUMMYFUNCTION("""COMPUTED_VALUE"""),"")</f>
        <v/>
      </c>
      <c r="B143" s="134" t="str">
        <f ca="1">IFERROR(__xludf.DUMMYFUNCTION("""COMPUTED_VALUE"""),"")</f>
        <v/>
      </c>
      <c r="C143" s="134" t="str">
        <f ca="1">IFERROR(__xludf.DUMMYFUNCTION("""COMPUTED_VALUE"""),"")</f>
        <v/>
      </c>
      <c r="D143" s="134" t="str">
        <f ca="1">IFERROR(__xludf.DUMMYFUNCTION("""COMPUTED_VALUE"""),"")</f>
        <v/>
      </c>
      <c r="E143" s="134" t="str">
        <f ca="1">IFERROR(__xludf.DUMMYFUNCTION("""COMPUTED_VALUE"""),"")</f>
        <v/>
      </c>
      <c r="F143" s="134" t="str">
        <f ca="1">IFERROR(__xludf.DUMMYFUNCTION("""COMPUTED_VALUE"""),"")</f>
        <v/>
      </c>
      <c r="G143" s="134" t="str">
        <f ca="1">IFERROR(__xludf.DUMMYFUNCTION("""COMPUTED_VALUE"""),"")</f>
        <v/>
      </c>
      <c r="H143" s="134" t="str">
        <f ca="1">IFERROR(__xludf.DUMMYFUNCTION("""COMPUTED_VALUE"""),"")</f>
        <v/>
      </c>
      <c r="I143" s="134" t="str">
        <f ca="1">IFERROR(__xludf.DUMMYFUNCTION("""COMPUTED_VALUE"""),"")</f>
        <v/>
      </c>
      <c r="J143" s="134" t="str">
        <f ca="1">IFERROR(__xludf.DUMMYFUNCTION("""COMPUTED_VALUE"""),"")</f>
        <v/>
      </c>
      <c r="N143" s="31"/>
    </row>
    <row r="144" spans="1:14" customFormat="1">
      <c r="A144" s="134" t="str">
        <f ca="1">IFERROR(__xludf.DUMMYFUNCTION("""COMPUTED_VALUE"""),"")</f>
        <v/>
      </c>
      <c r="B144" s="134" t="str">
        <f ca="1">IFERROR(__xludf.DUMMYFUNCTION("""COMPUTED_VALUE"""),"")</f>
        <v/>
      </c>
      <c r="C144" s="134" t="str">
        <f ca="1">IFERROR(__xludf.DUMMYFUNCTION("""COMPUTED_VALUE"""),"")</f>
        <v/>
      </c>
      <c r="D144" s="134" t="str">
        <f ca="1">IFERROR(__xludf.DUMMYFUNCTION("""COMPUTED_VALUE"""),"")</f>
        <v/>
      </c>
      <c r="E144" s="134" t="str">
        <f ca="1">IFERROR(__xludf.DUMMYFUNCTION("""COMPUTED_VALUE"""),"")</f>
        <v/>
      </c>
      <c r="F144" s="134" t="str">
        <f ca="1">IFERROR(__xludf.DUMMYFUNCTION("""COMPUTED_VALUE"""),"")</f>
        <v/>
      </c>
      <c r="G144" s="134" t="str">
        <f ca="1">IFERROR(__xludf.DUMMYFUNCTION("""COMPUTED_VALUE"""),"")</f>
        <v/>
      </c>
      <c r="H144" s="134" t="str">
        <f ca="1">IFERROR(__xludf.DUMMYFUNCTION("""COMPUTED_VALUE"""),"")</f>
        <v/>
      </c>
      <c r="I144" s="134" t="str">
        <f ca="1">IFERROR(__xludf.DUMMYFUNCTION("""COMPUTED_VALUE"""),"")</f>
        <v/>
      </c>
      <c r="J144" s="134" t="str">
        <f ca="1">IFERROR(__xludf.DUMMYFUNCTION("""COMPUTED_VALUE"""),"")</f>
        <v/>
      </c>
      <c r="N144" s="31"/>
    </row>
    <row r="145" spans="1:14" customFormat="1">
      <c r="A145" s="134" t="str">
        <f ca="1">IFERROR(__xludf.DUMMYFUNCTION("""COMPUTED_VALUE"""),"")</f>
        <v/>
      </c>
      <c r="B145" s="134" t="str">
        <f ca="1">IFERROR(__xludf.DUMMYFUNCTION("""COMPUTED_VALUE"""),"")</f>
        <v/>
      </c>
      <c r="C145" s="134" t="str">
        <f ca="1">IFERROR(__xludf.DUMMYFUNCTION("""COMPUTED_VALUE"""),"")</f>
        <v/>
      </c>
      <c r="D145" s="134" t="str">
        <f ca="1">IFERROR(__xludf.DUMMYFUNCTION("""COMPUTED_VALUE"""),"")</f>
        <v/>
      </c>
      <c r="E145" s="134" t="str">
        <f ca="1">IFERROR(__xludf.DUMMYFUNCTION("""COMPUTED_VALUE"""),"")</f>
        <v/>
      </c>
      <c r="F145" s="134" t="str">
        <f ca="1">IFERROR(__xludf.DUMMYFUNCTION("""COMPUTED_VALUE"""),"")</f>
        <v/>
      </c>
      <c r="G145" s="134" t="str">
        <f ca="1">IFERROR(__xludf.DUMMYFUNCTION("""COMPUTED_VALUE"""),"")</f>
        <v/>
      </c>
      <c r="H145" s="134" t="str">
        <f ca="1">IFERROR(__xludf.DUMMYFUNCTION("""COMPUTED_VALUE"""),"")</f>
        <v/>
      </c>
      <c r="I145" s="134" t="str">
        <f ca="1">IFERROR(__xludf.DUMMYFUNCTION("""COMPUTED_VALUE"""),"")</f>
        <v/>
      </c>
      <c r="J145" s="134" t="str">
        <f ca="1">IFERROR(__xludf.DUMMYFUNCTION("""COMPUTED_VALUE"""),"")</f>
        <v/>
      </c>
      <c r="N145" s="31"/>
    </row>
    <row r="146" spans="1:14" customFormat="1">
      <c r="A146" s="134" t="str">
        <f ca="1">IFERROR(__xludf.DUMMYFUNCTION("""COMPUTED_VALUE"""),"")</f>
        <v/>
      </c>
      <c r="B146" s="134" t="str">
        <f ca="1">IFERROR(__xludf.DUMMYFUNCTION("""COMPUTED_VALUE"""),"")</f>
        <v/>
      </c>
      <c r="C146" s="134" t="str">
        <f ca="1">IFERROR(__xludf.DUMMYFUNCTION("""COMPUTED_VALUE"""),"")</f>
        <v/>
      </c>
      <c r="D146" s="134" t="str">
        <f ca="1">IFERROR(__xludf.DUMMYFUNCTION("""COMPUTED_VALUE"""),"")</f>
        <v/>
      </c>
      <c r="E146" s="134" t="str">
        <f ca="1">IFERROR(__xludf.DUMMYFUNCTION("""COMPUTED_VALUE"""),"")</f>
        <v/>
      </c>
      <c r="F146" s="134" t="str">
        <f ca="1">IFERROR(__xludf.DUMMYFUNCTION("""COMPUTED_VALUE"""),"")</f>
        <v/>
      </c>
      <c r="G146" s="134" t="str">
        <f ca="1">IFERROR(__xludf.DUMMYFUNCTION("""COMPUTED_VALUE"""),"")</f>
        <v/>
      </c>
      <c r="H146" s="134" t="str">
        <f ca="1">IFERROR(__xludf.DUMMYFUNCTION("""COMPUTED_VALUE"""),"")</f>
        <v/>
      </c>
      <c r="I146" s="134" t="str">
        <f ca="1">IFERROR(__xludf.DUMMYFUNCTION("""COMPUTED_VALUE"""),"")</f>
        <v/>
      </c>
      <c r="J146" s="134" t="str">
        <f ca="1">IFERROR(__xludf.DUMMYFUNCTION("""COMPUTED_VALUE"""),"")</f>
        <v/>
      </c>
      <c r="N146" s="31"/>
    </row>
    <row r="147" spans="1:14" customFormat="1">
      <c r="A147" s="134" t="str">
        <f ca="1">IFERROR(__xludf.DUMMYFUNCTION("""COMPUTED_VALUE"""),"")</f>
        <v/>
      </c>
      <c r="B147" s="134" t="str">
        <f ca="1">IFERROR(__xludf.DUMMYFUNCTION("""COMPUTED_VALUE"""),"")</f>
        <v/>
      </c>
      <c r="C147" s="134" t="str">
        <f ca="1">IFERROR(__xludf.DUMMYFUNCTION("""COMPUTED_VALUE"""),"")</f>
        <v/>
      </c>
      <c r="D147" s="134" t="str">
        <f ca="1">IFERROR(__xludf.DUMMYFUNCTION("""COMPUTED_VALUE"""),"")</f>
        <v/>
      </c>
      <c r="E147" s="134" t="str">
        <f ca="1">IFERROR(__xludf.DUMMYFUNCTION("""COMPUTED_VALUE"""),"")</f>
        <v/>
      </c>
      <c r="F147" s="134" t="str">
        <f ca="1">IFERROR(__xludf.DUMMYFUNCTION("""COMPUTED_VALUE"""),"")</f>
        <v/>
      </c>
      <c r="G147" s="134" t="str">
        <f ca="1">IFERROR(__xludf.DUMMYFUNCTION("""COMPUTED_VALUE"""),"")</f>
        <v/>
      </c>
      <c r="H147" s="134" t="str">
        <f ca="1">IFERROR(__xludf.DUMMYFUNCTION("""COMPUTED_VALUE"""),"")</f>
        <v/>
      </c>
      <c r="I147" s="134" t="str">
        <f ca="1">IFERROR(__xludf.DUMMYFUNCTION("""COMPUTED_VALUE"""),"")</f>
        <v/>
      </c>
      <c r="J147" s="134" t="str">
        <f ca="1">IFERROR(__xludf.DUMMYFUNCTION("""COMPUTED_VALUE"""),"")</f>
        <v/>
      </c>
      <c r="N147" s="31"/>
    </row>
    <row r="148" spans="1:14" customFormat="1">
      <c r="A148" s="134" t="str">
        <f ca="1">IFERROR(__xludf.DUMMYFUNCTION("""COMPUTED_VALUE"""),"")</f>
        <v/>
      </c>
      <c r="B148" s="134" t="str">
        <f ca="1">IFERROR(__xludf.DUMMYFUNCTION("""COMPUTED_VALUE"""),"")</f>
        <v/>
      </c>
      <c r="C148" s="134" t="str">
        <f ca="1">IFERROR(__xludf.DUMMYFUNCTION("""COMPUTED_VALUE"""),"")</f>
        <v/>
      </c>
      <c r="D148" s="134" t="str">
        <f ca="1">IFERROR(__xludf.DUMMYFUNCTION("""COMPUTED_VALUE"""),"")</f>
        <v/>
      </c>
      <c r="E148" s="134" t="str">
        <f ca="1">IFERROR(__xludf.DUMMYFUNCTION("""COMPUTED_VALUE"""),"")</f>
        <v/>
      </c>
      <c r="F148" s="134" t="str">
        <f ca="1">IFERROR(__xludf.DUMMYFUNCTION("""COMPUTED_VALUE"""),"")</f>
        <v/>
      </c>
      <c r="G148" s="134" t="str">
        <f ca="1">IFERROR(__xludf.DUMMYFUNCTION("""COMPUTED_VALUE"""),"")</f>
        <v/>
      </c>
      <c r="H148" s="134" t="str">
        <f ca="1">IFERROR(__xludf.DUMMYFUNCTION("""COMPUTED_VALUE"""),"")</f>
        <v/>
      </c>
      <c r="I148" s="134" t="str">
        <f ca="1">IFERROR(__xludf.DUMMYFUNCTION("""COMPUTED_VALUE"""),"")</f>
        <v/>
      </c>
      <c r="J148" s="134" t="str">
        <f ca="1">IFERROR(__xludf.DUMMYFUNCTION("""COMPUTED_VALUE"""),"")</f>
        <v/>
      </c>
      <c r="N148" s="31"/>
    </row>
    <row r="149" spans="1:14" customFormat="1">
      <c r="A149" s="134" t="str">
        <f ca="1">IFERROR(__xludf.DUMMYFUNCTION("""COMPUTED_VALUE"""),"")</f>
        <v/>
      </c>
      <c r="B149" s="134" t="str">
        <f ca="1">IFERROR(__xludf.DUMMYFUNCTION("""COMPUTED_VALUE"""),"")</f>
        <v/>
      </c>
      <c r="C149" s="134" t="str">
        <f ca="1">IFERROR(__xludf.DUMMYFUNCTION("""COMPUTED_VALUE"""),"")</f>
        <v/>
      </c>
      <c r="D149" s="134" t="str">
        <f ca="1">IFERROR(__xludf.DUMMYFUNCTION("""COMPUTED_VALUE"""),"")</f>
        <v/>
      </c>
      <c r="E149" s="134" t="str">
        <f ca="1">IFERROR(__xludf.DUMMYFUNCTION("""COMPUTED_VALUE"""),"")</f>
        <v/>
      </c>
      <c r="F149" s="134" t="str">
        <f ca="1">IFERROR(__xludf.DUMMYFUNCTION("""COMPUTED_VALUE"""),"")</f>
        <v/>
      </c>
      <c r="G149" s="134" t="str">
        <f ca="1">IFERROR(__xludf.DUMMYFUNCTION("""COMPUTED_VALUE"""),"")</f>
        <v/>
      </c>
      <c r="H149" s="134" t="str">
        <f ca="1">IFERROR(__xludf.DUMMYFUNCTION("""COMPUTED_VALUE"""),"")</f>
        <v/>
      </c>
      <c r="I149" s="134" t="str">
        <f ca="1">IFERROR(__xludf.DUMMYFUNCTION("""COMPUTED_VALUE"""),"")</f>
        <v/>
      </c>
      <c r="J149" s="134" t="str">
        <f ca="1">IFERROR(__xludf.DUMMYFUNCTION("""COMPUTED_VALUE"""),"")</f>
        <v/>
      </c>
      <c r="N149" s="31"/>
    </row>
    <row r="150" spans="1:14" customFormat="1">
      <c r="A150" s="134" t="str">
        <f ca="1">IFERROR(__xludf.DUMMYFUNCTION("""COMPUTED_VALUE"""),"")</f>
        <v/>
      </c>
      <c r="B150" s="134" t="str">
        <f ca="1">IFERROR(__xludf.DUMMYFUNCTION("""COMPUTED_VALUE"""),"")</f>
        <v/>
      </c>
      <c r="C150" s="134" t="str">
        <f ca="1">IFERROR(__xludf.DUMMYFUNCTION("""COMPUTED_VALUE"""),"")</f>
        <v/>
      </c>
      <c r="D150" s="134" t="str">
        <f ca="1">IFERROR(__xludf.DUMMYFUNCTION("""COMPUTED_VALUE"""),"")</f>
        <v/>
      </c>
      <c r="E150" s="134" t="str">
        <f ca="1">IFERROR(__xludf.DUMMYFUNCTION("""COMPUTED_VALUE"""),"")</f>
        <v/>
      </c>
      <c r="F150" s="134" t="str">
        <f ca="1">IFERROR(__xludf.DUMMYFUNCTION("""COMPUTED_VALUE"""),"")</f>
        <v/>
      </c>
      <c r="G150" s="134" t="str">
        <f ca="1">IFERROR(__xludf.DUMMYFUNCTION("""COMPUTED_VALUE"""),"")</f>
        <v/>
      </c>
      <c r="H150" s="134" t="str">
        <f ca="1">IFERROR(__xludf.DUMMYFUNCTION("""COMPUTED_VALUE"""),"")</f>
        <v/>
      </c>
      <c r="I150" s="134" t="str">
        <f ca="1">IFERROR(__xludf.DUMMYFUNCTION("""COMPUTED_VALUE"""),"")</f>
        <v/>
      </c>
      <c r="J150" s="134" t="str">
        <f ca="1">IFERROR(__xludf.DUMMYFUNCTION("""COMPUTED_VALUE"""),"")</f>
        <v/>
      </c>
      <c r="N150" s="31"/>
    </row>
    <row r="151" spans="1:14" customFormat="1">
      <c r="A151" s="134" t="str">
        <f ca="1">IFERROR(__xludf.DUMMYFUNCTION("""COMPUTED_VALUE"""),"")</f>
        <v/>
      </c>
      <c r="B151" s="134" t="str">
        <f ca="1">IFERROR(__xludf.DUMMYFUNCTION("""COMPUTED_VALUE"""),"")</f>
        <v/>
      </c>
      <c r="C151" s="134" t="str">
        <f ca="1">IFERROR(__xludf.DUMMYFUNCTION("""COMPUTED_VALUE"""),"")</f>
        <v/>
      </c>
      <c r="D151" s="134" t="str">
        <f ca="1">IFERROR(__xludf.DUMMYFUNCTION("""COMPUTED_VALUE"""),"")</f>
        <v/>
      </c>
      <c r="E151" s="134" t="str">
        <f ca="1">IFERROR(__xludf.DUMMYFUNCTION("""COMPUTED_VALUE"""),"")</f>
        <v/>
      </c>
      <c r="F151" s="134" t="str">
        <f ca="1">IFERROR(__xludf.DUMMYFUNCTION("""COMPUTED_VALUE"""),"")</f>
        <v/>
      </c>
      <c r="G151" s="134" t="str">
        <f ca="1">IFERROR(__xludf.DUMMYFUNCTION("""COMPUTED_VALUE"""),"")</f>
        <v/>
      </c>
      <c r="H151" s="134" t="str">
        <f ca="1">IFERROR(__xludf.DUMMYFUNCTION("""COMPUTED_VALUE"""),"")</f>
        <v/>
      </c>
      <c r="I151" s="134" t="str">
        <f ca="1">IFERROR(__xludf.DUMMYFUNCTION("""COMPUTED_VALUE"""),"")</f>
        <v/>
      </c>
      <c r="J151" s="134" t="str">
        <f ca="1">IFERROR(__xludf.DUMMYFUNCTION("""COMPUTED_VALUE"""),"")</f>
        <v/>
      </c>
      <c r="N151" s="31"/>
    </row>
    <row r="152" spans="1:14" customFormat="1">
      <c r="A152" s="134" t="str">
        <f ca="1">IFERROR(__xludf.DUMMYFUNCTION("""COMPUTED_VALUE"""),"")</f>
        <v/>
      </c>
      <c r="B152" s="134" t="str">
        <f ca="1">IFERROR(__xludf.DUMMYFUNCTION("""COMPUTED_VALUE"""),"")</f>
        <v/>
      </c>
      <c r="C152" s="134" t="str">
        <f ca="1">IFERROR(__xludf.DUMMYFUNCTION("""COMPUTED_VALUE"""),"")</f>
        <v/>
      </c>
      <c r="D152" s="134" t="str">
        <f ca="1">IFERROR(__xludf.DUMMYFUNCTION("""COMPUTED_VALUE"""),"")</f>
        <v/>
      </c>
      <c r="E152" s="134" t="str">
        <f ca="1">IFERROR(__xludf.DUMMYFUNCTION("""COMPUTED_VALUE"""),"")</f>
        <v/>
      </c>
      <c r="F152" s="134" t="str">
        <f ca="1">IFERROR(__xludf.DUMMYFUNCTION("""COMPUTED_VALUE"""),"")</f>
        <v/>
      </c>
      <c r="G152" s="134" t="str">
        <f ca="1">IFERROR(__xludf.DUMMYFUNCTION("""COMPUTED_VALUE"""),"")</f>
        <v/>
      </c>
      <c r="H152" s="134" t="str">
        <f ca="1">IFERROR(__xludf.DUMMYFUNCTION("""COMPUTED_VALUE"""),"")</f>
        <v/>
      </c>
      <c r="I152" s="134" t="str">
        <f ca="1">IFERROR(__xludf.DUMMYFUNCTION("""COMPUTED_VALUE"""),"")</f>
        <v/>
      </c>
      <c r="J152" s="134" t="str">
        <f ca="1">IFERROR(__xludf.DUMMYFUNCTION("""COMPUTED_VALUE"""),"")</f>
        <v/>
      </c>
      <c r="N152" s="31"/>
    </row>
    <row r="153" spans="1:14" customFormat="1">
      <c r="A153" s="134" t="str">
        <f ca="1">IFERROR(__xludf.DUMMYFUNCTION("""COMPUTED_VALUE"""),"")</f>
        <v/>
      </c>
      <c r="B153" s="134" t="str">
        <f ca="1">IFERROR(__xludf.DUMMYFUNCTION("""COMPUTED_VALUE"""),"")</f>
        <v/>
      </c>
      <c r="C153" s="134" t="str">
        <f ca="1">IFERROR(__xludf.DUMMYFUNCTION("""COMPUTED_VALUE"""),"")</f>
        <v/>
      </c>
      <c r="D153" s="134" t="str">
        <f ca="1">IFERROR(__xludf.DUMMYFUNCTION("""COMPUTED_VALUE"""),"")</f>
        <v/>
      </c>
      <c r="E153" s="134" t="str">
        <f ca="1">IFERROR(__xludf.DUMMYFUNCTION("""COMPUTED_VALUE"""),"")</f>
        <v/>
      </c>
      <c r="F153" s="134" t="str">
        <f ca="1">IFERROR(__xludf.DUMMYFUNCTION("""COMPUTED_VALUE"""),"")</f>
        <v/>
      </c>
      <c r="G153" s="134" t="str">
        <f ca="1">IFERROR(__xludf.DUMMYFUNCTION("""COMPUTED_VALUE"""),"")</f>
        <v/>
      </c>
      <c r="H153" s="134" t="str">
        <f ca="1">IFERROR(__xludf.DUMMYFUNCTION("""COMPUTED_VALUE"""),"")</f>
        <v/>
      </c>
      <c r="I153" s="134" t="str">
        <f ca="1">IFERROR(__xludf.DUMMYFUNCTION("""COMPUTED_VALUE"""),"")</f>
        <v/>
      </c>
      <c r="J153" s="134" t="str">
        <f ca="1">IFERROR(__xludf.DUMMYFUNCTION("""COMPUTED_VALUE"""),"")</f>
        <v/>
      </c>
      <c r="N153" s="31"/>
    </row>
    <row r="154" spans="1:14" customFormat="1">
      <c r="A154" s="134" t="str">
        <f ca="1">IFERROR(__xludf.DUMMYFUNCTION("""COMPUTED_VALUE"""),"")</f>
        <v/>
      </c>
      <c r="B154" s="134" t="str">
        <f ca="1">IFERROR(__xludf.DUMMYFUNCTION("""COMPUTED_VALUE"""),"")</f>
        <v/>
      </c>
      <c r="C154" s="134" t="str">
        <f ca="1">IFERROR(__xludf.DUMMYFUNCTION("""COMPUTED_VALUE"""),"")</f>
        <v/>
      </c>
      <c r="D154" s="134" t="str">
        <f ca="1">IFERROR(__xludf.DUMMYFUNCTION("""COMPUTED_VALUE"""),"")</f>
        <v/>
      </c>
      <c r="E154" s="134" t="str">
        <f ca="1">IFERROR(__xludf.DUMMYFUNCTION("""COMPUTED_VALUE"""),"")</f>
        <v/>
      </c>
      <c r="F154" s="134" t="str">
        <f ca="1">IFERROR(__xludf.DUMMYFUNCTION("""COMPUTED_VALUE"""),"")</f>
        <v/>
      </c>
      <c r="G154" s="134" t="str">
        <f ca="1">IFERROR(__xludf.DUMMYFUNCTION("""COMPUTED_VALUE"""),"")</f>
        <v/>
      </c>
      <c r="H154" s="134" t="str">
        <f ca="1">IFERROR(__xludf.DUMMYFUNCTION("""COMPUTED_VALUE"""),"")</f>
        <v/>
      </c>
      <c r="I154" s="134" t="str">
        <f ca="1">IFERROR(__xludf.DUMMYFUNCTION("""COMPUTED_VALUE"""),"")</f>
        <v/>
      </c>
      <c r="J154" s="134" t="str">
        <f ca="1">IFERROR(__xludf.DUMMYFUNCTION("""COMPUTED_VALUE"""),"")</f>
        <v/>
      </c>
      <c r="N154" s="31"/>
    </row>
    <row r="155" spans="1:14" customFormat="1">
      <c r="A155" s="134" t="str">
        <f ca="1">IFERROR(__xludf.DUMMYFUNCTION("""COMPUTED_VALUE"""),"")</f>
        <v/>
      </c>
      <c r="B155" s="134" t="str">
        <f ca="1">IFERROR(__xludf.DUMMYFUNCTION("""COMPUTED_VALUE"""),"")</f>
        <v/>
      </c>
      <c r="C155" s="134" t="str">
        <f ca="1">IFERROR(__xludf.DUMMYFUNCTION("""COMPUTED_VALUE"""),"")</f>
        <v/>
      </c>
      <c r="D155" s="134" t="str">
        <f ca="1">IFERROR(__xludf.DUMMYFUNCTION("""COMPUTED_VALUE"""),"")</f>
        <v/>
      </c>
      <c r="E155" s="134" t="str">
        <f ca="1">IFERROR(__xludf.DUMMYFUNCTION("""COMPUTED_VALUE"""),"")</f>
        <v/>
      </c>
      <c r="F155" s="134" t="str">
        <f ca="1">IFERROR(__xludf.DUMMYFUNCTION("""COMPUTED_VALUE"""),"")</f>
        <v/>
      </c>
      <c r="G155" s="134" t="str">
        <f ca="1">IFERROR(__xludf.DUMMYFUNCTION("""COMPUTED_VALUE"""),"")</f>
        <v/>
      </c>
      <c r="H155" s="134" t="str">
        <f ca="1">IFERROR(__xludf.DUMMYFUNCTION("""COMPUTED_VALUE"""),"")</f>
        <v/>
      </c>
      <c r="I155" s="134" t="str">
        <f ca="1">IFERROR(__xludf.DUMMYFUNCTION("""COMPUTED_VALUE"""),"")</f>
        <v/>
      </c>
      <c r="J155" s="134" t="str">
        <f ca="1">IFERROR(__xludf.DUMMYFUNCTION("""COMPUTED_VALUE"""),"")</f>
        <v/>
      </c>
      <c r="N155" s="31"/>
    </row>
    <row r="156" spans="1:14" customFormat="1">
      <c r="A156" s="134" t="str">
        <f ca="1">IFERROR(__xludf.DUMMYFUNCTION("""COMPUTED_VALUE"""),"")</f>
        <v/>
      </c>
      <c r="B156" s="134" t="str">
        <f ca="1">IFERROR(__xludf.DUMMYFUNCTION("""COMPUTED_VALUE"""),"")</f>
        <v/>
      </c>
      <c r="C156" s="134" t="str">
        <f ca="1">IFERROR(__xludf.DUMMYFUNCTION("""COMPUTED_VALUE"""),"")</f>
        <v/>
      </c>
      <c r="D156" s="134" t="str">
        <f ca="1">IFERROR(__xludf.DUMMYFUNCTION("""COMPUTED_VALUE"""),"")</f>
        <v/>
      </c>
      <c r="E156" s="134" t="str">
        <f ca="1">IFERROR(__xludf.DUMMYFUNCTION("""COMPUTED_VALUE"""),"")</f>
        <v/>
      </c>
      <c r="F156" s="134" t="str">
        <f ca="1">IFERROR(__xludf.DUMMYFUNCTION("""COMPUTED_VALUE"""),"")</f>
        <v/>
      </c>
      <c r="G156" s="134" t="str">
        <f ca="1">IFERROR(__xludf.DUMMYFUNCTION("""COMPUTED_VALUE"""),"")</f>
        <v/>
      </c>
      <c r="H156" s="134" t="str">
        <f ca="1">IFERROR(__xludf.DUMMYFUNCTION("""COMPUTED_VALUE"""),"")</f>
        <v/>
      </c>
      <c r="I156" s="134" t="str">
        <f ca="1">IFERROR(__xludf.DUMMYFUNCTION("""COMPUTED_VALUE"""),"")</f>
        <v/>
      </c>
      <c r="J156" s="134" t="str">
        <f ca="1">IFERROR(__xludf.DUMMYFUNCTION("""COMPUTED_VALUE"""),"")</f>
        <v/>
      </c>
      <c r="N156" s="31"/>
    </row>
    <row r="157" spans="1:14" customFormat="1">
      <c r="A157" s="134" t="str">
        <f ca="1">IFERROR(__xludf.DUMMYFUNCTION("""COMPUTED_VALUE"""),"")</f>
        <v/>
      </c>
      <c r="B157" s="134" t="str">
        <f ca="1">IFERROR(__xludf.DUMMYFUNCTION("""COMPUTED_VALUE"""),"")</f>
        <v/>
      </c>
      <c r="C157" s="134" t="str">
        <f ca="1">IFERROR(__xludf.DUMMYFUNCTION("""COMPUTED_VALUE"""),"")</f>
        <v/>
      </c>
      <c r="D157" s="134" t="str">
        <f ca="1">IFERROR(__xludf.DUMMYFUNCTION("""COMPUTED_VALUE"""),"")</f>
        <v/>
      </c>
      <c r="E157" s="134" t="str">
        <f ca="1">IFERROR(__xludf.DUMMYFUNCTION("""COMPUTED_VALUE"""),"")</f>
        <v/>
      </c>
      <c r="F157" s="134" t="str">
        <f ca="1">IFERROR(__xludf.DUMMYFUNCTION("""COMPUTED_VALUE"""),"")</f>
        <v/>
      </c>
      <c r="G157" s="134" t="str">
        <f ca="1">IFERROR(__xludf.DUMMYFUNCTION("""COMPUTED_VALUE"""),"")</f>
        <v/>
      </c>
      <c r="H157" s="134" t="str">
        <f ca="1">IFERROR(__xludf.DUMMYFUNCTION("""COMPUTED_VALUE"""),"")</f>
        <v/>
      </c>
      <c r="I157" s="134" t="str">
        <f ca="1">IFERROR(__xludf.DUMMYFUNCTION("""COMPUTED_VALUE"""),"")</f>
        <v/>
      </c>
      <c r="J157" s="134" t="str">
        <f ca="1">IFERROR(__xludf.DUMMYFUNCTION("""COMPUTED_VALUE"""),"")</f>
        <v/>
      </c>
      <c r="N157" s="31"/>
    </row>
    <row r="158" spans="1:14" customFormat="1">
      <c r="A158" s="134" t="str">
        <f ca="1">IFERROR(__xludf.DUMMYFUNCTION("""COMPUTED_VALUE"""),"")</f>
        <v/>
      </c>
      <c r="B158" s="134" t="str">
        <f ca="1">IFERROR(__xludf.DUMMYFUNCTION("""COMPUTED_VALUE"""),"")</f>
        <v/>
      </c>
      <c r="C158" s="134" t="str">
        <f ca="1">IFERROR(__xludf.DUMMYFUNCTION("""COMPUTED_VALUE"""),"")</f>
        <v/>
      </c>
      <c r="D158" s="134" t="str">
        <f ca="1">IFERROR(__xludf.DUMMYFUNCTION("""COMPUTED_VALUE"""),"")</f>
        <v/>
      </c>
      <c r="E158" s="134" t="str">
        <f ca="1">IFERROR(__xludf.DUMMYFUNCTION("""COMPUTED_VALUE"""),"")</f>
        <v/>
      </c>
      <c r="F158" s="134" t="str">
        <f ca="1">IFERROR(__xludf.DUMMYFUNCTION("""COMPUTED_VALUE"""),"")</f>
        <v/>
      </c>
      <c r="G158" s="134" t="str">
        <f ca="1">IFERROR(__xludf.DUMMYFUNCTION("""COMPUTED_VALUE"""),"")</f>
        <v/>
      </c>
      <c r="H158" s="134" t="str">
        <f ca="1">IFERROR(__xludf.DUMMYFUNCTION("""COMPUTED_VALUE"""),"")</f>
        <v/>
      </c>
      <c r="I158" s="134" t="str">
        <f ca="1">IFERROR(__xludf.DUMMYFUNCTION("""COMPUTED_VALUE"""),"")</f>
        <v/>
      </c>
      <c r="J158" s="134" t="str">
        <f ca="1">IFERROR(__xludf.DUMMYFUNCTION("""COMPUTED_VALUE"""),"")</f>
        <v/>
      </c>
      <c r="N158" s="31"/>
    </row>
    <row r="159" spans="1:14" customFormat="1">
      <c r="A159" s="134" t="str">
        <f ca="1">IFERROR(__xludf.DUMMYFUNCTION("""COMPUTED_VALUE"""),"")</f>
        <v/>
      </c>
      <c r="B159" s="134" t="str">
        <f ca="1">IFERROR(__xludf.DUMMYFUNCTION("""COMPUTED_VALUE"""),"")</f>
        <v/>
      </c>
      <c r="C159" s="134" t="str">
        <f ca="1">IFERROR(__xludf.DUMMYFUNCTION("""COMPUTED_VALUE"""),"")</f>
        <v/>
      </c>
      <c r="D159" s="134" t="str">
        <f ca="1">IFERROR(__xludf.DUMMYFUNCTION("""COMPUTED_VALUE"""),"")</f>
        <v/>
      </c>
      <c r="E159" s="134" t="str">
        <f ca="1">IFERROR(__xludf.DUMMYFUNCTION("""COMPUTED_VALUE"""),"")</f>
        <v/>
      </c>
      <c r="F159" s="134" t="str">
        <f ca="1">IFERROR(__xludf.DUMMYFUNCTION("""COMPUTED_VALUE"""),"")</f>
        <v/>
      </c>
      <c r="G159" s="134" t="str">
        <f ca="1">IFERROR(__xludf.DUMMYFUNCTION("""COMPUTED_VALUE"""),"")</f>
        <v/>
      </c>
      <c r="H159" s="134" t="str">
        <f ca="1">IFERROR(__xludf.DUMMYFUNCTION("""COMPUTED_VALUE"""),"")</f>
        <v/>
      </c>
      <c r="I159" s="134" t="str">
        <f ca="1">IFERROR(__xludf.DUMMYFUNCTION("""COMPUTED_VALUE"""),"")</f>
        <v/>
      </c>
      <c r="J159" s="134" t="str">
        <f ca="1">IFERROR(__xludf.DUMMYFUNCTION("""COMPUTED_VALUE"""),"")</f>
        <v/>
      </c>
      <c r="N159" s="31"/>
    </row>
    <row r="160" spans="1:14" customFormat="1">
      <c r="A160" s="134" t="str">
        <f ca="1">IFERROR(__xludf.DUMMYFUNCTION("""COMPUTED_VALUE"""),"")</f>
        <v/>
      </c>
      <c r="B160" s="134" t="str">
        <f ca="1">IFERROR(__xludf.DUMMYFUNCTION("""COMPUTED_VALUE"""),"")</f>
        <v/>
      </c>
      <c r="C160" s="134" t="str">
        <f ca="1">IFERROR(__xludf.DUMMYFUNCTION("""COMPUTED_VALUE"""),"")</f>
        <v/>
      </c>
      <c r="D160" s="134" t="str">
        <f ca="1">IFERROR(__xludf.DUMMYFUNCTION("""COMPUTED_VALUE"""),"")</f>
        <v/>
      </c>
      <c r="E160" s="134" t="str">
        <f ca="1">IFERROR(__xludf.DUMMYFUNCTION("""COMPUTED_VALUE"""),"")</f>
        <v/>
      </c>
      <c r="F160" s="134" t="str">
        <f ca="1">IFERROR(__xludf.DUMMYFUNCTION("""COMPUTED_VALUE"""),"")</f>
        <v/>
      </c>
      <c r="G160" s="134" t="str">
        <f ca="1">IFERROR(__xludf.DUMMYFUNCTION("""COMPUTED_VALUE"""),"")</f>
        <v/>
      </c>
      <c r="H160" s="134" t="str">
        <f ca="1">IFERROR(__xludf.DUMMYFUNCTION("""COMPUTED_VALUE"""),"")</f>
        <v/>
      </c>
      <c r="I160" s="134" t="str">
        <f ca="1">IFERROR(__xludf.DUMMYFUNCTION("""COMPUTED_VALUE"""),"")</f>
        <v/>
      </c>
      <c r="J160" s="134" t="str">
        <f ca="1">IFERROR(__xludf.DUMMYFUNCTION("""COMPUTED_VALUE"""),"")</f>
        <v/>
      </c>
      <c r="N160" s="31"/>
    </row>
    <row r="161" spans="1:14" customFormat="1">
      <c r="A161" s="134" t="str">
        <f ca="1">IFERROR(__xludf.DUMMYFUNCTION("""COMPUTED_VALUE"""),"")</f>
        <v/>
      </c>
      <c r="B161" s="134" t="str">
        <f ca="1">IFERROR(__xludf.DUMMYFUNCTION("""COMPUTED_VALUE"""),"")</f>
        <v/>
      </c>
      <c r="C161" s="134" t="str">
        <f ca="1">IFERROR(__xludf.DUMMYFUNCTION("""COMPUTED_VALUE"""),"")</f>
        <v/>
      </c>
      <c r="D161" s="134" t="str">
        <f ca="1">IFERROR(__xludf.DUMMYFUNCTION("""COMPUTED_VALUE"""),"")</f>
        <v/>
      </c>
      <c r="E161" s="134" t="str">
        <f ca="1">IFERROR(__xludf.DUMMYFUNCTION("""COMPUTED_VALUE"""),"")</f>
        <v/>
      </c>
      <c r="F161" s="134" t="str">
        <f ca="1">IFERROR(__xludf.DUMMYFUNCTION("""COMPUTED_VALUE"""),"")</f>
        <v/>
      </c>
      <c r="G161" s="134" t="str">
        <f ca="1">IFERROR(__xludf.DUMMYFUNCTION("""COMPUTED_VALUE"""),"")</f>
        <v/>
      </c>
      <c r="H161" s="134" t="str">
        <f ca="1">IFERROR(__xludf.DUMMYFUNCTION("""COMPUTED_VALUE"""),"")</f>
        <v/>
      </c>
      <c r="I161" s="134" t="str">
        <f ca="1">IFERROR(__xludf.DUMMYFUNCTION("""COMPUTED_VALUE"""),"")</f>
        <v/>
      </c>
      <c r="J161" s="134" t="str">
        <f ca="1">IFERROR(__xludf.DUMMYFUNCTION("""COMPUTED_VALUE"""),"")</f>
        <v/>
      </c>
      <c r="N161" s="31"/>
    </row>
    <row r="162" spans="1:14" customFormat="1">
      <c r="A162" s="134" t="str">
        <f ca="1">IFERROR(__xludf.DUMMYFUNCTION("""COMPUTED_VALUE"""),"")</f>
        <v/>
      </c>
      <c r="B162" s="134" t="str">
        <f ca="1">IFERROR(__xludf.DUMMYFUNCTION("""COMPUTED_VALUE"""),"")</f>
        <v/>
      </c>
      <c r="C162" s="134" t="str">
        <f ca="1">IFERROR(__xludf.DUMMYFUNCTION("""COMPUTED_VALUE"""),"")</f>
        <v/>
      </c>
      <c r="D162" s="134" t="str">
        <f ca="1">IFERROR(__xludf.DUMMYFUNCTION("""COMPUTED_VALUE"""),"")</f>
        <v/>
      </c>
      <c r="E162" s="134" t="str">
        <f ca="1">IFERROR(__xludf.DUMMYFUNCTION("""COMPUTED_VALUE"""),"")</f>
        <v/>
      </c>
      <c r="F162" s="134" t="str">
        <f ca="1">IFERROR(__xludf.DUMMYFUNCTION("""COMPUTED_VALUE"""),"")</f>
        <v/>
      </c>
      <c r="G162" s="134" t="str">
        <f ca="1">IFERROR(__xludf.DUMMYFUNCTION("""COMPUTED_VALUE"""),"")</f>
        <v/>
      </c>
      <c r="H162" s="134" t="str">
        <f ca="1">IFERROR(__xludf.DUMMYFUNCTION("""COMPUTED_VALUE"""),"")</f>
        <v/>
      </c>
      <c r="I162" s="134" t="str">
        <f ca="1">IFERROR(__xludf.DUMMYFUNCTION("""COMPUTED_VALUE"""),"")</f>
        <v/>
      </c>
      <c r="J162" s="134" t="str">
        <f ca="1">IFERROR(__xludf.DUMMYFUNCTION("""COMPUTED_VALUE"""),"")</f>
        <v/>
      </c>
      <c r="N162" s="31"/>
    </row>
    <row r="163" spans="1:14" customFormat="1">
      <c r="A163" s="134" t="str">
        <f ca="1">IFERROR(__xludf.DUMMYFUNCTION("""COMPUTED_VALUE"""),"")</f>
        <v/>
      </c>
      <c r="B163" s="134" t="str">
        <f ca="1">IFERROR(__xludf.DUMMYFUNCTION("""COMPUTED_VALUE"""),"")</f>
        <v/>
      </c>
      <c r="C163" s="134" t="str">
        <f ca="1">IFERROR(__xludf.DUMMYFUNCTION("""COMPUTED_VALUE"""),"")</f>
        <v/>
      </c>
      <c r="D163" s="134" t="str">
        <f ca="1">IFERROR(__xludf.DUMMYFUNCTION("""COMPUTED_VALUE"""),"")</f>
        <v/>
      </c>
      <c r="E163" s="134" t="str">
        <f ca="1">IFERROR(__xludf.DUMMYFUNCTION("""COMPUTED_VALUE"""),"")</f>
        <v/>
      </c>
      <c r="F163" s="134" t="str">
        <f ca="1">IFERROR(__xludf.DUMMYFUNCTION("""COMPUTED_VALUE"""),"")</f>
        <v/>
      </c>
      <c r="G163" s="134" t="str">
        <f ca="1">IFERROR(__xludf.DUMMYFUNCTION("""COMPUTED_VALUE"""),"")</f>
        <v/>
      </c>
      <c r="H163" s="134" t="str">
        <f ca="1">IFERROR(__xludf.DUMMYFUNCTION("""COMPUTED_VALUE"""),"")</f>
        <v/>
      </c>
      <c r="I163" s="134" t="str">
        <f ca="1">IFERROR(__xludf.DUMMYFUNCTION("""COMPUTED_VALUE"""),"")</f>
        <v/>
      </c>
      <c r="J163" s="134" t="str">
        <f ca="1">IFERROR(__xludf.DUMMYFUNCTION("""COMPUTED_VALUE"""),"")</f>
        <v/>
      </c>
      <c r="N163" s="31"/>
    </row>
    <row r="164" spans="1:14" customFormat="1">
      <c r="A164" s="134" t="str">
        <f ca="1">IFERROR(__xludf.DUMMYFUNCTION("""COMPUTED_VALUE"""),"")</f>
        <v/>
      </c>
      <c r="B164" s="134" t="str">
        <f ca="1">IFERROR(__xludf.DUMMYFUNCTION("""COMPUTED_VALUE"""),"")</f>
        <v/>
      </c>
      <c r="C164" s="134" t="str">
        <f ca="1">IFERROR(__xludf.DUMMYFUNCTION("""COMPUTED_VALUE"""),"")</f>
        <v/>
      </c>
      <c r="D164" s="134" t="str">
        <f ca="1">IFERROR(__xludf.DUMMYFUNCTION("""COMPUTED_VALUE"""),"")</f>
        <v/>
      </c>
      <c r="E164" s="134" t="str">
        <f ca="1">IFERROR(__xludf.DUMMYFUNCTION("""COMPUTED_VALUE"""),"")</f>
        <v/>
      </c>
      <c r="F164" s="134" t="str">
        <f ca="1">IFERROR(__xludf.DUMMYFUNCTION("""COMPUTED_VALUE"""),"")</f>
        <v/>
      </c>
      <c r="G164" s="134" t="str">
        <f ca="1">IFERROR(__xludf.DUMMYFUNCTION("""COMPUTED_VALUE"""),"")</f>
        <v/>
      </c>
      <c r="H164" s="134" t="str">
        <f ca="1">IFERROR(__xludf.DUMMYFUNCTION("""COMPUTED_VALUE"""),"")</f>
        <v/>
      </c>
      <c r="I164" s="134" t="str">
        <f ca="1">IFERROR(__xludf.DUMMYFUNCTION("""COMPUTED_VALUE"""),"")</f>
        <v/>
      </c>
      <c r="J164" s="134" t="str">
        <f ca="1">IFERROR(__xludf.DUMMYFUNCTION("""COMPUTED_VALUE"""),"")</f>
        <v/>
      </c>
      <c r="N164" s="31"/>
    </row>
    <row r="165" spans="1:14" customFormat="1">
      <c r="A165" s="134" t="str">
        <f ca="1">IFERROR(__xludf.DUMMYFUNCTION("""COMPUTED_VALUE"""),"")</f>
        <v/>
      </c>
      <c r="B165" s="134" t="str">
        <f ca="1">IFERROR(__xludf.DUMMYFUNCTION("""COMPUTED_VALUE"""),"")</f>
        <v/>
      </c>
      <c r="C165" s="134" t="str">
        <f ca="1">IFERROR(__xludf.DUMMYFUNCTION("""COMPUTED_VALUE"""),"")</f>
        <v/>
      </c>
      <c r="D165" s="134" t="str">
        <f ca="1">IFERROR(__xludf.DUMMYFUNCTION("""COMPUTED_VALUE"""),"")</f>
        <v/>
      </c>
      <c r="E165" s="134" t="str">
        <f ca="1">IFERROR(__xludf.DUMMYFUNCTION("""COMPUTED_VALUE"""),"")</f>
        <v/>
      </c>
      <c r="F165" s="134" t="str">
        <f ca="1">IFERROR(__xludf.DUMMYFUNCTION("""COMPUTED_VALUE"""),"")</f>
        <v/>
      </c>
      <c r="G165" s="134" t="str">
        <f ca="1">IFERROR(__xludf.DUMMYFUNCTION("""COMPUTED_VALUE"""),"")</f>
        <v/>
      </c>
      <c r="H165" s="134" t="str">
        <f ca="1">IFERROR(__xludf.DUMMYFUNCTION("""COMPUTED_VALUE"""),"")</f>
        <v/>
      </c>
      <c r="I165" s="134" t="str">
        <f ca="1">IFERROR(__xludf.DUMMYFUNCTION("""COMPUTED_VALUE"""),"")</f>
        <v/>
      </c>
      <c r="J165" s="134" t="str">
        <f ca="1">IFERROR(__xludf.DUMMYFUNCTION("""COMPUTED_VALUE"""),"")</f>
        <v/>
      </c>
      <c r="N165" s="31"/>
    </row>
    <row r="166" spans="1:14" customFormat="1">
      <c r="A166" s="134" t="str">
        <f ca="1">IFERROR(__xludf.DUMMYFUNCTION("""COMPUTED_VALUE"""),"")</f>
        <v/>
      </c>
      <c r="B166" s="134" t="str">
        <f ca="1">IFERROR(__xludf.DUMMYFUNCTION("""COMPUTED_VALUE"""),"")</f>
        <v/>
      </c>
      <c r="C166" s="134" t="str">
        <f ca="1">IFERROR(__xludf.DUMMYFUNCTION("""COMPUTED_VALUE"""),"")</f>
        <v/>
      </c>
      <c r="D166" s="134" t="str">
        <f ca="1">IFERROR(__xludf.DUMMYFUNCTION("""COMPUTED_VALUE"""),"")</f>
        <v/>
      </c>
      <c r="E166" s="134" t="str">
        <f ca="1">IFERROR(__xludf.DUMMYFUNCTION("""COMPUTED_VALUE"""),"")</f>
        <v/>
      </c>
      <c r="F166" s="134" t="str">
        <f ca="1">IFERROR(__xludf.DUMMYFUNCTION("""COMPUTED_VALUE"""),"")</f>
        <v/>
      </c>
      <c r="G166" s="134" t="str">
        <f ca="1">IFERROR(__xludf.DUMMYFUNCTION("""COMPUTED_VALUE"""),"")</f>
        <v/>
      </c>
      <c r="H166" s="134" t="str">
        <f ca="1">IFERROR(__xludf.DUMMYFUNCTION("""COMPUTED_VALUE"""),"")</f>
        <v/>
      </c>
      <c r="I166" s="134" t="str">
        <f ca="1">IFERROR(__xludf.DUMMYFUNCTION("""COMPUTED_VALUE"""),"")</f>
        <v/>
      </c>
      <c r="J166" s="134" t="str">
        <f ca="1">IFERROR(__xludf.DUMMYFUNCTION("""COMPUTED_VALUE"""),"")</f>
        <v/>
      </c>
      <c r="N166" s="31"/>
    </row>
    <row r="167" spans="1:14" customFormat="1">
      <c r="A167" s="134" t="str">
        <f ca="1">IFERROR(__xludf.DUMMYFUNCTION("""COMPUTED_VALUE"""),"")</f>
        <v/>
      </c>
      <c r="B167" s="134" t="str">
        <f ca="1">IFERROR(__xludf.DUMMYFUNCTION("""COMPUTED_VALUE"""),"")</f>
        <v/>
      </c>
      <c r="C167" s="134" t="str">
        <f ca="1">IFERROR(__xludf.DUMMYFUNCTION("""COMPUTED_VALUE"""),"")</f>
        <v/>
      </c>
      <c r="D167" s="134" t="str">
        <f ca="1">IFERROR(__xludf.DUMMYFUNCTION("""COMPUTED_VALUE"""),"")</f>
        <v/>
      </c>
      <c r="E167" s="134" t="str">
        <f ca="1">IFERROR(__xludf.DUMMYFUNCTION("""COMPUTED_VALUE"""),"")</f>
        <v/>
      </c>
      <c r="F167" s="134" t="str">
        <f ca="1">IFERROR(__xludf.DUMMYFUNCTION("""COMPUTED_VALUE"""),"")</f>
        <v/>
      </c>
      <c r="G167" s="134" t="str">
        <f ca="1">IFERROR(__xludf.DUMMYFUNCTION("""COMPUTED_VALUE"""),"")</f>
        <v/>
      </c>
      <c r="H167" s="134" t="str">
        <f ca="1">IFERROR(__xludf.DUMMYFUNCTION("""COMPUTED_VALUE"""),"")</f>
        <v/>
      </c>
      <c r="I167" s="134" t="str">
        <f ca="1">IFERROR(__xludf.DUMMYFUNCTION("""COMPUTED_VALUE"""),"")</f>
        <v/>
      </c>
      <c r="J167" s="134" t="str">
        <f ca="1">IFERROR(__xludf.DUMMYFUNCTION("""COMPUTED_VALUE"""),"")</f>
        <v/>
      </c>
      <c r="N167" s="31"/>
    </row>
    <row r="168" spans="1:14" customFormat="1">
      <c r="A168" s="134" t="str">
        <f ca="1">IFERROR(__xludf.DUMMYFUNCTION("""COMPUTED_VALUE"""),"")</f>
        <v/>
      </c>
      <c r="B168" s="134" t="str">
        <f ca="1">IFERROR(__xludf.DUMMYFUNCTION("""COMPUTED_VALUE"""),"")</f>
        <v/>
      </c>
      <c r="C168" s="134" t="str">
        <f ca="1">IFERROR(__xludf.DUMMYFUNCTION("""COMPUTED_VALUE"""),"")</f>
        <v/>
      </c>
      <c r="D168" s="134" t="str">
        <f ca="1">IFERROR(__xludf.DUMMYFUNCTION("""COMPUTED_VALUE"""),"")</f>
        <v/>
      </c>
      <c r="E168" s="134" t="str">
        <f ca="1">IFERROR(__xludf.DUMMYFUNCTION("""COMPUTED_VALUE"""),"")</f>
        <v/>
      </c>
      <c r="F168" s="134" t="str">
        <f ca="1">IFERROR(__xludf.DUMMYFUNCTION("""COMPUTED_VALUE"""),"")</f>
        <v/>
      </c>
      <c r="G168" s="134" t="str">
        <f ca="1">IFERROR(__xludf.DUMMYFUNCTION("""COMPUTED_VALUE"""),"")</f>
        <v/>
      </c>
      <c r="H168" s="134" t="str">
        <f ca="1">IFERROR(__xludf.DUMMYFUNCTION("""COMPUTED_VALUE"""),"")</f>
        <v/>
      </c>
      <c r="I168" s="134" t="str">
        <f ca="1">IFERROR(__xludf.DUMMYFUNCTION("""COMPUTED_VALUE"""),"")</f>
        <v/>
      </c>
      <c r="J168" s="134" t="str">
        <f ca="1">IFERROR(__xludf.DUMMYFUNCTION("""COMPUTED_VALUE"""),"")</f>
        <v/>
      </c>
      <c r="N168" s="31"/>
    </row>
    <row r="169" spans="1:14" customFormat="1">
      <c r="A169" s="134" t="str">
        <f ca="1">IFERROR(__xludf.DUMMYFUNCTION("""COMPUTED_VALUE"""),"")</f>
        <v/>
      </c>
      <c r="B169" s="134" t="str">
        <f ca="1">IFERROR(__xludf.DUMMYFUNCTION("""COMPUTED_VALUE"""),"")</f>
        <v/>
      </c>
      <c r="C169" s="134" t="str">
        <f ca="1">IFERROR(__xludf.DUMMYFUNCTION("""COMPUTED_VALUE"""),"")</f>
        <v/>
      </c>
      <c r="D169" s="134" t="str">
        <f ca="1">IFERROR(__xludf.DUMMYFUNCTION("""COMPUTED_VALUE"""),"")</f>
        <v/>
      </c>
      <c r="E169" s="134" t="str">
        <f ca="1">IFERROR(__xludf.DUMMYFUNCTION("""COMPUTED_VALUE"""),"")</f>
        <v/>
      </c>
      <c r="F169" s="134" t="str">
        <f ca="1">IFERROR(__xludf.DUMMYFUNCTION("""COMPUTED_VALUE"""),"")</f>
        <v/>
      </c>
      <c r="G169" s="134" t="str">
        <f ca="1">IFERROR(__xludf.DUMMYFUNCTION("""COMPUTED_VALUE"""),"")</f>
        <v/>
      </c>
      <c r="H169" s="134" t="str">
        <f ca="1">IFERROR(__xludf.DUMMYFUNCTION("""COMPUTED_VALUE"""),"")</f>
        <v/>
      </c>
      <c r="I169" s="134" t="str">
        <f ca="1">IFERROR(__xludf.DUMMYFUNCTION("""COMPUTED_VALUE"""),"")</f>
        <v/>
      </c>
      <c r="J169" s="134" t="str">
        <f ca="1">IFERROR(__xludf.DUMMYFUNCTION("""COMPUTED_VALUE"""),"")</f>
        <v/>
      </c>
      <c r="N169" s="31"/>
    </row>
    <row r="170" spans="1:14" customFormat="1">
      <c r="A170" s="134" t="str">
        <f ca="1">IFERROR(__xludf.DUMMYFUNCTION("""COMPUTED_VALUE"""),"")</f>
        <v/>
      </c>
      <c r="B170" s="134" t="str">
        <f ca="1">IFERROR(__xludf.DUMMYFUNCTION("""COMPUTED_VALUE"""),"")</f>
        <v/>
      </c>
      <c r="C170" s="134" t="str">
        <f ca="1">IFERROR(__xludf.DUMMYFUNCTION("""COMPUTED_VALUE"""),"")</f>
        <v/>
      </c>
      <c r="D170" s="134" t="str">
        <f ca="1">IFERROR(__xludf.DUMMYFUNCTION("""COMPUTED_VALUE"""),"")</f>
        <v/>
      </c>
      <c r="E170" s="134" t="str">
        <f ca="1">IFERROR(__xludf.DUMMYFUNCTION("""COMPUTED_VALUE"""),"")</f>
        <v/>
      </c>
      <c r="F170" s="134" t="str">
        <f ca="1">IFERROR(__xludf.DUMMYFUNCTION("""COMPUTED_VALUE"""),"")</f>
        <v/>
      </c>
      <c r="G170" s="134" t="str">
        <f ca="1">IFERROR(__xludf.DUMMYFUNCTION("""COMPUTED_VALUE"""),"")</f>
        <v/>
      </c>
      <c r="H170" s="134" t="str">
        <f ca="1">IFERROR(__xludf.DUMMYFUNCTION("""COMPUTED_VALUE"""),"")</f>
        <v/>
      </c>
      <c r="I170" s="134" t="str">
        <f ca="1">IFERROR(__xludf.DUMMYFUNCTION("""COMPUTED_VALUE"""),"")</f>
        <v/>
      </c>
      <c r="J170" s="134" t="str">
        <f ca="1">IFERROR(__xludf.DUMMYFUNCTION("""COMPUTED_VALUE"""),"")</f>
        <v/>
      </c>
      <c r="N170" s="31"/>
    </row>
    <row r="171" spans="1:14" customFormat="1">
      <c r="A171" s="134" t="str">
        <f ca="1">IFERROR(__xludf.DUMMYFUNCTION("""COMPUTED_VALUE"""),"")</f>
        <v/>
      </c>
      <c r="B171" s="134" t="str">
        <f ca="1">IFERROR(__xludf.DUMMYFUNCTION("""COMPUTED_VALUE"""),"")</f>
        <v/>
      </c>
      <c r="C171" s="134" t="str">
        <f ca="1">IFERROR(__xludf.DUMMYFUNCTION("""COMPUTED_VALUE"""),"")</f>
        <v/>
      </c>
      <c r="D171" s="134" t="str">
        <f ca="1">IFERROR(__xludf.DUMMYFUNCTION("""COMPUTED_VALUE"""),"")</f>
        <v/>
      </c>
      <c r="E171" s="134" t="str">
        <f ca="1">IFERROR(__xludf.DUMMYFUNCTION("""COMPUTED_VALUE"""),"")</f>
        <v/>
      </c>
      <c r="F171" s="134" t="str">
        <f ca="1">IFERROR(__xludf.DUMMYFUNCTION("""COMPUTED_VALUE"""),"")</f>
        <v/>
      </c>
      <c r="G171" s="134" t="str">
        <f ca="1">IFERROR(__xludf.DUMMYFUNCTION("""COMPUTED_VALUE"""),"")</f>
        <v/>
      </c>
      <c r="H171" s="134" t="str">
        <f ca="1">IFERROR(__xludf.DUMMYFUNCTION("""COMPUTED_VALUE"""),"")</f>
        <v/>
      </c>
      <c r="I171" s="134" t="str">
        <f ca="1">IFERROR(__xludf.DUMMYFUNCTION("""COMPUTED_VALUE"""),"")</f>
        <v/>
      </c>
      <c r="J171" s="134" t="str">
        <f ca="1">IFERROR(__xludf.DUMMYFUNCTION("""COMPUTED_VALUE"""),"")</f>
        <v/>
      </c>
      <c r="N171" s="31"/>
    </row>
    <row r="172" spans="1:14" customFormat="1">
      <c r="A172" s="134" t="str">
        <f ca="1">IFERROR(__xludf.DUMMYFUNCTION("""COMPUTED_VALUE"""),"")</f>
        <v/>
      </c>
      <c r="B172" s="134" t="str">
        <f ca="1">IFERROR(__xludf.DUMMYFUNCTION("""COMPUTED_VALUE"""),"")</f>
        <v/>
      </c>
      <c r="C172" s="134" t="str">
        <f ca="1">IFERROR(__xludf.DUMMYFUNCTION("""COMPUTED_VALUE"""),"")</f>
        <v/>
      </c>
      <c r="D172" s="134" t="str">
        <f ca="1">IFERROR(__xludf.DUMMYFUNCTION("""COMPUTED_VALUE"""),"")</f>
        <v/>
      </c>
      <c r="E172" s="134" t="str">
        <f ca="1">IFERROR(__xludf.DUMMYFUNCTION("""COMPUTED_VALUE"""),"")</f>
        <v/>
      </c>
      <c r="F172" s="134" t="str">
        <f ca="1">IFERROR(__xludf.DUMMYFUNCTION("""COMPUTED_VALUE"""),"")</f>
        <v/>
      </c>
      <c r="G172" s="134" t="str">
        <f ca="1">IFERROR(__xludf.DUMMYFUNCTION("""COMPUTED_VALUE"""),"")</f>
        <v/>
      </c>
      <c r="H172" s="134" t="str">
        <f ca="1">IFERROR(__xludf.DUMMYFUNCTION("""COMPUTED_VALUE"""),"")</f>
        <v/>
      </c>
      <c r="I172" s="134" t="str">
        <f ca="1">IFERROR(__xludf.DUMMYFUNCTION("""COMPUTED_VALUE"""),"")</f>
        <v/>
      </c>
      <c r="J172" s="134" t="str">
        <f ca="1">IFERROR(__xludf.DUMMYFUNCTION("""COMPUTED_VALUE"""),"")</f>
        <v/>
      </c>
      <c r="N172" s="31"/>
    </row>
    <row r="173" spans="1:14" customFormat="1">
      <c r="A173" s="134" t="str">
        <f ca="1">IFERROR(__xludf.DUMMYFUNCTION("""COMPUTED_VALUE"""),"")</f>
        <v/>
      </c>
      <c r="B173" s="134" t="str">
        <f ca="1">IFERROR(__xludf.DUMMYFUNCTION("""COMPUTED_VALUE"""),"")</f>
        <v/>
      </c>
      <c r="C173" s="134" t="str">
        <f ca="1">IFERROR(__xludf.DUMMYFUNCTION("""COMPUTED_VALUE"""),"")</f>
        <v/>
      </c>
      <c r="D173" s="134" t="str">
        <f ca="1">IFERROR(__xludf.DUMMYFUNCTION("""COMPUTED_VALUE"""),"")</f>
        <v/>
      </c>
      <c r="E173" s="134" t="str">
        <f ca="1">IFERROR(__xludf.DUMMYFUNCTION("""COMPUTED_VALUE"""),"")</f>
        <v/>
      </c>
      <c r="F173" s="134" t="str">
        <f ca="1">IFERROR(__xludf.DUMMYFUNCTION("""COMPUTED_VALUE"""),"")</f>
        <v/>
      </c>
      <c r="G173" s="134" t="str">
        <f ca="1">IFERROR(__xludf.DUMMYFUNCTION("""COMPUTED_VALUE"""),"")</f>
        <v/>
      </c>
      <c r="H173" s="134" t="str">
        <f ca="1">IFERROR(__xludf.DUMMYFUNCTION("""COMPUTED_VALUE"""),"")</f>
        <v/>
      </c>
      <c r="I173" s="134" t="str">
        <f ca="1">IFERROR(__xludf.DUMMYFUNCTION("""COMPUTED_VALUE"""),"")</f>
        <v/>
      </c>
      <c r="J173" s="134" t="str">
        <f ca="1">IFERROR(__xludf.DUMMYFUNCTION("""COMPUTED_VALUE"""),"")</f>
        <v/>
      </c>
      <c r="N173" s="31"/>
    </row>
    <row r="174" spans="1:14" customFormat="1">
      <c r="A174" s="134" t="str">
        <f ca="1">IFERROR(__xludf.DUMMYFUNCTION("""COMPUTED_VALUE"""),"")</f>
        <v/>
      </c>
      <c r="B174" s="134" t="str">
        <f ca="1">IFERROR(__xludf.DUMMYFUNCTION("""COMPUTED_VALUE"""),"")</f>
        <v/>
      </c>
      <c r="C174" s="134" t="str">
        <f ca="1">IFERROR(__xludf.DUMMYFUNCTION("""COMPUTED_VALUE"""),"")</f>
        <v/>
      </c>
      <c r="D174" s="134" t="str">
        <f ca="1">IFERROR(__xludf.DUMMYFUNCTION("""COMPUTED_VALUE"""),"")</f>
        <v/>
      </c>
      <c r="E174" s="134" t="str">
        <f ca="1">IFERROR(__xludf.DUMMYFUNCTION("""COMPUTED_VALUE"""),"")</f>
        <v/>
      </c>
      <c r="F174" s="134" t="str">
        <f ca="1">IFERROR(__xludf.DUMMYFUNCTION("""COMPUTED_VALUE"""),"")</f>
        <v/>
      </c>
      <c r="G174" s="134" t="str">
        <f ca="1">IFERROR(__xludf.DUMMYFUNCTION("""COMPUTED_VALUE"""),"")</f>
        <v/>
      </c>
      <c r="H174" s="134" t="str">
        <f ca="1">IFERROR(__xludf.DUMMYFUNCTION("""COMPUTED_VALUE"""),"")</f>
        <v/>
      </c>
      <c r="I174" s="134" t="str">
        <f ca="1">IFERROR(__xludf.DUMMYFUNCTION("""COMPUTED_VALUE"""),"")</f>
        <v/>
      </c>
      <c r="J174" s="134" t="str">
        <f ca="1">IFERROR(__xludf.DUMMYFUNCTION("""COMPUTED_VALUE"""),"")</f>
        <v/>
      </c>
      <c r="N174" s="31"/>
    </row>
    <row r="175" spans="1:14" customFormat="1">
      <c r="A175" s="134" t="str">
        <f ca="1">IFERROR(__xludf.DUMMYFUNCTION("""COMPUTED_VALUE"""),"")</f>
        <v/>
      </c>
      <c r="B175" s="134" t="str">
        <f ca="1">IFERROR(__xludf.DUMMYFUNCTION("""COMPUTED_VALUE"""),"")</f>
        <v/>
      </c>
      <c r="C175" s="134" t="str">
        <f ca="1">IFERROR(__xludf.DUMMYFUNCTION("""COMPUTED_VALUE"""),"")</f>
        <v/>
      </c>
      <c r="D175" s="134" t="str">
        <f ca="1">IFERROR(__xludf.DUMMYFUNCTION("""COMPUTED_VALUE"""),"")</f>
        <v/>
      </c>
      <c r="E175" s="134" t="str">
        <f ca="1">IFERROR(__xludf.DUMMYFUNCTION("""COMPUTED_VALUE"""),"")</f>
        <v/>
      </c>
      <c r="F175" s="134" t="str">
        <f ca="1">IFERROR(__xludf.DUMMYFUNCTION("""COMPUTED_VALUE"""),"")</f>
        <v/>
      </c>
      <c r="G175" s="134" t="str">
        <f ca="1">IFERROR(__xludf.DUMMYFUNCTION("""COMPUTED_VALUE"""),"")</f>
        <v/>
      </c>
      <c r="H175" s="134" t="str">
        <f ca="1">IFERROR(__xludf.DUMMYFUNCTION("""COMPUTED_VALUE"""),"")</f>
        <v/>
      </c>
      <c r="I175" s="134" t="str">
        <f ca="1">IFERROR(__xludf.DUMMYFUNCTION("""COMPUTED_VALUE"""),"")</f>
        <v/>
      </c>
      <c r="J175" s="134" t="str">
        <f ca="1">IFERROR(__xludf.DUMMYFUNCTION("""COMPUTED_VALUE"""),"")</f>
        <v/>
      </c>
      <c r="N175" s="31"/>
    </row>
    <row r="176" spans="1:14" customFormat="1">
      <c r="A176" s="134" t="str">
        <f ca="1">IFERROR(__xludf.DUMMYFUNCTION("""COMPUTED_VALUE"""),"")</f>
        <v/>
      </c>
      <c r="B176" s="134" t="str">
        <f ca="1">IFERROR(__xludf.DUMMYFUNCTION("""COMPUTED_VALUE"""),"")</f>
        <v/>
      </c>
      <c r="C176" s="134" t="str">
        <f ca="1">IFERROR(__xludf.DUMMYFUNCTION("""COMPUTED_VALUE"""),"")</f>
        <v/>
      </c>
      <c r="D176" s="134" t="str">
        <f ca="1">IFERROR(__xludf.DUMMYFUNCTION("""COMPUTED_VALUE"""),"")</f>
        <v/>
      </c>
      <c r="E176" s="134" t="str">
        <f ca="1">IFERROR(__xludf.DUMMYFUNCTION("""COMPUTED_VALUE"""),"")</f>
        <v/>
      </c>
      <c r="F176" s="134" t="str">
        <f ca="1">IFERROR(__xludf.DUMMYFUNCTION("""COMPUTED_VALUE"""),"")</f>
        <v/>
      </c>
      <c r="G176" s="134" t="str">
        <f ca="1">IFERROR(__xludf.DUMMYFUNCTION("""COMPUTED_VALUE"""),"")</f>
        <v/>
      </c>
      <c r="H176" s="134" t="str">
        <f ca="1">IFERROR(__xludf.DUMMYFUNCTION("""COMPUTED_VALUE"""),"")</f>
        <v/>
      </c>
      <c r="I176" s="134" t="str">
        <f ca="1">IFERROR(__xludf.DUMMYFUNCTION("""COMPUTED_VALUE"""),"")</f>
        <v/>
      </c>
      <c r="J176" s="134" t="str">
        <f ca="1">IFERROR(__xludf.DUMMYFUNCTION("""COMPUTED_VALUE"""),"")</f>
        <v/>
      </c>
      <c r="N176" s="31"/>
    </row>
    <row r="177" spans="1:14" customFormat="1">
      <c r="A177" s="134" t="str">
        <f ca="1">IFERROR(__xludf.DUMMYFUNCTION("""COMPUTED_VALUE"""),"")</f>
        <v/>
      </c>
      <c r="B177" s="134" t="str">
        <f ca="1">IFERROR(__xludf.DUMMYFUNCTION("""COMPUTED_VALUE"""),"")</f>
        <v/>
      </c>
      <c r="C177" s="134" t="str">
        <f ca="1">IFERROR(__xludf.DUMMYFUNCTION("""COMPUTED_VALUE"""),"")</f>
        <v/>
      </c>
      <c r="D177" s="134" t="str">
        <f ca="1">IFERROR(__xludf.DUMMYFUNCTION("""COMPUTED_VALUE"""),"")</f>
        <v/>
      </c>
      <c r="E177" s="134" t="str">
        <f ca="1">IFERROR(__xludf.DUMMYFUNCTION("""COMPUTED_VALUE"""),"")</f>
        <v/>
      </c>
      <c r="F177" s="134" t="str">
        <f ca="1">IFERROR(__xludf.DUMMYFUNCTION("""COMPUTED_VALUE"""),"")</f>
        <v/>
      </c>
      <c r="G177" s="134" t="str">
        <f ca="1">IFERROR(__xludf.DUMMYFUNCTION("""COMPUTED_VALUE"""),"")</f>
        <v/>
      </c>
      <c r="H177" s="134" t="str">
        <f ca="1">IFERROR(__xludf.DUMMYFUNCTION("""COMPUTED_VALUE"""),"")</f>
        <v/>
      </c>
      <c r="I177" s="134" t="str">
        <f ca="1">IFERROR(__xludf.DUMMYFUNCTION("""COMPUTED_VALUE"""),"")</f>
        <v/>
      </c>
      <c r="J177" s="134" t="str">
        <f ca="1">IFERROR(__xludf.DUMMYFUNCTION("""COMPUTED_VALUE"""),"")</f>
        <v/>
      </c>
      <c r="N177" s="31"/>
    </row>
    <row r="178" spans="1:14" customFormat="1">
      <c r="A178" s="134" t="str">
        <f ca="1">IFERROR(__xludf.DUMMYFUNCTION("""COMPUTED_VALUE"""),"")</f>
        <v/>
      </c>
      <c r="B178" s="134" t="str">
        <f ca="1">IFERROR(__xludf.DUMMYFUNCTION("""COMPUTED_VALUE"""),"")</f>
        <v/>
      </c>
      <c r="C178" s="134" t="str">
        <f ca="1">IFERROR(__xludf.DUMMYFUNCTION("""COMPUTED_VALUE"""),"")</f>
        <v/>
      </c>
      <c r="D178" s="134" t="str">
        <f ca="1">IFERROR(__xludf.DUMMYFUNCTION("""COMPUTED_VALUE"""),"")</f>
        <v/>
      </c>
      <c r="E178" s="134" t="str">
        <f ca="1">IFERROR(__xludf.DUMMYFUNCTION("""COMPUTED_VALUE"""),"")</f>
        <v/>
      </c>
      <c r="F178" s="134" t="str">
        <f ca="1">IFERROR(__xludf.DUMMYFUNCTION("""COMPUTED_VALUE"""),"")</f>
        <v/>
      </c>
      <c r="G178" s="134" t="str">
        <f ca="1">IFERROR(__xludf.DUMMYFUNCTION("""COMPUTED_VALUE"""),"")</f>
        <v/>
      </c>
      <c r="H178" s="134" t="str">
        <f ca="1">IFERROR(__xludf.DUMMYFUNCTION("""COMPUTED_VALUE"""),"")</f>
        <v/>
      </c>
      <c r="I178" s="134" t="str">
        <f ca="1">IFERROR(__xludf.DUMMYFUNCTION("""COMPUTED_VALUE"""),"")</f>
        <v/>
      </c>
      <c r="J178" s="134" t="str">
        <f ca="1">IFERROR(__xludf.DUMMYFUNCTION("""COMPUTED_VALUE"""),"")</f>
        <v/>
      </c>
      <c r="N178" s="31"/>
    </row>
    <row r="179" spans="1:14" customFormat="1">
      <c r="A179" s="134" t="str">
        <f ca="1">IFERROR(__xludf.DUMMYFUNCTION("""COMPUTED_VALUE"""),"")</f>
        <v/>
      </c>
      <c r="B179" s="134" t="str">
        <f ca="1">IFERROR(__xludf.DUMMYFUNCTION("""COMPUTED_VALUE"""),"")</f>
        <v/>
      </c>
      <c r="C179" s="134" t="str">
        <f ca="1">IFERROR(__xludf.DUMMYFUNCTION("""COMPUTED_VALUE"""),"")</f>
        <v/>
      </c>
      <c r="D179" s="134" t="str">
        <f ca="1">IFERROR(__xludf.DUMMYFUNCTION("""COMPUTED_VALUE"""),"")</f>
        <v/>
      </c>
      <c r="E179" s="134" t="str">
        <f ca="1">IFERROR(__xludf.DUMMYFUNCTION("""COMPUTED_VALUE"""),"")</f>
        <v/>
      </c>
      <c r="F179" s="134" t="str">
        <f ca="1">IFERROR(__xludf.DUMMYFUNCTION("""COMPUTED_VALUE"""),"")</f>
        <v/>
      </c>
      <c r="G179" s="134" t="str">
        <f ca="1">IFERROR(__xludf.DUMMYFUNCTION("""COMPUTED_VALUE"""),"")</f>
        <v/>
      </c>
      <c r="H179" s="134" t="str">
        <f ca="1">IFERROR(__xludf.DUMMYFUNCTION("""COMPUTED_VALUE"""),"")</f>
        <v/>
      </c>
      <c r="I179" s="134" t="str">
        <f ca="1">IFERROR(__xludf.DUMMYFUNCTION("""COMPUTED_VALUE"""),"")</f>
        <v/>
      </c>
      <c r="J179" s="134" t="str">
        <f ca="1">IFERROR(__xludf.DUMMYFUNCTION("""COMPUTED_VALUE"""),"")</f>
        <v/>
      </c>
      <c r="N179" s="31"/>
    </row>
    <row r="180" spans="1:14" customFormat="1">
      <c r="A180" s="134" t="str">
        <f ca="1">IFERROR(__xludf.DUMMYFUNCTION("""COMPUTED_VALUE"""),"")</f>
        <v/>
      </c>
      <c r="B180" s="134" t="str">
        <f ca="1">IFERROR(__xludf.DUMMYFUNCTION("""COMPUTED_VALUE"""),"")</f>
        <v/>
      </c>
      <c r="C180" s="134" t="str">
        <f ca="1">IFERROR(__xludf.DUMMYFUNCTION("""COMPUTED_VALUE"""),"")</f>
        <v/>
      </c>
      <c r="D180" s="134" t="str">
        <f ca="1">IFERROR(__xludf.DUMMYFUNCTION("""COMPUTED_VALUE"""),"")</f>
        <v/>
      </c>
      <c r="E180" s="134" t="str">
        <f ca="1">IFERROR(__xludf.DUMMYFUNCTION("""COMPUTED_VALUE"""),"")</f>
        <v/>
      </c>
      <c r="F180" s="134" t="str">
        <f ca="1">IFERROR(__xludf.DUMMYFUNCTION("""COMPUTED_VALUE"""),"")</f>
        <v/>
      </c>
      <c r="G180" s="134" t="str">
        <f ca="1">IFERROR(__xludf.DUMMYFUNCTION("""COMPUTED_VALUE"""),"")</f>
        <v/>
      </c>
      <c r="H180" s="134" t="str">
        <f ca="1">IFERROR(__xludf.DUMMYFUNCTION("""COMPUTED_VALUE"""),"")</f>
        <v/>
      </c>
      <c r="I180" s="134" t="str">
        <f ca="1">IFERROR(__xludf.DUMMYFUNCTION("""COMPUTED_VALUE"""),"")</f>
        <v/>
      </c>
      <c r="J180" s="134" t="str">
        <f ca="1">IFERROR(__xludf.DUMMYFUNCTION("""COMPUTED_VALUE"""),"")</f>
        <v/>
      </c>
      <c r="N180" s="31"/>
    </row>
    <row r="181" spans="1:14" customFormat="1">
      <c r="A181" s="134" t="str">
        <f ca="1">IFERROR(__xludf.DUMMYFUNCTION("""COMPUTED_VALUE"""),"")</f>
        <v/>
      </c>
      <c r="B181" s="134" t="str">
        <f ca="1">IFERROR(__xludf.DUMMYFUNCTION("""COMPUTED_VALUE"""),"")</f>
        <v/>
      </c>
      <c r="C181" s="134" t="str">
        <f ca="1">IFERROR(__xludf.DUMMYFUNCTION("""COMPUTED_VALUE"""),"")</f>
        <v/>
      </c>
      <c r="D181" s="134" t="str">
        <f ca="1">IFERROR(__xludf.DUMMYFUNCTION("""COMPUTED_VALUE"""),"")</f>
        <v/>
      </c>
      <c r="E181" s="134" t="str">
        <f ca="1">IFERROR(__xludf.DUMMYFUNCTION("""COMPUTED_VALUE"""),"")</f>
        <v/>
      </c>
      <c r="F181" s="134" t="str">
        <f ca="1">IFERROR(__xludf.DUMMYFUNCTION("""COMPUTED_VALUE"""),"")</f>
        <v/>
      </c>
      <c r="G181" s="134" t="str">
        <f ca="1">IFERROR(__xludf.DUMMYFUNCTION("""COMPUTED_VALUE"""),"")</f>
        <v/>
      </c>
      <c r="H181" s="134" t="str">
        <f ca="1">IFERROR(__xludf.DUMMYFUNCTION("""COMPUTED_VALUE"""),"")</f>
        <v/>
      </c>
      <c r="I181" s="134" t="str">
        <f ca="1">IFERROR(__xludf.DUMMYFUNCTION("""COMPUTED_VALUE"""),"")</f>
        <v/>
      </c>
      <c r="J181" s="134" t="str">
        <f ca="1">IFERROR(__xludf.DUMMYFUNCTION("""COMPUTED_VALUE"""),"")</f>
        <v/>
      </c>
      <c r="N181" s="31"/>
    </row>
    <row r="182" spans="1:14" customFormat="1">
      <c r="A182" s="134" t="str">
        <f ca="1">IFERROR(__xludf.DUMMYFUNCTION("""COMPUTED_VALUE"""),"")</f>
        <v/>
      </c>
      <c r="B182" s="134" t="str">
        <f ca="1">IFERROR(__xludf.DUMMYFUNCTION("""COMPUTED_VALUE"""),"")</f>
        <v/>
      </c>
      <c r="C182" s="134" t="str">
        <f ca="1">IFERROR(__xludf.DUMMYFUNCTION("""COMPUTED_VALUE"""),"")</f>
        <v/>
      </c>
      <c r="D182" s="134" t="str">
        <f ca="1">IFERROR(__xludf.DUMMYFUNCTION("""COMPUTED_VALUE"""),"")</f>
        <v/>
      </c>
      <c r="E182" s="134" t="str">
        <f ca="1">IFERROR(__xludf.DUMMYFUNCTION("""COMPUTED_VALUE"""),"")</f>
        <v/>
      </c>
      <c r="F182" s="134" t="str">
        <f ca="1">IFERROR(__xludf.DUMMYFUNCTION("""COMPUTED_VALUE"""),"")</f>
        <v/>
      </c>
      <c r="G182" s="134" t="str">
        <f ca="1">IFERROR(__xludf.DUMMYFUNCTION("""COMPUTED_VALUE"""),"")</f>
        <v/>
      </c>
      <c r="H182" s="134" t="str">
        <f ca="1">IFERROR(__xludf.DUMMYFUNCTION("""COMPUTED_VALUE"""),"")</f>
        <v/>
      </c>
      <c r="I182" s="134" t="str">
        <f ca="1">IFERROR(__xludf.DUMMYFUNCTION("""COMPUTED_VALUE"""),"")</f>
        <v/>
      </c>
      <c r="J182" s="134" t="str">
        <f ca="1">IFERROR(__xludf.DUMMYFUNCTION("""COMPUTED_VALUE"""),"")</f>
        <v/>
      </c>
      <c r="N182" s="31"/>
    </row>
    <row r="183" spans="1:14" customFormat="1">
      <c r="A183" s="134" t="str">
        <f ca="1">IFERROR(__xludf.DUMMYFUNCTION("""COMPUTED_VALUE"""),"")</f>
        <v/>
      </c>
      <c r="B183" s="134" t="str">
        <f ca="1">IFERROR(__xludf.DUMMYFUNCTION("""COMPUTED_VALUE"""),"")</f>
        <v/>
      </c>
      <c r="C183" s="134" t="str">
        <f ca="1">IFERROR(__xludf.DUMMYFUNCTION("""COMPUTED_VALUE"""),"")</f>
        <v/>
      </c>
      <c r="D183" s="134" t="str">
        <f ca="1">IFERROR(__xludf.DUMMYFUNCTION("""COMPUTED_VALUE"""),"")</f>
        <v/>
      </c>
      <c r="E183" s="134" t="str">
        <f ca="1">IFERROR(__xludf.DUMMYFUNCTION("""COMPUTED_VALUE"""),"")</f>
        <v/>
      </c>
      <c r="F183" s="134" t="str">
        <f ca="1">IFERROR(__xludf.DUMMYFUNCTION("""COMPUTED_VALUE"""),"")</f>
        <v/>
      </c>
      <c r="G183" s="134" t="str">
        <f ca="1">IFERROR(__xludf.DUMMYFUNCTION("""COMPUTED_VALUE"""),"")</f>
        <v/>
      </c>
      <c r="H183" s="134" t="str">
        <f ca="1">IFERROR(__xludf.DUMMYFUNCTION("""COMPUTED_VALUE"""),"")</f>
        <v/>
      </c>
      <c r="I183" s="134" t="str">
        <f ca="1">IFERROR(__xludf.DUMMYFUNCTION("""COMPUTED_VALUE"""),"")</f>
        <v/>
      </c>
      <c r="J183" s="134" t="str">
        <f ca="1">IFERROR(__xludf.DUMMYFUNCTION("""COMPUTED_VALUE"""),"")</f>
        <v/>
      </c>
      <c r="N183" s="31"/>
    </row>
    <row r="184" spans="1:14" customFormat="1">
      <c r="A184" s="134" t="str">
        <f ca="1">IFERROR(__xludf.DUMMYFUNCTION("""COMPUTED_VALUE"""),"")</f>
        <v/>
      </c>
      <c r="B184" s="134" t="str">
        <f ca="1">IFERROR(__xludf.DUMMYFUNCTION("""COMPUTED_VALUE"""),"")</f>
        <v/>
      </c>
      <c r="C184" s="134" t="str">
        <f ca="1">IFERROR(__xludf.DUMMYFUNCTION("""COMPUTED_VALUE"""),"")</f>
        <v/>
      </c>
      <c r="D184" s="134" t="str">
        <f ca="1">IFERROR(__xludf.DUMMYFUNCTION("""COMPUTED_VALUE"""),"")</f>
        <v/>
      </c>
      <c r="E184" s="134" t="str">
        <f ca="1">IFERROR(__xludf.DUMMYFUNCTION("""COMPUTED_VALUE"""),"")</f>
        <v/>
      </c>
      <c r="F184" s="134" t="str">
        <f ca="1">IFERROR(__xludf.DUMMYFUNCTION("""COMPUTED_VALUE"""),"")</f>
        <v/>
      </c>
      <c r="G184" s="134" t="str">
        <f ca="1">IFERROR(__xludf.DUMMYFUNCTION("""COMPUTED_VALUE"""),"")</f>
        <v/>
      </c>
      <c r="H184" s="134" t="str">
        <f ca="1">IFERROR(__xludf.DUMMYFUNCTION("""COMPUTED_VALUE"""),"")</f>
        <v/>
      </c>
      <c r="I184" s="134" t="str">
        <f ca="1">IFERROR(__xludf.DUMMYFUNCTION("""COMPUTED_VALUE"""),"")</f>
        <v/>
      </c>
      <c r="J184" s="134" t="str">
        <f ca="1">IFERROR(__xludf.DUMMYFUNCTION("""COMPUTED_VALUE"""),"")</f>
        <v/>
      </c>
      <c r="N184" s="31"/>
    </row>
    <row r="185" spans="1:14" customFormat="1">
      <c r="A185" s="134" t="str">
        <f ca="1">IFERROR(__xludf.DUMMYFUNCTION("""COMPUTED_VALUE"""),"")</f>
        <v/>
      </c>
      <c r="B185" s="134" t="str">
        <f ca="1">IFERROR(__xludf.DUMMYFUNCTION("""COMPUTED_VALUE"""),"")</f>
        <v/>
      </c>
      <c r="C185" s="134" t="str">
        <f ca="1">IFERROR(__xludf.DUMMYFUNCTION("""COMPUTED_VALUE"""),"")</f>
        <v/>
      </c>
      <c r="D185" s="134" t="str">
        <f ca="1">IFERROR(__xludf.DUMMYFUNCTION("""COMPUTED_VALUE"""),"")</f>
        <v/>
      </c>
      <c r="E185" s="134" t="str">
        <f ca="1">IFERROR(__xludf.DUMMYFUNCTION("""COMPUTED_VALUE"""),"")</f>
        <v/>
      </c>
      <c r="F185" s="134" t="str">
        <f ca="1">IFERROR(__xludf.DUMMYFUNCTION("""COMPUTED_VALUE"""),"")</f>
        <v/>
      </c>
      <c r="G185" s="134" t="str">
        <f ca="1">IFERROR(__xludf.DUMMYFUNCTION("""COMPUTED_VALUE"""),"")</f>
        <v/>
      </c>
      <c r="H185" s="134" t="str">
        <f ca="1">IFERROR(__xludf.DUMMYFUNCTION("""COMPUTED_VALUE"""),"")</f>
        <v/>
      </c>
      <c r="I185" s="134" t="str">
        <f ca="1">IFERROR(__xludf.DUMMYFUNCTION("""COMPUTED_VALUE"""),"")</f>
        <v/>
      </c>
      <c r="J185" s="134" t="str">
        <f ca="1">IFERROR(__xludf.DUMMYFUNCTION("""COMPUTED_VALUE"""),"")</f>
        <v/>
      </c>
      <c r="N185" s="31"/>
    </row>
    <row r="186" spans="1:14" customFormat="1">
      <c r="A186" s="134" t="str">
        <f ca="1">IFERROR(__xludf.DUMMYFUNCTION("""COMPUTED_VALUE"""),"")</f>
        <v/>
      </c>
      <c r="B186" s="134" t="str">
        <f ca="1">IFERROR(__xludf.DUMMYFUNCTION("""COMPUTED_VALUE"""),"")</f>
        <v/>
      </c>
      <c r="C186" s="134" t="str">
        <f ca="1">IFERROR(__xludf.DUMMYFUNCTION("""COMPUTED_VALUE"""),"")</f>
        <v/>
      </c>
      <c r="D186" s="134" t="str">
        <f ca="1">IFERROR(__xludf.DUMMYFUNCTION("""COMPUTED_VALUE"""),"")</f>
        <v/>
      </c>
      <c r="E186" s="134" t="str">
        <f ca="1">IFERROR(__xludf.DUMMYFUNCTION("""COMPUTED_VALUE"""),"")</f>
        <v/>
      </c>
      <c r="F186" s="134" t="str">
        <f ca="1">IFERROR(__xludf.DUMMYFUNCTION("""COMPUTED_VALUE"""),"")</f>
        <v/>
      </c>
      <c r="G186" s="134" t="str">
        <f ca="1">IFERROR(__xludf.DUMMYFUNCTION("""COMPUTED_VALUE"""),"")</f>
        <v/>
      </c>
      <c r="H186" s="134" t="str">
        <f ca="1">IFERROR(__xludf.DUMMYFUNCTION("""COMPUTED_VALUE"""),"")</f>
        <v/>
      </c>
      <c r="I186" s="134" t="str">
        <f ca="1">IFERROR(__xludf.DUMMYFUNCTION("""COMPUTED_VALUE"""),"")</f>
        <v/>
      </c>
      <c r="J186" s="134" t="str">
        <f ca="1">IFERROR(__xludf.DUMMYFUNCTION("""COMPUTED_VALUE"""),"")</f>
        <v/>
      </c>
      <c r="N186" s="31"/>
    </row>
    <row r="187" spans="1:14" customFormat="1">
      <c r="A187" s="134" t="str">
        <f ca="1">IFERROR(__xludf.DUMMYFUNCTION("""COMPUTED_VALUE"""),"")</f>
        <v/>
      </c>
      <c r="B187" s="134" t="str">
        <f ca="1">IFERROR(__xludf.DUMMYFUNCTION("""COMPUTED_VALUE"""),"")</f>
        <v/>
      </c>
      <c r="C187" s="134" t="str">
        <f ca="1">IFERROR(__xludf.DUMMYFUNCTION("""COMPUTED_VALUE"""),"")</f>
        <v/>
      </c>
      <c r="D187" s="134" t="str">
        <f ca="1">IFERROR(__xludf.DUMMYFUNCTION("""COMPUTED_VALUE"""),"")</f>
        <v/>
      </c>
      <c r="E187" s="134" t="str">
        <f ca="1">IFERROR(__xludf.DUMMYFUNCTION("""COMPUTED_VALUE"""),"")</f>
        <v/>
      </c>
      <c r="F187" s="134" t="str">
        <f ca="1">IFERROR(__xludf.DUMMYFUNCTION("""COMPUTED_VALUE"""),"")</f>
        <v/>
      </c>
      <c r="G187" s="134" t="str">
        <f ca="1">IFERROR(__xludf.DUMMYFUNCTION("""COMPUTED_VALUE"""),"")</f>
        <v/>
      </c>
      <c r="H187" s="134" t="str">
        <f ca="1">IFERROR(__xludf.DUMMYFUNCTION("""COMPUTED_VALUE"""),"")</f>
        <v/>
      </c>
      <c r="I187" s="134" t="str">
        <f ca="1">IFERROR(__xludf.DUMMYFUNCTION("""COMPUTED_VALUE"""),"")</f>
        <v/>
      </c>
      <c r="J187" s="134" t="str">
        <f ca="1">IFERROR(__xludf.DUMMYFUNCTION("""COMPUTED_VALUE"""),"")</f>
        <v/>
      </c>
      <c r="N187" s="31"/>
    </row>
    <row r="188" spans="1:14" customFormat="1">
      <c r="A188" s="134" t="str">
        <f ca="1">IFERROR(__xludf.DUMMYFUNCTION("""COMPUTED_VALUE"""),"")</f>
        <v/>
      </c>
      <c r="B188" s="134" t="str">
        <f ca="1">IFERROR(__xludf.DUMMYFUNCTION("""COMPUTED_VALUE"""),"")</f>
        <v/>
      </c>
      <c r="C188" s="134" t="str">
        <f ca="1">IFERROR(__xludf.DUMMYFUNCTION("""COMPUTED_VALUE"""),"")</f>
        <v/>
      </c>
      <c r="D188" s="134" t="str">
        <f ca="1">IFERROR(__xludf.DUMMYFUNCTION("""COMPUTED_VALUE"""),"")</f>
        <v/>
      </c>
      <c r="E188" s="134" t="str">
        <f ca="1">IFERROR(__xludf.DUMMYFUNCTION("""COMPUTED_VALUE"""),"")</f>
        <v/>
      </c>
      <c r="F188" s="134" t="str">
        <f ca="1">IFERROR(__xludf.DUMMYFUNCTION("""COMPUTED_VALUE"""),"")</f>
        <v/>
      </c>
      <c r="G188" s="134" t="str">
        <f ca="1">IFERROR(__xludf.DUMMYFUNCTION("""COMPUTED_VALUE"""),"")</f>
        <v/>
      </c>
      <c r="H188" s="134" t="str">
        <f ca="1">IFERROR(__xludf.DUMMYFUNCTION("""COMPUTED_VALUE"""),"")</f>
        <v/>
      </c>
      <c r="I188" s="134" t="str">
        <f ca="1">IFERROR(__xludf.DUMMYFUNCTION("""COMPUTED_VALUE"""),"")</f>
        <v/>
      </c>
      <c r="J188" s="134" t="str">
        <f ca="1">IFERROR(__xludf.DUMMYFUNCTION("""COMPUTED_VALUE"""),"")</f>
        <v/>
      </c>
      <c r="N188" s="31"/>
    </row>
    <row r="189" spans="1:14" customFormat="1">
      <c r="A189" s="134" t="str">
        <f ca="1">IFERROR(__xludf.DUMMYFUNCTION("""COMPUTED_VALUE"""),"")</f>
        <v/>
      </c>
      <c r="B189" s="134" t="str">
        <f ca="1">IFERROR(__xludf.DUMMYFUNCTION("""COMPUTED_VALUE"""),"")</f>
        <v/>
      </c>
      <c r="C189" s="134" t="str">
        <f ca="1">IFERROR(__xludf.DUMMYFUNCTION("""COMPUTED_VALUE"""),"")</f>
        <v/>
      </c>
      <c r="D189" s="134" t="str">
        <f ca="1">IFERROR(__xludf.DUMMYFUNCTION("""COMPUTED_VALUE"""),"")</f>
        <v/>
      </c>
      <c r="E189" s="134" t="str">
        <f ca="1">IFERROR(__xludf.DUMMYFUNCTION("""COMPUTED_VALUE"""),"")</f>
        <v/>
      </c>
      <c r="F189" s="134" t="str">
        <f ca="1">IFERROR(__xludf.DUMMYFUNCTION("""COMPUTED_VALUE"""),"")</f>
        <v/>
      </c>
      <c r="G189" s="134" t="str">
        <f ca="1">IFERROR(__xludf.DUMMYFUNCTION("""COMPUTED_VALUE"""),"")</f>
        <v/>
      </c>
      <c r="H189" s="134" t="str">
        <f ca="1">IFERROR(__xludf.DUMMYFUNCTION("""COMPUTED_VALUE"""),"")</f>
        <v/>
      </c>
      <c r="I189" s="134" t="str">
        <f ca="1">IFERROR(__xludf.DUMMYFUNCTION("""COMPUTED_VALUE"""),"")</f>
        <v/>
      </c>
      <c r="J189" s="134" t="str">
        <f ca="1">IFERROR(__xludf.DUMMYFUNCTION("""COMPUTED_VALUE"""),"")</f>
        <v/>
      </c>
      <c r="N189" s="31"/>
    </row>
    <row r="190" spans="1:14" customFormat="1">
      <c r="A190" s="134" t="str">
        <f ca="1">IFERROR(__xludf.DUMMYFUNCTION("""COMPUTED_VALUE"""),"")</f>
        <v/>
      </c>
      <c r="B190" s="134" t="str">
        <f ca="1">IFERROR(__xludf.DUMMYFUNCTION("""COMPUTED_VALUE"""),"")</f>
        <v/>
      </c>
      <c r="C190" s="134" t="str">
        <f ca="1">IFERROR(__xludf.DUMMYFUNCTION("""COMPUTED_VALUE"""),"")</f>
        <v/>
      </c>
      <c r="D190" s="134" t="str">
        <f ca="1">IFERROR(__xludf.DUMMYFUNCTION("""COMPUTED_VALUE"""),"")</f>
        <v/>
      </c>
      <c r="E190" s="134" t="str">
        <f ca="1">IFERROR(__xludf.DUMMYFUNCTION("""COMPUTED_VALUE"""),"")</f>
        <v/>
      </c>
      <c r="F190" s="134" t="str">
        <f ca="1">IFERROR(__xludf.DUMMYFUNCTION("""COMPUTED_VALUE"""),"")</f>
        <v/>
      </c>
      <c r="G190" s="134" t="str">
        <f ca="1">IFERROR(__xludf.DUMMYFUNCTION("""COMPUTED_VALUE"""),"")</f>
        <v/>
      </c>
      <c r="H190" s="134" t="str">
        <f ca="1">IFERROR(__xludf.DUMMYFUNCTION("""COMPUTED_VALUE"""),"")</f>
        <v/>
      </c>
      <c r="I190" s="134" t="str">
        <f ca="1">IFERROR(__xludf.DUMMYFUNCTION("""COMPUTED_VALUE"""),"")</f>
        <v/>
      </c>
      <c r="J190" s="134" t="str">
        <f ca="1">IFERROR(__xludf.DUMMYFUNCTION("""COMPUTED_VALUE"""),"")</f>
        <v/>
      </c>
      <c r="N190" s="31"/>
    </row>
    <row r="191" spans="1:14" customFormat="1">
      <c r="A191" s="134" t="str">
        <f ca="1">IFERROR(__xludf.DUMMYFUNCTION("""COMPUTED_VALUE"""),"")</f>
        <v/>
      </c>
      <c r="B191" s="134" t="str">
        <f ca="1">IFERROR(__xludf.DUMMYFUNCTION("""COMPUTED_VALUE"""),"")</f>
        <v/>
      </c>
      <c r="C191" s="134" t="str">
        <f ca="1">IFERROR(__xludf.DUMMYFUNCTION("""COMPUTED_VALUE"""),"")</f>
        <v/>
      </c>
      <c r="D191" s="134" t="str">
        <f ca="1">IFERROR(__xludf.DUMMYFUNCTION("""COMPUTED_VALUE"""),"")</f>
        <v/>
      </c>
      <c r="E191" s="134" t="str">
        <f ca="1">IFERROR(__xludf.DUMMYFUNCTION("""COMPUTED_VALUE"""),"")</f>
        <v/>
      </c>
      <c r="F191" s="134" t="str">
        <f ca="1">IFERROR(__xludf.DUMMYFUNCTION("""COMPUTED_VALUE"""),"")</f>
        <v/>
      </c>
      <c r="G191" s="134" t="str">
        <f ca="1">IFERROR(__xludf.DUMMYFUNCTION("""COMPUTED_VALUE"""),"")</f>
        <v/>
      </c>
      <c r="H191" s="134" t="str">
        <f ca="1">IFERROR(__xludf.DUMMYFUNCTION("""COMPUTED_VALUE"""),"")</f>
        <v/>
      </c>
      <c r="I191" s="134" t="str">
        <f ca="1">IFERROR(__xludf.DUMMYFUNCTION("""COMPUTED_VALUE"""),"")</f>
        <v/>
      </c>
      <c r="J191" s="134" t="str">
        <f ca="1">IFERROR(__xludf.DUMMYFUNCTION("""COMPUTED_VALUE"""),"")</f>
        <v/>
      </c>
      <c r="N191" s="31"/>
    </row>
    <row r="192" spans="1:14" customFormat="1">
      <c r="A192" s="134" t="str">
        <f ca="1">IFERROR(__xludf.DUMMYFUNCTION("""COMPUTED_VALUE"""),"")</f>
        <v/>
      </c>
      <c r="B192" s="134" t="str">
        <f ca="1">IFERROR(__xludf.DUMMYFUNCTION("""COMPUTED_VALUE"""),"")</f>
        <v/>
      </c>
      <c r="C192" s="134" t="str">
        <f ca="1">IFERROR(__xludf.DUMMYFUNCTION("""COMPUTED_VALUE"""),"")</f>
        <v/>
      </c>
      <c r="D192" s="134" t="str">
        <f ca="1">IFERROR(__xludf.DUMMYFUNCTION("""COMPUTED_VALUE"""),"")</f>
        <v/>
      </c>
      <c r="E192" s="134" t="str">
        <f ca="1">IFERROR(__xludf.DUMMYFUNCTION("""COMPUTED_VALUE"""),"")</f>
        <v/>
      </c>
      <c r="F192" s="134" t="str">
        <f ca="1">IFERROR(__xludf.DUMMYFUNCTION("""COMPUTED_VALUE"""),"")</f>
        <v/>
      </c>
      <c r="G192" s="134" t="str">
        <f ca="1">IFERROR(__xludf.DUMMYFUNCTION("""COMPUTED_VALUE"""),"")</f>
        <v/>
      </c>
      <c r="H192" s="134" t="str">
        <f ca="1">IFERROR(__xludf.DUMMYFUNCTION("""COMPUTED_VALUE"""),"")</f>
        <v/>
      </c>
      <c r="I192" s="134" t="str">
        <f ca="1">IFERROR(__xludf.DUMMYFUNCTION("""COMPUTED_VALUE"""),"")</f>
        <v/>
      </c>
      <c r="J192" s="134" t="str">
        <f ca="1">IFERROR(__xludf.DUMMYFUNCTION("""COMPUTED_VALUE"""),"")</f>
        <v/>
      </c>
      <c r="N192" s="31"/>
    </row>
    <row r="193" spans="1:14" customFormat="1">
      <c r="A193" s="134" t="str">
        <f ca="1">IFERROR(__xludf.DUMMYFUNCTION("""COMPUTED_VALUE"""),"")</f>
        <v/>
      </c>
      <c r="B193" s="134" t="str">
        <f ca="1">IFERROR(__xludf.DUMMYFUNCTION("""COMPUTED_VALUE"""),"")</f>
        <v/>
      </c>
      <c r="C193" s="134" t="str">
        <f ca="1">IFERROR(__xludf.DUMMYFUNCTION("""COMPUTED_VALUE"""),"")</f>
        <v/>
      </c>
      <c r="D193" s="134" t="str">
        <f ca="1">IFERROR(__xludf.DUMMYFUNCTION("""COMPUTED_VALUE"""),"")</f>
        <v/>
      </c>
      <c r="E193" s="134" t="str">
        <f ca="1">IFERROR(__xludf.DUMMYFUNCTION("""COMPUTED_VALUE"""),"")</f>
        <v/>
      </c>
      <c r="F193" s="134" t="str">
        <f ca="1">IFERROR(__xludf.DUMMYFUNCTION("""COMPUTED_VALUE"""),"")</f>
        <v/>
      </c>
      <c r="G193" s="134" t="str">
        <f ca="1">IFERROR(__xludf.DUMMYFUNCTION("""COMPUTED_VALUE"""),"")</f>
        <v/>
      </c>
      <c r="H193" s="134" t="str">
        <f ca="1">IFERROR(__xludf.DUMMYFUNCTION("""COMPUTED_VALUE"""),"")</f>
        <v/>
      </c>
      <c r="I193" s="134" t="str">
        <f ca="1">IFERROR(__xludf.DUMMYFUNCTION("""COMPUTED_VALUE"""),"")</f>
        <v/>
      </c>
      <c r="J193" s="134" t="str">
        <f ca="1">IFERROR(__xludf.DUMMYFUNCTION("""COMPUTED_VALUE"""),"")</f>
        <v/>
      </c>
      <c r="N193" s="31"/>
    </row>
    <row r="194" spans="1:14" customFormat="1">
      <c r="A194" s="134" t="str">
        <f ca="1">IFERROR(__xludf.DUMMYFUNCTION("""COMPUTED_VALUE"""),"")</f>
        <v/>
      </c>
      <c r="B194" s="134" t="str">
        <f ca="1">IFERROR(__xludf.DUMMYFUNCTION("""COMPUTED_VALUE"""),"")</f>
        <v/>
      </c>
      <c r="C194" s="134" t="str">
        <f ca="1">IFERROR(__xludf.DUMMYFUNCTION("""COMPUTED_VALUE"""),"")</f>
        <v/>
      </c>
      <c r="D194" s="134" t="str">
        <f ca="1">IFERROR(__xludf.DUMMYFUNCTION("""COMPUTED_VALUE"""),"")</f>
        <v/>
      </c>
      <c r="E194" s="134" t="str">
        <f ca="1">IFERROR(__xludf.DUMMYFUNCTION("""COMPUTED_VALUE"""),"")</f>
        <v/>
      </c>
      <c r="F194" s="134" t="str">
        <f ca="1">IFERROR(__xludf.DUMMYFUNCTION("""COMPUTED_VALUE"""),"")</f>
        <v/>
      </c>
      <c r="G194" s="134" t="str">
        <f ca="1">IFERROR(__xludf.DUMMYFUNCTION("""COMPUTED_VALUE"""),"")</f>
        <v/>
      </c>
      <c r="H194" s="134" t="str">
        <f ca="1">IFERROR(__xludf.DUMMYFUNCTION("""COMPUTED_VALUE"""),"")</f>
        <v/>
      </c>
      <c r="I194" s="134" t="str">
        <f ca="1">IFERROR(__xludf.DUMMYFUNCTION("""COMPUTED_VALUE"""),"")</f>
        <v/>
      </c>
      <c r="J194" s="134" t="str">
        <f ca="1">IFERROR(__xludf.DUMMYFUNCTION("""COMPUTED_VALUE"""),"")</f>
        <v/>
      </c>
      <c r="N194" s="31"/>
    </row>
    <row r="195" spans="1:14" customFormat="1">
      <c r="A195" s="134" t="str">
        <f ca="1">IFERROR(__xludf.DUMMYFUNCTION("""COMPUTED_VALUE"""),"")</f>
        <v/>
      </c>
      <c r="B195" s="134" t="str">
        <f ca="1">IFERROR(__xludf.DUMMYFUNCTION("""COMPUTED_VALUE"""),"")</f>
        <v/>
      </c>
      <c r="C195" s="134" t="str">
        <f ca="1">IFERROR(__xludf.DUMMYFUNCTION("""COMPUTED_VALUE"""),"")</f>
        <v/>
      </c>
      <c r="D195" s="134" t="str">
        <f ca="1">IFERROR(__xludf.DUMMYFUNCTION("""COMPUTED_VALUE"""),"")</f>
        <v/>
      </c>
      <c r="E195" s="134" t="str">
        <f ca="1">IFERROR(__xludf.DUMMYFUNCTION("""COMPUTED_VALUE"""),"")</f>
        <v/>
      </c>
      <c r="F195" s="134" t="str">
        <f ca="1">IFERROR(__xludf.DUMMYFUNCTION("""COMPUTED_VALUE"""),"")</f>
        <v/>
      </c>
      <c r="G195" s="134" t="str">
        <f ca="1">IFERROR(__xludf.DUMMYFUNCTION("""COMPUTED_VALUE"""),"")</f>
        <v/>
      </c>
      <c r="H195" s="134" t="str">
        <f ca="1">IFERROR(__xludf.DUMMYFUNCTION("""COMPUTED_VALUE"""),"")</f>
        <v/>
      </c>
      <c r="I195" s="134" t="str">
        <f ca="1">IFERROR(__xludf.DUMMYFUNCTION("""COMPUTED_VALUE"""),"")</f>
        <v/>
      </c>
      <c r="J195" s="134" t="str">
        <f ca="1">IFERROR(__xludf.DUMMYFUNCTION("""COMPUTED_VALUE"""),"")</f>
        <v/>
      </c>
      <c r="N195" s="31"/>
    </row>
    <row r="196" spans="1:14" customFormat="1">
      <c r="A196" s="134" t="str">
        <f ca="1">IFERROR(__xludf.DUMMYFUNCTION("""COMPUTED_VALUE"""),"")</f>
        <v/>
      </c>
      <c r="B196" s="134" t="str">
        <f ca="1">IFERROR(__xludf.DUMMYFUNCTION("""COMPUTED_VALUE"""),"")</f>
        <v/>
      </c>
      <c r="C196" s="134" t="str">
        <f ca="1">IFERROR(__xludf.DUMMYFUNCTION("""COMPUTED_VALUE"""),"")</f>
        <v/>
      </c>
      <c r="D196" s="134" t="str">
        <f ca="1">IFERROR(__xludf.DUMMYFUNCTION("""COMPUTED_VALUE"""),"")</f>
        <v/>
      </c>
      <c r="E196" s="134" t="str">
        <f ca="1">IFERROR(__xludf.DUMMYFUNCTION("""COMPUTED_VALUE"""),"")</f>
        <v/>
      </c>
      <c r="F196" s="134" t="str">
        <f ca="1">IFERROR(__xludf.DUMMYFUNCTION("""COMPUTED_VALUE"""),"")</f>
        <v/>
      </c>
      <c r="G196" s="134" t="str">
        <f ca="1">IFERROR(__xludf.DUMMYFUNCTION("""COMPUTED_VALUE"""),"")</f>
        <v/>
      </c>
      <c r="H196" s="134" t="str">
        <f ca="1">IFERROR(__xludf.DUMMYFUNCTION("""COMPUTED_VALUE"""),"")</f>
        <v/>
      </c>
      <c r="I196" s="134" t="str">
        <f ca="1">IFERROR(__xludf.DUMMYFUNCTION("""COMPUTED_VALUE"""),"")</f>
        <v/>
      </c>
      <c r="J196" s="134" t="str">
        <f ca="1">IFERROR(__xludf.DUMMYFUNCTION("""COMPUTED_VALUE"""),"")</f>
        <v/>
      </c>
      <c r="N196" s="31"/>
    </row>
    <row r="197" spans="1:14" customFormat="1">
      <c r="A197" s="134" t="str">
        <f ca="1">IFERROR(__xludf.DUMMYFUNCTION("""COMPUTED_VALUE"""),"")</f>
        <v/>
      </c>
      <c r="B197" s="134" t="str">
        <f ca="1">IFERROR(__xludf.DUMMYFUNCTION("""COMPUTED_VALUE"""),"")</f>
        <v/>
      </c>
      <c r="C197" s="134" t="str">
        <f ca="1">IFERROR(__xludf.DUMMYFUNCTION("""COMPUTED_VALUE"""),"")</f>
        <v/>
      </c>
      <c r="D197" s="134" t="str">
        <f ca="1">IFERROR(__xludf.DUMMYFUNCTION("""COMPUTED_VALUE"""),"")</f>
        <v/>
      </c>
      <c r="E197" s="134" t="str">
        <f ca="1">IFERROR(__xludf.DUMMYFUNCTION("""COMPUTED_VALUE"""),"")</f>
        <v/>
      </c>
      <c r="F197" s="134" t="str">
        <f ca="1">IFERROR(__xludf.DUMMYFUNCTION("""COMPUTED_VALUE"""),"")</f>
        <v/>
      </c>
      <c r="G197" s="134" t="str">
        <f ca="1">IFERROR(__xludf.DUMMYFUNCTION("""COMPUTED_VALUE"""),"")</f>
        <v/>
      </c>
      <c r="H197" s="134" t="str">
        <f ca="1">IFERROR(__xludf.DUMMYFUNCTION("""COMPUTED_VALUE"""),"")</f>
        <v/>
      </c>
      <c r="I197" s="134" t="str">
        <f ca="1">IFERROR(__xludf.DUMMYFUNCTION("""COMPUTED_VALUE"""),"")</f>
        <v/>
      </c>
      <c r="J197" s="134" t="str">
        <f ca="1">IFERROR(__xludf.DUMMYFUNCTION("""COMPUTED_VALUE"""),"")</f>
        <v/>
      </c>
      <c r="N197" s="31"/>
    </row>
    <row r="198" spans="1:14" customFormat="1">
      <c r="A198" s="134" t="str">
        <f ca="1">IFERROR(__xludf.DUMMYFUNCTION("""COMPUTED_VALUE"""),"")</f>
        <v/>
      </c>
      <c r="B198" s="134" t="str">
        <f ca="1">IFERROR(__xludf.DUMMYFUNCTION("""COMPUTED_VALUE"""),"")</f>
        <v/>
      </c>
      <c r="C198" s="134" t="str">
        <f ca="1">IFERROR(__xludf.DUMMYFUNCTION("""COMPUTED_VALUE"""),"")</f>
        <v/>
      </c>
      <c r="D198" s="134" t="str">
        <f ca="1">IFERROR(__xludf.DUMMYFUNCTION("""COMPUTED_VALUE"""),"")</f>
        <v/>
      </c>
      <c r="E198" s="134" t="str">
        <f ca="1">IFERROR(__xludf.DUMMYFUNCTION("""COMPUTED_VALUE"""),"")</f>
        <v/>
      </c>
      <c r="F198" s="134" t="str">
        <f ca="1">IFERROR(__xludf.DUMMYFUNCTION("""COMPUTED_VALUE"""),"")</f>
        <v/>
      </c>
      <c r="G198" s="134" t="str">
        <f ca="1">IFERROR(__xludf.DUMMYFUNCTION("""COMPUTED_VALUE"""),"")</f>
        <v/>
      </c>
      <c r="H198" s="134" t="str">
        <f ca="1">IFERROR(__xludf.DUMMYFUNCTION("""COMPUTED_VALUE"""),"")</f>
        <v/>
      </c>
      <c r="I198" s="134" t="str">
        <f ca="1">IFERROR(__xludf.DUMMYFUNCTION("""COMPUTED_VALUE"""),"")</f>
        <v/>
      </c>
      <c r="J198" s="134" t="str">
        <f ca="1">IFERROR(__xludf.DUMMYFUNCTION("""COMPUTED_VALUE"""),"")</f>
        <v/>
      </c>
      <c r="N198" s="31"/>
    </row>
    <row r="199" spans="1:14" customFormat="1">
      <c r="A199" s="134" t="str">
        <f ca="1">IFERROR(__xludf.DUMMYFUNCTION("""COMPUTED_VALUE"""),"")</f>
        <v/>
      </c>
      <c r="B199" s="134" t="str">
        <f ca="1">IFERROR(__xludf.DUMMYFUNCTION("""COMPUTED_VALUE"""),"")</f>
        <v/>
      </c>
      <c r="C199" s="134" t="str">
        <f ca="1">IFERROR(__xludf.DUMMYFUNCTION("""COMPUTED_VALUE"""),"")</f>
        <v/>
      </c>
      <c r="D199" s="134" t="str">
        <f ca="1">IFERROR(__xludf.DUMMYFUNCTION("""COMPUTED_VALUE"""),"")</f>
        <v/>
      </c>
      <c r="E199" s="134" t="str">
        <f ca="1">IFERROR(__xludf.DUMMYFUNCTION("""COMPUTED_VALUE"""),"")</f>
        <v/>
      </c>
      <c r="F199" s="134" t="str">
        <f ca="1">IFERROR(__xludf.DUMMYFUNCTION("""COMPUTED_VALUE"""),"")</f>
        <v/>
      </c>
      <c r="G199" s="134" t="str">
        <f ca="1">IFERROR(__xludf.DUMMYFUNCTION("""COMPUTED_VALUE"""),"")</f>
        <v/>
      </c>
      <c r="H199" s="134" t="str">
        <f ca="1">IFERROR(__xludf.DUMMYFUNCTION("""COMPUTED_VALUE"""),"")</f>
        <v/>
      </c>
      <c r="I199" s="134" t="str">
        <f ca="1">IFERROR(__xludf.DUMMYFUNCTION("""COMPUTED_VALUE"""),"")</f>
        <v/>
      </c>
      <c r="J199" s="134" t="str">
        <f ca="1">IFERROR(__xludf.DUMMYFUNCTION("""COMPUTED_VALUE"""),"")</f>
        <v/>
      </c>
      <c r="N199" s="31"/>
    </row>
    <row r="200" spans="1:14" customFormat="1">
      <c r="A200" s="134" t="str">
        <f ca="1">IFERROR(__xludf.DUMMYFUNCTION("""COMPUTED_VALUE"""),"")</f>
        <v/>
      </c>
      <c r="B200" s="134" t="str">
        <f ca="1">IFERROR(__xludf.DUMMYFUNCTION("""COMPUTED_VALUE"""),"")</f>
        <v/>
      </c>
      <c r="C200" s="134" t="str">
        <f ca="1">IFERROR(__xludf.DUMMYFUNCTION("""COMPUTED_VALUE"""),"")</f>
        <v/>
      </c>
      <c r="D200" s="134" t="str">
        <f ca="1">IFERROR(__xludf.DUMMYFUNCTION("""COMPUTED_VALUE"""),"")</f>
        <v/>
      </c>
      <c r="E200" s="134" t="str">
        <f ca="1">IFERROR(__xludf.DUMMYFUNCTION("""COMPUTED_VALUE"""),"")</f>
        <v/>
      </c>
      <c r="F200" s="134" t="str">
        <f ca="1">IFERROR(__xludf.DUMMYFUNCTION("""COMPUTED_VALUE"""),"")</f>
        <v/>
      </c>
      <c r="G200" s="134" t="str">
        <f ca="1">IFERROR(__xludf.DUMMYFUNCTION("""COMPUTED_VALUE"""),"")</f>
        <v/>
      </c>
      <c r="H200" s="134" t="str">
        <f ca="1">IFERROR(__xludf.DUMMYFUNCTION("""COMPUTED_VALUE"""),"")</f>
        <v/>
      </c>
      <c r="I200" s="134" t="str">
        <f ca="1">IFERROR(__xludf.DUMMYFUNCTION("""COMPUTED_VALUE"""),"")</f>
        <v/>
      </c>
      <c r="J200" s="134" t="str">
        <f ca="1">IFERROR(__xludf.DUMMYFUNCTION("""COMPUTED_VALUE"""),"")</f>
        <v/>
      </c>
      <c r="N200" s="31"/>
    </row>
    <row r="201" spans="1:14" customFormat="1">
      <c r="A201" s="134" t="str">
        <f ca="1">IFERROR(__xludf.DUMMYFUNCTION("""COMPUTED_VALUE"""),"")</f>
        <v/>
      </c>
      <c r="B201" s="134" t="str">
        <f ca="1">IFERROR(__xludf.DUMMYFUNCTION("""COMPUTED_VALUE"""),"")</f>
        <v/>
      </c>
      <c r="C201" s="134" t="str">
        <f ca="1">IFERROR(__xludf.DUMMYFUNCTION("""COMPUTED_VALUE"""),"")</f>
        <v/>
      </c>
      <c r="D201" s="134" t="str">
        <f ca="1">IFERROR(__xludf.DUMMYFUNCTION("""COMPUTED_VALUE"""),"")</f>
        <v/>
      </c>
      <c r="E201" s="134" t="str">
        <f ca="1">IFERROR(__xludf.DUMMYFUNCTION("""COMPUTED_VALUE"""),"")</f>
        <v/>
      </c>
      <c r="F201" s="134" t="str">
        <f ca="1">IFERROR(__xludf.DUMMYFUNCTION("""COMPUTED_VALUE"""),"")</f>
        <v/>
      </c>
      <c r="G201" s="134" t="str">
        <f ca="1">IFERROR(__xludf.DUMMYFUNCTION("""COMPUTED_VALUE"""),"")</f>
        <v/>
      </c>
      <c r="H201" s="134" t="str">
        <f ca="1">IFERROR(__xludf.DUMMYFUNCTION("""COMPUTED_VALUE"""),"")</f>
        <v/>
      </c>
      <c r="I201" s="134" t="str">
        <f ca="1">IFERROR(__xludf.DUMMYFUNCTION("""COMPUTED_VALUE"""),"")</f>
        <v/>
      </c>
      <c r="J201" s="134" t="str">
        <f ca="1">IFERROR(__xludf.DUMMYFUNCTION("""COMPUTED_VALUE"""),"")</f>
        <v/>
      </c>
      <c r="N201" s="31"/>
    </row>
    <row r="202" spans="1:14" customFormat="1">
      <c r="A202" s="134" t="str">
        <f ca="1">IFERROR(__xludf.DUMMYFUNCTION("""COMPUTED_VALUE"""),"")</f>
        <v/>
      </c>
      <c r="B202" s="134" t="str">
        <f ca="1">IFERROR(__xludf.DUMMYFUNCTION("""COMPUTED_VALUE"""),"")</f>
        <v/>
      </c>
      <c r="C202" s="134" t="str">
        <f ca="1">IFERROR(__xludf.DUMMYFUNCTION("""COMPUTED_VALUE"""),"")</f>
        <v/>
      </c>
      <c r="D202" s="134" t="str">
        <f ca="1">IFERROR(__xludf.DUMMYFUNCTION("""COMPUTED_VALUE"""),"")</f>
        <v/>
      </c>
      <c r="E202" s="134" t="str">
        <f ca="1">IFERROR(__xludf.DUMMYFUNCTION("""COMPUTED_VALUE"""),"")</f>
        <v/>
      </c>
      <c r="F202" s="134" t="str">
        <f ca="1">IFERROR(__xludf.DUMMYFUNCTION("""COMPUTED_VALUE"""),"")</f>
        <v/>
      </c>
      <c r="G202" s="134" t="str">
        <f ca="1">IFERROR(__xludf.DUMMYFUNCTION("""COMPUTED_VALUE"""),"")</f>
        <v/>
      </c>
      <c r="H202" s="134" t="str">
        <f ca="1">IFERROR(__xludf.DUMMYFUNCTION("""COMPUTED_VALUE"""),"")</f>
        <v/>
      </c>
      <c r="I202" s="134" t="str">
        <f ca="1">IFERROR(__xludf.DUMMYFUNCTION("""COMPUTED_VALUE"""),"")</f>
        <v/>
      </c>
      <c r="J202" s="134" t="str">
        <f ca="1">IFERROR(__xludf.DUMMYFUNCTION("""COMPUTED_VALUE"""),"")</f>
        <v/>
      </c>
      <c r="N202" s="31"/>
    </row>
    <row r="203" spans="1:14" customFormat="1">
      <c r="A203" s="134" t="str">
        <f ca="1">IFERROR(__xludf.DUMMYFUNCTION("""COMPUTED_VALUE"""),"")</f>
        <v/>
      </c>
      <c r="B203" s="134" t="str">
        <f ca="1">IFERROR(__xludf.DUMMYFUNCTION("""COMPUTED_VALUE"""),"")</f>
        <v/>
      </c>
      <c r="C203" s="134" t="str">
        <f ca="1">IFERROR(__xludf.DUMMYFUNCTION("""COMPUTED_VALUE"""),"")</f>
        <v/>
      </c>
      <c r="D203" s="134" t="str">
        <f ca="1">IFERROR(__xludf.DUMMYFUNCTION("""COMPUTED_VALUE"""),"")</f>
        <v/>
      </c>
      <c r="E203" s="134" t="str">
        <f ca="1">IFERROR(__xludf.DUMMYFUNCTION("""COMPUTED_VALUE"""),"")</f>
        <v/>
      </c>
      <c r="F203" s="134" t="str">
        <f ca="1">IFERROR(__xludf.DUMMYFUNCTION("""COMPUTED_VALUE"""),"")</f>
        <v/>
      </c>
      <c r="G203" s="134" t="str">
        <f ca="1">IFERROR(__xludf.DUMMYFUNCTION("""COMPUTED_VALUE"""),"")</f>
        <v/>
      </c>
      <c r="H203" s="134" t="str">
        <f ca="1">IFERROR(__xludf.DUMMYFUNCTION("""COMPUTED_VALUE"""),"")</f>
        <v/>
      </c>
      <c r="I203" s="134" t="str">
        <f ca="1">IFERROR(__xludf.DUMMYFUNCTION("""COMPUTED_VALUE"""),"")</f>
        <v/>
      </c>
      <c r="J203" s="134" t="str">
        <f ca="1">IFERROR(__xludf.DUMMYFUNCTION("""COMPUTED_VALUE"""),"")</f>
        <v/>
      </c>
      <c r="N203" s="31"/>
    </row>
    <row r="204" spans="1:14" customFormat="1">
      <c r="A204" s="134" t="str">
        <f ca="1">IFERROR(__xludf.DUMMYFUNCTION("""COMPUTED_VALUE"""),"")</f>
        <v/>
      </c>
      <c r="B204" s="134" t="str">
        <f ca="1">IFERROR(__xludf.DUMMYFUNCTION("""COMPUTED_VALUE"""),"")</f>
        <v/>
      </c>
      <c r="C204" s="134" t="str">
        <f ca="1">IFERROR(__xludf.DUMMYFUNCTION("""COMPUTED_VALUE"""),"")</f>
        <v/>
      </c>
      <c r="D204" s="134" t="str">
        <f ca="1">IFERROR(__xludf.DUMMYFUNCTION("""COMPUTED_VALUE"""),"")</f>
        <v/>
      </c>
      <c r="E204" s="134" t="str">
        <f ca="1">IFERROR(__xludf.DUMMYFUNCTION("""COMPUTED_VALUE"""),"")</f>
        <v/>
      </c>
      <c r="F204" s="134" t="str">
        <f ca="1">IFERROR(__xludf.DUMMYFUNCTION("""COMPUTED_VALUE"""),"")</f>
        <v/>
      </c>
      <c r="G204" s="134" t="str">
        <f ca="1">IFERROR(__xludf.DUMMYFUNCTION("""COMPUTED_VALUE"""),"")</f>
        <v/>
      </c>
      <c r="H204" s="134" t="str">
        <f ca="1">IFERROR(__xludf.DUMMYFUNCTION("""COMPUTED_VALUE"""),"")</f>
        <v/>
      </c>
      <c r="I204" s="134" t="str">
        <f ca="1">IFERROR(__xludf.DUMMYFUNCTION("""COMPUTED_VALUE"""),"")</f>
        <v/>
      </c>
      <c r="J204" s="134" t="str">
        <f ca="1">IFERROR(__xludf.DUMMYFUNCTION("""COMPUTED_VALUE"""),"")</f>
        <v/>
      </c>
      <c r="N204" s="31"/>
    </row>
    <row r="205" spans="1:14" customFormat="1">
      <c r="A205" s="134" t="str">
        <f ca="1">IFERROR(__xludf.DUMMYFUNCTION("""COMPUTED_VALUE"""),"")</f>
        <v/>
      </c>
      <c r="B205" s="134" t="str">
        <f ca="1">IFERROR(__xludf.DUMMYFUNCTION("""COMPUTED_VALUE"""),"")</f>
        <v/>
      </c>
      <c r="C205" s="134" t="str">
        <f ca="1">IFERROR(__xludf.DUMMYFUNCTION("""COMPUTED_VALUE"""),"")</f>
        <v/>
      </c>
      <c r="D205" s="134" t="str">
        <f ca="1">IFERROR(__xludf.DUMMYFUNCTION("""COMPUTED_VALUE"""),"")</f>
        <v/>
      </c>
      <c r="E205" s="134" t="str">
        <f ca="1">IFERROR(__xludf.DUMMYFUNCTION("""COMPUTED_VALUE"""),"")</f>
        <v/>
      </c>
      <c r="F205" s="134" t="str">
        <f ca="1">IFERROR(__xludf.DUMMYFUNCTION("""COMPUTED_VALUE"""),"")</f>
        <v/>
      </c>
      <c r="G205" s="134" t="str">
        <f ca="1">IFERROR(__xludf.DUMMYFUNCTION("""COMPUTED_VALUE"""),"")</f>
        <v/>
      </c>
      <c r="H205" s="134" t="str">
        <f ca="1">IFERROR(__xludf.DUMMYFUNCTION("""COMPUTED_VALUE"""),"")</f>
        <v/>
      </c>
      <c r="I205" s="134" t="str">
        <f ca="1">IFERROR(__xludf.DUMMYFUNCTION("""COMPUTED_VALUE"""),"")</f>
        <v/>
      </c>
      <c r="J205" s="134" t="str">
        <f ca="1">IFERROR(__xludf.DUMMYFUNCTION("""COMPUTED_VALUE"""),"")</f>
        <v/>
      </c>
      <c r="N205" s="31"/>
    </row>
    <row r="206" spans="1:14" customFormat="1">
      <c r="A206" s="134" t="str">
        <f ca="1">IFERROR(__xludf.DUMMYFUNCTION("""COMPUTED_VALUE"""),"")</f>
        <v/>
      </c>
      <c r="B206" s="134" t="str">
        <f ca="1">IFERROR(__xludf.DUMMYFUNCTION("""COMPUTED_VALUE"""),"")</f>
        <v/>
      </c>
      <c r="C206" s="134" t="str">
        <f ca="1">IFERROR(__xludf.DUMMYFUNCTION("""COMPUTED_VALUE"""),"")</f>
        <v/>
      </c>
      <c r="D206" s="134" t="str">
        <f ca="1">IFERROR(__xludf.DUMMYFUNCTION("""COMPUTED_VALUE"""),"")</f>
        <v/>
      </c>
      <c r="E206" s="134" t="str">
        <f ca="1">IFERROR(__xludf.DUMMYFUNCTION("""COMPUTED_VALUE"""),"")</f>
        <v/>
      </c>
      <c r="F206" s="134" t="str">
        <f ca="1">IFERROR(__xludf.DUMMYFUNCTION("""COMPUTED_VALUE"""),"")</f>
        <v/>
      </c>
      <c r="G206" s="134" t="str">
        <f ca="1">IFERROR(__xludf.DUMMYFUNCTION("""COMPUTED_VALUE"""),"")</f>
        <v/>
      </c>
      <c r="H206" s="134" t="str">
        <f ca="1">IFERROR(__xludf.DUMMYFUNCTION("""COMPUTED_VALUE"""),"")</f>
        <v/>
      </c>
      <c r="I206" s="134" t="str">
        <f ca="1">IFERROR(__xludf.DUMMYFUNCTION("""COMPUTED_VALUE"""),"")</f>
        <v/>
      </c>
      <c r="J206" s="134" t="str">
        <f ca="1">IFERROR(__xludf.DUMMYFUNCTION("""COMPUTED_VALUE"""),"")</f>
        <v/>
      </c>
      <c r="N206" s="31"/>
    </row>
    <row r="207" spans="1:14" customFormat="1">
      <c r="A207" s="134" t="str">
        <f ca="1">IFERROR(__xludf.DUMMYFUNCTION("""COMPUTED_VALUE"""),"")</f>
        <v/>
      </c>
      <c r="B207" s="134" t="str">
        <f ca="1">IFERROR(__xludf.DUMMYFUNCTION("""COMPUTED_VALUE"""),"")</f>
        <v/>
      </c>
      <c r="C207" s="134" t="str">
        <f ca="1">IFERROR(__xludf.DUMMYFUNCTION("""COMPUTED_VALUE"""),"")</f>
        <v/>
      </c>
      <c r="D207" s="134" t="str">
        <f ca="1">IFERROR(__xludf.DUMMYFUNCTION("""COMPUTED_VALUE"""),"")</f>
        <v/>
      </c>
      <c r="E207" s="134" t="str">
        <f ca="1">IFERROR(__xludf.DUMMYFUNCTION("""COMPUTED_VALUE"""),"")</f>
        <v/>
      </c>
      <c r="F207" s="134" t="str">
        <f ca="1">IFERROR(__xludf.DUMMYFUNCTION("""COMPUTED_VALUE"""),"")</f>
        <v/>
      </c>
      <c r="G207" s="134" t="str">
        <f ca="1">IFERROR(__xludf.DUMMYFUNCTION("""COMPUTED_VALUE"""),"")</f>
        <v/>
      </c>
      <c r="H207" s="134" t="str">
        <f ca="1">IFERROR(__xludf.DUMMYFUNCTION("""COMPUTED_VALUE"""),"")</f>
        <v/>
      </c>
      <c r="I207" s="134" t="str">
        <f ca="1">IFERROR(__xludf.DUMMYFUNCTION("""COMPUTED_VALUE"""),"")</f>
        <v/>
      </c>
      <c r="J207" s="134" t="str">
        <f ca="1">IFERROR(__xludf.DUMMYFUNCTION("""COMPUTED_VALUE"""),"")</f>
        <v/>
      </c>
      <c r="N207" s="31"/>
    </row>
    <row r="208" spans="1:14" customFormat="1">
      <c r="A208" s="134" t="str">
        <f ca="1">IFERROR(__xludf.DUMMYFUNCTION("""COMPUTED_VALUE"""),"")</f>
        <v/>
      </c>
      <c r="B208" s="134" t="str">
        <f ca="1">IFERROR(__xludf.DUMMYFUNCTION("""COMPUTED_VALUE"""),"")</f>
        <v/>
      </c>
      <c r="C208" s="134" t="str">
        <f ca="1">IFERROR(__xludf.DUMMYFUNCTION("""COMPUTED_VALUE"""),"")</f>
        <v/>
      </c>
      <c r="D208" s="134" t="str">
        <f ca="1">IFERROR(__xludf.DUMMYFUNCTION("""COMPUTED_VALUE"""),"")</f>
        <v/>
      </c>
      <c r="E208" s="134" t="str">
        <f ca="1">IFERROR(__xludf.DUMMYFUNCTION("""COMPUTED_VALUE"""),"")</f>
        <v/>
      </c>
      <c r="F208" s="134" t="str">
        <f ca="1">IFERROR(__xludf.DUMMYFUNCTION("""COMPUTED_VALUE"""),"")</f>
        <v/>
      </c>
      <c r="G208" s="134" t="str">
        <f ca="1">IFERROR(__xludf.DUMMYFUNCTION("""COMPUTED_VALUE"""),"")</f>
        <v/>
      </c>
      <c r="H208" s="134" t="str">
        <f ca="1">IFERROR(__xludf.DUMMYFUNCTION("""COMPUTED_VALUE"""),"")</f>
        <v/>
      </c>
      <c r="I208" s="134" t="str">
        <f ca="1">IFERROR(__xludf.DUMMYFUNCTION("""COMPUTED_VALUE"""),"")</f>
        <v/>
      </c>
      <c r="J208" s="134" t="str">
        <f ca="1">IFERROR(__xludf.DUMMYFUNCTION("""COMPUTED_VALUE"""),"")</f>
        <v/>
      </c>
      <c r="N208" s="31"/>
    </row>
    <row r="209" spans="1:14" customFormat="1">
      <c r="A209" s="134" t="str">
        <f ca="1">IFERROR(__xludf.DUMMYFUNCTION("""COMPUTED_VALUE"""),"")</f>
        <v/>
      </c>
      <c r="B209" s="134" t="str">
        <f ca="1">IFERROR(__xludf.DUMMYFUNCTION("""COMPUTED_VALUE"""),"")</f>
        <v/>
      </c>
      <c r="C209" s="134" t="str">
        <f ca="1">IFERROR(__xludf.DUMMYFUNCTION("""COMPUTED_VALUE"""),"")</f>
        <v/>
      </c>
      <c r="D209" s="134" t="str">
        <f ca="1">IFERROR(__xludf.DUMMYFUNCTION("""COMPUTED_VALUE"""),"")</f>
        <v/>
      </c>
      <c r="E209" s="134" t="str">
        <f ca="1">IFERROR(__xludf.DUMMYFUNCTION("""COMPUTED_VALUE"""),"")</f>
        <v/>
      </c>
      <c r="F209" s="134" t="str">
        <f ca="1">IFERROR(__xludf.DUMMYFUNCTION("""COMPUTED_VALUE"""),"")</f>
        <v/>
      </c>
      <c r="G209" s="134" t="str">
        <f ca="1">IFERROR(__xludf.DUMMYFUNCTION("""COMPUTED_VALUE"""),"")</f>
        <v/>
      </c>
      <c r="H209" s="134" t="str">
        <f ca="1">IFERROR(__xludf.DUMMYFUNCTION("""COMPUTED_VALUE"""),"")</f>
        <v/>
      </c>
      <c r="I209" s="134" t="str">
        <f ca="1">IFERROR(__xludf.DUMMYFUNCTION("""COMPUTED_VALUE"""),"")</f>
        <v/>
      </c>
      <c r="J209" s="134" t="str">
        <f ca="1">IFERROR(__xludf.DUMMYFUNCTION("""COMPUTED_VALUE"""),"")</f>
        <v/>
      </c>
      <c r="N209" s="31"/>
    </row>
    <row r="210" spans="1:14" customFormat="1">
      <c r="A210" s="134" t="str">
        <f ca="1">IFERROR(__xludf.DUMMYFUNCTION("""COMPUTED_VALUE"""),"")</f>
        <v/>
      </c>
      <c r="B210" s="134" t="str">
        <f ca="1">IFERROR(__xludf.DUMMYFUNCTION("""COMPUTED_VALUE"""),"")</f>
        <v/>
      </c>
      <c r="C210" s="134" t="str">
        <f ca="1">IFERROR(__xludf.DUMMYFUNCTION("""COMPUTED_VALUE"""),"")</f>
        <v/>
      </c>
      <c r="D210" s="134" t="str">
        <f ca="1">IFERROR(__xludf.DUMMYFUNCTION("""COMPUTED_VALUE"""),"")</f>
        <v/>
      </c>
      <c r="E210" s="134" t="str">
        <f ca="1">IFERROR(__xludf.DUMMYFUNCTION("""COMPUTED_VALUE"""),"")</f>
        <v/>
      </c>
      <c r="F210" s="134" t="str">
        <f ca="1">IFERROR(__xludf.DUMMYFUNCTION("""COMPUTED_VALUE"""),"")</f>
        <v/>
      </c>
      <c r="G210" s="134" t="str">
        <f ca="1">IFERROR(__xludf.DUMMYFUNCTION("""COMPUTED_VALUE"""),"")</f>
        <v/>
      </c>
      <c r="H210" s="134" t="str">
        <f ca="1">IFERROR(__xludf.DUMMYFUNCTION("""COMPUTED_VALUE"""),"")</f>
        <v/>
      </c>
      <c r="I210" s="134" t="str">
        <f ca="1">IFERROR(__xludf.DUMMYFUNCTION("""COMPUTED_VALUE"""),"")</f>
        <v/>
      </c>
      <c r="J210" s="134" t="str">
        <f ca="1">IFERROR(__xludf.DUMMYFUNCTION("""COMPUTED_VALUE"""),"")</f>
        <v/>
      </c>
      <c r="N210" s="31"/>
    </row>
    <row r="211" spans="1:14" customFormat="1">
      <c r="A211" s="134" t="str">
        <f ca="1">IFERROR(__xludf.DUMMYFUNCTION("""COMPUTED_VALUE"""),"")</f>
        <v/>
      </c>
      <c r="B211" s="134" t="str">
        <f ca="1">IFERROR(__xludf.DUMMYFUNCTION("""COMPUTED_VALUE"""),"")</f>
        <v/>
      </c>
      <c r="C211" s="134" t="str">
        <f ca="1">IFERROR(__xludf.DUMMYFUNCTION("""COMPUTED_VALUE"""),"")</f>
        <v/>
      </c>
      <c r="D211" s="134" t="str">
        <f ca="1">IFERROR(__xludf.DUMMYFUNCTION("""COMPUTED_VALUE"""),"")</f>
        <v/>
      </c>
      <c r="E211" s="134" t="str">
        <f ca="1">IFERROR(__xludf.DUMMYFUNCTION("""COMPUTED_VALUE"""),"")</f>
        <v/>
      </c>
      <c r="F211" s="134" t="str">
        <f ca="1">IFERROR(__xludf.DUMMYFUNCTION("""COMPUTED_VALUE"""),"")</f>
        <v/>
      </c>
      <c r="G211" s="134" t="str">
        <f ca="1">IFERROR(__xludf.DUMMYFUNCTION("""COMPUTED_VALUE"""),"")</f>
        <v/>
      </c>
      <c r="H211" s="134" t="str">
        <f ca="1">IFERROR(__xludf.DUMMYFUNCTION("""COMPUTED_VALUE"""),"")</f>
        <v/>
      </c>
      <c r="I211" s="134" t="str">
        <f ca="1">IFERROR(__xludf.DUMMYFUNCTION("""COMPUTED_VALUE"""),"")</f>
        <v/>
      </c>
      <c r="J211" s="134" t="str">
        <f ca="1">IFERROR(__xludf.DUMMYFUNCTION("""COMPUTED_VALUE"""),"")</f>
        <v/>
      </c>
      <c r="N211" s="31"/>
    </row>
    <row r="212" spans="1:14" customFormat="1">
      <c r="A212" s="134" t="str">
        <f ca="1">IFERROR(__xludf.DUMMYFUNCTION("""COMPUTED_VALUE"""),"")</f>
        <v/>
      </c>
      <c r="B212" s="134" t="str">
        <f ca="1">IFERROR(__xludf.DUMMYFUNCTION("""COMPUTED_VALUE"""),"")</f>
        <v/>
      </c>
      <c r="C212" s="134" t="str">
        <f ca="1">IFERROR(__xludf.DUMMYFUNCTION("""COMPUTED_VALUE"""),"")</f>
        <v/>
      </c>
      <c r="D212" s="134" t="str">
        <f ca="1">IFERROR(__xludf.DUMMYFUNCTION("""COMPUTED_VALUE"""),"")</f>
        <v/>
      </c>
      <c r="E212" s="134" t="str">
        <f ca="1">IFERROR(__xludf.DUMMYFUNCTION("""COMPUTED_VALUE"""),"")</f>
        <v/>
      </c>
      <c r="F212" s="134" t="str">
        <f ca="1">IFERROR(__xludf.DUMMYFUNCTION("""COMPUTED_VALUE"""),"")</f>
        <v/>
      </c>
      <c r="G212" s="134" t="str">
        <f ca="1">IFERROR(__xludf.DUMMYFUNCTION("""COMPUTED_VALUE"""),"")</f>
        <v/>
      </c>
      <c r="H212" s="134" t="str">
        <f ca="1">IFERROR(__xludf.DUMMYFUNCTION("""COMPUTED_VALUE"""),"")</f>
        <v/>
      </c>
      <c r="I212" s="134" t="str">
        <f ca="1">IFERROR(__xludf.DUMMYFUNCTION("""COMPUTED_VALUE"""),"")</f>
        <v/>
      </c>
      <c r="J212" s="134" t="str">
        <f ca="1">IFERROR(__xludf.DUMMYFUNCTION("""COMPUTED_VALUE"""),"")</f>
        <v/>
      </c>
      <c r="N212" s="31"/>
    </row>
    <row r="213" spans="1:14" customFormat="1">
      <c r="A213" s="134" t="str">
        <f ca="1">IFERROR(__xludf.DUMMYFUNCTION("""COMPUTED_VALUE"""),"")</f>
        <v/>
      </c>
      <c r="B213" s="134" t="str">
        <f ca="1">IFERROR(__xludf.DUMMYFUNCTION("""COMPUTED_VALUE"""),"")</f>
        <v/>
      </c>
      <c r="C213" s="134" t="str">
        <f ca="1">IFERROR(__xludf.DUMMYFUNCTION("""COMPUTED_VALUE"""),"")</f>
        <v/>
      </c>
      <c r="D213" s="134" t="str">
        <f ca="1">IFERROR(__xludf.DUMMYFUNCTION("""COMPUTED_VALUE"""),"")</f>
        <v/>
      </c>
      <c r="E213" s="134" t="str">
        <f ca="1">IFERROR(__xludf.DUMMYFUNCTION("""COMPUTED_VALUE"""),"")</f>
        <v/>
      </c>
      <c r="F213" s="134" t="str">
        <f ca="1">IFERROR(__xludf.DUMMYFUNCTION("""COMPUTED_VALUE"""),"")</f>
        <v/>
      </c>
      <c r="G213" s="134" t="str">
        <f ca="1">IFERROR(__xludf.DUMMYFUNCTION("""COMPUTED_VALUE"""),"")</f>
        <v/>
      </c>
      <c r="H213" s="134" t="str">
        <f ca="1">IFERROR(__xludf.DUMMYFUNCTION("""COMPUTED_VALUE"""),"")</f>
        <v/>
      </c>
      <c r="I213" s="134" t="str">
        <f ca="1">IFERROR(__xludf.DUMMYFUNCTION("""COMPUTED_VALUE"""),"")</f>
        <v/>
      </c>
      <c r="J213" s="134" t="str">
        <f ca="1">IFERROR(__xludf.DUMMYFUNCTION("""COMPUTED_VALUE"""),"")</f>
        <v/>
      </c>
      <c r="N213" s="31"/>
    </row>
    <row r="214" spans="1:14" customFormat="1">
      <c r="A214" s="134" t="str">
        <f ca="1">IFERROR(__xludf.DUMMYFUNCTION("""COMPUTED_VALUE"""),"")</f>
        <v/>
      </c>
      <c r="B214" s="134" t="str">
        <f ca="1">IFERROR(__xludf.DUMMYFUNCTION("""COMPUTED_VALUE"""),"")</f>
        <v/>
      </c>
      <c r="C214" s="134" t="str">
        <f ca="1">IFERROR(__xludf.DUMMYFUNCTION("""COMPUTED_VALUE"""),"")</f>
        <v/>
      </c>
      <c r="D214" s="134" t="str">
        <f ca="1">IFERROR(__xludf.DUMMYFUNCTION("""COMPUTED_VALUE"""),"")</f>
        <v/>
      </c>
      <c r="E214" s="134" t="str">
        <f ca="1">IFERROR(__xludf.DUMMYFUNCTION("""COMPUTED_VALUE"""),"")</f>
        <v/>
      </c>
      <c r="F214" s="134" t="str">
        <f ca="1">IFERROR(__xludf.DUMMYFUNCTION("""COMPUTED_VALUE"""),"")</f>
        <v/>
      </c>
      <c r="G214" s="134" t="str">
        <f ca="1">IFERROR(__xludf.DUMMYFUNCTION("""COMPUTED_VALUE"""),"")</f>
        <v/>
      </c>
      <c r="H214" s="134" t="str">
        <f ca="1">IFERROR(__xludf.DUMMYFUNCTION("""COMPUTED_VALUE"""),"")</f>
        <v/>
      </c>
      <c r="I214" s="134" t="str">
        <f ca="1">IFERROR(__xludf.DUMMYFUNCTION("""COMPUTED_VALUE"""),"")</f>
        <v/>
      </c>
      <c r="J214" s="134" t="str">
        <f ca="1">IFERROR(__xludf.DUMMYFUNCTION("""COMPUTED_VALUE"""),"")</f>
        <v/>
      </c>
      <c r="N214" s="31"/>
    </row>
    <row r="215" spans="1:14" customFormat="1">
      <c r="A215" s="134" t="str">
        <f ca="1">IFERROR(__xludf.DUMMYFUNCTION("""COMPUTED_VALUE"""),"")</f>
        <v/>
      </c>
      <c r="B215" s="134" t="str">
        <f ca="1">IFERROR(__xludf.DUMMYFUNCTION("""COMPUTED_VALUE"""),"")</f>
        <v/>
      </c>
      <c r="C215" s="134" t="str">
        <f ca="1">IFERROR(__xludf.DUMMYFUNCTION("""COMPUTED_VALUE"""),"")</f>
        <v/>
      </c>
      <c r="D215" s="134" t="str">
        <f ca="1">IFERROR(__xludf.DUMMYFUNCTION("""COMPUTED_VALUE"""),"")</f>
        <v/>
      </c>
      <c r="E215" s="134" t="str">
        <f ca="1">IFERROR(__xludf.DUMMYFUNCTION("""COMPUTED_VALUE"""),"")</f>
        <v/>
      </c>
      <c r="F215" s="134" t="str">
        <f ca="1">IFERROR(__xludf.DUMMYFUNCTION("""COMPUTED_VALUE"""),"")</f>
        <v/>
      </c>
      <c r="G215" s="134" t="str">
        <f ca="1">IFERROR(__xludf.DUMMYFUNCTION("""COMPUTED_VALUE"""),"")</f>
        <v/>
      </c>
      <c r="H215" s="134" t="str">
        <f ca="1">IFERROR(__xludf.DUMMYFUNCTION("""COMPUTED_VALUE"""),"")</f>
        <v/>
      </c>
      <c r="I215" s="134" t="str">
        <f ca="1">IFERROR(__xludf.DUMMYFUNCTION("""COMPUTED_VALUE"""),"")</f>
        <v/>
      </c>
      <c r="J215" s="134" t="str">
        <f ca="1">IFERROR(__xludf.DUMMYFUNCTION("""COMPUTED_VALUE"""),"")</f>
        <v/>
      </c>
      <c r="N215" s="31"/>
    </row>
    <row r="216" spans="1:14" customFormat="1">
      <c r="A216" s="134" t="str">
        <f ca="1">IFERROR(__xludf.DUMMYFUNCTION("""COMPUTED_VALUE"""),"")</f>
        <v/>
      </c>
      <c r="B216" s="134" t="str">
        <f ca="1">IFERROR(__xludf.DUMMYFUNCTION("""COMPUTED_VALUE"""),"")</f>
        <v/>
      </c>
      <c r="C216" s="134" t="str">
        <f ca="1">IFERROR(__xludf.DUMMYFUNCTION("""COMPUTED_VALUE"""),"")</f>
        <v/>
      </c>
      <c r="D216" s="134" t="str">
        <f ca="1">IFERROR(__xludf.DUMMYFUNCTION("""COMPUTED_VALUE"""),"")</f>
        <v/>
      </c>
      <c r="E216" s="134" t="str">
        <f ca="1">IFERROR(__xludf.DUMMYFUNCTION("""COMPUTED_VALUE"""),"")</f>
        <v/>
      </c>
      <c r="F216" s="134" t="str">
        <f ca="1">IFERROR(__xludf.DUMMYFUNCTION("""COMPUTED_VALUE"""),"")</f>
        <v/>
      </c>
      <c r="G216" s="134" t="str">
        <f ca="1">IFERROR(__xludf.DUMMYFUNCTION("""COMPUTED_VALUE"""),"")</f>
        <v/>
      </c>
      <c r="H216" s="134" t="str">
        <f ca="1">IFERROR(__xludf.DUMMYFUNCTION("""COMPUTED_VALUE"""),"")</f>
        <v/>
      </c>
      <c r="I216" s="134" t="str">
        <f ca="1">IFERROR(__xludf.DUMMYFUNCTION("""COMPUTED_VALUE"""),"")</f>
        <v/>
      </c>
      <c r="J216" s="134" t="str">
        <f ca="1">IFERROR(__xludf.DUMMYFUNCTION("""COMPUTED_VALUE"""),"")</f>
        <v/>
      </c>
      <c r="N216" s="31"/>
    </row>
    <row r="217" spans="1:14" customFormat="1">
      <c r="A217" s="134" t="str">
        <f ca="1">IFERROR(__xludf.DUMMYFUNCTION("""COMPUTED_VALUE"""),"")</f>
        <v/>
      </c>
      <c r="B217" s="134" t="str">
        <f ca="1">IFERROR(__xludf.DUMMYFUNCTION("""COMPUTED_VALUE"""),"")</f>
        <v/>
      </c>
      <c r="C217" s="134" t="str">
        <f ca="1">IFERROR(__xludf.DUMMYFUNCTION("""COMPUTED_VALUE"""),"")</f>
        <v/>
      </c>
      <c r="D217" s="134" t="str">
        <f ca="1">IFERROR(__xludf.DUMMYFUNCTION("""COMPUTED_VALUE"""),"")</f>
        <v/>
      </c>
      <c r="E217" s="134" t="str">
        <f ca="1">IFERROR(__xludf.DUMMYFUNCTION("""COMPUTED_VALUE"""),"")</f>
        <v/>
      </c>
      <c r="F217" s="134" t="str">
        <f ca="1">IFERROR(__xludf.DUMMYFUNCTION("""COMPUTED_VALUE"""),"")</f>
        <v/>
      </c>
      <c r="G217" s="134" t="str">
        <f ca="1">IFERROR(__xludf.DUMMYFUNCTION("""COMPUTED_VALUE"""),"")</f>
        <v/>
      </c>
      <c r="H217" s="134" t="str">
        <f ca="1">IFERROR(__xludf.DUMMYFUNCTION("""COMPUTED_VALUE"""),"")</f>
        <v/>
      </c>
      <c r="I217" s="134" t="str">
        <f ca="1">IFERROR(__xludf.DUMMYFUNCTION("""COMPUTED_VALUE"""),"")</f>
        <v/>
      </c>
      <c r="J217" s="134" t="str">
        <f ca="1">IFERROR(__xludf.DUMMYFUNCTION("""COMPUTED_VALUE"""),"")</f>
        <v/>
      </c>
      <c r="N217" s="31"/>
    </row>
    <row r="218" spans="1:14" customFormat="1">
      <c r="A218" s="134" t="str">
        <f ca="1">IFERROR(__xludf.DUMMYFUNCTION("""COMPUTED_VALUE"""),"")</f>
        <v/>
      </c>
      <c r="B218" s="134" t="str">
        <f ca="1">IFERROR(__xludf.DUMMYFUNCTION("""COMPUTED_VALUE"""),"")</f>
        <v/>
      </c>
      <c r="C218" s="134" t="str">
        <f ca="1">IFERROR(__xludf.DUMMYFUNCTION("""COMPUTED_VALUE"""),"")</f>
        <v/>
      </c>
      <c r="D218" s="134" t="str">
        <f ca="1">IFERROR(__xludf.DUMMYFUNCTION("""COMPUTED_VALUE"""),"")</f>
        <v/>
      </c>
      <c r="E218" s="134" t="str">
        <f ca="1">IFERROR(__xludf.DUMMYFUNCTION("""COMPUTED_VALUE"""),"")</f>
        <v/>
      </c>
      <c r="F218" s="134" t="str">
        <f ca="1">IFERROR(__xludf.DUMMYFUNCTION("""COMPUTED_VALUE"""),"")</f>
        <v/>
      </c>
      <c r="G218" s="134" t="str">
        <f ca="1">IFERROR(__xludf.DUMMYFUNCTION("""COMPUTED_VALUE"""),"")</f>
        <v/>
      </c>
      <c r="H218" s="134" t="str">
        <f ca="1">IFERROR(__xludf.DUMMYFUNCTION("""COMPUTED_VALUE"""),"")</f>
        <v/>
      </c>
      <c r="I218" s="134" t="str">
        <f ca="1">IFERROR(__xludf.DUMMYFUNCTION("""COMPUTED_VALUE"""),"")</f>
        <v/>
      </c>
      <c r="J218" s="134" t="str">
        <f ca="1">IFERROR(__xludf.DUMMYFUNCTION("""COMPUTED_VALUE"""),"")</f>
        <v/>
      </c>
      <c r="N218" s="31"/>
    </row>
    <row r="219" spans="1:14" customFormat="1">
      <c r="A219" s="134" t="str">
        <f ca="1">IFERROR(__xludf.DUMMYFUNCTION("""COMPUTED_VALUE"""),"")</f>
        <v/>
      </c>
      <c r="B219" s="134" t="str">
        <f ca="1">IFERROR(__xludf.DUMMYFUNCTION("""COMPUTED_VALUE"""),"")</f>
        <v/>
      </c>
      <c r="C219" s="134" t="str">
        <f ca="1">IFERROR(__xludf.DUMMYFUNCTION("""COMPUTED_VALUE"""),"")</f>
        <v/>
      </c>
      <c r="D219" s="134" t="str">
        <f ca="1">IFERROR(__xludf.DUMMYFUNCTION("""COMPUTED_VALUE"""),"")</f>
        <v/>
      </c>
      <c r="E219" s="134" t="str">
        <f ca="1">IFERROR(__xludf.DUMMYFUNCTION("""COMPUTED_VALUE"""),"")</f>
        <v/>
      </c>
      <c r="F219" s="134" t="str">
        <f ca="1">IFERROR(__xludf.DUMMYFUNCTION("""COMPUTED_VALUE"""),"")</f>
        <v/>
      </c>
      <c r="G219" s="134" t="str">
        <f ca="1">IFERROR(__xludf.DUMMYFUNCTION("""COMPUTED_VALUE"""),"")</f>
        <v/>
      </c>
      <c r="H219" s="134" t="str">
        <f ca="1">IFERROR(__xludf.DUMMYFUNCTION("""COMPUTED_VALUE"""),"")</f>
        <v/>
      </c>
      <c r="I219" s="134" t="str">
        <f ca="1">IFERROR(__xludf.DUMMYFUNCTION("""COMPUTED_VALUE"""),"")</f>
        <v/>
      </c>
      <c r="J219" s="134" t="str">
        <f ca="1">IFERROR(__xludf.DUMMYFUNCTION("""COMPUTED_VALUE"""),"")</f>
        <v/>
      </c>
      <c r="N219" s="31"/>
    </row>
    <row r="220" spans="1:14" customFormat="1">
      <c r="A220" s="134" t="str">
        <f ca="1">IFERROR(__xludf.DUMMYFUNCTION("""COMPUTED_VALUE"""),"")</f>
        <v/>
      </c>
      <c r="B220" s="134" t="str">
        <f ca="1">IFERROR(__xludf.DUMMYFUNCTION("""COMPUTED_VALUE"""),"")</f>
        <v/>
      </c>
      <c r="C220" s="134" t="str">
        <f ca="1">IFERROR(__xludf.DUMMYFUNCTION("""COMPUTED_VALUE"""),"")</f>
        <v/>
      </c>
      <c r="D220" s="134" t="str">
        <f ca="1">IFERROR(__xludf.DUMMYFUNCTION("""COMPUTED_VALUE"""),"")</f>
        <v/>
      </c>
      <c r="E220" s="134" t="str">
        <f ca="1">IFERROR(__xludf.DUMMYFUNCTION("""COMPUTED_VALUE"""),"")</f>
        <v/>
      </c>
      <c r="F220" s="134" t="str">
        <f ca="1">IFERROR(__xludf.DUMMYFUNCTION("""COMPUTED_VALUE"""),"")</f>
        <v/>
      </c>
      <c r="G220" s="134" t="str">
        <f ca="1">IFERROR(__xludf.DUMMYFUNCTION("""COMPUTED_VALUE"""),"")</f>
        <v/>
      </c>
      <c r="H220" s="134" t="str">
        <f ca="1">IFERROR(__xludf.DUMMYFUNCTION("""COMPUTED_VALUE"""),"")</f>
        <v/>
      </c>
      <c r="I220" s="134" t="str">
        <f ca="1">IFERROR(__xludf.DUMMYFUNCTION("""COMPUTED_VALUE"""),"")</f>
        <v/>
      </c>
      <c r="J220" s="134" t="str">
        <f ca="1">IFERROR(__xludf.DUMMYFUNCTION("""COMPUTED_VALUE"""),"")</f>
        <v/>
      </c>
      <c r="N220" s="31"/>
    </row>
    <row r="221" spans="1:14" customFormat="1">
      <c r="A221" s="134" t="str">
        <f ca="1">IFERROR(__xludf.DUMMYFUNCTION("""COMPUTED_VALUE"""),"")</f>
        <v/>
      </c>
      <c r="B221" s="134" t="str">
        <f ca="1">IFERROR(__xludf.DUMMYFUNCTION("""COMPUTED_VALUE"""),"")</f>
        <v/>
      </c>
      <c r="C221" s="134" t="str">
        <f ca="1">IFERROR(__xludf.DUMMYFUNCTION("""COMPUTED_VALUE"""),"")</f>
        <v/>
      </c>
      <c r="D221" s="134" t="str">
        <f ca="1">IFERROR(__xludf.DUMMYFUNCTION("""COMPUTED_VALUE"""),"")</f>
        <v/>
      </c>
      <c r="E221" s="134" t="str">
        <f ca="1">IFERROR(__xludf.DUMMYFUNCTION("""COMPUTED_VALUE"""),"")</f>
        <v/>
      </c>
      <c r="F221" s="134" t="str">
        <f ca="1">IFERROR(__xludf.DUMMYFUNCTION("""COMPUTED_VALUE"""),"")</f>
        <v/>
      </c>
      <c r="G221" s="134" t="str">
        <f ca="1">IFERROR(__xludf.DUMMYFUNCTION("""COMPUTED_VALUE"""),"")</f>
        <v/>
      </c>
      <c r="H221" s="134" t="str">
        <f ca="1">IFERROR(__xludf.DUMMYFUNCTION("""COMPUTED_VALUE"""),"")</f>
        <v/>
      </c>
      <c r="I221" s="134" t="str">
        <f ca="1">IFERROR(__xludf.DUMMYFUNCTION("""COMPUTED_VALUE"""),"")</f>
        <v/>
      </c>
      <c r="J221" s="134" t="str">
        <f ca="1">IFERROR(__xludf.DUMMYFUNCTION("""COMPUTED_VALUE"""),"")</f>
        <v/>
      </c>
      <c r="N221" s="31"/>
    </row>
    <row r="222" spans="1:14" customFormat="1">
      <c r="A222" s="134" t="str">
        <f ca="1">IFERROR(__xludf.DUMMYFUNCTION("""COMPUTED_VALUE"""),"")</f>
        <v/>
      </c>
      <c r="B222" s="134" t="str">
        <f ca="1">IFERROR(__xludf.DUMMYFUNCTION("""COMPUTED_VALUE"""),"")</f>
        <v/>
      </c>
      <c r="C222" s="134" t="str">
        <f ca="1">IFERROR(__xludf.DUMMYFUNCTION("""COMPUTED_VALUE"""),"")</f>
        <v/>
      </c>
      <c r="D222" s="134" t="str">
        <f ca="1">IFERROR(__xludf.DUMMYFUNCTION("""COMPUTED_VALUE"""),"")</f>
        <v/>
      </c>
      <c r="E222" s="134" t="str">
        <f ca="1">IFERROR(__xludf.DUMMYFUNCTION("""COMPUTED_VALUE"""),"")</f>
        <v/>
      </c>
      <c r="F222" s="134" t="str">
        <f ca="1">IFERROR(__xludf.DUMMYFUNCTION("""COMPUTED_VALUE"""),"")</f>
        <v/>
      </c>
      <c r="G222" s="134" t="str">
        <f ca="1">IFERROR(__xludf.DUMMYFUNCTION("""COMPUTED_VALUE"""),"")</f>
        <v/>
      </c>
      <c r="H222" s="134" t="str">
        <f ca="1">IFERROR(__xludf.DUMMYFUNCTION("""COMPUTED_VALUE"""),"")</f>
        <v/>
      </c>
      <c r="I222" s="134" t="str">
        <f ca="1">IFERROR(__xludf.DUMMYFUNCTION("""COMPUTED_VALUE"""),"")</f>
        <v/>
      </c>
      <c r="J222" s="134" t="str">
        <f ca="1">IFERROR(__xludf.DUMMYFUNCTION("""COMPUTED_VALUE"""),"")</f>
        <v/>
      </c>
      <c r="N222" s="31"/>
    </row>
    <row r="223" spans="1:14" customFormat="1">
      <c r="A223" s="134" t="str">
        <f ca="1">IFERROR(__xludf.DUMMYFUNCTION("""COMPUTED_VALUE"""),"")</f>
        <v/>
      </c>
      <c r="B223" s="134" t="str">
        <f ca="1">IFERROR(__xludf.DUMMYFUNCTION("""COMPUTED_VALUE"""),"")</f>
        <v/>
      </c>
      <c r="C223" s="134" t="str">
        <f ca="1">IFERROR(__xludf.DUMMYFUNCTION("""COMPUTED_VALUE"""),"")</f>
        <v/>
      </c>
      <c r="D223" s="134" t="str">
        <f ca="1">IFERROR(__xludf.DUMMYFUNCTION("""COMPUTED_VALUE"""),"")</f>
        <v/>
      </c>
      <c r="E223" s="134" t="str">
        <f ca="1">IFERROR(__xludf.DUMMYFUNCTION("""COMPUTED_VALUE"""),"")</f>
        <v/>
      </c>
      <c r="F223" s="134" t="str">
        <f ca="1">IFERROR(__xludf.DUMMYFUNCTION("""COMPUTED_VALUE"""),"")</f>
        <v/>
      </c>
      <c r="G223" s="134" t="str">
        <f ca="1">IFERROR(__xludf.DUMMYFUNCTION("""COMPUTED_VALUE"""),"")</f>
        <v/>
      </c>
      <c r="H223" s="134" t="str">
        <f ca="1">IFERROR(__xludf.DUMMYFUNCTION("""COMPUTED_VALUE"""),"")</f>
        <v/>
      </c>
      <c r="I223" s="134" t="str">
        <f ca="1">IFERROR(__xludf.DUMMYFUNCTION("""COMPUTED_VALUE"""),"")</f>
        <v/>
      </c>
      <c r="J223" s="134" t="str">
        <f ca="1">IFERROR(__xludf.DUMMYFUNCTION("""COMPUTED_VALUE"""),"")</f>
        <v/>
      </c>
      <c r="N223" s="31"/>
    </row>
    <row r="224" spans="1:14" customFormat="1">
      <c r="A224" s="134" t="str">
        <f ca="1">IFERROR(__xludf.DUMMYFUNCTION("""COMPUTED_VALUE"""),"")</f>
        <v/>
      </c>
      <c r="B224" s="134" t="str">
        <f ca="1">IFERROR(__xludf.DUMMYFUNCTION("""COMPUTED_VALUE"""),"")</f>
        <v/>
      </c>
      <c r="C224" s="134" t="str">
        <f ca="1">IFERROR(__xludf.DUMMYFUNCTION("""COMPUTED_VALUE"""),"")</f>
        <v/>
      </c>
      <c r="D224" s="134" t="str">
        <f ca="1">IFERROR(__xludf.DUMMYFUNCTION("""COMPUTED_VALUE"""),"")</f>
        <v/>
      </c>
      <c r="E224" s="134" t="str">
        <f ca="1">IFERROR(__xludf.DUMMYFUNCTION("""COMPUTED_VALUE"""),"")</f>
        <v/>
      </c>
      <c r="F224" s="134" t="str">
        <f ca="1">IFERROR(__xludf.DUMMYFUNCTION("""COMPUTED_VALUE"""),"")</f>
        <v/>
      </c>
      <c r="G224" s="134" t="str">
        <f ca="1">IFERROR(__xludf.DUMMYFUNCTION("""COMPUTED_VALUE"""),"")</f>
        <v/>
      </c>
      <c r="H224" s="134" t="str">
        <f ca="1">IFERROR(__xludf.DUMMYFUNCTION("""COMPUTED_VALUE"""),"")</f>
        <v/>
      </c>
      <c r="I224" s="134" t="str">
        <f ca="1">IFERROR(__xludf.DUMMYFUNCTION("""COMPUTED_VALUE"""),"")</f>
        <v/>
      </c>
      <c r="J224" s="134" t="str">
        <f ca="1">IFERROR(__xludf.DUMMYFUNCTION("""COMPUTED_VALUE"""),"")</f>
        <v/>
      </c>
      <c r="N224" s="31"/>
    </row>
    <row r="225" spans="1:14" customFormat="1">
      <c r="A225" s="134" t="str">
        <f ca="1">IFERROR(__xludf.DUMMYFUNCTION("""COMPUTED_VALUE"""),"")</f>
        <v/>
      </c>
      <c r="B225" s="134" t="str">
        <f ca="1">IFERROR(__xludf.DUMMYFUNCTION("""COMPUTED_VALUE"""),"")</f>
        <v/>
      </c>
      <c r="C225" s="134" t="str">
        <f ca="1">IFERROR(__xludf.DUMMYFUNCTION("""COMPUTED_VALUE"""),"")</f>
        <v/>
      </c>
      <c r="D225" s="134" t="str">
        <f ca="1">IFERROR(__xludf.DUMMYFUNCTION("""COMPUTED_VALUE"""),"")</f>
        <v/>
      </c>
      <c r="E225" s="134" t="str">
        <f ca="1">IFERROR(__xludf.DUMMYFUNCTION("""COMPUTED_VALUE"""),"")</f>
        <v/>
      </c>
      <c r="F225" s="134" t="str">
        <f ca="1">IFERROR(__xludf.DUMMYFUNCTION("""COMPUTED_VALUE"""),"")</f>
        <v/>
      </c>
      <c r="G225" s="134" t="str">
        <f ca="1">IFERROR(__xludf.DUMMYFUNCTION("""COMPUTED_VALUE"""),"")</f>
        <v/>
      </c>
      <c r="H225" s="134" t="str">
        <f ca="1">IFERROR(__xludf.DUMMYFUNCTION("""COMPUTED_VALUE"""),"")</f>
        <v/>
      </c>
      <c r="I225" s="134" t="str">
        <f ca="1">IFERROR(__xludf.DUMMYFUNCTION("""COMPUTED_VALUE"""),"")</f>
        <v/>
      </c>
      <c r="J225" s="134" t="str">
        <f ca="1">IFERROR(__xludf.DUMMYFUNCTION("""COMPUTED_VALUE"""),"")</f>
        <v/>
      </c>
      <c r="N225" s="31"/>
    </row>
    <row r="226" spans="1:14" customFormat="1">
      <c r="A226" s="134" t="str">
        <f ca="1">IFERROR(__xludf.DUMMYFUNCTION("""COMPUTED_VALUE"""),"")</f>
        <v/>
      </c>
      <c r="B226" s="134" t="str">
        <f ca="1">IFERROR(__xludf.DUMMYFUNCTION("""COMPUTED_VALUE"""),"")</f>
        <v/>
      </c>
      <c r="C226" s="134" t="str">
        <f ca="1">IFERROR(__xludf.DUMMYFUNCTION("""COMPUTED_VALUE"""),"")</f>
        <v/>
      </c>
      <c r="D226" s="134" t="str">
        <f ca="1">IFERROR(__xludf.DUMMYFUNCTION("""COMPUTED_VALUE"""),"")</f>
        <v/>
      </c>
      <c r="E226" s="134" t="str">
        <f ca="1">IFERROR(__xludf.DUMMYFUNCTION("""COMPUTED_VALUE"""),"")</f>
        <v/>
      </c>
      <c r="F226" s="134" t="str">
        <f ca="1">IFERROR(__xludf.DUMMYFUNCTION("""COMPUTED_VALUE"""),"")</f>
        <v/>
      </c>
      <c r="G226" s="134" t="str">
        <f ca="1">IFERROR(__xludf.DUMMYFUNCTION("""COMPUTED_VALUE"""),"")</f>
        <v/>
      </c>
      <c r="H226" s="134" t="str">
        <f ca="1">IFERROR(__xludf.DUMMYFUNCTION("""COMPUTED_VALUE"""),"")</f>
        <v/>
      </c>
      <c r="I226" s="134" t="str">
        <f ca="1">IFERROR(__xludf.DUMMYFUNCTION("""COMPUTED_VALUE"""),"")</f>
        <v/>
      </c>
      <c r="J226" s="134" t="str">
        <f ca="1">IFERROR(__xludf.DUMMYFUNCTION("""COMPUTED_VALUE"""),"")</f>
        <v/>
      </c>
      <c r="N226" s="31"/>
    </row>
    <row r="227" spans="1:14" customFormat="1">
      <c r="A227" s="134" t="str">
        <f ca="1">IFERROR(__xludf.DUMMYFUNCTION("""COMPUTED_VALUE"""),"")</f>
        <v/>
      </c>
      <c r="B227" s="134" t="str">
        <f ca="1">IFERROR(__xludf.DUMMYFUNCTION("""COMPUTED_VALUE"""),"")</f>
        <v/>
      </c>
      <c r="C227" s="134" t="str">
        <f ca="1">IFERROR(__xludf.DUMMYFUNCTION("""COMPUTED_VALUE"""),"")</f>
        <v/>
      </c>
      <c r="D227" s="134" t="str">
        <f ca="1">IFERROR(__xludf.DUMMYFUNCTION("""COMPUTED_VALUE"""),"")</f>
        <v/>
      </c>
      <c r="E227" s="134" t="str">
        <f ca="1">IFERROR(__xludf.DUMMYFUNCTION("""COMPUTED_VALUE"""),"")</f>
        <v/>
      </c>
      <c r="F227" s="134" t="str">
        <f ca="1">IFERROR(__xludf.DUMMYFUNCTION("""COMPUTED_VALUE"""),"")</f>
        <v/>
      </c>
      <c r="G227" s="134" t="str">
        <f ca="1">IFERROR(__xludf.DUMMYFUNCTION("""COMPUTED_VALUE"""),"")</f>
        <v/>
      </c>
      <c r="H227" s="134" t="str">
        <f ca="1">IFERROR(__xludf.DUMMYFUNCTION("""COMPUTED_VALUE"""),"")</f>
        <v/>
      </c>
      <c r="I227" s="134" t="str">
        <f ca="1">IFERROR(__xludf.DUMMYFUNCTION("""COMPUTED_VALUE"""),"")</f>
        <v/>
      </c>
      <c r="J227" s="134" t="str">
        <f ca="1">IFERROR(__xludf.DUMMYFUNCTION("""COMPUTED_VALUE"""),"")</f>
        <v/>
      </c>
      <c r="N227" s="31"/>
    </row>
    <row r="228" spans="1:14" customFormat="1">
      <c r="A228" s="134" t="str">
        <f ca="1">IFERROR(__xludf.DUMMYFUNCTION("""COMPUTED_VALUE"""),"")</f>
        <v/>
      </c>
      <c r="B228" s="134" t="str">
        <f ca="1">IFERROR(__xludf.DUMMYFUNCTION("""COMPUTED_VALUE"""),"")</f>
        <v/>
      </c>
      <c r="C228" s="134" t="str">
        <f ca="1">IFERROR(__xludf.DUMMYFUNCTION("""COMPUTED_VALUE"""),"")</f>
        <v/>
      </c>
      <c r="D228" s="134" t="str">
        <f ca="1">IFERROR(__xludf.DUMMYFUNCTION("""COMPUTED_VALUE"""),"")</f>
        <v/>
      </c>
      <c r="E228" s="134" t="str">
        <f ca="1">IFERROR(__xludf.DUMMYFUNCTION("""COMPUTED_VALUE"""),"")</f>
        <v/>
      </c>
      <c r="F228" s="134" t="str">
        <f ca="1">IFERROR(__xludf.DUMMYFUNCTION("""COMPUTED_VALUE"""),"")</f>
        <v/>
      </c>
      <c r="G228" s="134" t="str">
        <f ca="1">IFERROR(__xludf.DUMMYFUNCTION("""COMPUTED_VALUE"""),"")</f>
        <v/>
      </c>
      <c r="H228" s="134" t="str">
        <f ca="1">IFERROR(__xludf.DUMMYFUNCTION("""COMPUTED_VALUE"""),"")</f>
        <v/>
      </c>
      <c r="I228" s="134" t="str">
        <f ca="1">IFERROR(__xludf.DUMMYFUNCTION("""COMPUTED_VALUE"""),"")</f>
        <v/>
      </c>
      <c r="J228" s="134" t="str">
        <f ca="1">IFERROR(__xludf.DUMMYFUNCTION("""COMPUTED_VALUE"""),"")</f>
        <v/>
      </c>
      <c r="N228" s="31"/>
    </row>
    <row r="229" spans="1:14" customFormat="1">
      <c r="A229" s="134" t="str">
        <f ca="1">IFERROR(__xludf.DUMMYFUNCTION("""COMPUTED_VALUE"""),"")</f>
        <v/>
      </c>
      <c r="B229" s="134" t="str">
        <f ca="1">IFERROR(__xludf.DUMMYFUNCTION("""COMPUTED_VALUE"""),"")</f>
        <v/>
      </c>
      <c r="C229" s="134" t="str">
        <f ca="1">IFERROR(__xludf.DUMMYFUNCTION("""COMPUTED_VALUE"""),"")</f>
        <v/>
      </c>
      <c r="D229" s="134" t="str">
        <f ca="1">IFERROR(__xludf.DUMMYFUNCTION("""COMPUTED_VALUE"""),"")</f>
        <v/>
      </c>
      <c r="E229" s="134" t="str">
        <f ca="1">IFERROR(__xludf.DUMMYFUNCTION("""COMPUTED_VALUE"""),"")</f>
        <v/>
      </c>
      <c r="F229" s="134" t="str">
        <f ca="1">IFERROR(__xludf.DUMMYFUNCTION("""COMPUTED_VALUE"""),"")</f>
        <v/>
      </c>
      <c r="G229" s="134" t="str">
        <f ca="1">IFERROR(__xludf.DUMMYFUNCTION("""COMPUTED_VALUE"""),"")</f>
        <v/>
      </c>
      <c r="H229" s="134" t="str">
        <f ca="1">IFERROR(__xludf.DUMMYFUNCTION("""COMPUTED_VALUE"""),"")</f>
        <v/>
      </c>
      <c r="I229" s="134" t="str">
        <f ca="1">IFERROR(__xludf.DUMMYFUNCTION("""COMPUTED_VALUE"""),"")</f>
        <v/>
      </c>
      <c r="J229" s="134" t="str">
        <f ca="1">IFERROR(__xludf.DUMMYFUNCTION("""COMPUTED_VALUE"""),"")</f>
        <v/>
      </c>
      <c r="N229" s="31"/>
    </row>
    <row r="230" spans="1:14" customFormat="1">
      <c r="A230" s="134" t="str">
        <f ca="1">IFERROR(__xludf.DUMMYFUNCTION("""COMPUTED_VALUE"""),"")</f>
        <v/>
      </c>
      <c r="B230" s="134" t="str">
        <f ca="1">IFERROR(__xludf.DUMMYFUNCTION("""COMPUTED_VALUE"""),"")</f>
        <v/>
      </c>
      <c r="C230" s="134" t="str">
        <f ca="1">IFERROR(__xludf.DUMMYFUNCTION("""COMPUTED_VALUE"""),"")</f>
        <v/>
      </c>
      <c r="D230" s="134" t="str">
        <f ca="1">IFERROR(__xludf.DUMMYFUNCTION("""COMPUTED_VALUE"""),"")</f>
        <v/>
      </c>
      <c r="E230" s="134" t="str">
        <f ca="1">IFERROR(__xludf.DUMMYFUNCTION("""COMPUTED_VALUE"""),"")</f>
        <v/>
      </c>
      <c r="F230" s="134" t="str">
        <f ca="1">IFERROR(__xludf.DUMMYFUNCTION("""COMPUTED_VALUE"""),"")</f>
        <v/>
      </c>
      <c r="G230" s="134" t="str">
        <f ca="1">IFERROR(__xludf.DUMMYFUNCTION("""COMPUTED_VALUE"""),"")</f>
        <v/>
      </c>
      <c r="H230" s="134" t="str">
        <f ca="1">IFERROR(__xludf.DUMMYFUNCTION("""COMPUTED_VALUE"""),"")</f>
        <v/>
      </c>
      <c r="I230" s="134" t="str">
        <f ca="1">IFERROR(__xludf.DUMMYFUNCTION("""COMPUTED_VALUE"""),"")</f>
        <v/>
      </c>
      <c r="J230" s="134" t="str">
        <f ca="1">IFERROR(__xludf.DUMMYFUNCTION("""COMPUTED_VALUE"""),"")</f>
        <v/>
      </c>
      <c r="N230" s="31"/>
    </row>
    <row r="231" spans="1:14" customFormat="1">
      <c r="A231" s="134" t="str">
        <f ca="1">IFERROR(__xludf.DUMMYFUNCTION("""COMPUTED_VALUE"""),"")</f>
        <v/>
      </c>
      <c r="B231" s="134" t="str">
        <f ca="1">IFERROR(__xludf.DUMMYFUNCTION("""COMPUTED_VALUE"""),"")</f>
        <v/>
      </c>
      <c r="C231" s="134" t="str">
        <f ca="1">IFERROR(__xludf.DUMMYFUNCTION("""COMPUTED_VALUE"""),"")</f>
        <v/>
      </c>
      <c r="D231" s="134" t="str">
        <f ca="1">IFERROR(__xludf.DUMMYFUNCTION("""COMPUTED_VALUE"""),"")</f>
        <v/>
      </c>
      <c r="E231" s="134" t="str">
        <f ca="1">IFERROR(__xludf.DUMMYFUNCTION("""COMPUTED_VALUE"""),"")</f>
        <v/>
      </c>
      <c r="F231" s="134" t="str">
        <f ca="1">IFERROR(__xludf.DUMMYFUNCTION("""COMPUTED_VALUE"""),"")</f>
        <v/>
      </c>
      <c r="G231" s="134" t="str">
        <f ca="1">IFERROR(__xludf.DUMMYFUNCTION("""COMPUTED_VALUE"""),"")</f>
        <v/>
      </c>
      <c r="H231" s="134" t="str">
        <f ca="1">IFERROR(__xludf.DUMMYFUNCTION("""COMPUTED_VALUE"""),"")</f>
        <v/>
      </c>
      <c r="I231" s="134" t="str">
        <f ca="1">IFERROR(__xludf.DUMMYFUNCTION("""COMPUTED_VALUE"""),"")</f>
        <v/>
      </c>
      <c r="J231" s="134" t="str">
        <f ca="1">IFERROR(__xludf.DUMMYFUNCTION("""COMPUTED_VALUE"""),"")</f>
        <v/>
      </c>
      <c r="N231" s="31"/>
    </row>
    <row r="232" spans="1:14" customFormat="1">
      <c r="A232" s="134" t="str">
        <f ca="1">IFERROR(__xludf.DUMMYFUNCTION("""COMPUTED_VALUE"""),"")</f>
        <v/>
      </c>
      <c r="B232" s="134" t="str">
        <f ca="1">IFERROR(__xludf.DUMMYFUNCTION("""COMPUTED_VALUE"""),"")</f>
        <v/>
      </c>
      <c r="C232" s="134" t="str">
        <f ca="1">IFERROR(__xludf.DUMMYFUNCTION("""COMPUTED_VALUE"""),"")</f>
        <v/>
      </c>
      <c r="D232" s="134" t="str">
        <f ca="1">IFERROR(__xludf.DUMMYFUNCTION("""COMPUTED_VALUE"""),"")</f>
        <v/>
      </c>
      <c r="E232" s="134" t="str">
        <f ca="1">IFERROR(__xludf.DUMMYFUNCTION("""COMPUTED_VALUE"""),"")</f>
        <v/>
      </c>
      <c r="F232" s="134" t="str">
        <f ca="1">IFERROR(__xludf.DUMMYFUNCTION("""COMPUTED_VALUE"""),"")</f>
        <v/>
      </c>
      <c r="G232" s="134" t="str">
        <f ca="1">IFERROR(__xludf.DUMMYFUNCTION("""COMPUTED_VALUE"""),"")</f>
        <v/>
      </c>
      <c r="H232" s="134" t="str">
        <f ca="1">IFERROR(__xludf.DUMMYFUNCTION("""COMPUTED_VALUE"""),"")</f>
        <v/>
      </c>
      <c r="I232" s="134" t="str">
        <f ca="1">IFERROR(__xludf.DUMMYFUNCTION("""COMPUTED_VALUE"""),"")</f>
        <v/>
      </c>
      <c r="J232" s="134" t="str">
        <f ca="1">IFERROR(__xludf.DUMMYFUNCTION("""COMPUTED_VALUE"""),"")</f>
        <v/>
      </c>
      <c r="N232" s="31"/>
    </row>
    <row r="233" spans="1:14" customFormat="1">
      <c r="A233" s="134" t="str">
        <f ca="1">IFERROR(__xludf.DUMMYFUNCTION("""COMPUTED_VALUE"""),"")</f>
        <v/>
      </c>
      <c r="B233" s="134" t="str">
        <f ca="1">IFERROR(__xludf.DUMMYFUNCTION("""COMPUTED_VALUE"""),"")</f>
        <v/>
      </c>
      <c r="C233" s="134" t="str">
        <f ca="1">IFERROR(__xludf.DUMMYFUNCTION("""COMPUTED_VALUE"""),"")</f>
        <v/>
      </c>
      <c r="D233" s="134" t="str">
        <f ca="1">IFERROR(__xludf.DUMMYFUNCTION("""COMPUTED_VALUE"""),"")</f>
        <v/>
      </c>
      <c r="E233" s="134" t="str">
        <f ca="1">IFERROR(__xludf.DUMMYFUNCTION("""COMPUTED_VALUE"""),"")</f>
        <v/>
      </c>
      <c r="F233" s="134" t="str">
        <f ca="1">IFERROR(__xludf.DUMMYFUNCTION("""COMPUTED_VALUE"""),"")</f>
        <v/>
      </c>
      <c r="G233" s="134" t="str">
        <f ca="1">IFERROR(__xludf.DUMMYFUNCTION("""COMPUTED_VALUE"""),"")</f>
        <v/>
      </c>
      <c r="H233" s="134" t="str">
        <f ca="1">IFERROR(__xludf.DUMMYFUNCTION("""COMPUTED_VALUE"""),"")</f>
        <v/>
      </c>
      <c r="I233" s="134" t="str">
        <f ca="1">IFERROR(__xludf.DUMMYFUNCTION("""COMPUTED_VALUE"""),"")</f>
        <v/>
      </c>
      <c r="J233" s="134" t="str">
        <f ca="1">IFERROR(__xludf.DUMMYFUNCTION("""COMPUTED_VALUE"""),"")</f>
        <v/>
      </c>
      <c r="N233" s="31"/>
    </row>
    <row r="234" spans="1:14" customFormat="1">
      <c r="A234" s="134" t="str">
        <f ca="1">IFERROR(__xludf.DUMMYFUNCTION("""COMPUTED_VALUE"""),"")</f>
        <v/>
      </c>
      <c r="B234" s="134" t="str">
        <f ca="1">IFERROR(__xludf.DUMMYFUNCTION("""COMPUTED_VALUE"""),"")</f>
        <v/>
      </c>
      <c r="C234" s="134" t="str">
        <f ca="1">IFERROR(__xludf.DUMMYFUNCTION("""COMPUTED_VALUE"""),"")</f>
        <v/>
      </c>
      <c r="D234" s="134" t="str">
        <f ca="1">IFERROR(__xludf.DUMMYFUNCTION("""COMPUTED_VALUE"""),"")</f>
        <v/>
      </c>
      <c r="E234" s="134" t="str">
        <f ca="1">IFERROR(__xludf.DUMMYFUNCTION("""COMPUTED_VALUE"""),"")</f>
        <v/>
      </c>
      <c r="F234" s="134" t="str">
        <f ca="1">IFERROR(__xludf.DUMMYFUNCTION("""COMPUTED_VALUE"""),"")</f>
        <v/>
      </c>
      <c r="G234" s="134" t="str">
        <f ca="1">IFERROR(__xludf.DUMMYFUNCTION("""COMPUTED_VALUE"""),"")</f>
        <v/>
      </c>
      <c r="H234" s="134" t="str">
        <f ca="1">IFERROR(__xludf.DUMMYFUNCTION("""COMPUTED_VALUE"""),"")</f>
        <v/>
      </c>
      <c r="I234" s="134" t="str">
        <f ca="1">IFERROR(__xludf.DUMMYFUNCTION("""COMPUTED_VALUE"""),"")</f>
        <v/>
      </c>
      <c r="J234" s="134" t="str">
        <f ca="1">IFERROR(__xludf.DUMMYFUNCTION("""COMPUTED_VALUE"""),"")</f>
        <v/>
      </c>
      <c r="N234" s="31"/>
    </row>
    <row r="235" spans="1:14" customFormat="1">
      <c r="A235" s="134" t="str">
        <f ca="1">IFERROR(__xludf.DUMMYFUNCTION("""COMPUTED_VALUE"""),"")</f>
        <v/>
      </c>
      <c r="B235" s="134" t="str">
        <f ca="1">IFERROR(__xludf.DUMMYFUNCTION("""COMPUTED_VALUE"""),"")</f>
        <v/>
      </c>
      <c r="C235" s="134" t="str">
        <f ca="1">IFERROR(__xludf.DUMMYFUNCTION("""COMPUTED_VALUE"""),"")</f>
        <v/>
      </c>
      <c r="D235" s="134" t="str">
        <f ca="1">IFERROR(__xludf.DUMMYFUNCTION("""COMPUTED_VALUE"""),"")</f>
        <v/>
      </c>
      <c r="E235" s="134" t="str">
        <f ca="1">IFERROR(__xludf.DUMMYFUNCTION("""COMPUTED_VALUE"""),"")</f>
        <v/>
      </c>
      <c r="F235" s="134" t="str">
        <f ca="1">IFERROR(__xludf.DUMMYFUNCTION("""COMPUTED_VALUE"""),"")</f>
        <v/>
      </c>
      <c r="G235" s="134" t="str">
        <f ca="1">IFERROR(__xludf.DUMMYFUNCTION("""COMPUTED_VALUE"""),"")</f>
        <v/>
      </c>
      <c r="H235" s="134" t="str">
        <f ca="1">IFERROR(__xludf.DUMMYFUNCTION("""COMPUTED_VALUE"""),"")</f>
        <v/>
      </c>
      <c r="I235" s="134" t="str">
        <f ca="1">IFERROR(__xludf.DUMMYFUNCTION("""COMPUTED_VALUE"""),"")</f>
        <v/>
      </c>
      <c r="J235" s="134" t="str">
        <f ca="1">IFERROR(__xludf.DUMMYFUNCTION("""COMPUTED_VALUE"""),"")</f>
        <v/>
      </c>
      <c r="N235" s="31"/>
    </row>
    <row r="236" spans="1:14" customFormat="1">
      <c r="A236" s="134" t="str">
        <f ca="1">IFERROR(__xludf.DUMMYFUNCTION("""COMPUTED_VALUE"""),"")</f>
        <v/>
      </c>
      <c r="B236" s="134" t="str">
        <f ca="1">IFERROR(__xludf.DUMMYFUNCTION("""COMPUTED_VALUE"""),"")</f>
        <v/>
      </c>
      <c r="C236" s="134" t="str">
        <f ca="1">IFERROR(__xludf.DUMMYFUNCTION("""COMPUTED_VALUE"""),"")</f>
        <v/>
      </c>
      <c r="D236" s="134" t="str">
        <f ca="1">IFERROR(__xludf.DUMMYFUNCTION("""COMPUTED_VALUE"""),"")</f>
        <v/>
      </c>
      <c r="E236" s="134" t="str">
        <f ca="1">IFERROR(__xludf.DUMMYFUNCTION("""COMPUTED_VALUE"""),"")</f>
        <v/>
      </c>
      <c r="F236" s="134" t="str">
        <f ca="1">IFERROR(__xludf.DUMMYFUNCTION("""COMPUTED_VALUE"""),"")</f>
        <v/>
      </c>
      <c r="G236" s="134" t="str">
        <f ca="1">IFERROR(__xludf.DUMMYFUNCTION("""COMPUTED_VALUE"""),"")</f>
        <v/>
      </c>
      <c r="H236" s="134" t="str">
        <f ca="1">IFERROR(__xludf.DUMMYFUNCTION("""COMPUTED_VALUE"""),"")</f>
        <v/>
      </c>
      <c r="I236" s="134" t="str">
        <f ca="1">IFERROR(__xludf.DUMMYFUNCTION("""COMPUTED_VALUE"""),"")</f>
        <v/>
      </c>
      <c r="J236" s="134" t="str">
        <f ca="1">IFERROR(__xludf.DUMMYFUNCTION("""COMPUTED_VALUE"""),"")</f>
        <v/>
      </c>
      <c r="N236" s="31"/>
    </row>
    <row r="237" spans="1:14" customFormat="1">
      <c r="A237" s="134" t="str">
        <f ca="1">IFERROR(__xludf.DUMMYFUNCTION("""COMPUTED_VALUE"""),"")</f>
        <v/>
      </c>
      <c r="B237" s="134" t="str">
        <f ca="1">IFERROR(__xludf.DUMMYFUNCTION("""COMPUTED_VALUE"""),"")</f>
        <v/>
      </c>
      <c r="C237" s="134" t="str">
        <f ca="1">IFERROR(__xludf.DUMMYFUNCTION("""COMPUTED_VALUE"""),"")</f>
        <v/>
      </c>
      <c r="D237" s="134" t="str">
        <f ca="1">IFERROR(__xludf.DUMMYFUNCTION("""COMPUTED_VALUE"""),"")</f>
        <v/>
      </c>
      <c r="E237" s="134" t="str">
        <f ca="1">IFERROR(__xludf.DUMMYFUNCTION("""COMPUTED_VALUE"""),"")</f>
        <v/>
      </c>
      <c r="F237" s="134" t="str">
        <f ca="1">IFERROR(__xludf.DUMMYFUNCTION("""COMPUTED_VALUE"""),"")</f>
        <v/>
      </c>
      <c r="G237" s="134" t="str">
        <f ca="1">IFERROR(__xludf.DUMMYFUNCTION("""COMPUTED_VALUE"""),"")</f>
        <v/>
      </c>
      <c r="H237" s="134" t="str">
        <f ca="1">IFERROR(__xludf.DUMMYFUNCTION("""COMPUTED_VALUE"""),"")</f>
        <v/>
      </c>
      <c r="I237" s="134" t="str">
        <f ca="1">IFERROR(__xludf.DUMMYFUNCTION("""COMPUTED_VALUE"""),"")</f>
        <v/>
      </c>
      <c r="J237" s="134" t="str">
        <f ca="1">IFERROR(__xludf.DUMMYFUNCTION("""COMPUTED_VALUE"""),"")</f>
        <v/>
      </c>
      <c r="N237" s="31"/>
    </row>
    <row r="238" spans="1:14" customFormat="1">
      <c r="A238" s="134" t="str">
        <f ca="1">IFERROR(__xludf.DUMMYFUNCTION("""COMPUTED_VALUE"""),"")</f>
        <v/>
      </c>
      <c r="B238" s="134" t="str">
        <f ca="1">IFERROR(__xludf.DUMMYFUNCTION("""COMPUTED_VALUE"""),"")</f>
        <v/>
      </c>
      <c r="C238" s="134" t="str">
        <f ca="1">IFERROR(__xludf.DUMMYFUNCTION("""COMPUTED_VALUE"""),"")</f>
        <v/>
      </c>
      <c r="D238" s="134" t="str">
        <f ca="1">IFERROR(__xludf.DUMMYFUNCTION("""COMPUTED_VALUE"""),"")</f>
        <v/>
      </c>
      <c r="E238" s="134" t="str">
        <f ca="1">IFERROR(__xludf.DUMMYFUNCTION("""COMPUTED_VALUE"""),"")</f>
        <v/>
      </c>
      <c r="F238" s="134" t="str">
        <f ca="1">IFERROR(__xludf.DUMMYFUNCTION("""COMPUTED_VALUE"""),"")</f>
        <v/>
      </c>
      <c r="G238" s="134" t="str">
        <f ca="1">IFERROR(__xludf.DUMMYFUNCTION("""COMPUTED_VALUE"""),"")</f>
        <v/>
      </c>
      <c r="H238" s="134" t="str">
        <f ca="1">IFERROR(__xludf.DUMMYFUNCTION("""COMPUTED_VALUE"""),"")</f>
        <v/>
      </c>
      <c r="I238" s="134" t="str">
        <f ca="1">IFERROR(__xludf.DUMMYFUNCTION("""COMPUTED_VALUE"""),"")</f>
        <v/>
      </c>
      <c r="J238" s="134" t="str">
        <f ca="1">IFERROR(__xludf.DUMMYFUNCTION("""COMPUTED_VALUE"""),"")</f>
        <v/>
      </c>
      <c r="N238" s="31"/>
    </row>
    <row r="239" spans="1:14" customFormat="1">
      <c r="A239" s="134" t="str">
        <f ca="1">IFERROR(__xludf.DUMMYFUNCTION("""COMPUTED_VALUE"""),"")</f>
        <v/>
      </c>
      <c r="B239" s="134" t="str">
        <f ca="1">IFERROR(__xludf.DUMMYFUNCTION("""COMPUTED_VALUE"""),"")</f>
        <v/>
      </c>
      <c r="C239" s="134" t="str">
        <f ca="1">IFERROR(__xludf.DUMMYFUNCTION("""COMPUTED_VALUE"""),"")</f>
        <v/>
      </c>
      <c r="D239" s="134" t="str">
        <f ca="1">IFERROR(__xludf.DUMMYFUNCTION("""COMPUTED_VALUE"""),"")</f>
        <v/>
      </c>
      <c r="E239" s="134" t="str">
        <f ca="1">IFERROR(__xludf.DUMMYFUNCTION("""COMPUTED_VALUE"""),"")</f>
        <v/>
      </c>
      <c r="F239" s="134" t="str">
        <f ca="1">IFERROR(__xludf.DUMMYFUNCTION("""COMPUTED_VALUE"""),"")</f>
        <v/>
      </c>
      <c r="G239" s="134" t="str">
        <f ca="1">IFERROR(__xludf.DUMMYFUNCTION("""COMPUTED_VALUE"""),"")</f>
        <v/>
      </c>
      <c r="H239" s="134" t="str">
        <f ca="1">IFERROR(__xludf.DUMMYFUNCTION("""COMPUTED_VALUE"""),"")</f>
        <v/>
      </c>
      <c r="I239" s="134" t="str">
        <f ca="1">IFERROR(__xludf.DUMMYFUNCTION("""COMPUTED_VALUE"""),"")</f>
        <v/>
      </c>
      <c r="J239" s="134" t="str">
        <f ca="1">IFERROR(__xludf.DUMMYFUNCTION("""COMPUTED_VALUE"""),"")</f>
        <v/>
      </c>
      <c r="N239" s="31"/>
    </row>
    <row r="240" spans="1:14" customFormat="1">
      <c r="A240" s="134" t="str">
        <f ca="1">IFERROR(__xludf.DUMMYFUNCTION("""COMPUTED_VALUE"""),"")</f>
        <v/>
      </c>
      <c r="B240" s="134" t="str">
        <f ca="1">IFERROR(__xludf.DUMMYFUNCTION("""COMPUTED_VALUE"""),"")</f>
        <v/>
      </c>
      <c r="C240" s="134" t="str">
        <f ca="1">IFERROR(__xludf.DUMMYFUNCTION("""COMPUTED_VALUE"""),"")</f>
        <v/>
      </c>
      <c r="D240" s="134" t="str">
        <f ca="1">IFERROR(__xludf.DUMMYFUNCTION("""COMPUTED_VALUE"""),"")</f>
        <v/>
      </c>
      <c r="E240" s="134" t="str">
        <f ca="1">IFERROR(__xludf.DUMMYFUNCTION("""COMPUTED_VALUE"""),"")</f>
        <v/>
      </c>
      <c r="F240" s="134" t="str">
        <f ca="1">IFERROR(__xludf.DUMMYFUNCTION("""COMPUTED_VALUE"""),"")</f>
        <v/>
      </c>
      <c r="G240" s="134" t="str">
        <f ca="1">IFERROR(__xludf.DUMMYFUNCTION("""COMPUTED_VALUE"""),"")</f>
        <v/>
      </c>
      <c r="H240" s="134" t="str">
        <f ca="1">IFERROR(__xludf.DUMMYFUNCTION("""COMPUTED_VALUE"""),"")</f>
        <v/>
      </c>
      <c r="I240" s="134" t="str">
        <f ca="1">IFERROR(__xludf.DUMMYFUNCTION("""COMPUTED_VALUE"""),"")</f>
        <v/>
      </c>
      <c r="J240" s="134" t="str">
        <f ca="1">IFERROR(__xludf.DUMMYFUNCTION("""COMPUTED_VALUE"""),"")</f>
        <v/>
      </c>
      <c r="N240" s="31"/>
    </row>
    <row r="241" spans="1:14" customFormat="1">
      <c r="A241" s="134" t="str">
        <f ca="1">IFERROR(__xludf.DUMMYFUNCTION("""COMPUTED_VALUE"""),"")</f>
        <v/>
      </c>
      <c r="B241" s="134" t="str">
        <f ca="1">IFERROR(__xludf.DUMMYFUNCTION("""COMPUTED_VALUE"""),"")</f>
        <v/>
      </c>
      <c r="C241" s="134" t="str">
        <f ca="1">IFERROR(__xludf.DUMMYFUNCTION("""COMPUTED_VALUE"""),"")</f>
        <v/>
      </c>
      <c r="D241" s="134" t="str">
        <f ca="1">IFERROR(__xludf.DUMMYFUNCTION("""COMPUTED_VALUE"""),"")</f>
        <v/>
      </c>
      <c r="E241" s="134" t="str">
        <f ca="1">IFERROR(__xludf.DUMMYFUNCTION("""COMPUTED_VALUE"""),"")</f>
        <v/>
      </c>
      <c r="F241" s="134" t="str">
        <f ca="1">IFERROR(__xludf.DUMMYFUNCTION("""COMPUTED_VALUE"""),"")</f>
        <v/>
      </c>
      <c r="G241" s="134" t="str">
        <f ca="1">IFERROR(__xludf.DUMMYFUNCTION("""COMPUTED_VALUE"""),"")</f>
        <v/>
      </c>
      <c r="H241" s="134" t="str">
        <f ca="1">IFERROR(__xludf.DUMMYFUNCTION("""COMPUTED_VALUE"""),"")</f>
        <v/>
      </c>
      <c r="I241" s="134" t="str">
        <f ca="1">IFERROR(__xludf.DUMMYFUNCTION("""COMPUTED_VALUE"""),"")</f>
        <v/>
      </c>
      <c r="J241" s="134" t="str">
        <f ca="1">IFERROR(__xludf.DUMMYFUNCTION("""COMPUTED_VALUE"""),"")</f>
        <v/>
      </c>
      <c r="N241" s="31"/>
    </row>
    <row r="242" spans="1:14" customFormat="1">
      <c r="A242" s="134" t="str">
        <f ca="1">IFERROR(__xludf.DUMMYFUNCTION("""COMPUTED_VALUE"""),"")</f>
        <v/>
      </c>
      <c r="B242" s="134" t="str">
        <f ca="1">IFERROR(__xludf.DUMMYFUNCTION("""COMPUTED_VALUE"""),"")</f>
        <v/>
      </c>
      <c r="C242" s="134" t="str">
        <f ca="1">IFERROR(__xludf.DUMMYFUNCTION("""COMPUTED_VALUE"""),"")</f>
        <v/>
      </c>
      <c r="D242" s="134" t="str">
        <f ca="1">IFERROR(__xludf.DUMMYFUNCTION("""COMPUTED_VALUE"""),"")</f>
        <v/>
      </c>
      <c r="E242" s="134" t="str">
        <f ca="1">IFERROR(__xludf.DUMMYFUNCTION("""COMPUTED_VALUE"""),"")</f>
        <v/>
      </c>
      <c r="F242" s="134" t="str">
        <f ca="1">IFERROR(__xludf.DUMMYFUNCTION("""COMPUTED_VALUE"""),"")</f>
        <v/>
      </c>
      <c r="G242" s="134" t="str">
        <f ca="1">IFERROR(__xludf.DUMMYFUNCTION("""COMPUTED_VALUE"""),"")</f>
        <v/>
      </c>
      <c r="H242" s="134" t="str">
        <f ca="1">IFERROR(__xludf.DUMMYFUNCTION("""COMPUTED_VALUE"""),"")</f>
        <v/>
      </c>
      <c r="I242" s="134" t="str">
        <f ca="1">IFERROR(__xludf.DUMMYFUNCTION("""COMPUTED_VALUE"""),"")</f>
        <v/>
      </c>
      <c r="J242" s="134" t="str">
        <f ca="1">IFERROR(__xludf.DUMMYFUNCTION("""COMPUTED_VALUE"""),"")</f>
        <v/>
      </c>
      <c r="N242" s="31"/>
    </row>
    <row r="243" spans="1:14" customFormat="1">
      <c r="A243" s="134" t="str">
        <f ca="1">IFERROR(__xludf.DUMMYFUNCTION("""COMPUTED_VALUE"""),"")</f>
        <v/>
      </c>
      <c r="B243" s="134" t="str">
        <f ca="1">IFERROR(__xludf.DUMMYFUNCTION("""COMPUTED_VALUE"""),"")</f>
        <v/>
      </c>
      <c r="C243" s="134" t="str">
        <f ca="1">IFERROR(__xludf.DUMMYFUNCTION("""COMPUTED_VALUE"""),"")</f>
        <v/>
      </c>
      <c r="D243" s="134" t="str">
        <f ca="1">IFERROR(__xludf.DUMMYFUNCTION("""COMPUTED_VALUE"""),"")</f>
        <v/>
      </c>
      <c r="E243" s="134" t="str">
        <f ca="1">IFERROR(__xludf.DUMMYFUNCTION("""COMPUTED_VALUE"""),"")</f>
        <v/>
      </c>
      <c r="F243" s="134" t="str">
        <f ca="1">IFERROR(__xludf.DUMMYFUNCTION("""COMPUTED_VALUE"""),"")</f>
        <v/>
      </c>
      <c r="G243" s="134" t="str">
        <f ca="1">IFERROR(__xludf.DUMMYFUNCTION("""COMPUTED_VALUE"""),"")</f>
        <v/>
      </c>
      <c r="H243" s="134" t="str">
        <f ca="1">IFERROR(__xludf.DUMMYFUNCTION("""COMPUTED_VALUE"""),"")</f>
        <v/>
      </c>
      <c r="I243" s="134" t="str">
        <f ca="1">IFERROR(__xludf.DUMMYFUNCTION("""COMPUTED_VALUE"""),"")</f>
        <v/>
      </c>
      <c r="J243" s="134" t="str">
        <f ca="1">IFERROR(__xludf.DUMMYFUNCTION("""COMPUTED_VALUE"""),"")</f>
        <v/>
      </c>
      <c r="N243" s="31"/>
    </row>
    <row r="244" spans="1:14" customFormat="1">
      <c r="A244" s="134" t="str">
        <f ca="1">IFERROR(__xludf.DUMMYFUNCTION("""COMPUTED_VALUE"""),"")</f>
        <v/>
      </c>
      <c r="B244" s="134" t="str">
        <f ca="1">IFERROR(__xludf.DUMMYFUNCTION("""COMPUTED_VALUE"""),"")</f>
        <v/>
      </c>
      <c r="C244" s="134" t="str">
        <f ca="1">IFERROR(__xludf.DUMMYFUNCTION("""COMPUTED_VALUE"""),"")</f>
        <v/>
      </c>
      <c r="D244" s="134" t="str">
        <f ca="1">IFERROR(__xludf.DUMMYFUNCTION("""COMPUTED_VALUE"""),"")</f>
        <v/>
      </c>
      <c r="E244" s="134" t="str">
        <f ca="1">IFERROR(__xludf.DUMMYFUNCTION("""COMPUTED_VALUE"""),"")</f>
        <v/>
      </c>
      <c r="F244" s="134" t="str">
        <f ca="1">IFERROR(__xludf.DUMMYFUNCTION("""COMPUTED_VALUE"""),"")</f>
        <v/>
      </c>
      <c r="G244" s="134" t="str">
        <f ca="1">IFERROR(__xludf.DUMMYFUNCTION("""COMPUTED_VALUE"""),"")</f>
        <v/>
      </c>
      <c r="H244" s="134" t="str">
        <f ca="1">IFERROR(__xludf.DUMMYFUNCTION("""COMPUTED_VALUE"""),"")</f>
        <v/>
      </c>
      <c r="I244" s="134" t="str">
        <f ca="1">IFERROR(__xludf.DUMMYFUNCTION("""COMPUTED_VALUE"""),"")</f>
        <v/>
      </c>
      <c r="J244" s="134" t="str">
        <f ca="1">IFERROR(__xludf.DUMMYFUNCTION("""COMPUTED_VALUE"""),"")</f>
        <v/>
      </c>
      <c r="N244" s="31"/>
    </row>
    <row r="245" spans="1:14" customFormat="1">
      <c r="A245" s="134" t="str">
        <f ca="1">IFERROR(__xludf.DUMMYFUNCTION("""COMPUTED_VALUE"""),"")</f>
        <v/>
      </c>
      <c r="B245" s="134" t="str">
        <f ca="1">IFERROR(__xludf.DUMMYFUNCTION("""COMPUTED_VALUE"""),"")</f>
        <v/>
      </c>
      <c r="C245" s="134" t="str">
        <f ca="1">IFERROR(__xludf.DUMMYFUNCTION("""COMPUTED_VALUE"""),"")</f>
        <v/>
      </c>
      <c r="D245" s="134" t="str">
        <f ca="1">IFERROR(__xludf.DUMMYFUNCTION("""COMPUTED_VALUE"""),"")</f>
        <v/>
      </c>
      <c r="E245" s="134" t="str">
        <f ca="1">IFERROR(__xludf.DUMMYFUNCTION("""COMPUTED_VALUE"""),"")</f>
        <v/>
      </c>
      <c r="F245" s="134" t="str">
        <f ca="1">IFERROR(__xludf.DUMMYFUNCTION("""COMPUTED_VALUE"""),"")</f>
        <v/>
      </c>
      <c r="G245" s="134" t="str">
        <f ca="1">IFERROR(__xludf.DUMMYFUNCTION("""COMPUTED_VALUE"""),"")</f>
        <v/>
      </c>
      <c r="H245" s="134" t="str">
        <f ca="1">IFERROR(__xludf.DUMMYFUNCTION("""COMPUTED_VALUE"""),"")</f>
        <v/>
      </c>
      <c r="I245" s="134" t="str">
        <f ca="1">IFERROR(__xludf.DUMMYFUNCTION("""COMPUTED_VALUE"""),"")</f>
        <v/>
      </c>
      <c r="J245" s="134" t="str">
        <f ca="1">IFERROR(__xludf.DUMMYFUNCTION("""COMPUTED_VALUE"""),"")</f>
        <v/>
      </c>
      <c r="N245" s="31"/>
    </row>
    <row r="246" spans="1:14" customFormat="1">
      <c r="A246" s="134" t="str">
        <f ca="1">IFERROR(__xludf.DUMMYFUNCTION("""COMPUTED_VALUE"""),"")</f>
        <v/>
      </c>
      <c r="B246" s="134" t="str">
        <f ca="1">IFERROR(__xludf.DUMMYFUNCTION("""COMPUTED_VALUE"""),"")</f>
        <v/>
      </c>
      <c r="C246" s="134" t="str">
        <f ca="1">IFERROR(__xludf.DUMMYFUNCTION("""COMPUTED_VALUE"""),"")</f>
        <v/>
      </c>
      <c r="D246" s="134" t="str">
        <f ca="1">IFERROR(__xludf.DUMMYFUNCTION("""COMPUTED_VALUE"""),"")</f>
        <v/>
      </c>
      <c r="E246" s="134" t="str">
        <f ca="1">IFERROR(__xludf.DUMMYFUNCTION("""COMPUTED_VALUE"""),"")</f>
        <v/>
      </c>
      <c r="F246" s="134" t="str">
        <f ca="1">IFERROR(__xludf.DUMMYFUNCTION("""COMPUTED_VALUE"""),"")</f>
        <v/>
      </c>
      <c r="G246" s="134" t="str">
        <f ca="1">IFERROR(__xludf.DUMMYFUNCTION("""COMPUTED_VALUE"""),"")</f>
        <v/>
      </c>
      <c r="H246" s="134" t="str">
        <f ca="1">IFERROR(__xludf.DUMMYFUNCTION("""COMPUTED_VALUE"""),"")</f>
        <v/>
      </c>
      <c r="I246" s="134" t="str">
        <f ca="1">IFERROR(__xludf.DUMMYFUNCTION("""COMPUTED_VALUE"""),"")</f>
        <v/>
      </c>
      <c r="J246" s="134" t="str">
        <f ca="1">IFERROR(__xludf.DUMMYFUNCTION("""COMPUTED_VALUE"""),"")</f>
        <v/>
      </c>
      <c r="N246" s="31"/>
    </row>
    <row r="247" spans="1:14" customFormat="1">
      <c r="A247" s="134" t="str">
        <f ca="1">IFERROR(__xludf.DUMMYFUNCTION("""COMPUTED_VALUE"""),"")</f>
        <v/>
      </c>
      <c r="B247" s="134" t="str">
        <f ca="1">IFERROR(__xludf.DUMMYFUNCTION("""COMPUTED_VALUE"""),"")</f>
        <v/>
      </c>
      <c r="C247" s="134" t="str">
        <f ca="1">IFERROR(__xludf.DUMMYFUNCTION("""COMPUTED_VALUE"""),"")</f>
        <v/>
      </c>
      <c r="D247" s="134" t="str">
        <f ca="1">IFERROR(__xludf.DUMMYFUNCTION("""COMPUTED_VALUE"""),"")</f>
        <v/>
      </c>
      <c r="E247" s="134" t="str">
        <f ca="1">IFERROR(__xludf.DUMMYFUNCTION("""COMPUTED_VALUE"""),"")</f>
        <v/>
      </c>
      <c r="F247" s="134" t="str">
        <f ca="1">IFERROR(__xludf.DUMMYFUNCTION("""COMPUTED_VALUE"""),"")</f>
        <v/>
      </c>
      <c r="G247" s="134" t="str">
        <f ca="1">IFERROR(__xludf.DUMMYFUNCTION("""COMPUTED_VALUE"""),"")</f>
        <v/>
      </c>
      <c r="H247" s="134" t="str">
        <f ca="1">IFERROR(__xludf.DUMMYFUNCTION("""COMPUTED_VALUE"""),"")</f>
        <v/>
      </c>
      <c r="I247" s="134" t="str">
        <f ca="1">IFERROR(__xludf.DUMMYFUNCTION("""COMPUTED_VALUE"""),"")</f>
        <v/>
      </c>
      <c r="J247" s="134" t="str">
        <f ca="1">IFERROR(__xludf.DUMMYFUNCTION("""COMPUTED_VALUE"""),"")</f>
        <v/>
      </c>
      <c r="N247" s="31"/>
    </row>
    <row r="248" spans="1:14" customFormat="1">
      <c r="A248" s="134" t="str">
        <f ca="1">IFERROR(__xludf.DUMMYFUNCTION("""COMPUTED_VALUE"""),"")</f>
        <v/>
      </c>
      <c r="B248" s="134" t="str">
        <f ca="1">IFERROR(__xludf.DUMMYFUNCTION("""COMPUTED_VALUE"""),"")</f>
        <v/>
      </c>
      <c r="C248" s="134" t="str">
        <f ca="1">IFERROR(__xludf.DUMMYFUNCTION("""COMPUTED_VALUE"""),"")</f>
        <v/>
      </c>
      <c r="D248" s="134" t="str">
        <f ca="1">IFERROR(__xludf.DUMMYFUNCTION("""COMPUTED_VALUE"""),"")</f>
        <v/>
      </c>
      <c r="E248" s="134" t="str">
        <f ca="1">IFERROR(__xludf.DUMMYFUNCTION("""COMPUTED_VALUE"""),"")</f>
        <v/>
      </c>
      <c r="F248" s="134" t="str">
        <f ca="1">IFERROR(__xludf.DUMMYFUNCTION("""COMPUTED_VALUE"""),"")</f>
        <v/>
      </c>
      <c r="G248" s="134" t="str">
        <f ca="1">IFERROR(__xludf.DUMMYFUNCTION("""COMPUTED_VALUE"""),"")</f>
        <v/>
      </c>
      <c r="H248" s="134" t="str">
        <f ca="1">IFERROR(__xludf.DUMMYFUNCTION("""COMPUTED_VALUE"""),"")</f>
        <v/>
      </c>
      <c r="I248" s="134" t="str">
        <f ca="1">IFERROR(__xludf.DUMMYFUNCTION("""COMPUTED_VALUE"""),"")</f>
        <v/>
      </c>
      <c r="J248" s="134" t="str">
        <f ca="1">IFERROR(__xludf.DUMMYFUNCTION("""COMPUTED_VALUE"""),"")</f>
        <v/>
      </c>
      <c r="N248" s="31"/>
    </row>
    <row r="249" spans="1:14" customFormat="1">
      <c r="A249" s="134" t="str">
        <f ca="1">IFERROR(__xludf.DUMMYFUNCTION("""COMPUTED_VALUE"""),"")</f>
        <v/>
      </c>
      <c r="B249" s="134" t="str">
        <f ca="1">IFERROR(__xludf.DUMMYFUNCTION("""COMPUTED_VALUE"""),"")</f>
        <v/>
      </c>
      <c r="C249" s="134" t="str">
        <f ca="1">IFERROR(__xludf.DUMMYFUNCTION("""COMPUTED_VALUE"""),"")</f>
        <v/>
      </c>
      <c r="D249" s="134" t="str">
        <f ca="1">IFERROR(__xludf.DUMMYFUNCTION("""COMPUTED_VALUE"""),"")</f>
        <v/>
      </c>
      <c r="E249" s="134" t="str">
        <f ca="1">IFERROR(__xludf.DUMMYFUNCTION("""COMPUTED_VALUE"""),"")</f>
        <v/>
      </c>
      <c r="F249" s="134" t="str">
        <f ca="1">IFERROR(__xludf.DUMMYFUNCTION("""COMPUTED_VALUE"""),"")</f>
        <v/>
      </c>
      <c r="G249" s="134" t="str">
        <f ca="1">IFERROR(__xludf.DUMMYFUNCTION("""COMPUTED_VALUE"""),"")</f>
        <v/>
      </c>
      <c r="H249" s="134" t="str">
        <f ca="1">IFERROR(__xludf.DUMMYFUNCTION("""COMPUTED_VALUE"""),"")</f>
        <v/>
      </c>
      <c r="I249" s="134" t="str">
        <f ca="1">IFERROR(__xludf.DUMMYFUNCTION("""COMPUTED_VALUE"""),"")</f>
        <v/>
      </c>
      <c r="J249" s="134" t="str">
        <f ca="1">IFERROR(__xludf.DUMMYFUNCTION("""COMPUTED_VALUE"""),"")</f>
        <v/>
      </c>
      <c r="N249" s="31"/>
    </row>
    <row r="250" spans="1:14" customFormat="1">
      <c r="A250" s="134" t="str">
        <f ca="1">IFERROR(__xludf.DUMMYFUNCTION("""COMPUTED_VALUE"""),"")</f>
        <v/>
      </c>
      <c r="B250" s="134" t="str">
        <f ca="1">IFERROR(__xludf.DUMMYFUNCTION("""COMPUTED_VALUE"""),"")</f>
        <v/>
      </c>
      <c r="C250" s="134" t="str">
        <f ca="1">IFERROR(__xludf.DUMMYFUNCTION("""COMPUTED_VALUE"""),"")</f>
        <v/>
      </c>
      <c r="D250" s="134" t="str">
        <f ca="1">IFERROR(__xludf.DUMMYFUNCTION("""COMPUTED_VALUE"""),"")</f>
        <v/>
      </c>
      <c r="E250" s="134" t="str">
        <f ca="1">IFERROR(__xludf.DUMMYFUNCTION("""COMPUTED_VALUE"""),"")</f>
        <v/>
      </c>
      <c r="F250" s="134" t="str">
        <f ca="1">IFERROR(__xludf.DUMMYFUNCTION("""COMPUTED_VALUE"""),"")</f>
        <v/>
      </c>
      <c r="G250" s="134" t="str">
        <f ca="1">IFERROR(__xludf.DUMMYFUNCTION("""COMPUTED_VALUE"""),"")</f>
        <v/>
      </c>
      <c r="H250" s="134" t="str">
        <f ca="1">IFERROR(__xludf.DUMMYFUNCTION("""COMPUTED_VALUE"""),"")</f>
        <v/>
      </c>
      <c r="I250" s="134" t="str">
        <f ca="1">IFERROR(__xludf.DUMMYFUNCTION("""COMPUTED_VALUE"""),"")</f>
        <v/>
      </c>
      <c r="J250" s="134" t="str">
        <f ca="1">IFERROR(__xludf.DUMMYFUNCTION("""COMPUTED_VALUE"""),"")</f>
        <v/>
      </c>
      <c r="N250" s="31"/>
    </row>
    <row r="251" spans="1:14" customFormat="1">
      <c r="A251" s="134" t="str">
        <f ca="1">IFERROR(__xludf.DUMMYFUNCTION("""COMPUTED_VALUE"""),"")</f>
        <v/>
      </c>
      <c r="B251" s="134" t="str">
        <f ca="1">IFERROR(__xludf.DUMMYFUNCTION("""COMPUTED_VALUE"""),"")</f>
        <v/>
      </c>
      <c r="C251" s="134" t="str">
        <f ca="1">IFERROR(__xludf.DUMMYFUNCTION("""COMPUTED_VALUE"""),"")</f>
        <v/>
      </c>
      <c r="D251" s="134" t="str">
        <f ca="1">IFERROR(__xludf.DUMMYFUNCTION("""COMPUTED_VALUE"""),"")</f>
        <v/>
      </c>
      <c r="E251" s="134" t="str">
        <f ca="1">IFERROR(__xludf.DUMMYFUNCTION("""COMPUTED_VALUE"""),"")</f>
        <v/>
      </c>
      <c r="F251" s="134" t="str">
        <f ca="1">IFERROR(__xludf.DUMMYFUNCTION("""COMPUTED_VALUE"""),"")</f>
        <v/>
      </c>
      <c r="G251" s="134" t="str">
        <f ca="1">IFERROR(__xludf.DUMMYFUNCTION("""COMPUTED_VALUE"""),"")</f>
        <v/>
      </c>
      <c r="H251" s="134" t="str">
        <f ca="1">IFERROR(__xludf.DUMMYFUNCTION("""COMPUTED_VALUE"""),"")</f>
        <v/>
      </c>
      <c r="I251" s="134" t="str">
        <f ca="1">IFERROR(__xludf.DUMMYFUNCTION("""COMPUTED_VALUE"""),"")</f>
        <v/>
      </c>
      <c r="J251" s="134" t="str">
        <f ca="1">IFERROR(__xludf.DUMMYFUNCTION("""COMPUTED_VALUE"""),"")</f>
        <v/>
      </c>
      <c r="N251" s="31"/>
    </row>
    <row r="252" spans="1:14" customFormat="1">
      <c r="A252" s="134" t="str">
        <f ca="1">IFERROR(__xludf.DUMMYFUNCTION("""COMPUTED_VALUE"""),"")</f>
        <v/>
      </c>
      <c r="B252" s="134" t="str">
        <f ca="1">IFERROR(__xludf.DUMMYFUNCTION("""COMPUTED_VALUE"""),"")</f>
        <v/>
      </c>
      <c r="C252" s="134" t="str">
        <f ca="1">IFERROR(__xludf.DUMMYFUNCTION("""COMPUTED_VALUE"""),"")</f>
        <v/>
      </c>
      <c r="D252" s="134" t="str">
        <f ca="1">IFERROR(__xludf.DUMMYFUNCTION("""COMPUTED_VALUE"""),"")</f>
        <v/>
      </c>
      <c r="E252" s="134" t="str">
        <f ca="1">IFERROR(__xludf.DUMMYFUNCTION("""COMPUTED_VALUE"""),"")</f>
        <v/>
      </c>
      <c r="F252" s="134" t="str">
        <f ca="1">IFERROR(__xludf.DUMMYFUNCTION("""COMPUTED_VALUE"""),"")</f>
        <v/>
      </c>
      <c r="G252" s="134" t="str">
        <f ca="1">IFERROR(__xludf.DUMMYFUNCTION("""COMPUTED_VALUE"""),"")</f>
        <v/>
      </c>
      <c r="H252" s="134" t="str">
        <f ca="1">IFERROR(__xludf.DUMMYFUNCTION("""COMPUTED_VALUE"""),"")</f>
        <v/>
      </c>
      <c r="I252" s="134" t="str">
        <f ca="1">IFERROR(__xludf.DUMMYFUNCTION("""COMPUTED_VALUE"""),"")</f>
        <v/>
      </c>
      <c r="J252" s="134" t="str">
        <f ca="1">IFERROR(__xludf.DUMMYFUNCTION("""COMPUTED_VALUE"""),"")</f>
        <v/>
      </c>
      <c r="N252" s="31"/>
    </row>
    <row r="253" spans="1:14" customFormat="1">
      <c r="A253" s="134" t="str">
        <f ca="1">IFERROR(__xludf.DUMMYFUNCTION("""COMPUTED_VALUE"""),"")</f>
        <v/>
      </c>
      <c r="B253" s="134" t="str">
        <f ca="1">IFERROR(__xludf.DUMMYFUNCTION("""COMPUTED_VALUE"""),"")</f>
        <v/>
      </c>
      <c r="C253" s="134" t="str">
        <f ca="1">IFERROR(__xludf.DUMMYFUNCTION("""COMPUTED_VALUE"""),"")</f>
        <v/>
      </c>
      <c r="D253" s="134" t="str">
        <f ca="1">IFERROR(__xludf.DUMMYFUNCTION("""COMPUTED_VALUE"""),"")</f>
        <v/>
      </c>
      <c r="E253" s="134" t="str">
        <f ca="1">IFERROR(__xludf.DUMMYFUNCTION("""COMPUTED_VALUE"""),"")</f>
        <v/>
      </c>
      <c r="F253" s="134" t="str">
        <f ca="1">IFERROR(__xludf.DUMMYFUNCTION("""COMPUTED_VALUE"""),"")</f>
        <v/>
      </c>
      <c r="G253" s="134" t="str">
        <f ca="1">IFERROR(__xludf.DUMMYFUNCTION("""COMPUTED_VALUE"""),"")</f>
        <v/>
      </c>
      <c r="H253" s="134" t="str">
        <f ca="1">IFERROR(__xludf.DUMMYFUNCTION("""COMPUTED_VALUE"""),"")</f>
        <v/>
      </c>
      <c r="I253" s="134" t="str">
        <f ca="1">IFERROR(__xludf.DUMMYFUNCTION("""COMPUTED_VALUE"""),"")</f>
        <v/>
      </c>
      <c r="J253" s="134" t="str">
        <f ca="1">IFERROR(__xludf.DUMMYFUNCTION("""COMPUTED_VALUE"""),"")</f>
        <v/>
      </c>
      <c r="N253" s="31"/>
    </row>
    <row r="254" spans="1:14" customFormat="1">
      <c r="A254" s="134" t="str">
        <f ca="1">IFERROR(__xludf.DUMMYFUNCTION("""COMPUTED_VALUE"""),"")</f>
        <v/>
      </c>
      <c r="B254" s="134" t="str">
        <f ca="1">IFERROR(__xludf.DUMMYFUNCTION("""COMPUTED_VALUE"""),"")</f>
        <v/>
      </c>
      <c r="C254" s="134" t="str">
        <f ca="1">IFERROR(__xludf.DUMMYFUNCTION("""COMPUTED_VALUE"""),"")</f>
        <v/>
      </c>
      <c r="D254" s="134" t="str">
        <f ca="1">IFERROR(__xludf.DUMMYFUNCTION("""COMPUTED_VALUE"""),"")</f>
        <v/>
      </c>
      <c r="E254" s="134" t="str">
        <f ca="1">IFERROR(__xludf.DUMMYFUNCTION("""COMPUTED_VALUE"""),"")</f>
        <v/>
      </c>
      <c r="F254" s="134" t="str">
        <f ca="1">IFERROR(__xludf.DUMMYFUNCTION("""COMPUTED_VALUE"""),"")</f>
        <v/>
      </c>
      <c r="G254" s="134" t="str">
        <f ca="1">IFERROR(__xludf.DUMMYFUNCTION("""COMPUTED_VALUE"""),"")</f>
        <v/>
      </c>
      <c r="H254" s="134" t="str">
        <f ca="1">IFERROR(__xludf.DUMMYFUNCTION("""COMPUTED_VALUE"""),"")</f>
        <v/>
      </c>
      <c r="I254" s="134" t="str">
        <f ca="1">IFERROR(__xludf.DUMMYFUNCTION("""COMPUTED_VALUE"""),"")</f>
        <v/>
      </c>
      <c r="J254" s="134" t="str">
        <f ca="1">IFERROR(__xludf.DUMMYFUNCTION("""COMPUTED_VALUE"""),"")</f>
        <v/>
      </c>
      <c r="N254" s="31"/>
    </row>
    <row r="255" spans="1:14" customFormat="1">
      <c r="A255" s="134" t="str">
        <f ca="1">IFERROR(__xludf.DUMMYFUNCTION("""COMPUTED_VALUE"""),"")</f>
        <v/>
      </c>
      <c r="B255" s="134" t="str">
        <f ca="1">IFERROR(__xludf.DUMMYFUNCTION("""COMPUTED_VALUE"""),"")</f>
        <v/>
      </c>
      <c r="C255" s="134" t="str">
        <f ca="1">IFERROR(__xludf.DUMMYFUNCTION("""COMPUTED_VALUE"""),"")</f>
        <v/>
      </c>
      <c r="D255" s="134" t="str">
        <f ca="1">IFERROR(__xludf.DUMMYFUNCTION("""COMPUTED_VALUE"""),"")</f>
        <v/>
      </c>
      <c r="E255" s="134" t="str">
        <f ca="1">IFERROR(__xludf.DUMMYFUNCTION("""COMPUTED_VALUE"""),"")</f>
        <v/>
      </c>
      <c r="F255" s="134" t="str">
        <f ca="1">IFERROR(__xludf.DUMMYFUNCTION("""COMPUTED_VALUE"""),"")</f>
        <v/>
      </c>
      <c r="G255" s="134" t="str">
        <f ca="1">IFERROR(__xludf.DUMMYFUNCTION("""COMPUTED_VALUE"""),"")</f>
        <v/>
      </c>
      <c r="H255" s="134" t="str">
        <f ca="1">IFERROR(__xludf.DUMMYFUNCTION("""COMPUTED_VALUE"""),"")</f>
        <v/>
      </c>
      <c r="I255" s="134" t="str">
        <f ca="1">IFERROR(__xludf.DUMMYFUNCTION("""COMPUTED_VALUE"""),"")</f>
        <v/>
      </c>
      <c r="J255" s="134" t="str">
        <f ca="1">IFERROR(__xludf.DUMMYFUNCTION("""COMPUTED_VALUE"""),"")</f>
        <v/>
      </c>
      <c r="N255" s="31"/>
    </row>
    <row r="256" spans="1:14" customFormat="1">
      <c r="A256" s="134" t="str">
        <f ca="1">IFERROR(__xludf.DUMMYFUNCTION("""COMPUTED_VALUE"""),"")</f>
        <v/>
      </c>
      <c r="B256" s="134" t="str">
        <f ca="1">IFERROR(__xludf.DUMMYFUNCTION("""COMPUTED_VALUE"""),"")</f>
        <v/>
      </c>
      <c r="C256" s="134" t="str">
        <f ca="1">IFERROR(__xludf.DUMMYFUNCTION("""COMPUTED_VALUE"""),"")</f>
        <v/>
      </c>
      <c r="D256" s="134" t="str">
        <f ca="1">IFERROR(__xludf.DUMMYFUNCTION("""COMPUTED_VALUE"""),"")</f>
        <v/>
      </c>
      <c r="E256" s="134" t="str">
        <f ca="1">IFERROR(__xludf.DUMMYFUNCTION("""COMPUTED_VALUE"""),"")</f>
        <v/>
      </c>
      <c r="F256" s="134" t="str">
        <f ca="1">IFERROR(__xludf.DUMMYFUNCTION("""COMPUTED_VALUE"""),"")</f>
        <v/>
      </c>
      <c r="G256" s="134" t="str">
        <f ca="1">IFERROR(__xludf.DUMMYFUNCTION("""COMPUTED_VALUE"""),"")</f>
        <v/>
      </c>
      <c r="H256" s="134" t="str">
        <f ca="1">IFERROR(__xludf.DUMMYFUNCTION("""COMPUTED_VALUE"""),"")</f>
        <v/>
      </c>
      <c r="I256" s="134" t="str">
        <f ca="1">IFERROR(__xludf.DUMMYFUNCTION("""COMPUTED_VALUE"""),"")</f>
        <v/>
      </c>
      <c r="J256" s="134" t="str">
        <f ca="1">IFERROR(__xludf.DUMMYFUNCTION("""COMPUTED_VALUE"""),"")</f>
        <v/>
      </c>
      <c r="N256" s="31"/>
    </row>
    <row r="257" spans="1:14" customFormat="1">
      <c r="A257" s="134" t="str">
        <f ca="1">IFERROR(__xludf.DUMMYFUNCTION("""COMPUTED_VALUE"""),"")</f>
        <v/>
      </c>
      <c r="B257" s="134" t="str">
        <f ca="1">IFERROR(__xludf.DUMMYFUNCTION("""COMPUTED_VALUE"""),"")</f>
        <v/>
      </c>
      <c r="C257" s="134" t="str">
        <f ca="1">IFERROR(__xludf.DUMMYFUNCTION("""COMPUTED_VALUE"""),"")</f>
        <v/>
      </c>
      <c r="D257" s="134" t="str">
        <f ca="1">IFERROR(__xludf.DUMMYFUNCTION("""COMPUTED_VALUE"""),"")</f>
        <v/>
      </c>
      <c r="E257" s="134" t="str">
        <f ca="1">IFERROR(__xludf.DUMMYFUNCTION("""COMPUTED_VALUE"""),"")</f>
        <v/>
      </c>
      <c r="F257" s="134" t="str">
        <f ca="1">IFERROR(__xludf.DUMMYFUNCTION("""COMPUTED_VALUE"""),"")</f>
        <v/>
      </c>
      <c r="G257" s="134" t="str">
        <f ca="1">IFERROR(__xludf.DUMMYFUNCTION("""COMPUTED_VALUE"""),"")</f>
        <v/>
      </c>
      <c r="H257" s="134" t="str">
        <f ca="1">IFERROR(__xludf.DUMMYFUNCTION("""COMPUTED_VALUE"""),"")</f>
        <v/>
      </c>
      <c r="I257" s="134" t="str">
        <f ca="1">IFERROR(__xludf.DUMMYFUNCTION("""COMPUTED_VALUE"""),"")</f>
        <v/>
      </c>
      <c r="J257" s="134" t="str">
        <f ca="1">IFERROR(__xludf.DUMMYFUNCTION("""COMPUTED_VALUE"""),"")</f>
        <v/>
      </c>
      <c r="N257" s="31"/>
    </row>
    <row r="258" spans="1:14" customFormat="1">
      <c r="A258" s="134" t="str">
        <f ca="1">IFERROR(__xludf.DUMMYFUNCTION("""COMPUTED_VALUE"""),"")</f>
        <v/>
      </c>
      <c r="B258" s="134" t="str">
        <f ca="1">IFERROR(__xludf.DUMMYFUNCTION("""COMPUTED_VALUE"""),"")</f>
        <v/>
      </c>
      <c r="C258" s="134" t="str">
        <f ca="1">IFERROR(__xludf.DUMMYFUNCTION("""COMPUTED_VALUE"""),"")</f>
        <v/>
      </c>
      <c r="D258" s="134" t="str">
        <f ca="1">IFERROR(__xludf.DUMMYFUNCTION("""COMPUTED_VALUE"""),"")</f>
        <v/>
      </c>
      <c r="E258" s="134" t="str">
        <f ca="1">IFERROR(__xludf.DUMMYFUNCTION("""COMPUTED_VALUE"""),"")</f>
        <v/>
      </c>
      <c r="F258" s="134" t="str">
        <f ca="1">IFERROR(__xludf.DUMMYFUNCTION("""COMPUTED_VALUE"""),"")</f>
        <v/>
      </c>
      <c r="G258" s="134" t="str">
        <f ca="1">IFERROR(__xludf.DUMMYFUNCTION("""COMPUTED_VALUE"""),"")</f>
        <v/>
      </c>
      <c r="H258" s="134" t="str">
        <f ca="1">IFERROR(__xludf.DUMMYFUNCTION("""COMPUTED_VALUE"""),"")</f>
        <v/>
      </c>
      <c r="I258" s="134" t="str">
        <f ca="1">IFERROR(__xludf.DUMMYFUNCTION("""COMPUTED_VALUE"""),"")</f>
        <v/>
      </c>
      <c r="J258" s="134" t="str">
        <f ca="1">IFERROR(__xludf.DUMMYFUNCTION("""COMPUTED_VALUE"""),"")</f>
        <v/>
      </c>
      <c r="N258" s="31"/>
    </row>
    <row r="259" spans="1:14" customFormat="1">
      <c r="A259" s="134" t="str">
        <f ca="1">IFERROR(__xludf.DUMMYFUNCTION("""COMPUTED_VALUE"""),"")</f>
        <v/>
      </c>
      <c r="B259" s="134" t="str">
        <f ca="1">IFERROR(__xludf.DUMMYFUNCTION("""COMPUTED_VALUE"""),"")</f>
        <v/>
      </c>
      <c r="C259" s="134" t="str">
        <f ca="1">IFERROR(__xludf.DUMMYFUNCTION("""COMPUTED_VALUE"""),"")</f>
        <v/>
      </c>
      <c r="D259" s="134" t="str">
        <f ca="1">IFERROR(__xludf.DUMMYFUNCTION("""COMPUTED_VALUE"""),"")</f>
        <v/>
      </c>
      <c r="E259" s="134" t="str">
        <f ca="1">IFERROR(__xludf.DUMMYFUNCTION("""COMPUTED_VALUE"""),"")</f>
        <v/>
      </c>
      <c r="F259" s="134" t="str">
        <f ca="1">IFERROR(__xludf.DUMMYFUNCTION("""COMPUTED_VALUE"""),"")</f>
        <v/>
      </c>
      <c r="G259" s="134" t="str">
        <f ca="1">IFERROR(__xludf.DUMMYFUNCTION("""COMPUTED_VALUE"""),"")</f>
        <v/>
      </c>
      <c r="H259" s="134" t="str">
        <f ca="1">IFERROR(__xludf.DUMMYFUNCTION("""COMPUTED_VALUE"""),"")</f>
        <v/>
      </c>
      <c r="I259" s="134" t="str">
        <f ca="1">IFERROR(__xludf.DUMMYFUNCTION("""COMPUTED_VALUE"""),"")</f>
        <v/>
      </c>
      <c r="J259" s="134" t="str">
        <f ca="1">IFERROR(__xludf.DUMMYFUNCTION("""COMPUTED_VALUE"""),"")</f>
        <v/>
      </c>
      <c r="N259" s="31"/>
    </row>
    <row r="260" spans="1:14" customFormat="1">
      <c r="A260" s="134" t="str">
        <f ca="1">IFERROR(__xludf.DUMMYFUNCTION("""COMPUTED_VALUE"""),"")</f>
        <v/>
      </c>
      <c r="B260" s="134" t="str">
        <f ca="1">IFERROR(__xludf.DUMMYFUNCTION("""COMPUTED_VALUE"""),"")</f>
        <v/>
      </c>
      <c r="C260" s="134" t="str">
        <f ca="1">IFERROR(__xludf.DUMMYFUNCTION("""COMPUTED_VALUE"""),"")</f>
        <v/>
      </c>
      <c r="D260" s="134" t="str">
        <f ca="1">IFERROR(__xludf.DUMMYFUNCTION("""COMPUTED_VALUE"""),"")</f>
        <v/>
      </c>
      <c r="E260" s="134" t="str">
        <f ca="1">IFERROR(__xludf.DUMMYFUNCTION("""COMPUTED_VALUE"""),"")</f>
        <v/>
      </c>
      <c r="F260" s="134" t="str">
        <f ca="1">IFERROR(__xludf.DUMMYFUNCTION("""COMPUTED_VALUE"""),"")</f>
        <v/>
      </c>
      <c r="G260" s="134" t="str">
        <f ca="1">IFERROR(__xludf.DUMMYFUNCTION("""COMPUTED_VALUE"""),"")</f>
        <v/>
      </c>
      <c r="H260" s="134" t="str">
        <f ca="1">IFERROR(__xludf.DUMMYFUNCTION("""COMPUTED_VALUE"""),"")</f>
        <v/>
      </c>
      <c r="I260" s="134" t="str">
        <f ca="1">IFERROR(__xludf.DUMMYFUNCTION("""COMPUTED_VALUE"""),"")</f>
        <v/>
      </c>
      <c r="J260" s="134" t="str">
        <f ca="1">IFERROR(__xludf.DUMMYFUNCTION("""COMPUTED_VALUE"""),"")</f>
        <v/>
      </c>
      <c r="N260" s="31"/>
    </row>
    <row r="261" spans="1:14" customFormat="1">
      <c r="A261" s="134" t="str">
        <f ca="1">IFERROR(__xludf.DUMMYFUNCTION("""COMPUTED_VALUE"""),"")</f>
        <v/>
      </c>
      <c r="B261" s="134" t="str">
        <f ca="1">IFERROR(__xludf.DUMMYFUNCTION("""COMPUTED_VALUE"""),"")</f>
        <v/>
      </c>
      <c r="C261" s="134" t="str">
        <f ca="1">IFERROR(__xludf.DUMMYFUNCTION("""COMPUTED_VALUE"""),"")</f>
        <v/>
      </c>
      <c r="D261" s="134" t="str">
        <f ca="1">IFERROR(__xludf.DUMMYFUNCTION("""COMPUTED_VALUE"""),"")</f>
        <v/>
      </c>
      <c r="E261" s="134" t="str">
        <f ca="1">IFERROR(__xludf.DUMMYFUNCTION("""COMPUTED_VALUE"""),"")</f>
        <v/>
      </c>
      <c r="F261" s="134" t="str">
        <f ca="1">IFERROR(__xludf.DUMMYFUNCTION("""COMPUTED_VALUE"""),"")</f>
        <v/>
      </c>
      <c r="G261" s="134" t="str">
        <f ca="1">IFERROR(__xludf.DUMMYFUNCTION("""COMPUTED_VALUE"""),"")</f>
        <v/>
      </c>
      <c r="H261" s="134" t="str">
        <f ca="1">IFERROR(__xludf.DUMMYFUNCTION("""COMPUTED_VALUE"""),"")</f>
        <v/>
      </c>
      <c r="I261" s="134" t="str">
        <f ca="1">IFERROR(__xludf.DUMMYFUNCTION("""COMPUTED_VALUE"""),"")</f>
        <v/>
      </c>
      <c r="J261" s="134" t="str">
        <f ca="1">IFERROR(__xludf.DUMMYFUNCTION("""COMPUTED_VALUE"""),"")</f>
        <v/>
      </c>
      <c r="N261" s="31"/>
    </row>
    <row r="262" spans="1:14" customFormat="1">
      <c r="A262" s="134" t="str">
        <f ca="1">IFERROR(__xludf.DUMMYFUNCTION("""COMPUTED_VALUE"""),"")</f>
        <v/>
      </c>
      <c r="B262" s="134" t="str">
        <f ca="1">IFERROR(__xludf.DUMMYFUNCTION("""COMPUTED_VALUE"""),"")</f>
        <v/>
      </c>
      <c r="C262" s="134" t="str">
        <f ca="1">IFERROR(__xludf.DUMMYFUNCTION("""COMPUTED_VALUE"""),"")</f>
        <v/>
      </c>
      <c r="D262" s="134" t="str">
        <f ca="1">IFERROR(__xludf.DUMMYFUNCTION("""COMPUTED_VALUE"""),"")</f>
        <v/>
      </c>
      <c r="E262" s="134" t="str">
        <f ca="1">IFERROR(__xludf.DUMMYFUNCTION("""COMPUTED_VALUE"""),"")</f>
        <v/>
      </c>
      <c r="F262" s="134" t="str">
        <f ca="1">IFERROR(__xludf.DUMMYFUNCTION("""COMPUTED_VALUE"""),"")</f>
        <v/>
      </c>
      <c r="G262" s="134" t="str">
        <f ca="1">IFERROR(__xludf.DUMMYFUNCTION("""COMPUTED_VALUE"""),"")</f>
        <v/>
      </c>
      <c r="H262" s="134" t="str">
        <f ca="1">IFERROR(__xludf.DUMMYFUNCTION("""COMPUTED_VALUE"""),"")</f>
        <v/>
      </c>
      <c r="I262" s="134" t="str">
        <f ca="1">IFERROR(__xludf.DUMMYFUNCTION("""COMPUTED_VALUE"""),"")</f>
        <v/>
      </c>
      <c r="J262" s="134" t="str">
        <f ca="1">IFERROR(__xludf.DUMMYFUNCTION("""COMPUTED_VALUE"""),"")</f>
        <v/>
      </c>
      <c r="N262" s="31"/>
    </row>
    <row r="263" spans="1:14" customFormat="1">
      <c r="A263" s="134" t="str">
        <f ca="1">IFERROR(__xludf.DUMMYFUNCTION("""COMPUTED_VALUE"""),"")</f>
        <v/>
      </c>
      <c r="B263" s="134" t="str">
        <f ca="1">IFERROR(__xludf.DUMMYFUNCTION("""COMPUTED_VALUE"""),"")</f>
        <v/>
      </c>
      <c r="C263" s="134" t="str">
        <f ca="1">IFERROR(__xludf.DUMMYFUNCTION("""COMPUTED_VALUE"""),"")</f>
        <v/>
      </c>
      <c r="D263" s="134" t="str">
        <f ca="1">IFERROR(__xludf.DUMMYFUNCTION("""COMPUTED_VALUE"""),"")</f>
        <v/>
      </c>
      <c r="E263" s="134" t="str">
        <f ca="1">IFERROR(__xludf.DUMMYFUNCTION("""COMPUTED_VALUE"""),"")</f>
        <v/>
      </c>
      <c r="F263" s="134" t="str">
        <f ca="1">IFERROR(__xludf.DUMMYFUNCTION("""COMPUTED_VALUE"""),"")</f>
        <v/>
      </c>
      <c r="G263" s="134" t="str">
        <f ca="1">IFERROR(__xludf.DUMMYFUNCTION("""COMPUTED_VALUE"""),"")</f>
        <v/>
      </c>
      <c r="H263" s="134" t="str">
        <f ca="1">IFERROR(__xludf.DUMMYFUNCTION("""COMPUTED_VALUE"""),"")</f>
        <v/>
      </c>
      <c r="I263" s="134" t="str">
        <f ca="1">IFERROR(__xludf.DUMMYFUNCTION("""COMPUTED_VALUE"""),"")</f>
        <v/>
      </c>
      <c r="J263" s="134" t="str">
        <f ca="1">IFERROR(__xludf.DUMMYFUNCTION("""COMPUTED_VALUE"""),"")</f>
        <v/>
      </c>
      <c r="N263" s="31"/>
    </row>
    <row r="264" spans="1:14" customFormat="1">
      <c r="A264" s="134" t="str">
        <f ca="1">IFERROR(__xludf.DUMMYFUNCTION("""COMPUTED_VALUE"""),"")</f>
        <v/>
      </c>
      <c r="B264" s="134" t="str">
        <f ca="1">IFERROR(__xludf.DUMMYFUNCTION("""COMPUTED_VALUE"""),"")</f>
        <v/>
      </c>
      <c r="C264" s="134" t="str">
        <f ca="1">IFERROR(__xludf.DUMMYFUNCTION("""COMPUTED_VALUE"""),"")</f>
        <v/>
      </c>
      <c r="D264" s="134" t="str">
        <f ca="1">IFERROR(__xludf.DUMMYFUNCTION("""COMPUTED_VALUE"""),"")</f>
        <v/>
      </c>
      <c r="E264" s="134" t="str">
        <f ca="1">IFERROR(__xludf.DUMMYFUNCTION("""COMPUTED_VALUE"""),"")</f>
        <v/>
      </c>
      <c r="F264" s="134" t="str">
        <f ca="1">IFERROR(__xludf.DUMMYFUNCTION("""COMPUTED_VALUE"""),"")</f>
        <v/>
      </c>
      <c r="G264" s="134" t="str">
        <f ca="1">IFERROR(__xludf.DUMMYFUNCTION("""COMPUTED_VALUE"""),"")</f>
        <v/>
      </c>
      <c r="H264" s="134" t="str">
        <f ca="1">IFERROR(__xludf.DUMMYFUNCTION("""COMPUTED_VALUE"""),"")</f>
        <v/>
      </c>
      <c r="I264" s="134" t="str">
        <f ca="1">IFERROR(__xludf.DUMMYFUNCTION("""COMPUTED_VALUE"""),"")</f>
        <v/>
      </c>
      <c r="J264" s="134" t="str">
        <f ca="1">IFERROR(__xludf.DUMMYFUNCTION("""COMPUTED_VALUE"""),"")</f>
        <v/>
      </c>
      <c r="N264" s="31"/>
    </row>
    <row r="265" spans="1:14" customFormat="1">
      <c r="A265" s="134" t="str">
        <f ca="1">IFERROR(__xludf.DUMMYFUNCTION("""COMPUTED_VALUE"""),"")</f>
        <v/>
      </c>
      <c r="B265" s="134" t="str">
        <f ca="1">IFERROR(__xludf.DUMMYFUNCTION("""COMPUTED_VALUE"""),"")</f>
        <v/>
      </c>
      <c r="C265" s="134" t="str">
        <f ca="1">IFERROR(__xludf.DUMMYFUNCTION("""COMPUTED_VALUE"""),"")</f>
        <v/>
      </c>
      <c r="D265" s="134" t="str">
        <f ca="1">IFERROR(__xludf.DUMMYFUNCTION("""COMPUTED_VALUE"""),"")</f>
        <v/>
      </c>
      <c r="E265" s="134" t="str">
        <f ca="1">IFERROR(__xludf.DUMMYFUNCTION("""COMPUTED_VALUE"""),"")</f>
        <v/>
      </c>
      <c r="F265" s="134" t="str">
        <f ca="1">IFERROR(__xludf.DUMMYFUNCTION("""COMPUTED_VALUE"""),"")</f>
        <v/>
      </c>
      <c r="G265" s="134" t="str">
        <f ca="1">IFERROR(__xludf.DUMMYFUNCTION("""COMPUTED_VALUE"""),"")</f>
        <v/>
      </c>
      <c r="H265" s="134" t="str">
        <f ca="1">IFERROR(__xludf.DUMMYFUNCTION("""COMPUTED_VALUE"""),"")</f>
        <v/>
      </c>
      <c r="I265" s="134" t="str">
        <f ca="1">IFERROR(__xludf.DUMMYFUNCTION("""COMPUTED_VALUE"""),"")</f>
        <v/>
      </c>
      <c r="J265" s="134" t="str">
        <f ca="1">IFERROR(__xludf.DUMMYFUNCTION("""COMPUTED_VALUE"""),"")</f>
        <v/>
      </c>
      <c r="N265" s="31"/>
    </row>
    <row r="266" spans="1:14" customFormat="1">
      <c r="A266" s="134" t="str">
        <f ca="1">IFERROR(__xludf.DUMMYFUNCTION("""COMPUTED_VALUE"""),"")</f>
        <v/>
      </c>
      <c r="B266" s="134" t="str">
        <f ca="1">IFERROR(__xludf.DUMMYFUNCTION("""COMPUTED_VALUE"""),"")</f>
        <v/>
      </c>
      <c r="C266" s="134" t="str">
        <f ca="1">IFERROR(__xludf.DUMMYFUNCTION("""COMPUTED_VALUE"""),"")</f>
        <v/>
      </c>
      <c r="D266" s="134" t="str">
        <f ca="1">IFERROR(__xludf.DUMMYFUNCTION("""COMPUTED_VALUE"""),"")</f>
        <v/>
      </c>
      <c r="E266" s="134" t="str">
        <f ca="1">IFERROR(__xludf.DUMMYFUNCTION("""COMPUTED_VALUE"""),"")</f>
        <v/>
      </c>
      <c r="F266" s="134" t="str">
        <f ca="1">IFERROR(__xludf.DUMMYFUNCTION("""COMPUTED_VALUE"""),"")</f>
        <v/>
      </c>
      <c r="G266" s="134" t="str">
        <f ca="1">IFERROR(__xludf.DUMMYFUNCTION("""COMPUTED_VALUE"""),"")</f>
        <v/>
      </c>
      <c r="H266" s="134" t="str">
        <f ca="1">IFERROR(__xludf.DUMMYFUNCTION("""COMPUTED_VALUE"""),"")</f>
        <v/>
      </c>
      <c r="I266" s="134" t="str">
        <f ca="1">IFERROR(__xludf.DUMMYFUNCTION("""COMPUTED_VALUE"""),"")</f>
        <v/>
      </c>
      <c r="J266" s="134" t="str">
        <f ca="1">IFERROR(__xludf.DUMMYFUNCTION("""COMPUTED_VALUE"""),"")</f>
        <v/>
      </c>
      <c r="N266" s="31"/>
    </row>
    <row r="267" spans="1:14" customFormat="1">
      <c r="A267" s="134" t="str">
        <f ca="1">IFERROR(__xludf.DUMMYFUNCTION("""COMPUTED_VALUE"""),"")</f>
        <v/>
      </c>
      <c r="B267" s="134" t="str">
        <f ca="1">IFERROR(__xludf.DUMMYFUNCTION("""COMPUTED_VALUE"""),"")</f>
        <v/>
      </c>
      <c r="C267" s="134" t="str">
        <f ca="1">IFERROR(__xludf.DUMMYFUNCTION("""COMPUTED_VALUE"""),"")</f>
        <v/>
      </c>
      <c r="D267" s="134" t="str">
        <f ca="1">IFERROR(__xludf.DUMMYFUNCTION("""COMPUTED_VALUE"""),"")</f>
        <v/>
      </c>
      <c r="E267" s="134" t="str">
        <f ca="1">IFERROR(__xludf.DUMMYFUNCTION("""COMPUTED_VALUE"""),"")</f>
        <v/>
      </c>
      <c r="F267" s="134" t="str">
        <f ca="1">IFERROR(__xludf.DUMMYFUNCTION("""COMPUTED_VALUE"""),"")</f>
        <v/>
      </c>
      <c r="G267" s="134" t="str">
        <f ca="1">IFERROR(__xludf.DUMMYFUNCTION("""COMPUTED_VALUE"""),"")</f>
        <v/>
      </c>
      <c r="H267" s="134" t="str">
        <f ca="1">IFERROR(__xludf.DUMMYFUNCTION("""COMPUTED_VALUE"""),"")</f>
        <v/>
      </c>
      <c r="I267" s="134" t="str">
        <f ca="1">IFERROR(__xludf.DUMMYFUNCTION("""COMPUTED_VALUE"""),"")</f>
        <v/>
      </c>
      <c r="J267" s="134" t="str">
        <f ca="1">IFERROR(__xludf.DUMMYFUNCTION("""COMPUTED_VALUE"""),"")</f>
        <v/>
      </c>
      <c r="N267" s="31"/>
    </row>
    <row r="268" spans="1:14" customFormat="1">
      <c r="A268" s="134" t="str">
        <f ca="1">IFERROR(__xludf.DUMMYFUNCTION("""COMPUTED_VALUE"""),"")</f>
        <v/>
      </c>
      <c r="B268" s="134" t="str">
        <f ca="1">IFERROR(__xludf.DUMMYFUNCTION("""COMPUTED_VALUE"""),"")</f>
        <v/>
      </c>
      <c r="C268" s="134" t="str">
        <f ca="1">IFERROR(__xludf.DUMMYFUNCTION("""COMPUTED_VALUE"""),"")</f>
        <v/>
      </c>
      <c r="D268" s="134" t="str">
        <f ca="1">IFERROR(__xludf.DUMMYFUNCTION("""COMPUTED_VALUE"""),"")</f>
        <v/>
      </c>
      <c r="E268" s="134" t="str">
        <f ca="1">IFERROR(__xludf.DUMMYFUNCTION("""COMPUTED_VALUE"""),"")</f>
        <v/>
      </c>
      <c r="F268" s="134" t="str">
        <f ca="1">IFERROR(__xludf.DUMMYFUNCTION("""COMPUTED_VALUE"""),"")</f>
        <v/>
      </c>
      <c r="G268" s="134" t="str">
        <f ca="1">IFERROR(__xludf.DUMMYFUNCTION("""COMPUTED_VALUE"""),"")</f>
        <v/>
      </c>
      <c r="H268" s="134" t="str">
        <f ca="1">IFERROR(__xludf.DUMMYFUNCTION("""COMPUTED_VALUE"""),"")</f>
        <v/>
      </c>
      <c r="I268" s="134" t="str">
        <f ca="1">IFERROR(__xludf.DUMMYFUNCTION("""COMPUTED_VALUE"""),"")</f>
        <v/>
      </c>
      <c r="J268" s="134" t="str">
        <f ca="1">IFERROR(__xludf.DUMMYFUNCTION("""COMPUTED_VALUE"""),"")</f>
        <v/>
      </c>
      <c r="N268" s="31"/>
    </row>
    <row r="269" spans="1:14" customFormat="1">
      <c r="A269" s="134" t="str">
        <f ca="1">IFERROR(__xludf.DUMMYFUNCTION("""COMPUTED_VALUE"""),"")</f>
        <v/>
      </c>
      <c r="B269" s="134" t="str">
        <f ca="1">IFERROR(__xludf.DUMMYFUNCTION("""COMPUTED_VALUE"""),"")</f>
        <v/>
      </c>
      <c r="C269" s="134" t="str">
        <f ca="1">IFERROR(__xludf.DUMMYFUNCTION("""COMPUTED_VALUE"""),"")</f>
        <v/>
      </c>
      <c r="D269" s="134" t="str">
        <f ca="1">IFERROR(__xludf.DUMMYFUNCTION("""COMPUTED_VALUE"""),"")</f>
        <v/>
      </c>
      <c r="E269" s="134" t="str">
        <f ca="1">IFERROR(__xludf.DUMMYFUNCTION("""COMPUTED_VALUE"""),"")</f>
        <v/>
      </c>
      <c r="F269" s="134" t="str">
        <f ca="1">IFERROR(__xludf.DUMMYFUNCTION("""COMPUTED_VALUE"""),"")</f>
        <v/>
      </c>
      <c r="G269" s="134" t="str">
        <f ca="1">IFERROR(__xludf.DUMMYFUNCTION("""COMPUTED_VALUE"""),"")</f>
        <v/>
      </c>
      <c r="H269" s="134" t="str">
        <f ca="1">IFERROR(__xludf.DUMMYFUNCTION("""COMPUTED_VALUE"""),"")</f>
        <v/>
      </c>
      <c r="I269" s="134" t="str">
        <f ca="1">IFERROR(__xludf.DUMMYFUNCTION("""COMPUTED_VALUE"""),"")</f>
        <v/>
      </c>
      <c r="J269" s="134" t="str">
        <f ca="1">IFERROR(__xludf.DUMMYFUNCTION("""COMPUTED_VALUE"""),"")</f>
        <v/>
      </c>
      <c r="N269" s="31"/>
    </row>
    <row r="270" spans="1:14" customFormat="1">
      <c r="A270" s="134" t="str">
        <f ca="1">IFERROR(__xludf.DUMMYFUNCTION("""COMPUTED_VALUE"""),"")</f>
        <v/>
      </c>
      <c r="B270" s="134" t="str">
        <f ca="1">IFERROR(__xludf.DUMMYFUNCTION("""COMPUTED_VALUE"""),"")</f>
        <v/>
      </c>
      <c r="C270" s="134" t="str">
        <f ca="1">IFERROR(__xludf.DUMMYFUNCTION("""COMPUTED_VALUE"""),"")</f>
        <v/>
      </c>
      <c r="D270" s="134" t="str">
        <f ca="1">IFERROR(__xludf.DUMMYFUNCTION("""COMPUTED_VALUE"""),"")</f>
        <v/>
      </c>
      <c r="E270" s="134" t="str">
        <f ca="1">IFERROR(__xludf.DUMMYFUNCTION("""COMPUTED_VALUE"""),"")</f>
        <v/>
      </c>
      <c r="F270" s="134" t="str">
        <f ca="1">IFERROR(__xludf.DUMMYFUNCTION("""COMPUTED_VALUE"""),"")</f>
        <v/>
      </c>
      <c r="G270" s="134" t="str">
        <f ca="1">IFERROR(__xludf.DUMMYFUNCTION("""COMPUTED_VALUE"""),"")</f>
        <v/>
      </c>
      <c r="H270" s="134" t="str">
        <f ca="1">IFERROR(__xludf.DUMMYFUNCTION("""COMPUTED_VALUE"""),"")</f>
        <v/>
      </c>
      <c r="I270" s="134" t="str">
        <f ca="1">IFERROR(__xludf.DUMMYFUNCTION("""COMPUTED_VALUE"""),"")</f>
        <v/>
      </c>
      <c r="J270" s="134" t="str">
        <f ca="1">IFERROR(__xludf.DUMMYFUNCTION("""COMPUTED_VALUE"""),"")</f>
        <v/>
      </c>
      <c r="N270" s="31"/>
    </row>
    <row r="271" spans="1:14" customFormat="1">
      <c r="A271" s="134" t="str">
        <f ca="1">IFERROR(__xludf.DUMMYFUNCTION("""COMPUTED_VALUE"""),"")</f>
        <v/>
      </c>
      <c r="B271" s="134" t="str">
        <f ca="1">IFERROR(__xludf.DUMMYFUNCTION("""COMPUTED_VALUE"""),"")</f>
        <v/>
      </c>
      <c r="C271" s="134" t="str">
        <f ca="1">IFERROR(__xludf.DUMMYFUNCTION("""COMPUTED_VALUE"""),"")</f>
        <v/>
      </c>
      <c r="D271" s="134" t="str">
        <f ca="1">IFERROR(__xludf.DUMMYFUNCTION("""COMPUTED_VALUE"""),"")</f>
        <v/>
      </c>
      <c r="E271" s="134" t="str">
        <f ca="1">IFERROR(__xludf.DUMMYFUNCTION("""COMPUTED_VALUE"""),"")</f>
        <v/>
      </c>
      <c r="F271" s="134" t="str">
        <f ca="1">IFERROR(__xludf.DUMMYFUNCTION("""COMPUTED_VALUE"""),"")</f>
        <v/>
      </c>
      <c r="G271" s="134" t="str">
        <f ca="1">IFERROR(__xludf.DUMMYFUNCTION("""COMPUTED_VALUE"""),"")</f>
        <v/>
      </c>
      <c r="H271" s="134" t="str">
        <f ca="1">IFERROR(__xludf.DUMMYFUNCTION("""COMPUTED_VALUE"""),"")</f>
        <v/>
      </c>
      <c r="I271" s="134" t="str">
        <f ca="1">IFERROR(__xludf.DUMMYFUNCTION("""COMPUTED_VALUE"""),"")</f>
        <v/>
      </c>
      <c r="J271" s="134" t="str">
        <f ca="1">IFERROR(__xludf.DUMMYFUNCTION("""COMPUTED_VALUE"""),"")</f>
        <v/>
      </c>
      <c r="N271" s="31"/>
    </row>
    <row r="272" spans="1:14" customFormat="1">
      <c r="A272" s="134" t="str">
        <f ca="1">IFERROR(__xludf.DUMMYFUNCTION("""COMPUTED_VALUE"""),"")</f>
        <v/>
      </c>
      <c r="B272" s="134" t="str">
        <f ca="1">IFERROR(__xludf.DUMMYFUNCTION("""COMPUTED_VALUE"""),"")</f>
        <v/>
      </c>
      <c r="C272" s="134" t="str">
        <f ca="1">IFERROR(__xludf.DUMMYFUNCTION("""COMPUTED_VALUE"""),"")</f>
        <v/>
      </c>
      <c r="D272" s="134" t="str">
        <f ca="1">IFERROR(__xludf.DUMMYFUNCTION("""COMPUTED_VALUE"""),"")</f>
        <v/>
      </c>
      <c r="E272" s="134" t="str">
        <f ca="1">IFERROR(__xludf.DUMMYFUNCTION("""COMPUTED_VALUE"""),"")</f>
        <v/>
      </c>
      <c r="F272" s="134" t="str">
        <f ca="1">IFERROR(__xludf.DUMMYFUNCTION("""COMPUTED_VALUE"""),"")</f>
        <v/>
      </c>
      <c r="G272" s="134" t="str">
        <f ca="1">IFERROR(__xludf.DUMMYFUNCTION("""COMPUTED_VALUE"""),"")</f>
        <v/>
      </c>
      <c r="H272" s="134" t="str">
        <f ca="1">IFERROR(__xludf.DUMMYFUNCTION("""COMPUTED_VALUE"""),"")</f>
        <v/>
      </c>
      <c r="I272" s="134" t="str">
        <f ca="1">IFERROR(__xludf.DUMMYFUNCTION("""COMPUTED_VALUE"""),"")</f>
        <v/>
      </c>
      <c r="J272" s="134" t="str">
        <f ca="1">IFERROR(__xludf.DUMMYFUNCTION("""COMPUTED_VALUE"""),"")</f>
        <v/>
      </c>
      <c r="N272" s="31"/>
    </row>
    <row r="273" spans="1:14" customFormat="1">
      <c r="A273" s="134" t="str">
        <f ca="1">IFERROR(__xludf.DUMMYFUNCTION("""COMPUTED_VALUE"""),"")</f>
        <v/>
      </c>
      <c r="B273" s="134" t="str">
        <f ca="1">IFERROR(__xludf.DUMMYFUNCTION("""COMPUTED_VALUE"""),"")</f>
        <v/>
      </c>
      <c r="C273" s="134" t="str">
        <f ca="1">IFERROR(__xludf.DUMMYFUNCTION("""COMPUTED_VALUE"""),"")</f>
        <v/>
      </c>
      <c r="D273" s="134" t="str">
        <f ca="1">IFERROR(__xludf.DUMMYFUNCTION("""COMPUTED_VALUE"""),"")</f>
        <v/>
      </c>
      <c r="E273" s="134" t="str">
        <f ca="1">IFERROR(__xludf.DUMMYFUNCTION("""COMPUTED_VALUE"""),"")</f>
        <v/>
      </c>
      <c r="F273" s="134" t="str">
        <f ca="1">IFERROR(__xludf.DUMMYFUNCTION("""COMPUTED_VALUE"""),"")</f>
        <v/>
      </c>
      <c r="G273" s="134" t="str">
        <f ca="1">IFERROR(__xludf.DUMMYFUNCTION("""COMPUTED_VALUE"""),"")</f>
        <v/>
      </c>
      <c r="H273" s="134" t="str">
        <f ca="1">IFERROR(__xludf.DUMMYFUNCTION("""COMPUTED_VALUE"""),"")</f>
        <v/>
      </c>
      <c r="I273" s="134" t="str">
        <f ca="1">IFERROR(__xludf.DUMMYFUNCTION("""COMPUTED_VALUE"""),"")</f>
        <v/>
      </c>
      <c r="J273" s="134" t="str">
        <f ca="1">IFERROR(__xludf.DUMMYFUNCTION("""COMPUTED_VALUE"""),"")</f>
        <v/>
      </c>
      <c r="N273" s="31"/>
    </row>
    <row r="274" spans="1:14" customFormat="1">
      <c r="A274" s="134" t="str">
        <f ca="1">IFERROR(__xludf.DUMMYFUNCTION("""COMPUTED_VALUE"""),"")</f>
        <v/>
      </c>
      <c r="B274" s="134" t="str">
        <f ca="1">IFERROR(__xludf.DUMMYFUNCTION("""COMPUTED_VALUE"""),"")</f>
        <v/>
      </c>
      <c r="C274" s="134" t="str">
        <f ca="1">IFERROR(__xludf.DUMMYFUNCTION("""COMPUTED_VALUE"""),"")</f>
        <v/>
      </c>
      <c r="D274" s="134" t="str">
        <f ca="1">IFERROR(__xludf.DUMMYFUNCTION("""COMPUTED_VALUE"""),"")</f>
        <v/>
      </c>
      <c r="E274" s="134" t="str">
        <f ca="1">IFERROR(__xludf.DUMMYFUNCTION("""COMPUTED_VALUE"""),"")</f>
        <v/>
      </c>
      <c r="F274" s="134" t="str">
        <f ca="1">IFERROR(__xludf.DUMMYFUNCTION("""COMPUTED_VALUE"""),"")</f>
        <v/>
      </c>
      <c r="G274" s="134" t="str">
        <f ca="1">IFERROR(__xludf.DUMMYFUNCTION("""COMPUTED_VALUE"""),"")</f>
        <v/>
      </c>
      <c r="H274" s="134" t="str">
        <f ca="1">IFERROR(__xludf.DUMMYFUNCTION("""COMPUTED_VALUE"""),"")</f>
        <v/>
      </c>
      <c r="I274" s="134" t="str">
        <f ca="1">IFERROR(__xludf.DUMMYFUNCTION("""COMPUTED_VALUE"""),"")</f>
        <v/>
      </c>
      <c r="J274" s="134" t="str">
        <f ca="1">IFERROR(__xludf.DUMMYFUNCTION("""COMPUTED_VALUE"""),"")</f>
        <v/>
      </c>
      <c r="N274" s="31"/>
    </row>
    <row r="275" spans="1:14" customFormat="1">
      <c r="A275" s="134" t="str">
        <f ca="1">IFERROR(__xludf.DUMMYFUNCTION("""COMPUTED_VALUE"""),"")</f>
        <v/>
      </c>
      <c r="B275" s="134" t="str">
        <f ca="1">IFERROR(__xludf.DUMMYFUNCTION("""COMPUTED_VALUE"""),"")</f>
        <v/>
      </c>
      <c r="C275" s="134" t="str">
        <f ca="1">IFERROR(__xludf.DUMMYFUNCTION("""COMPUTED_VALUE"""),"")</f>
        <v/>
      </c>
      <c r="D275" s="134" t="str">
        <f ca="1">IFERROR(__xludf.DUMMYFUNCTION("""COMPUTED_VALUE"""),"")</f>
        <v/>
      </c>
      <c r="E275" s="134" t="str">
        <f ca="1">IFERROR(__xludf.DUMMYFUNCTION("""COMPUTED_VALUE"""),"")</f>
        <v/>
      </c>
      <c r="F275" s="134" t="str">
        <f ca="1">IFERROR(__xludf.DUMMYFUNCTION("""COMPUTED_VALUE"""),"")</f>
        <v/>
      </c>
      <c r="G275" s="134" t="str">
        <f ca="1">IFERROR(__xludf.DUMMYFUNCTION("""COMPUTED_VALUE"""),"")</f>
        <v/>
      </c>
      <c r="H275" s="134" t="str">
        <f ca="1">IFERROR(__xludf.DUMMYFUNCTION("""COMPUTED_VALUE"""),"")</f>
        <v/>
      </c>
      <c r="I275" s="134" t="str">
        <f ca="1">IFERROR(__xludf.DUMMYFUNCTION("""COMPUTED_VALUE"""),"")</f>
        <v/>
      </c>
      <c r="J275" s="134" t="str">
        <f ca="1">IFERROR(__xludf.DUMMYFUNCTION("""COMPUTED_VALUE"""),"")</f>
        <v/>
      </c>
      <c r="N275" s="31"/>
    </row>
    <row r="276" spans="1:14" customFormat="1">
      <c r="A276" s="134" t="str">
        <f ca="1">IFERROR(__xludf.DUMMYFUNCTION("""COMPUTED_VALUE"""),"")</f>
        <v/>
      </c>
      <c r="B276" s="134" t="str">
        <f ca="1">IFERROR(__xludf.DUMMYFUNCTION("""COMPUTED_VALUE"""),"")</f>
        <v/>
      </c>
      <c r="C276" s="134" t="str">
        <f ca="1">IFERROR(__xludf.DUMMYFUNCTION("""COMPUTED_VALUE"""),"")</f>
        <v/>
      </c>
      <c r="D276" s="134" t="str">
        <f ca="1">IFERROR(__xludf.DUMMYFUNCTION("""COMPUTED_VALUE"""),"")</f>
        <v/>
      </c>
      <c r="E276" s="134" t="str">
        <f ca="1">IFERROR(__xludf.DUMMYFUNCTION("""COMPUTED_VALUE"""),"")</f>
        <v/>
      </c>
      <c r="F276" s="134" t="str">
        <f ca="1">IFERROR(__xludf.DUMMYFUNCTION("""COMPUTED_VALUE"""),"")</f>
        <v/>
      </c>
      <c r="G276" s="134" t="str">
        <f ca="1">IFERROR(__xludf.DUMMYFUNCTION("""COMPUTED_VALUE"""),"")</f>
        <v/>
      </c>
      <c r="H276" s="134" t="str">
        <f ca="1">IFERROR(__xludf.DUMMYFUNCTION("""COMPUTED_VALUE"""),"")</f>
        <v/>
      </c>
      <c r="I276" s="134" t="str">
        <f ca="1">IFERROR(__xludf.DUMMYFUNCTION("""COMPUTED_VALUE"""),"")</f>
        <v/>
      </c>
      <c r="J276" s="134" t="str">
        <f ca="1">IFERROR(__xludf.DUMMYFUNCTION("""COMPUTED_VALUE"""),"")</f>
        <v/>
      </c>
      <c r="N276" s="31"/>
    </row>
    <row r="277" spans="1:14" customFormat="1">
      <c r="A277" s="134" t="str">
        <f ca="1">IFERROR(__xludf.DUMMYFUNCTION("""COMPUTED_VALUE"""),"")</f>
        <v/>
      </c>
      <c r="B277" s="134" t="str">
        <f ca="1">IFERROR(__xludf.DUMMYFUNCTION("""COMPUTED_VALUE"""),"")</f>
        <v/>
      </c>
      <c r="C277" s="134" t="str">
        <f ca="1">IFERROR(__xludf.DUMMYFUNCTION("""COMPUTED_VALUE"""),"")</f>
        <v/>
      </c>
      <c r="D277" s="134" t="str">
        <f ca="1">IFERROR(__xludf.DUMMYFUNCTION("""COMPUTED_VALUE"""),"")</f>
        <v/>
      </c>
      <c r="E277" s="134" t="str">
        <f ca="1">IFERROR(__xludf.DUMMYFUNCTION("""COMPUTED_VALUE"""),"")</f>
        <v/>
      </c>
      <c r="F277" s="134" t="str">
        <f ca="1">IFERROR(__xludf.DUMMYFUNCTION("""COMPUTED_VALUE"""),"")</f>
        <v/>
      </c>
      <c r="G277" s="134" t="str">
        <f ca="1">IFERROR(__xludf.DUMMYFUNCTION("""COMPUTED_VALUE"""),"")</f>
        <v/>
      </c>
      <c r="H277" s="134" t="str">
        <f ca="1">IFERROR(__xludf.DUMMYFUNCTION("""COMPUTED_VALUE"""),"")</f>
        <v/>
      </c>
      <c r="I277" s="134" t="str">
        <f ca="1">IFERROR(__xludf.DUMMYFUNCTION("""COMPUTED_VALUE"""),"")</f>
        <v/>
      </c>
      <c r="J277" s="134" t="str">
        <f ca="1">IFERROR(__xludf.DUMMYFUNCTION("""COMPUTED_VALUE"""),"")</f>
        <v/>
      </c>
      <c r="N277" s="31"/>
    </row>
    <row r="278" spans="1:14" customFormat="1">
      <c r="A278" s="134" t="str">
        <f ca="1">IFERROR(__xludf.DUMMYFUNCTION("""COMPUTED_VALUE"""),"")</f>
        <v/>
      </c>
      <c r="B278" s="134" t="str">
        <f ca="1">IFERROR(__xludf.DUMMYFUNCTION("""COMPUTED_VALUE"""),"")</f>
        <v/>
      </c>
      <c r="C278" s="134" t="str">
        <f ca="1">IFERROR(__xludf.DUMMYFUNCTION("""COMPUTED_VALUE"""),"")</f>
        <v/>
      </c>
      <c r="D278" s="134" t="str">
        <f ca="1">IFERROR(__xludf.DUMMYFUNCTION("""COMPUTED_VALUE"""),"")</f>
        <v/>
      </c>
      <c r="E278" s="134" t="str">
        <f ca="1">IFERROR(__xludf.DUMMYFUNCTION("""COMPUTED_VALUE"""),"")</f>
        <v/>
      </c>
      <c r="F278" s="134" t="str">
        <f ca="1">IFERROR(__xludf.DUMMYFUNCTION("""COMPUTED_VALUE"""),"")</f>
        <v/>
      </c>
      <c r="G278" s="134" t="str">
        <f ca="1">IFERROR(__xludf.DUMMYFUNCTION("""COMPUTED_VALUE"""),"")</f>
        <v/>
      </c>
      <c r="H278" s="134" t="str">
        <f ca="1">IFERROR(__xludf.DUMMYFUNCTION("""COMPUTED_VALUE"""),"")</f>
        <v/>
      </c>
      <c r="I278" s="134" t="str">
        <f ca="1">IFERROR(__xludf.DUMMYFUNCTION("""COMPUTED_VALUE"""),"")</f>
        <v/>
      </c>
      <c r="J278" s="134" t="str">
        <f ca="1">IFERROR(__xludf.DUMMYFUNCTION("""COMPUTED_VALUE"""),"")</f>
        <v/>
      </c>
      <c r="N278" s="31"/>
    </row>
    <row r="279" spans="1:14" customFormat="1">
      <c r="A279" s="134" t="str">
        <f ca="1">IFERROR(__xludf.DUMMYFUNCTION("""COMPUTED_VALUE"""),"")</f>
        <v/>
      </c>
      <c r="B279" s="134" t="str">
        <f ca="1">IFERROR(__xludf.DUMMYFUNCTION("""COMPUTED_VALUE"""),"")</f>
        <v/>
      </c>
      <c r="C279" s="134" t="str">
        <f ca="1">IFERROR(__xludf.DUMMYFUNCTION("""COMPUTED_VALUE"""),"")</f>
        <v/>
      </c>
      <c r="D279" s="134" t="str">
        <f ca="1">IFERROR(__xludf.DUMMYFUNCTION("""COMPUTED_VALUE"""),"")</f>
        <v/>
      </c>
      <c r="E279" s="134" t="str">
        <f ca="1">IFERROR(__xludf.DUMMYFUNCTION("""COMPUTED_VALUE"""),"")</f>
        <v/>
      </c>
      <c r="F279" s="134" t="str">
        <f ca="1">IFERROR(__xludf.DUMMYFUNCTION("""COMPUTED_VALUE"""),"")</f>
        <v/>
      </c>
      <c r="G279" s="134" t="str">
        <f ca="1">IFERROR(__xludf.DUMMYFUNCTION("""COMPUTED_VALUE"""),"")</f>
        <v/>
      </c>
      <c r="H279" s="134" t="str">
        <f ca="1">IFERROR(__xludf.DUMMYFUNCTION("""COMPUTED_VALUE"""),"")</f>
        <v/>
      </c>
      <c r="I279" s="134" t="str">
        <f ca="1">IFERROR(__xludf.DUMMYFUNCTION("""COMPUTED_VALUE"""),"")</f>
        <v/>
      </c>
      <c r="J279" s="134" t="str">
        <f ca="1">IFERROR(__xludf.DUMMYFUNCTION("""COMPUTED_VALUE"""),"")</f>
        <v/>
      </c>
      <c r="N279" s="31"/>
    </row>
    <row r="280" spans="1:14" customFormat="1">
      <c r="A280" s="134" t="str">
        <f ca="1">IFERROR(__xludf.DUMMYFUNCTION("""COMPUTED_VALUE"""),"")</f>
        <v/>
      </c>
      <c r="B280" s="134" t="str">
        <f ca="1">IFERROR(__xludf.DUMMYFUNCTION("""COMPUTED_VALUE"""),"")</f>
        <v/>
      </c>
      <c r="C280" s="134" t="str">
        <f ca="1">IFERROR(__xludf.DUMMYFUNCTION("""COMPUTED_VALUE"""),"")</f>
        <v/>
      </c>
      <c r="D280" s="134" t="str">
        <f ca="1">IFERROR(__xludf.DUMMYFUNCTION("""COMPUTED_VALUE"""),"")</f>
        <v/>
      </c>
      <c r="E280" s="134" t="str">
        <f ca="1">IFERROR(__xludf.DUMMYFUNCTION("""COMPUTED_VALUE"""),"")</f>
        <v/>
      </c>
      <c r="F280" s="134" t="str">
        <f ca="1">IFERROR(__xludf.DUMMYFUNCTION("""COMPUTED_VALUE"""),"")</f>
        <v/>
      </c>
      <c r="G280" s="134" t="str">
        <f ca="1">IFERROR(__xludf.DUMMYFUNCTION("""COMPUTED_VALUE"""),"")</f>
        <v/>
      </c>
      <c r="H280" s="134" t="str">
        <f ca="1">IFERROR(__xludf.DUMMYFUNCTION("""COMPUTED_VALUE"""),"")</f>
        <v/>
      </c>
      <c r="I280" s="134" t="str">
        <f ca="1">IFERROR(__xludf.DUMMYFUNCTION("""COMPUTED_VALUE"""),"")</f>
        <v/>
      </c>
      <c r="J280" s="134" t="str">
        <f ca="1">IFERROR(__xludf.DUMMYFUNCTION("""COMPUTED_VALUE"""),"")</f>
        <v/>
      </c>
      <c r="N280" s="31"/>
    </row>
    <row r="281" spans="1:14" customFormat="1">
      <c r="A281" s="134" t="str">
        <f ca="1">IFERROR(__xludf.DUMMYFUNCTION("""COMPUTED_VALUE"""),"")</f>
        <v/>
      </c>
      <c r="B281" s="134" t="str">
        <f ca="1">IFERROR(__xludf.DUMMYFUNCTION("""COMPUTED_VALUE"""),"")</f>
        <v/>
      </c>
      <c r="C281" s="134" t="str">
        <f ca="1">IFERROR(__xludf.DUMMYFUNCTION("""COMPUTED_VALUE"""),"")</f>
        <v/>
      </c>
      <c r="D281" s="134" t="str">
        <f ca="1">IFERROR(__xludf.DUMMYFUNCTION("""COMPUTED_VALUE"""),"")</f>
        <v/>
      </c>
      <c r="E281" s="134" t="str">
        <f ca="1">IFERROR(__xludf.DUMMYFUNCTION("""COMPUTED_VALUE"""),"")</f>
        <v/>
      </c>
      <c r="F281" s="134" t="str">
        <f ca="1">IFERROR(__xludf.DUMMYFUNCTION("""COMPUTED_VALUE"""),"")</f>
        <v/>
      </c>
      <c r="G281" s="134" t="str">
        <f ca="1">IFERROR(__xludf.DUMMYFUNCTION("""COMPUTED_VALUE"""),"")</f>
        <v/>
      </c>
      <c r="H281" s="134" t="str">
        <f ca="1">IFERROR(__xludf.DUMMYFUNCTION("""COMPUTED_VALUE"""),"")</f>
        <v/>
      </c>
      <c r="I281" s="134" t="str">
        <f ca="1">IFERROR(__xludf.DUMMYFUNCTION("""COMPUTED_VALUE"""),"")</f>
        <v/>
      </c>
      <c r="J281" s="134" t="str">
        <f ca="1">IFERROR(__xludf.DUMMYFUNCTION("""COMPUTED_VALUE"""),"")</f>
        <v/>
      </c>
      <c r="N281" s="31"/>
    </row>
    <row r="282" spans="1:14" customFormat="1">
      <c r="A282" s="134" t="str">
        <f ca="1">IFERROR(__xludf.DUMMYFUNCTION("""COMPUTED_VALUE"""),"")</f>
        <v/>
      </c>
      <c r="B282" s="134" t="str">
        <f ca="1">IFERROR(__xludf.DUMMYFUNCTION("""COMPUTED_VALUE"""),"")</f>
        <v/>
      </c>
      <c r="C282" s="134" t="str">
        <f ca="1">IFERROR(__xludf.DUMMYFUNCTION("""COMPUTED_VALUE"""),"")</f>
        <v/>
      </c>
      <c r="D282" s="134" t="str">
        <f ca="1">IFERROR(__xludf.DUMMYFUNCTION("""COMPUTED_VALUE"""),"")</f>
        <v/>
      </c>
      <c r="E282" s="134" t="str">
        <f ca="1">IFERROR(__xludf.DUMMYFUNCTION("""COMPUTED_VALUE"""),"")</f>
        <v/>
      </c>
      <c r="F282" s="134" t="str">
        <f ca="1">IFERROR(__xludf.DUMMYFUNCTION("""COMPUTED_VALUE"""),"")</f>
        <v/>
      </c>
      <c r="G282" s="134" t="str">
        <f ca="1">IFERROR(__xludf.DUMMYFUNCTION("""COMPUTED_VALUE"""),"")</f>
        <v/>
      </c>
      <c r="H282" s="134" t="str">
        <f ca="1">IFERROR(__xludf.DUMMYFUNCTION("""COMPUTED_VALUE"""),"")</f>
        <v/>
      </c>
      <c r="I282" s="134" t="str">
        <f ca="1">IFERROR(__xludf.DUMMYFUNCTION("""COMPUTED_VALUE"""),"")</f>
        <v/>
      </c>
      <c r="J282" s="134" t="str">
        <f ca="1">IFERROR(__xludf.DUMMYFUNCTION("""COMPUTED_VALUE"""),"")</f>
        <v/>
      </c>
      <c r="N282" s="31"/>
    </row>
    <row r="283" spans="1:14" customFormat="1">
      <c r="A283" s="134" t="str">
        <f ca="1">IFERROR(__xludf.DUMMYFUNCTION("""COMPUTED_VALUE"""),"")</f>
        <v/>
      </c>
      <c r="B283" s="134" t="str">
        <f ca="1">IFERROR(__xludf.DUMMYFUNCTION("""COMPUTED_VALUE"""),"")</f>
        <v/>
      </c>
      <c r="C283" s="134" t="str">
        <f ca="1">IFERROR(__xludf.DUMMYFUNCTION("""COMPUTED_VALUE"""),"")</f>
        <v/>
      </c>
      <c r="D283" s="134" t="str">
        <f ca="1">IFERROR(__xludf.DUMMYFUNCTION("""COMPUTED_VALUE"""),"")</f>
        <v/>
      </c>
      <c r="E283" s="134" t="str">
        <f ca="1">IFERROR(__xludf.DUMMYFUNCTION("""COMPUTED_VALUE"""),"")</f>
        <v/>
      </c>
      <c r="F283" s="134" t="str">
        <f ca="1">IFERROR(__xludf.DUMMYFUNCTION("""COMPUTED_VALUE"""),"")</f>
        <v/>
      </c>
      <c r="G283" s="134" t="str">
        <f ca="1">IFERROR(__xludf.DUMMYFUNCTION("""COMPUTED_VALUE"""),"")</f>
        <v/>
      </c>
      <c r="H283" s="134" t="str">
        <f ca="1">IFERROR(__xludf.DUMMYFUNCTION("""COMPUTED_VALUE"""),"")</f>
        <v/>
      </c>
      <c r="I283" s="134" t="str">
        <f ca="1">IFERROR(__xludf.DUMMYFUNCTION("""COMPUTED_VALUE"""),"")</f>
        <v/>
      </c>
      <c r="J283" s="134" t="str">
        <f ca="1">IFERROR(__xludf.DUMMYFUNCTION("""COMPUTED_VALUE"""),"")</f>
        <v/>
      </c>
      <c r="N283" s="31"/>
    </row>
    <row r="284" spans="1:14" customFormat="1">
      <c r="A284" s="134" t="str">
        <f ca="1">IFERROR(__xludf.DUMMYFUNCTION("""COMPUTED_VALUE"""),"")</f>
        <v/>
      </c>
      <c r="B284" s="134" t="str">
        <f ca="1">IFERROR(__xludf.DUMMYFUNCTION("""COMPUTED_VALUE"""),"")</f>
        <v/>
      </c>
      <c r="C284" s="134" t="str">
        <f ca="1">IFERROR(__xludf.DUMMYFUNCTION("""COMPUTED_VALUE"""),"")</f>
        <v/>
      </c>
      <c r="D284" s="134" t="str">
        <f ca="1">IFERROR(__xludf.DUMMYFUNCTION("""COMPUTED_VALUE"""),"")</f>
        <v/>
      </c>
      <c r="E284" s="134" t="str">
        <f ca="1">IFERROR(__xludf.DUMMYFUNCTION("""COMPUTED_VALUE"""),"")</f>
        <v/>
      </c>
      <c r="F284" s="134" t="str">
        <f ca="1">IFERROR(__xludf.DUMMYFUNCTION("""COMPUTED_VALUE"""),"")</f>
        <v/>
      </c>
      <c r="G284" s="134" t="str">
        <f ca="1">IFERROR(__xludf.DUMMYFUNCTION("""COMPUTED_VALUE"""),"")</f>
        <v/>
      </c>
      <c r="H284" s="134" t="str">
        <f ca="1">IFERROR(__xludf.DUMMYFUNCTION("""COMPUTED_VALUE"""),"")</f>
        <v/>
      </c>
      <c r="I284" s="134" t="str">
        <f ca="1">IFERROR(__xludf.DUMMYFUNCTION("""COMPUTED_VALUE"""),"")</f>
        <v/>
      </c>
      <c r="J284" s="134" t="str">
        <f ca="1">IFERROR(__xludf.DUMMYFUNCTION("""COMPUTED_VALUE"""),"")</f>
        <v/>
      </c>
      <c r="N284" s="31"/>
    </row>
    <row r="285" spans="1:14" customFormat="1">
      <c r="A285" s="134" t="str">
        <f ca="1">IFERROR(__xludf.DUMMYFUNCTION("""COMPUTED_VALUE"""),"")</f>
        <v/>
      </c>
      <c r="B285" s="134" t="str">
        <f ca="1">IFERROR(__xludf.DUMMYFUNCTION("""COMPUTED_VALUE"""),"")</f>
        <v/>
      </c>
      <c r="C285" s="134" t="str">
        <f ca="1">IFERROR(__xludf.DUMMYFUNCTION("""COMPUTED_VALUE"""),"")</f>
        <v/>
      </c>
      <c r="D285" s="134" t="str">
        <f ca="1">IFERROR(__xludf.DUMMYFUNCTION("""COMPUTED_VALUE"""),"")</f>
        <v/>
      </c>
      <c r="E285" s="134" t="str">
        <f ca="1">IFERROR(__xludf.DUMMYFUNCTION("""COMPUTED_VALUE"""),"")</f>
        <v/>
      </c>
      <c r="F285" s="134" t="str">
        <f ca="1">IFERROR(__xludf.DUMMYFUNCTION("""COMPUTED_VALUE"""),"")</f>
        <v/>
      </c>
      <c r="G285" s="134" t="str">
        <f ca="1">IFERROR(__xludf.DUMMYFUNCTION("""COMPUTED_VALUE"""),"")</f>
        <v/>
      </c>
      <c r="H285" s="134" t="str">
        <f ca="1">IFERROR(__xludf.DUMMYFUNCTION("""COMPUTED_VALUE"""),"")</f>
        <v/>
      </c>
      <c r="I285" s="134" t="str">
        <f ca="1">IFERROR(__xludf.DUMMYFUNCTION("""COMPUTED_VALUE"""),"")</f>
        <v/>
      </c>
      <c r="J285" s="134" t="str">
        <f ca="1">IFERROR(__xludf.DUMMYFUNCTION("""COMPUTED_VALUE"""),"")</f>
        <v/>
      </c>
      <c r="N285" s="31"/>
    </row>
    <row r="286" spans="1:14" customFormat="1">
      <c r="A286" s="134" t="str">
        <f ca="1">IFERROR(__xludf.DUMMYFUNCTION("""COMPUTED_VALUE"""),"")</f>
        <v/>
      </c>
      <c r="B286" s="134" t="str">
        <f ca="1">IFERROR(__xludf.DUMMYFUNCTION("""COMPUTED_VALUE"""),"")</f>
        <v/>
      </c>
      <c r="C286" s="134" t="str">
        <f ca="1">IFERROR(__xludf.DUMMYFUNCTION("""COMPUTED_VALUE"""),"")</f>
        <v/>
      </c>
      <c r="D286" s="134" t="str">
        <f ca="1">IFERROR(__xludf.DUMMYFUNCTION("""COMPUTED_VALUE"""),"")</f>
        <v/>
      </c>
      <c r="E286" s="134" t="str">
        <f ca="1">IFERROR(__xludf.DUMMYFUNCTION("""COMPUTED_VALUE"""),"")</f>
        <v/>
      </c>
      <c r="F286" s="134" t="str">
        <f ca="1">IFERROR(__xludf.DUMMYFUNCTION("""COMPUTED_VALUE"""),"")</f>
        <v/>
      </c>
      <c r="G286" s="134" t="str">
        <f ca="1">IFERROR(__xludf.DUMMYFUNCTION("""COMPUTED_VALUE"""),"")</f>
        <v/>
      </c>
      <c r="H286" s="134" t="str">
        <f ca="1">IFERROR(__xludf.DUMMYFUNCTION("""COMPUTED_VALUE"""),"")</f>
        <v/>
      </c>
      <c r="I286" s="134" t="str">
        <f ca="1">IFERROR(__xludf.DUMMYFUNCTION("""COMPUTED_VALUE"""),"")</f>
        <v/>
      </c>
      <c r="J286" s="134" t="str">
        <f ca="1">IFERROR(__xludf.DUMMYFUNCTION("""COMPUTED_VALUE"""),"")</f>
        <v/>
      </c>
      <c r="N286" s="31"/>
    </row>
    <row r="287" spans="1:14" customFormat="1">
      <c r="A287" s="134" t="str">
        <f ca="1">IFERROR(__xludf.DUMMYFUNCTION("""COMPUTED_VALUE"""),"")</f>
        <v/>
      </c>
      <c r="B287" s="134" t="str">
        <f ca="1">IFERROR(__xludf.DUMMYFUNCTION("""COMPUTED_VALUE"""),"")</f>
        <v/>
      </c>
      <c r="C287" s="134" t="str">
        <f ca="1">IFERROR(__xludf.DUMMYFUNCTION("""COMPUTED_VALUE"""),"")</f>
        <v/>
      </c>
      <c r="D287" s="134" t="str">
        <f ca="1">IFERROR(__xludf.DUMMYFUNCTION("""COMPUTED_VALUE"""),"")</f>
        <v/>
      </c>
      <c r="E287" s="134" t="str">
        <f ca="1">IFERROR(__xludf.DUMMYFUNCTION("""COMPUTED_VALUE"""),"")</f>
        <v/>
      </c>
      <c r="F287" s="134" t="str">
        <f ca="1">IFERROR(__xludf.DUMMYFUNCTION("""COMPUTED_VALUE"""),"")</f>
        <v/>
      </c>
      <c r="G287" s="134" t="str">
        <f ca="1">IFERROR(__xludf.DUMMYFUNCTION("""COMPUTED_VALUE"""),"")</f>
        <v/>
      </c>
      <c r="H287" s="134" t="str">
        <f ca="1">IFERROR(__xludf.DUMMYFUNCTION("""COMPUTED_VALUE"""),"")</f>
        <v/>
      </c>
      <c r="I287" s="134" t="str">
        <f ca="1">IFERROR(__xludf.DUMMYFUNCTION("""COMPUTED_VALUE"""),"")</f>
        <v/>
      </c>
      <c r="J287" s="134" t="str">
        <f ca="1">IFERROR(__xludf.DUMMYFUNCTION("""COMPUTED_VALUE"""),"")</f>
        <v/>
      </c>
      <c r="N287" s="31"/>
    </row>
    <row r="288" spans="1:14" customFormat="1">
      <c r="A288" s="134" t="str">
        <f ca="1">IFERROR(__xludf.DUMMYFUNCTION("""COMPUTED_VALUE"""),"")</f>
        <v/>
      </c>
      <c r="B288" s="134" t="str">
        <f ca="1">IFERROR(__xludf.DUMMYFUNCTION("""COMPUTED_VALUE"""),"")</f>
        <v/>
      </c>
      <c r="C288" s="134" t="str">
        <f ca="1">IFERROR(__xludf.DUMMYFUNCTION("""COMPUTED_VALUE"""),"")</f>
        <v/>
      </c>
      <c r="D288" s="134" t="str">
        <f ca="1">IFERROR(__xludf.DUMMYFUNCTION("""COMPUTED_VALUE"""),"")</f>
        <v/>
      </c>
      <c r="E288" s="134" t="str">
        <f ca="1">IFERROR(__xludf.DUMMYFUNCTION("""COMPUTED_VALUE"""),"")</f>
        <v/>
      </c>
      <c r="F288" s="134" t="str">
        <f ca="1">IFERROR(__xludf.DUMMYFUNCTION("""COMPUTED_VALUE"""),"")</f>
        <v/>
      </c>
      <c r="G288" s="134" t="str">
        <f ca="1">IFERROR(__xludf.DUMMYFUNCTION("""COMPUTED_VALUE"""),"")</f>
        <v/>
      </c>
      <c r="H288" s="134" t="str">
        <f ca="1">IFERROR(__xludf.DUMMYFUNCTION("""COMPUTED_VALUE"""),"")</f>
        <v/>
      </c>
      <c r="I288" s="134" t="str">
        <f ca="1">IFERROR(__xludf.DUMMYFUNCTION("""COMPUTED_VALUE"""),"")</f>
        <v/>
      </c>
      <c r="J288" s="134" t="str">
        <f ca="1">IFERROR(__xludf.DUMMYFUNCTION("""COMPUTED_VALUE"""),"")</f>
        <v/>
      </c>
      <c r="N288" s="31"/>
    </row>
    <row r="289" spans="1:14" customFormat="1">
      <c r="A289" s="134" t="str">
        <f ca="1">IFERROR(__xludf.DUMMYFUNCTION("""COMPUTED_VALUE"""),"")</f>
        <v/>
      </c>
      <c r="B289" s="134" t="str">
        <f ca="1">IFERROR(__xludf.DUMMYFUNCTION("""COMPUTED_VALUE"""),"")</f>
        <v/>
      </c>
      <c r="C289" s="134" t="str">
        <f ca="1">IFERROR(__xludf.DUMMYFUNCTION("""COMPUTED_VALUE"""),"")</f>
        <v/>
      </c>
      <c r="D289" s="134" t="str">
        <f ca="1">IFERROR(__xludf.DUMMYFUNCTION("""COMPUTED_VALUE"""),"")</f>
        <v/>
      </c>
      <c r="E289" s="134" t="str">
        <f ca="1">IFERROR(__xludf.DUMMYFUNCTION("""COMPUTED_VALUE"""),"")</f>
        <v/>
      </c>
      <c r="F289" s="134" t="str">
        <f ca="1">IFERROR(__xludf.DUMMYFUNCTION("""COMPUTED_VALUE"""),"")</f>
        <v/>
      </c>
      <c r="G289" s="134" t="str">
        <f ca="1">IFERROR(__xludf.DUMMYFUNCTION("""COMPUTED_VALUE"""),"")</f>
        <v/>
      </c>
      <c r="H289" s="134" t="str">
        <f ca="1">IFERROR(__xludf.DUMMYFUNCTION("""COMPUTED_VALUE"""),"")</f>
        <v/>
      </c>
      <c r="I289" s="134" t="str">
        <f ca="1">IFERROR(__xludf.DUMMYFUNCTION("""COMPUTED_VALUE"""),"")</f>
        <v/>
      </c>
      <c r="J289" s="134" t="str">
        <f ca="1">IFERROR(__xludf.DUMMYFUNCTION("""COMPUTED_VALUE"""),"")</f>
        <v/>
      </c>
      <c r="N289" s="31"/>
    </row>
    <row r="290" spans="1:14" customFormat="1">
      <c r="A290" s="134" t="str">
        <f ca="1">IFERROR(__xludf.DUMMYFUNCTION("""COMPUTED_VALUE"""),"")</f>
        <v/>
      </c>
      <c r="B290" s="134" t="str">
        <f ca="1">IFERROR(__xludf.DUMMYFUNCTION("""COMPUTED_VALUE"""),"")</f>
        <v/>
      </c>
      <c r="C290" s="134" t="str">
        <f ca="1">IFERROR(__xludf.DUMMYFUNCTION("""COMPUTED_VALUE"""),"")</f>
        <v/>
      </c>
      <c r="D290" s="134" t="str">
        <f ca="1">IFERROR(__xludf.DUMMYFUNCTION("""COMPUTED_VALUE"""),"")</f>
        <v/>
      </c>
      <c r="E290" s="134" t="str">
        <f ca="1">IFERROR(__xludf.DUMMYFUNCTION("""COMPUTED_VALUE"""),"")</f>
        <v/>
      </c>
      <c r="F290" s="134" t="str">
        <f ca="1">IFERROR(__xludf.DUMMYFUNCTION("""COMPUTED_VALUE"""),"")</f>
        <v/>
      </c>
      <c r="G290" s="134" t="str">
        <f ca="1">IFERROR(__xludf.DUMMYFUNCTION("""COMPUTED_VALUE"""),"")</f>
        <v/>
      </c>
      <c r="H290" s="134" t="str">
        <f ca="1">IFERROR(__xludf.DUMMYFUNCTION("""COMPUTED_VALUE"""),"")</f>
        <v/>
      </c>
      <c r="I290" s="134" t="str">
        <f ca="1">IFERROR(__xludf.DUMMYFUNCTION("""COMPUTED_VALUE"""),"")</f>
        <v/>
      </c>
      <c r="J290" s="134" t="str">
        <f ca="1">IFERROR(__xludf.DUMMYFUNCTION("""COMPUTED_VALUE"""),"")</f>
        <v/>
      </c>
      <c r="N290" s="31"/>
    </row>
    <row r="291" spans="1:14" customFormat="1">
      <c r="A291" s="134" t="str">
        <f ca="1">IFERROR(__xludf.DUMMYFUNCTION("""COMPUTED_VALUE"""),"")</f>
        <v/>
      </c>
      <c r="B291" s="134" t="str">
        <f ca="1">IFERROR(__xludf.DUMMYFUNCTION("""COMPUTED_VALUE"""),"")</f>
        <v/>
      </c>
      <c r="C291" s="134" t="str">
        <f ca="1">IFERROR(__xludf.DUMMYFUNCTION("""COMPUTED_VALUE"""),"")</f>
        <v/>
      </c>
      <c r="D291" s="134" t="str">
        <f ca="1">IFERROR(__xludf.DUMMYFUNCTION("""COMPUTED_VALUE"""),"")</f>
        <v/>
      </c>
      <c r="E291" s="134" t="str">
        <f ca="1">IFERROR(__xludf.DUMMYFUNCTION("""COMPUTED_VALUE"""),"")</f>
        <v/>
      </c>
      <c r="F291" s="134" t="str">
        <f ca="1">IFERROR(__xludf.DUMMYFUNCTION("""COMPUTED_VALUE"""),"")</f>
        <v/>
      </c>
      <c r="G291" s="134" t="str">
        <f ca="1">IFERROR(__xludf.DUMMYFUNCTION("""COMPUTED_VALUE"""),"")</f>
        <v/>
      </c>
      <c r="H291" s="134" t="str">
        <f ca="1">IFERROR(__xludf.DUMMYFUNCTION("""COMPUTED_VALUE"""),"")</f>
        <v/>
      </c>
      <c r="I291" s="134" t="str">
        <f ca="1">IFERROR(__xludf.DUMMYFUNCTION("""COMPUTED_VALUE"""),"")</f>
        <v/>
      </c>
      <c r="J291" s="134" t="str">
        <f ca="1">IFERROR(__xludf.DUMMYFUNCTION("""COMPUTED_VALUE"""),"")</f>
        <v/>
      </c>
      <c r="N291" s="31"/>
    </row>
    <row r="292" spans="1:14" customFormat="1">
      <c r="A292" s="134" t="str">
        <f ca="1">IFERROR(__xludf.DUMMYFUNCTION("""COMPUTED_VALUE"""),"")</f>
        <v/>
      </c>
      <c r="B292" s="134" t="str">
        <f ca="1">IFERROR(__xludf.DUMMYFUNCTION("""COMPUTED_VALUE"""),"")</f>
        <v/>
      </c>
      <c r="C292" s="134" t="str">
        <f ca="1">IFERROR(__xludf.DUMMYFUNCTION("""COMPUTED_VALUE"""),"")</f>
        <v/>
      </c>
      <c r="D292" s="134" t="str">
        <f ca="1">IFERROR(__xludf.DUMMYFUNCTION("""COMPUTED_VALUE"""),"")</f>
        <v/>
      </c>
      <c r="E292" s="134" t="str">
        <f ca="1">IFERROR(__xludf.DUMMYFUNCTION("""COMPUTED_VALUE"""),"")</f>
        <v/>
      </c>
      <c r="F292" s="134" t="str">
        <f ca="1">IFERROR(__xludf.DUMMYFUNCTION("""COMPUTED_VALUE"""),"")</f>
        <v/>
      </c>
      <c r="G292" s="134" t="str">
        <f ca="1">IFERROR(__xludf.DUMMYFUNCTION("""COMPUTED_VALUE"""),"")</f>
        <v/>
      </c>
      <c r="H292" s="134" t="str">
        <f ca="1">IFERROR(__xludf.DUMMYFUNCTION("""COMPUTED_VALUE"""),"")</f>
        <v/>
      </c>
      <c r="I292" s="134" t="str">
        <f ca="1">IFERROR(__xludf.DUMMYFUNCTION("""COMPUTED_VALUE"""),"")</f>
        <v/>
      </c>
      <c r="J292" s="134" t="str">
        <f ca="1">IFERROR(__xludf.DUMMYFUNCTION("""COMPUTED_VALUE"""),"")</f>
        <v/>
      </c>
      <c r="N292" s="31"/>
    </row>
    <row r="293" spans="1:14" customFormat="1">
      <c r="A293" s="134" t="str">
        <f ca="1">IFERROR(__xludf.DUMMYFUNCTION("""COMPUTED_VALUE"""),"")</f>
        <v/>
      </c>
      <c r="B293" s="134" t="str">
        <f ca="1">IFERROR(__xludf.DUMMYFUNCTION("""COMPUTED_VALUE"""),"")</f>
        <v/>
      </c>
      <c r="C293" s="134" t="str">
        <f ca="1">IFERROR(__xludf.DUMMYFUNCTION("""COMPUTED_VALUE"""),"")</f>
        <v/>
      </c>
      <c r="D293" s="134" t="str">
        <f ca="1">IFERROR(__xludf.DUMMYFUNCTION("""COMPUTED_VALUE"""),"")</f>
        <v/>
      </c>
      <c r="E293" s="134" t="str">
        <f ca="1">IFERROR(__xludf.DUMMYFUNCTION("""COMPUTED_VALUE"""),"")</f>
        <v/>
      </c>
      <c r="F293" s="134" t="str">
        <f ca="1">IFERROR(__xludf.DUMMYFUNCTION("""COMPUTED_VALUE"""),"")</f>
        <v/>
      </c>
      <c r="G293" s="134" t="str">
        <f ca="1">IFERROR(__xludf.DUMMYFUNCTION("""COMPUTED_VALUE"""),"")</f>
        <v/>
      </c>
      <c r="H293" s="134" t="str">
        <f ca="1">IFERROR(__xludf.DUMMYFUNCTION("""COMPUTED_VALUE"""),"")</f>
        <v/>
      </c>
      <c r="I293" s="134" t="str">
        <f ca="1">IFERROR(__xludf.DUMMYFUNCTION("""COMPUTED_VALUE"""),"")</f>
        <v/>
      </c>
      <c r="J293" s="134" t="str">
        <f ca="1">IFERROR(__xludf.DUMMYFUNCTION("""COMPUTED_VALUE"""),"")</f>
        <v/>
      </c>
      <c r="N293" s="31"/>
    </row>
    <row r="294" spans="1:14" customFormat="1">
      <c r="A294" s="134" t="str">
        <f ca="1">IFERROR(__xludf.DUMMYFUNCTION("""COMPUTED_VALUE"""),"")</f>
        <v/>
      </c>
      <c r="B294" s="134" t="str">
        <f ca="1">IFERROR(__xludf.DUMMYFUNCTION("""COMPUTED_VALUE"""),"")</f>
        <v/>
      </c>
      <c r="C294" s="134" t="str">
        <f ca="1">IFERROR(__xludf.DUMMYFUNCTION("""COMPUTED_VALUE"""),"")</f>
        <v/>
      </c>
      <c r="D294" s="134" t="str">
        <f ca="1">IFERROR(__xludf.DUMMYFUNCTION("""COMPUTED_VALUE"""),"")</f>
        <v/>
      </c>
      <c r="E294" s="134" t="str">
        <f ca="1">IFERROR(__xludf.DUMMYFUNCTION("""COMPUTED_VALUE"""),"")</f>
        <v/>
      </c>
      <c r="F294" s="134" t="str">
        <f ca="1">IFERROR(__xludf.DUMMYFUNCTION("""COMPUTED_VALUE"""),"")</f>
        <v/>
      </c>
      <c r="G294" s="134" t="str">
        <f ca="1">IFERROR(__xludf.DUMMYFUNCTION("""COMPUTED_VALUE"""),"")</f>
        <v/>
      </c>
      <c r="H294" s="134" t="str">
        <f ca="1">IFERROR(__xludf.DUMMYFUNCTION("""COMPUTED_VALUE"""),"")</f>
        <v/>
      </c>
      <c r="I294" s="134" t="str">
        <f ca="1">IFERROR(__xludf.DUMMYFUNCTION("""COMPUTED_VALUE"""),"")</f>
        <v/>
      </c>
      <c r="J294" s="134" t="str">
        <f ca="1">IFERROR(__xludf.DUMMYFUNCTION("""COMPUTED_VALUE"""),"")</f>
        <v/>
      </c>
      <c r="N294" s="31"/>
    </row>
    <row r="295" spans="1:14" customFormat="1">
      <c r="A295" s="134" t="str">
        <f ca="1">IFERROR(__xludf.DUMMYFUNCTION("""COMPUTED_VALUE"""),"")</f>
        <v/>
      </c>
      <c r="B295" s="134" t="str">
        <f ca="1">IFERROR(__xludf.DUMMYFUNCTION("""COMPUTED_VALUE"""),"")</f>
        <v/>
      </c>
      <c r="C295" s="134" t="str">
        <f ca="1">IFERROR(__xludf.DUMMYFUNCTION("""COMPUTED_VALUE"""),"")</f>
        <v/>
      </c>
      <c r="D295" s="134" t="str">
        <f ca="1">IFERROR(__xludf.DUMMYFUNCTION("""COMPUTED_VALUE"""),"")</f>
        <v/>
      </c>
      <c r="E295" s="134" t="str">
        <f ca="1">IFERROR(__xludf.DUMMYFUNCTION("""COMPUTED_VALUE"""),"")</f>
        <v/>
      </c>
      <c r="F295" s="134" t="str">
        <f ca="1">IFERROR(__xludf.DUMMYFUNCTION("""COMPUTED_VALUE"""),"")</f>
        <v/>
      </c>
      <c r="G295" s="134" t="str">
        <f ca="1">IFERROR(__xludf.DUMMYFUNCTION("""COMPUTED_VALUE"""),"")</f>
        <v/>
      </c>
      <c r="H295" s="134" t="str">
        <f ca="1">IFERROR(__xludf.DUMMYFUNCTION("""COMPUTED_VALUE"""),"")</f>
        <v/>
      </c>
      <c r="I295" s="134" t="str">
        <f ca="1">IFERROR(__xludf.DUMMYFUNCTION("""COMPUTED_VALUE"""),"")</f>
        <v/>
      </c>
      <c r="J295" s="134" t="str">
        <f ca="1">IFERROR(__xludf.DUMMYFUNCTION("""COMPUTED_VALUE"""),"")</f>
        <v/>
      </c>
      <c r="N295" s="31"/>
    </row>
    <row r="296" spans="1:14" customFormat="1">
      <c r="A296" s="134" t="str">
        <f ca="1">IFERROR(__xludf.DUMMYFUNCTION("""COMPUTED_VALUE"""),"")</f>
        <v/>
      </c>
      <c r="B296" s="134" t="str">
        <f ca="1">IFERROR(__xludf.DUMMYFUNCTION("""COMPUTED_VALUE"""),"")</f>
        <v/>
      </c>
      <c r="C296" s="134" t="str">
        <f ca="1">IFERROR(__xludf.DUMMYFUNCTION("""COMPUTED_VALUE"""),"")</f>
        <v/>
      </c>
      <c r="D296" s="134" t="str">
        <f ca="1">IFERROR(__xludf.DUMMYFUNCTION("""COMPUTED_VALUE"""),"")</f>
        <v/>
      </c>
      <c r="E296" s="134" t="str">
        <f ca="1">IFERROR(__xludf.DUMMYFUNCTION("""COMPUTED_VALUE"""),"")</f>
        <v/>
      </c>
      <c r="F296" s="134" t="str">
        <f ca="1">IFERROR(__xludf.DUMMYFUNCTION("""COMPUTED_VALUE"""),"")</f>
        <v/>
      </c>
      <c r="G296" s="134" t="str">
        <f ca="1">IFERROR(__xludf.DUMMYFUNCTION("""COMPUTED_VALUE"""),"")</f>
        <v/>
      </c>
      <c r="H296" s="134" t="str">
        <f ca="1">IFERROR(__xludf.DUMMYFUNCTION("""COMPUTED_VALUE"""),"")</f>
        <v/>
      </c>
      <c r="I296" s="134" t="str">
        <f ca="1">IFERROR(__xludf.DUMMYFUNCTION("""COMPUTED_VALUE"""),"")</f>
        <v/>
      </c>
      <c r="J296" s="134" t="str">
        <f ca="1">IFERROR(__xludf.DUMMYFUNCTION("""COMPUTED_VALUE"""),"")</f>
        <v/>
      </c>
      <c r="N296" s="31"/>
    </row>
    <row r="297" spans="1:14" customFormat="1">
      <c r="A297" s="134" t="str">
        <f ca="1">IFERROR(__xludf.DUMMYFUNCTION("""COMPUTED_VALUE"""),"")</f>
        <v/>
      </c>
      <c r="B297" s="134" t="str">
        <f ca="1">IFERROR(__xludf.DUMMYFUNCTION("""COMPUTED_VALUE"""),"")</f>
        <v/>
      </c>
      <c r="C297" s="134" t="str">
        <f ca="1">IFERROR(__xludf.DUMMYFUNCTION("""COMPUTED_VALUE"""),"")</f>
        <v/>
      </c>
      <c r="D297" s="134" t="str">
        <f ca="1">IFERROR(__xludf.DUMMYFUNCTION("""COMPUTED_VALUE"""),"")</f>
        <v/>
      </c>
      <c r="E297" s="134" t="str">
        <f ca="1">IFERROR(__xludf.DUMMYFUNCTION("""COMPUTED_VALUE"""),"")</f>
        <v/>
      </c>
      <c r="F297" s="134" t="str">
        <f ca="1">IFERROR(__xludf.DUMMYFUNCTION("""COMPUTED_VALUE"""),"")</f>
        <v/>
      </c>
      <c r="G297" s="134" t="str">
        <f ca="1">IFERROR(__xludf.DUMMYFUNCTION("""COMPUTED_VALUE"""),"")</f>
        <v/>
      </c>
      <c r="H297" s="134" t="str">
        <f ca="1">IFERROR(__xludf.DUMMYFUNCTION("""COMPUTED_VALUE"""),"")</f>
        <v/>
      </c>
      <c r="I297" s="134" t="str">
        <f ca="1">IFERROR(__xludf.DUMMYFUNCTION("""COMPUTED_VALUE"""),"")</f>
        <v/>
      </c>
      <c r="J297" s="134" t="str">
        <f ca="1">IFERROR(__xludf.DUMMYFUNCTION("""COMPUTED_VALUE"""),"")</f>
        <v/>
      </c>
      <c r="N297" s="31"/>
    </row>
    <row r="298" spans="1:14" customFormat="1">
      <c r="A298" s="134" t="str">
        <f ca="1">IFERROR(__xludf.DUMMYFUNCTION("""COMPUTED_VALUE"""),"")</f>
        <v/>
      </c>
      <c r="B298" s="134" t="str">
        <f ca="1">IFERROR(__xludf.DUMMYFUNCTION("""COMPUTED_VALUE"""),"")</f>
        <v/>
      </c>
      <c r="C298" s="134" t="str">
        <f ca="1">IFERROR(__xludf.DUMMYFUNCTION("""COMPUTED_VALUE"""),"")</f>
        <v/>
      </c>
      <c r="D298" s="134" t="str">
        <f ca="1">IFERROR(__xludf.DUMMYFUNCTION("""COMPUTED_VALUE"""),"")</f>
        <v/>
      </c>
      <c r="E298" s="134" t="str">
        <f ca="1">IFERROR(__xludf.DUMMYFUNCTION("""COMPUTED_VALUE"""),"")</f>
        <v/>
      </c>
      <c r="F298" s="134" t="str">
        <f ca="1">IFERROR(__xludf.DUMMYFUNCTION("""COMPUTED_VALUE"""),"")</f>
        <v/>
      </c>
      <c r="G298" s="134" t="str">
        <f ca="1">IFERROR(__xludf.DUMMYFUNCTION("""COMPUTED_VALUE"""),"")</f>
        <v/>
      </c>
      <c r="H298" s="134" t="str">
        <f ca="1">IFERROR(__xludf.DUMMYFUNCTION("""COMPUTED_VALUE"""),"")</f>
        <v/>
      </c>
      <c r="I298" s="134" t="str">
        <f ca="1">IFERROR(__xludf.DUMMYFUNCTION("""COMPUTED_VALUE"""),"")</f>
        <v/>
      </c>
      <c r="J298" s="134" t="str">
        <f ca="1">IFERROR(__xludf.DUMMYFUNCTION("""COMPUTED_VALUE"""),"")</f>
        <v/>
      </c>
      <c r="N298" s="31"/>
    </row>
    <row r="299" spans="1:14" customFormat="1">
      <c r="A299" s="134" t="str">
        <f ca="1">IFERROR(__xludf.DUMMYFUNCTION("""COMPUTED_VALUE"""),"")</f>
        <v/>
      </c>
      <c r="B299" s="134" t="str">
        <f ca="1">IFERROR(__xludf.DUMMYFUNCTION("""COMPUTED_VALUE"""),"")</f>
        <v/>
      </c>
      <c r="C299" s="134" t="str">
        <f ca="1">IFERROR(__xludf.DUMMYFUNCTION("""COMPUTED_VALUE"""),"")</f>
        <v/>
      </c>
      <c r="D299" s="134" t="str">
        <f ca="1">IFERROR(__xludf.DUMMYFUNCTION("""COMPUTED_VALUE"""),"")</f>
        <v/>
      </c>
      <c r="E299" s="134" t="str">
        <f ca="1">IFERROR(__xludf.DUMMYFUNCTION("""COMPUTED_VALUE"""),"")</f>
        <v/>
      </c>
      <c r="F299" s="134" t="str">
        <f ca="1">IFERROR(__xludf.DUMMYFUNCTION("""COMPUTED_VALUE"""),"")</f>
        <v/>
      </c>
      <c r="G299" s="134" t="str">
        <f ca="1">IFERROR(__xludf.DUMMYFUNCTION("""COMPUTED_VALUE"""),"")</f>
        <v/>
      </c>
      <c r="H299" s="134" t="str">
        <f ca="1">IFERROR(__xludf.DUMMYFUNCTION("""COMPUTED_VALUE"""),"")</f>
        <v/>
      </c>
      <c r="I299" s="134" t="str">
        <f ca="1">IFERROR(__xludf.DUMMYFUNCTION("""COMPUTED_VALUE"""),"")</f>
        <v/>
      </c>
      <c r="J299" s="134" t="str">
        <f ca="1">IFERROR(__xludf.DUMMYFUNCTION("""COMPUTED_VALUE"""),"")</f>
        <v/>
      </c>
      <c r="N299" s="31"/>
    </row>
    <row r="300" spans="1:14" customFormat="1">
      <c r="A300" s="134" t="str">
        <f ca="1">IFERROR(__xludf.DUMMYFUNCTION("""COMPUTED_VALUE"""),"")</f>
        <v/>
      </c>
      <c r="B300" s="134" t="str">
        <f ca="1">IFERROR(__xludf.DUMMYFUNCTION("""COMPUTED_VALUE"""),"")</f>
        <v/>
      </c>
      <c r="C300" s="134" t="str">
        <f ca="1">IFERROR(__xludf.DUMMYFUNCTION("""COMPUTED_VALUE"""),"")</f>
        <v/>
      </c>
      <c r="D300" s="134" t="str">
        <f ca="1">IFERROR(__xludf.DUMMYFUNCTION("""COMPUTED_VALUE"""),"")</f>
        <v/>
      </c>
      <c r="E300" s="134" t="str">
        <f ca="1">IFERROR(__xludf.DUMMYFUNCTION("""COMPUTED_VALUE"""),"")</f>
        <v/>
      </c>
      <c r="F300" s="134" t="str">
        <f ca="1">IFERROR(__xludf.DUMMYFUNCTION("""COMPUTED_VALUE"""),"")</f>
        <v/>
      </c>
      <c r="G300" s="134" t="str">
        <f ca="1">IFERROR(__xludf.DUMMYFUNCTION("""COMPUTED_VALUE"""),"")</f>
        <v/>
      </c>
      <c r="H300" s="134" t="str">
        <f ca="1">IFERROR(__xludf.DUMMYFUNCTION("""COMPUTED_VALUE"""),"")</f>
        <v/>
      </c>
      <c r="I300" s="134" t="str">
        <f ca="1">IFERROR(__xludf.DUMMYFUNCTION("""COMPUTED_VALUE"""),"")</f>
        <v/>
      </c>
      <c r="J300" s="134" t="str">
        <f ca="1">IFERROR(__xludf.DUMMYFUNCTION("""COMPUTED_VALUE"""),"")</f>
        <v/>
      </c>
      <c r="N300" s="31"/>
    </row>
    <row r="301" spans="1:14" customFormat="1">
      <c r="A301" s="134" t="str">
        <f ca="1">IFERROR(__xludf.DUMMYFUNCTION("""COMPUTED_VALUE"""),"")</f>
        <v/>
      </c>
      <c r="B301" s="134" t="str">
        <f ca="1">IFERROR(__xludf.DUMMYFUNCTION("""COMPUTED_VALUE"""),"")</f>
        <v/>
      </c>
      <c r="C301" s="134" t="str">
        <f ca="1">IFERROR(__xludf.DUMMYFUNCTION("""COMPUTED_VALUE"""),"")</f>
        <v/>
      </c>
      <c r="D301" s="134" t="str">
        <f ca="1">IFERROR(__xludf.DUMMYFUNCTION("""COMPUTED_VALUE"""),"")</f>
        <v/>
      </c>
      <c r="E301" s="134" t="str">
        <f ca="1">IFERROR(__xludf.DUMMYFUNCTION("""COMPUTED_VALUE"""),"")</f>
        <v/>
      </c>
      <c r="F301" s="134" t="str">
        <f ca="1">IFERROR(__xludf.DUMMYFUNCTION("""COMPUTED_VALUE"""),"")</f>
        <v/>
      </c>
      <c r="G301" s="134" t="str">
        <f ca="1">IFERROR(__xludf.DUMMYFUNCTION("""COMPUTED_VALUE"""),"")</f>
        <v/>
      </c>
      <c r="H301" s="134" t="str">
        <f ca="1">IFERROR(__xludf.DUMMYFUNCTION("""COMPUTED_VALUE"""),"")</f>
        <v/>
      </c>
      <c r="I301" s="134" t="str">
        <f ca="1">IFERROR(__xludf.DUMMYFUNCTION("""COMPUTED_VALUE"""),"")</f>
        <v/>
      </c>
      <c r="J301" s="134" t="str">
        <f ca="1">IFERROR(__xludf.DUMMYFUNCTION("""COMPUTED_VALUE"""),"")</f>
        <v/>
      </c>
      <c r="N301" s="31"/>
    </row>
    <row r="302" spans="1:14" customFormat="1">
      <c r="A302" s="134" t="str">
        <f ca="1">IFERROR(__xludf.DUMMYFUNCTION("""COMPUTED_VALUE"""),"")</f>
        <v/>
      </c>
      <c r="B302" s="134" t="str">
        <f ca="1">IFERROR(__xludf.DUMMYFUNCTION("""COMPUTED_VALUE"""),"")</f>
        <v/>
      </c>
      <c r="C302" s="134" t="str">
        <f ca="1">IFERROR(__xludf.DUMMYFUNCTION("""COMPUTED_VALUE"""),"")</f>
        <v/>
      </c>
      <c r="D302" s="134" t="str">
        <f ca="1">IFERROR(__xludf.DUMMYFUNCTION("""COMPUTED_VALUE"""),"")</f>
        <v/>
      </c>
      <c r="E302" s="134" t="str">
        <f ca="1">IFERROR(__xludf.DUMMYFUNCTION("""COMPUTED_VALUE"""),"")</f>
        <v/>
      </c>
      <c r="F302" s="134" t="str">
        <f ca="1">IFERROR(__xludf.DUMMYFUNCTION("""COMPUTED_VALUE"""),"")</f>
        <v/>
      </c>
      <c r="G302" s="134" t="str">
        <f ca="1">IFERROR(__xludf.DUMMYFUNCTION("""COMPUTED_VALUE"""),"")</f>
        <v/>
      </c>
      <c r="H302" s="134" t="str">
        <f ca="1">IFERROR(__xludf.DUMMYFUNCTION("""COMPUTED_VALUE"""),"")</f>
        <v/>
      </c>
      <c r="I302" s="134" t="str">
        <f ca="1">IFERROR(__xludf.DUMMYFUNCTION("""COMPUTED_VALUE"""),"")</f>
        <v/>
      </c>
      <c r="J302" s="134" t="str">
        <f ca="1">IFERROR(__xludf.DUMMYFUNCTION("""COMPUTED_VALUE"""),"")</f>
        <v/>
      </c>
      <c r="N302" s="31"/>
    </row>
    <row r="303" spans="1:14" customFormat="1">
      <c r="A303" s="134" t="str">
        <f ca="1">IFERROR(__xludf.DUMMYFUNCTION("""COMPUTED_VALUE"""),"")</f>
        <v/>
      </c>
      <c r="B303" s="134" t="str">
        <f ca="1">IFERROR(__xludf.DUMMYFUNCTION("""COMPUTED_VALUE"""),"")</f>
        <v/>
      </c>
      <c r="C303" s="134" t="str">
        <f ca="1">IFERROR(__xludf.DUMMYFUNCTION("""COMPUTED_VALUE"""),"")</f>
        <v/>
      </c>
      <c r="D303" s="134" t="str">
        <f ca="1">IFERROR(__xludf.DUMMYFUNCTION("""COMPUTED_VALUE"""),"")</f>
        <v/>
      </c>
      <c r="E303" s="134" t="str">
        <f ca="1">IFERROR(__xludf.DUMMYFUNCTION("""COMPUTED_VALUE"""),"")</f>
        <v/>
      </c>
      <c r="F303" s="134" t="str">
        <f ca="1">IFERROR(__xludf.DUMMYFUNCTION("""COMPUTED_VALUE"""),"")</f>
        <v/>
      </c>
      <c r="G303" s="134" t="str">
        <f ca="1">IFERROR(__xludf.DUMMYFUNCTION("""COMPUTED_VALUE"""),"")</f>
        <v/>
      </c>
      <c r="H303" s="134" t="str">
        <f ca="1">IFERROR(__xludf.DUMMYFUNCTION("""COMPUTED_VALUE"""),"")</f>
        <v/>
      </c>
      <c r="I303" s="134" t="str">
        <f ca="1">IFERROR(__xludf.DUMMYFUNCTION("""COMPUTED_VALUE"""),"")</f>
        <v/>
      </c>
      <c r="J303" s="134" t="str">
        <f ca="1">IFERROR(__xludf.DUMMYFUNCTION("""COMPUTED_VALUE"""),"")</f>
        <v/>
      </c>
      <c r="N303" s="31"/>
    </row>
    <row r="304" spans="1:14" customFormat="1">
      <c r="A304" s="134" t="str">
        <f ca="1">IFERROR(__xludf.DUMMYFUNCTION("""COMPUTED_VALUE"""),"")</f>
        <v/>
      </c>
      <c r="B304" s="134" t="str">
        <f ca="1">IFERROR(__xludf.DUMMYFUNCTION("""COMPUTED_VALUE"""),"")</f>
        <v/>
      </c>
      <c r="C304" s="134" t="str">
        <f ca="1">IFERROR(__xludf.DUMMYFUNCTION("""COMPUTED_VALUE"""),"")</f>
        <v/>
      </c>
      <c r="D304" s="134" t="str">
        <f ca="1">IFERROR(__xludf.DUMMYFUNCTION("""COMPUTED_VALUE"""),"")</f>
        <v/>
      </c>
      <c r="E304" s="134" t="str">
        <f ca="1">IFERROR(__xludf.DUMMYFUNCTION("""COMPUTED_VALUE"""),"")</f>
        <v/>
      </c>
      <c r="F304" s="134" t="str">
        <f ca="1">IFERROR(__xludf.DUMMYFUNCTION("""COMPUTED_VALUE"""),"")</f>
        <v/>
      </c>
      <c r="G304" s="134" t="str">
        <f ca="1">IFERROR(__xludf.DUMMYFUNCTION("""COMPUTED_VALUE"""),"")</f>
        <v/>
      </c>
      <c r="H304" s="134" t="str">
        <f ca="1">IFERROR(__xludf.DUMMYFUNCTION("""COMPUTED_VALUE"""),"")</f>
        <v/>
      </c>
      <c r="I304" s="134" t="str">
        <f ca="1">IFERROR(__xludf.DUMMYFUNCTION("""COMPUTED_VALUE"""),"")</f>
        <v/>
      </c>
      <c r="J304" s="134" t="str">
        <f ca="1">IFERROR(__xludf.DUMMYFUNCTION("""COMPUTED_VALUE"""),"")</f>
        <v/>
      </c>
      <c r="N304" s="31"/>
    </row>
    <row r="305" spans="1:14" customFormat="1">
      <c r="A305" s="134" t="str">
        <f ca="1">IFERROR(__xludf.DUMMYFUNCTION("""COMPUTED_VALUE"""),"")</f>
        <v/>
      </c>
      <c r="B305" s="134" t="str">
        <f ca="1">IFERROR(__xludf.DUMMYFUNCTION("""COMPUTED_VALUE"""),"")</f>
        <v/>
      </c>
      <c r="C305" s="134" t="str">
        <f ca="1">IFERROR(__xludf.DUMMYFUNCTION("""COMPUTED_VALUE"""),"")</f>
        <v/>
      </c>
      <c r="D305" s="134" t="str">
        <f ca="1">IFERROR(__xludf.DUMMYFUNCTION("""COMPUTED_VALUE"""),"")</f>
        <v/>
      </c>
      <c r="E305" s="134" t="str">
        <f ca="1">IFERROR(__xludf.DUMMYFUNCTION("""COMPUTED_VALUE"""),"")</f>
        <v/>
      </c>
      <c r="F305" s="134" t="str">
        <f ca="1">IFERROR(__xludf.DUMMYFUNCTION("""COMPUTED_VALUE"""),"")</f>
        <v/>
      </c>
      <c r="G305" s="134" t="str">
        <f ca="1">IFERROR(__xludf.DUMMYFUNCTION("""COMPUTED_VALUE"""),"")</f>
        <v/>
      </c>
      <c r="H305" s="134" t="str">
        <f ca="1">IFERROR(__xludf.DUMMYFUNCTION("""COMPUTED_VALUE"""),"")</f>
        <v/>
      </c>
      <c r="I305" s="134" t="str">
        <f ca="1">IFERROR(__xludf.DUMMYFUNCTION("""COMPUTED_VALUE"""),"")</f>
        <v/>
      </c>
      <c r="J305" s="134" t="str">
        <f ca="1">IFERROR(__xludf.DUMMYFUNCTION("""COMPUTED_VALUE"""),"")</f>
        <v/>
      </c>
      <c r="N305" s="31"/>
    </row>
    <row r="306" spans="1:14" customFormat="1">
      <c r="A306" s="134" t="str">
        <f ca="1">IFERROR(__xludf.DUMMYFUNCTION("""COMPUTED_VALUE"""),"")</f>
        <v/>
      </c>
      <c r="B306" s="134" t="str">
        <f ca="1">IFERROR(__xludf.DUMMYFUNCTION("""COMPUTED_VALUE"""),"")</f>
        <v/>
      </c>
      <c r="C306" s="134" t="str">
        <f ca="1">IFERROR(__xludf.DUMMYFUNCTION("""COMPUTED_VALUE"""),"")</f>
        <v/>
      </c>
      <c r="D306" s="134" t="str">
        <f ca="1">IFERROR(__xludf.DUMMYFUNCTION("""COMPUTED_VALUE"""),"")</f>
        <v/>
      </c>
      <c r="E306" s="134" t="str">
        <f ca="1">IFERROR(__xludf.DUMMYFUNCTION("""COMPUTED_VALUE"""),"")</f>
        <v/>
      </c>
      <c r="F306" s="134" t="str">
        <f ca="1">IFERROR(__xludf.DUMMYFUNCTION("""COMPUTED_VALUE"""),"")</f>
        <v/>
      </c>
      <c r="G306" s="134" t="str">
        <f ca="1">IFERROR(__xludf.DUMMYFUNCTION("""COMPUTED_VALUE"""),"")</f>
        <v/>
      </c>
      <c r="H306" s="134" t="str">
        <f ca="1">IFERROR(__xludf.DUMMYFUNCTION("""COMPUTED_VALUE"""),"")</f>
        <v/>
      </c>
      <c r="I306" s="134" t="str">
        <f ca="1">IFERROR(__xludf.DUMMYFUNCTION("""COMPUTED_VALUE"""),"")</f>
        <v/>
      </c>
      <c r="J306" s="134" t="str">
        <f ca="1">IFERROR(__xludf.DUMMYFUNCTION("""COMPUTED_VALUE"""),"")</f>
        <v/>
      </c>
      <c r="N306" s="31"/>
    </row>
    <row r="307" spans="1:14" customFormat="1">
      <c r="A307" s="134" t="str">
        <f ca="1">IFERROR(__xludf.DUMMYFUNCTION("""COMPUTED_VALUE"""),"")</f>
        <v/>
      </c>
      <c r="B307" s="134" t="str">
        <f ca="1">IFERROR(__xludf.DUMMYFUNCTION("""COMPUTED_VALUE"""),"")</f>
        <v/>
      </c>
      <c r="C307" s="134" t="str">
        <f ca="1">IFERROR(__xludf.DUMMYFUNCTION("""COMPUTED_VALUE"""),"")</f>
        <v/>
      </c>
      <c r="D307" s="134" t="str">
        <f ca="1">IFERROR(__xludf.DUMMYFUNCTION("""COMPUTED_VALUE"""),"")</f>
        <v/>
      </c>
      <c r="E307" s="134" t="str">
        <f ca="1">IFERROR(__xludf.DUMMYFUNCTION("""COMPUTED_VALUE"""),"")</f>
        <v/>
      </c>
      <c r="F307" s="134" t="str">
        <f ca="1">IFERROR(__xludf.DUMMYFUNCTION("""COMPUTED_VALUE"""),"")</f>
        <v/>
      </c>
      <c r="G307" s="134" t="str">
        <f ca="1">IFERROR(__xludf.DUMMYFUNCTION("""COMPUTED_VALUE"""),"")</f>
        <v/>
      </c>
      <c r="H307" s="134" t="str">
        <f ca="1">IFERROR(__xludf.DUMMYFUNCTION("""COMPUTED_VALUE"""),"")</f>
        <v/>
      </c>
      <c r="I307" s="134" t="str">
        <f ca="1">IFERROR(__xludf.DUMMYFUNCTION("""COMPUTED_VALUE"""),"")</f>
        <v/>
      </c>
      <c r="J307" s="134" t="str">
        <f ca="1">IFERROR(__xludf.DUMMYFUNCTION("""COMPUTED_VALUE"""),"")</f>
        <v/>
      </c>
      <c r="N307" s="31"/>
    </row>
    <row r="308" spans="1:14" customFormat="1">
      <c r="A308" s="134" t="str">
        <f ca="1">IFERROR(__xludf.DUMMYFUNCTION("""COMPUTED_VALUE"""),"")</f>
        <v/>
      </c>
      <c r="B308" s="134" t="str">
        <f ca="1">IFERROR(__xludf.DUMMYFUNCTION("""COMPUTED_VALUE"""),"")</f>
        <v/>
      </c>
      <c r="C308" s="134" t="str">
        <f ca="1">IFERROR(__xludf.DUMMYFUNCTION("""COMPUTED_VALUE"""),"")</f>
        <v/>
      </c>
      <c r="D308" s="134" t="str">
        <f ca="1">IFERROR(__xludf.DUMMYFUNCTION("""COMPUTED_VALUE"""),"")</f>
        <v/>
      </c>
      <c r="E308" s="134" t="str">
        <f ca="1">IFERROR(__xludf.DUMMYFUNCTION("""COMPUTED_VALUE"""),"")</f>
        <v/>
      </c>
      <c r="F308" s="134" t="str">
        <f ca="1">IFERROR(__xludf.DUMMYFUNCTION("""COMPUTED_VALUE"""),"")</f>
        <v/>
      </c>
      <c r="G308" s="134" t="str">
        <f ca="1">IFERROR(__xludf.DUMMYFUNCTION("""COMPUTED_VALUE"""),"")</f>
        <v/>
      </c>
      <c r="H308" s="134" t="str">
        <f ca="1">IFERROR(__xludf.DUMMYFUNCTION("""COMPUTED_VALUE"""),"")</f>
        <v/>
      </c>
      <c r="I308" s="134" t="str">
        <f ca="1">IFERROR(__xludf.DUMMYFUNCTION("""COMPUTED_VALUE"""),"")</f>
        <v/>
      </c>
      <c r="J308" s="134" t="str">
        <f ca="1">IFERROR(__xludf.DUMMYFUNCTION("""COMPUTED_VALUE"""),"")</f>
        <v/>
      </c>
      <c r="N308" s="31"/>
    </row>
    <row r="309" spans="1:14" customFormat="1">
      <c r="A309" s="134" t="str">
        <f ca="1">IFERROR(__xludf.DUMMYFUNCTION("""COMPUTED_VALUE"""),"")</f>
        <v/>
      </c>
      <c r="B309" s="134" t="str">
        <f ca="1">IFERROR(__xludf.DUMMYFUNCTION("""COMPUTED_VALUE"""),"")</f>
        <v/>
      </c>
      <c r="C309" s="134" t="str">
        <f ca="1">IFERROR(__xludf.DUMMYFUNCTION("""COMPUTED_VALUE"""),"")</f>
        <v/>
      </c>
      <c r="D309" s="134" t="str">
        <f ca="1">IFERROR(__xludf.DUMMYFUNCTION("""COMPUTED_VALUE"""),"")</f>
        <v/>
      </c>
      <c r="E309" s="134" t="str">
        <f ca="1">IFERROR(__xludf.DUMMYFUNCTION("""COMPUTED_VALUE"""),"")</f>
        <v/>
      </c>
      <c r="F309" s="134" t="str">
        <f ca="1">IFERROR(__xludf.DUMMYFUNCTION("""COMPUTED_VALUE"""),"")</f>
        <v/>
      </c>
      <c r="G309" s="134" t="str">
        <f ca="1">IFERROR(__xludf.DUMMYFUNCTION("""COMPUTED_VALUE"""),"")</f>
        <v/>
      </c>
      <c r="H309" s="134" t="str">
        <f ca="1">IFERROR(__xludf.DUMMYFUNCTION("""COMPUTED_VALUE"""),"")</f>
        <v/>
      </c>
      <c r="I309" s="134" t="str">
        <f ca="1">IFERROR(__xludf.DUMMYFUNCTION("""COMPUTED_VALUE"""),"")</f>
        <v/>
      </c>
      <c r="J309" s="134" t="str">
        <f ca="1">IFERROR(__xludf.DUMMYFUNCTION("""COMPUTED_VALUE"""),"")</f>
        <v/>
      </c>
      <c r="N309" s="31"/>
    </row>
    <row r="310" spans="1:14" customFormat="1">
      <c r="A310" s="134" t="str">
        <f ca="1">IFERROR(__xludf.DUMMYFUNCTION("""COMPUTED_VALUE"""),"")</f>
        <v/>
      </c>
      <c r="B310" s="134" t="str">
        <f ca="1">IFERROR(__xludf.DUMMYFUNCTION("""COMPUTED_VALUE"""),"")</f>
        <v/>
      </c>
      <c r="C310" s="134" t="str">
        <f ca="1">IFERROR(__xludf.DUMMYFUNCTION("""COMPUTED_VALUE"""),"")</f>
        <v/>
      </c>
      <c r="D310" s="134" t="str">
        <f ca="1">IFERROR(__xludf.DUMMYFUNCTION("""COMPUTED_VALUE"""),"")</f>
        <v/>
      </c>
      <c r="E310" s="134" t="str">
        <f ca="1">IFERROR(__xludf.DUMMYFUNCTION("""COMPUTED_VALUE"""),"")</f>
        <v/>
      </c>
      <c r="F310" s="134" t="str">
        <f ca="1">IFERROR(__xludf.DUMMYFUNCTION("""COMPUTED_VALUE"""),"")</f>
        <v/>
      </c>
      <c r="G310" s="134" t="str">
        <f ca="1">IFERROR(__xludf.DUMMYFUNCTION("""COMPUTED_VALUE"""),"")</f>
        <v/>
      </c>
      <c r="H310" s="134" t="str">
        <f ca="1">IFERROR(__xludf.DUMMYFUNCTION("""COMPUTED_VALUE"""),"")</f>
        <v/>
      </c>
      <c r="I310" s="134" t="str">
        <f ca="1">IFERROR(__xludf.DUMMYFUNCTION("""COMPUTED_VALUE"""),"")</f>
        <v/>
      </c>
      <c r="J310" s="134" t="str">
        <f ca="1">IFERROR(__xludf.DUMMYFUNCTION("""COMPUTED_VALUE"""),"")</f>
        <v/>
      </c>
      <c r="N310" s="31"/>
    </row>
    <row r="311" spans="1:14" customFormat="1">
      <c r="A311" s="134" t="str">
        <f ca="1">IFERROR(__xludf.DUMMYFUNCTION("""COMPUTED_VALUE"""),"")</f>
        <v/>
      </c>
      <c r="B311" s="134" t="str">
        <f ca="1">IFERROR(__xludf.DUMMYFUNCTION("""COMPUTED_VALUE"""),"")</f>
        <v/>
      </c>
      <c r="C311" s="134" t="str">
        <f ca="1">IFERROR(__xludf.DUMMYFUNCTION("""COMPUTED_VALUE"""),"")</f>
        <v/>
      </c>
      <c r="D311" s="134" t="str">
        <f ca="1">IFERROR(__xludf.DUMMYFUNCTION("""COMPUTED_VALUE"""),"")</f>
        <v/>
      </c>
      <c r="E311" s="134" t="str">
        <f ca="1">IFERROR(__xludf.DUMMYFUNCTION("""COMPUTED_VALUE"""),"")</f>
        <v/>
      </c>
      <c r="F311" s="134" t="str">
        <f ca="1">IFERROR(__xludf.DUMMYFUNCTION("""COMPUTED_VALUE"""),"")</f>
        <v/>
      </c>
      <c r="G311" s="134" t="str">
        <f ca="1">IFERROR(__xludf.DUMMYFUNCTION("""COMPUTED_VALUE"""),"")</f>
        <v/>
      </c>
      <c r="H311" s="134" t="str">
        <f ca="1">IFERROR(__xludf.DUMMYFUNCTION("""COMPUTED_VALUE"""),"")</f>
        <v/>
      </c>
      <c r="I311" s="134" t="str">
        <f ca="1">IFERROR(__xludf.DUMMYFUNCTION("""COMPUTED_VALUE"""),"")</f>
        <v/>
      </c>
      <c r="J311" s="134" t="str">
        <f ca="1">IFERROR(__xludf.DUMMYFUNCTION("""COMPUTED_VALUE"""),"")</f>
        <v/>
      </c>
      <c r="N311" s="31"/>
    </row>
    <row r="312" spans="1:14" customFormat="1">
      <c r="A312" s="134" t="str">
        <f ca="1">IFERROR(__xludf.DUMMYFUNCTION("""COMPUTED_VALUE"""),"")</f>
        <v/>
      </c>
      <c r="B312" s="134" t="str">
        <f ca="1">IFERROR(__xludf.DUMMYFUNCTION("""COMPUTED_VALUE"""),"")</f>
        <v/>
      </c>
      <c r="C312" s="134" t="str">
        <f ca="1">IFERROR(__xludf.DUMMYFUNCTION("""COMPUTED_VALUE"""),"")</f>
        <v/>
      </c>
      <c r="D312" s="134" t="str">
        <f ca="1">IFERROR(__xludf.DUMMYFUNCTION("""COMPUTED_VALUE"""),"")</f>
        <v/>
      </c>
      <c r="E312" s="134" t="str">
        <f ca="1">IFERROR(__xludf.DUMMYFUNCTION("""COMPUTED_VALUE"""),"")</f>
        <v/>
      </c>
      <c r="F312" s="134" t="str">
        <f ca="1">IFERROR(__xludf.DUMMYFUNCTION("""COMPUTED_VALUE"""),"")</f>
        <v/>
      </c>
      <c r="G312" s="134" t="str">
        <f ca="1">IFERROR(__xludf.DUMMYFUNCTION("""COMPUTED_VALUE"""),"")</f>
        <v/>
      </c>
      <c r="H312" s="134" t="str">
        <f ca="1">IFERROR(__xludf.DUMMYFUNCTION("""COMPUTED_VALUE"""),"")</f>
        <v/>
      </c>
      <c r="I312" s="134" t="str">
        <f ca="1">IFERROR(__xludf.DUMMYFUNCTION("""COMPUTED_VALUE"""),"")</f>
        <v/>
      </c>
      <c r="J312" s="134" t="str">
        <f ca="1">IFERROR(__xludf.DUMMYFUNCTION("""COMPUTED_VALUE"""),"")</f>
        <v/>
      </c>
      <c r="N312" s="31"/>
    </row>
    <row r="313" spans="1:14" customFormat="1">
      <c r="A313" s="134" t="str">
        <f ca="1">IFERROR(__xludf.DUMMYFUNCTION("""COMPUTED_VALUE"""),"")</f>
        <v/>
      </c>
      <c r="B313" s="134" t="str">
        <f ca="1">IFERROR(__xludf.DUMMYFUNCTION("""COMPUTED_VALUE"""),"")</f>
        <v/>
      </c>
      <c r="C313" s="134" t="str">
        <f ca="1">IFERROR(__xludf.DUMMYFUNCTION("""COMPUTED_VALUE"""),"")</f>
        <v/>
      </c>
      <c r="D313" s="134" t="str">
        <f ca="1">IFERROR(__xludf.DUMMYFUNCTION("""COMPUTED_VALUE"""),"")</f>
        <v/>
      </c>
      <c r="E313" s="134" t="str">
        <f ca="1">IFERROR(__xludf.DUMMYFUNCTION("""COMPUTED_VALUE"""),"")</f>
        <v/>
      </c>
      <c r="F313" s="134" t="str">
        <f ca="1">IFERROR(__xludf.DUMMYFUNCTION("""COMPUTED_VALUE"""),"")</f>
        <v/>
      </c>
      <c r="G313" s="134" t="str">
        <f ca="1">IFERROR(__xludf.DUMMYFUNCTION("""COMPUTED_VALUE"""),"")</f>
        <v/>
      </c>
      <c r="H313" s="134" t="str">
        <f ca="1">IFERROR(__xludf.DUMMYFUNCTION("""COMPUTED_VALUE"""),"")</f>
        <v/>
      </c>
      <c r="I313" s="134" t="str">
        <f ca="1">IFERROR(__xludf.DUMMYFUNCTION("""COMPUTED_VALUE"""),"")</f>
        <v/>
      </c>
      <c r="J313" s="134" t="str">
        <f ca="1">IFERROR(__xludf.DUMMYFUNCTION("""COMPUTED_VALUE"""),"")</f>
        <v/>
      </c>
      <c r="N313" s="31"/>
    </row>
    <row r="314" spans="1:14" customFormat="1">
      <c r="A314" s="134" t="str">
        <f ca="1">IFERROR(__xludf.DUMMYFUNCTION("""COMPUTED_VALUE"""),"")</f>
        <v/>
      </c>
      <c r="B314" s="134" t="str">
        <f ca="1">IFERROR(__xludf.DUMMYFUNCTION("""COMPUTED_VALUE"""),"")</f>
        <v/>
      </c>
      <c r="C314" s="134" t="str">
        <f ca="1">IFERROR(__xludf.DUMMYFUNCTION("""COMPUTED_VALUE"""),"")</f>
        <v/>
      </c>
      <c r="D314" s="134" t="str">
        <f ca="1">IFERROR(__xludf.DUMMYFUNCTION("""COMPUTED_VALUE"""),"")</f>
        <v/>
      </c>
      <c r="E314" s="134" t="str">
        <f ca="1">IFERROR(__xludf.DUMMYFUNCTION("""COMPUTED_VALUE"""),"")</f>
        <v/>
      </c>
      <c r="F314" s="134" t="str">
        <f ca="1">IFERROR(__xludf.DUMMYFUNCTION("""COMPUTED_VALUE"""),"")</f>
        <v/>
      </c>
      <c r="G314" s="134" t="str">
        <f ca="1">IFERROR(__xludf.DUMMYFUNCTION("""COMPUTED_VALUE"""),"")</f>
        <v/>
      </c>
      <c r="H314" s="134" t="str">
        <f ca="1">IFERROR(__xludf.DUMMYFUNCTION("""COMPUTED_VALUE"""),"")</f>
        <v/>
      </c>
      <c r="I314" s="134" t="str">
        <f ca="1">IFERROR(__xludf.DUMMYFUNCTION("""COMPUTED_VALUE"""),"")</f>
        <v/>
      </c>
      <c r="J314" s="134" t="str">
        <f ca="1">IFERROR(__xludf.DUMMYFUNCTION("""COMPUTED_VALUE"""),"")</f>
        <v/>
      </c>
      <c r="N314" s="31"/>
    </row>
    <row r="315" spans="1:14" customFormat="1">
      <c r="A315" s="134" t="str">
        <f ca="1">IFERROR(__xludf.DUMMYFUNCTION("""COMPUTED_VALUE"""),"")</f>
        <v/>
      </c>
      <c r="B315" s="134" t="str">
        <f ca="1">IFERROR(__xludf.DUMMYFUNCTION("""COMPUTED_VALUE"""),"")</f>
        <v/>
      </c>
      <c r="C315" s="134" t="str">
        <f ca="1">IFERROR(__xludf.DUMMYFUNCTION("""COMPUTED_VALUE"""),"")</f>
        <v/>
      </c>
      <c r="D315" s="134" t="str">
        <f ca="1">IFERROR(__xludf.DUMMYFUNCTION("""COMPUTED_VALUE"""),"")</f>
        <v/>
      </c>
      <c r="E315" s="134" t="str">
        <f ca="1">IFERROR(__xludf.DUMMYFUNCTION("""COMPUTED_VALUE"""),"")</f>
        <v/>
      </c>
      <c r="F315" s="134" t="str">
        <f ca="1">IFERROR(__xludf.DUMMYFUNCTION("""COMPUTED_VALUE"""),"")</f>
        <v/>
      </c>
      <c r="G315" s="134" t="str">
        <f ca="1">IFERROR(__xludf.DUMMYFUNCTION("""COMPUTED_VALUE"""),"")</f>
        <v/>
      </c>
      <c r="H315" s="134" t="str">
        <f ca="1">IFERROR(__xludf.DUMMYFUNCTION("""COMPUTED_VALUE"""),"")</f>
        <v/>
      </c>
      <c r="I315" s="134" t="str">
        <f ca="1">IFERROR(__xludf.DUMMYFUNCTION("""COMPUTED_VALUE"""),"")</f>
        <v/>
      </c>
      <c r="J315" s="134" t="str">
        <f ca="1">IFERROR(__xludf.DUMMYFUNCTION("""COMPUTED_VALUE"""),"")</f>
        <v/>
      </c>
      <c r="N315" s="31"/>
    </row>
    <row r="316" spans="1:14" customFormat="1">
      <c r="A316" s="134" t="str">
        <f ca="1">IFERROR(__xludf.DUMMYFUNCTION("""COMPUTED_VALUE"""),"")</f>
        <v/>
      </c>
      <c r="B316" s="134" t="str">
        <f ca="1">IFERROR(__xludf.DUMMYFUNCTION("""COMPUTED_VALUE"""),"")</f>
        <v/>
      </c>
      <c r="C316" s="134" t="str">
        <f ca="1">IFERROR(__xludf.DUMMYFUNCTION("""COMPUTED_VALUE"""),"")</f>
        <v/>
      </c>
      <c r="D316" s="134" t="str">
        <f ca="1">IFERROR(__xludf.DUMMYFUNCTION("""COMPUTED_VALUE"""),"")</f>
        <v/>
      </c>
      <c r="E316" s="134" t="str">
        <f ca="1">IFERROR(__xludf.DUMMYFUNCTION("""COMPUTED_VALUE"""),"")</f>
        <v/>
      </c>
      <c r="F316" s="134" t="str">
        <f ca="1">IFERROR(__xludf.DUMMYFUNCTION("""COMPUTED_VALUE"""),"")</f>
        <v/>
      </c>
      <c r="G316" s="134" t="str">
        <f ca="1">IFERROR(__xludf.DUMMYFUNCTION("""COMPUTED_VALUE"""),"")</f>
        <v/>
      </c>
      <c r="H316" s="134" t="str">
        <f ca="1">IFERROR(__xludf.DUMMYFUNCTION("""COMPUTED_VALUE"""),"")</f>
        <v/>
      </c>
      <c r="I316" s="134" t="str">
        <f ca="1">IFERROR(__xludf.DUMMYFUNCTION("""COMPUTED_VALUE"""),"")</f>
        <v/>
      </c>
      <c r="J316" s="134" t="str">
        <f ca="1">IFERROR(__xludf.DUMMYFUNCTION("""COMPUTED_VALUE"""),"")</f>
        <v/>
      </c>
      <c r="N316" s="31"/>
    </row>
    <row r="317" spans="1:14" customFormat="1">
      <c r="A317" s="134" t="str">
        <f ca="1">IFERROR(__xludf.DUMMYFUNCTION("""COMPUTED_VALUE"""),"")</f>
        <v/>
      </c>
      <c r="B317" s="134" t="str">
        <f ca="1">IFERROR(__xludf.DUMMYFUNCTION("""COMPUTED_VALUE"""),"")</f>
        <v/>
      </c>
      <c r="C317" s="134" t="str">
        <f ca="1">IFERROR(__xludf.DUMMYFUNCTION("""COMPUTED_VALUE"""),"")</f>
        <v/>
      </c>
      <c r="D317" s="134" t="str">
        <f ca="1">IFERROR(__xludf.DUMMYFUNCTION("""COMPUTED_VALUE"""),"")</f>
        <v/>
      </c>
      <c r="E317" s="134" t="str">
        <f ca="1">IFERROR(__xludf.DUMMYFUNCTION("""COMPUTED_VALUE"""),"")</f>
        <v/>
      </c>
      <c r="F317" s="134" t="str">
        <f ca="1">IFERROR(__xludf.DUMMYFUNCTION("""COMPUTED_VALUE"""),"")</f>
        <v/>
      </c>
      <c r="G317" s="134" t="str">
        <f ca="1">IFERROR(__xludf.DUMMYFUNCTION("""COMPUTED_VALUE"""),"")</f>
        <v/>
      </c>
      <c r="H317" s="134" t="str">
        <f ca="1">IFERROR(__xludf.DUMMYFUNCTION("""COMPUTED_VALUE"""),"")</f>
        <v/>
      </c>
      <c r="I317" s="134" t="str">
        <f ca="1">IFERROR(__xludf.DUMMYFUNCTION("""COMPUTED_VALUE"""),"")</f>
        <v/>
      </c>
      <c r="J317" s="134" t="str">
        <f ca="1">IFERROR(__xludf.DUMMYFUNCTION("""COMPUTED_VALUE"""),"")</f>
        <v/>
      </c>
      <c r="N317" s="31"/>
    </row>
    <row r="318" spans="1:14" customFormat="1">
      <c r="A318" s="134" t="str">
        <f ca="1">IFERROR(__xludf.DUMMYFUNCTION("""COMPUTED_VALUE"""),"")</f>
        <v/>
      </c>
      <c r="B318" s="134" t="str">
        <f ca="1">IFERROR(__xludf.DUMMYFUNCTION("""COMPUTED_VALUE"""),"")</f>
        <v/>
      </c>
      <c r="C318" s="134" t="str">
        <f ca="1">IFERROR(__xludf.DUMMYFUNCTION("""COMPUTED_VALUE"""),"")</f>
        <v/>
      </c>
      <c r="D318" s="134" t="str">
        <f ca="1">IFERROR(__xludf.DUMMYFUNCTION("""COMPUTED_VALUE"""),"")</f>
        <v/>
      </c>
      <c r="E318" s="134" t="str">
        <f ca="1">IFERROR(__xludf.DUMMYFUNCTION("""COMPUTED_VALUE"""),"")</f>
        <v/>
      </c>
      <c r="F318" s="134" t="str">
        <f ca="1">IFERROR(__xludf.DUMMYFUNCTION("""COMPUTED_VALUE"""),"")</f>
        <v/>
      </c>
      <c r="G318" s="134" t="str">
        <f ca="1">IFERROR(__xludf.DUMMYFUNCTION("""COMPUTED_VALUE"""),"")</f>
        <v/>
      </c>
      <c r="H318" s="134" t="str">
        <f ca="1">IFERROR(__xludf.DUMMYFUNCTION("""COMPUTED_VALUE"""),"")</f>
        <v/>
      </c>
      <c r="I318" s="134" t="str">
        <f ca="1">IFERROR(__xludf.DUMMYFUNCTION("""COMPUTED_VALUE"""),"")</f>
        <v/>
      </c>
      <c r="J318" s="134" t="str">
        <f ca="1">IFERROR(__xludf.DUMMYFUNCTION("""COMPUTED_VALUE"""),"")</f>
        <v/>
      </c>
      <c r="N318" s="31"/>
    </row>
    <row r="319" spans="1:14" customFormat="1">
      <c r="A319" s="134" t="str">
        <f ca="1">IFERROR(__xludf.DUMMYFUNCTION("""COMPUTED_VALUE"""),"")</f>
        <v/>
      </c>
      <c r="B319" s="134" t="str">
        <f ca="1">IFERROR(__xludf.DUMMYFUNCTION("""COMPUTED_VALUE"""),"")</f>
        <v/>
      </c>
      <c r="C319" s="134" t="str">
        <f ca="1">IFERROR(__xludf.DUMMYFUNCTION("""COMPUTED_VALUE"""),"")</f>
        <v/>
      </c>
      <c r="D319" s="134" t="str">
        <f ca="1">IFERROR(__xludf.DUMMYFUNCTION("""COMPUTED_VALUE"""),"")</f>
        <v/>
      </c>
      <c r="E319" s="134" t="str">
        <f ca="1">IFERROR(__xludf.DUMMYFUNCTION("""COMPUTED_VALUE"""),"")</f>
        <v/>
      </c>
      <c r="F319" s="134" t="str">
        <f ca="1">IFERROR(__xludf.DUMMYFUNCTION("""COMPUTED_VALUE"""),"")</f>
        <v/>
      </c>
      <c r="G319" s="134" t="str">
        <f ca="1">IFERROR(__xludf.DUMMYFUNCTION("""COMPUTED_VALUE"""),"")</f>
        <v/>
      </c>
      <c r="H319" s="134" t="str">
        <f ca="1">IFERROR(__xludf.DUMMYFUNCTION("""COMPUTED_VALUE"""),"")</f>
        <v/>
      </c>
      <c r="I319" s="134" t="str">
        <f ca="1">IFERROR(__xludf.DUMMYFUNCTION("""COMPUTED_VALUE"""),"")</f>
        <v/>
      </c>
      <c r="J319" s="134" t="str">
        <f ca="1">IFERROR(__xludf.DUMMYFUNCTION("""COMPUTED_VALUE"""),"")</f>
        <v/>
      </c>
      <c r="N319" s="31"/>
    </row>
    <row r="320" spans="1:14" customFormat="1">
      <c r="A320" s="134" t="str">
        <f ca="1">IFERROR(__xludf.DUMMYFUNCTION("""COMPUTED_VALUE"""),"")</f>
        <v/>
      </c>
      <c r="B320" s="134" t="str">
        <f ca="1">IFERROR(__xludf.DUMMYFUNCTION("""COMPUTED_VALUE"""),"")</f>
        <v/>
      </c>
      <c r="C320" s="134" t="str">
        <f ca="1">IFERROR(__xludf.DUMMYFUNCTION("""COMPUTED_VALUE"""),"")</f>
        <v/>
      </c>
      <c r="D320" s="134" t="str">
        <f ca="1">IFERROR(__xludf.DUMMYFUNCTION("""COMPUTED_VALUE"""),"")</f>
        <v/>
      </c>
      <c r="E320" s="134" t="str">
        <f ca="1">IFERROR(__xludf.DUMMYFUNCTION("""COMPUTED_VALUE"""),"")</f>
        <v/>
      </c>
      <c r="F320" s="134" t="str">
        <f ca="1">IFERROR(__xludf.DUMMYFUNCTION("""COMPUTED_VALUE"""),"")</f>
        <v/>
      </c>
      <c r="G320" s="134" t="str">
        <f ca="1">IFERROR(__xludf.DUMMYFUNCTION("""COMPUTED_VALUE"""),"")</f>
        <v/>
      </c>
      <c r="H320" s="134" t="str">
        <f ca="1">IFERROR(__xludf.DUMMYFUNCTION("""COMPUTED_VALUE"""),"")</f>
        <v/>
      </c>
      <c r="I320" s="134" t="str">
        <f ca="1">IFERROR(__xludf.DUMMYFUNCTION("""COMPUTED_VALUE"""),"")</f>
        <v/>
      </c>
      <c r="J320" s="134" t="str">
        <f ca="1">IFERROR(__xludf.DUMMYFUNCTION("""COMPUTED_VALUE"""),"")</f>
        <v/>
      </c>
      <c r="N320" s="31"/>
    </row>
    <row r="321" spans="1:14" customFormat="1">
      <c r="A321" s="134" t="str">
        <f ca="1">IFERROR(__xludf.DUMMYFUNCTION("""COMPUTED_VALUE"""),"")</f>
        <v/>
      </c>
      <c r="B321" s="134" t="str">
        <f ca="1">IFERROR(__xludf.DUMMYFUNCTION("""COMPUTED_VALUE"""),"")</f>
        <v/>
      </c>
      <c r="C321" s="134" t="str">
        <f ca="1">IFERROR(__xludf.DUMMYFUNCTION("""COMPUTED_VALUE"""),"")</f>
        <v/>
      </c>
      <c r="D321" s="134" t="str">
        <f ca="1">IFERROR(__xludf.DUMMYFUNCTION("""COMPUTED_VALUE"""),"")</f>
        <v/>
      </c>
      <c r="E321" s="134" t="str">
        <f ca="1">IFERROR(__xludf.DUMMYFUNCTION("""COMPUTED_VALUE"""),"")</f>
        <v/>
      </c>
      <c r="F321" s="134" t="str">
        <f ca="1">IFERROR(__xludf.DUMMYFUNCTION("""COMPUTED_VALUE"""),"")</f>
        <v/>
      </c>
      <c r="G321" s="134" t="str">
        <f ca="1">IFERROR(__xludf.DUMMYFUNCTION("""COMPUTED_VALUE"""),"")</f>
        <v/>
      </c>
      <c r="H321" s="134" t="str">
        <f ca="1">IFERROR(__xludf.DUMMYFUNCTION("""COMPUTED_VALUE"""),"")</f>
        <v/>
      </c>
      <c r="I321" s="134" t="str">
        <f ca="1">IFERROR(__xludf.DUMMYFUNCTION("""COMPUTED_VALUE"""),"")</f>
        <v/>
      </c>
      <c r="J321" s="134" t="str">
        <f ca="1">IFERROR(__xludf.DUMMYFUNCTION("""COMPUTED_VALUE"""),"")</f>
        <v/>
      </c>
      <c r="N321" s="31"/>
    </row>
    <row r="322" spans="1:14" customFormat="1">
      <c r="A322" s="134" t="str">
        <f ca="1">IFERROR(__xludf.DUMMYFUNCTION("""COMPUTED_VALUE"""),"")</f>
        <v/>
      </c>
      <c r="B322" s="134" t="str">
        <f ca="1">IFERROR(__xludf.DUMMYFUNCTION("""COMPUTED_VALUE"""),"")</f>
        <v/>
      </c>
      <c r="C322" s="134" t="str">
        <f ca="1">IFERROR(__xludf.DUMMYFUNCTION("""COMPUTED_VALUE"""),"")</f>
        <v/>
      </c>
      <c r="D322" s="134" t="str">
        <f ca="1">IFERROR(__xludf.DUMMYFUNCTION("""COMPUTED_VALUE"""),"")</f>
        <v/>
      </c>
      <c r="E322" s="134" t="str">
        <f ca="1">IFERROR(__xludf.DUMMYFUNCTION("""COMPUTED_VALUE"""),"")</f>
        <v/>
      </c>
      <c r="F322" s="134" t="str">
        <f ca="1">IFERROR(__xludf.DUMMYFUNCTION("""COMPUTED_VALUE"""),"")</f>
        <v/>
      </c>
      <c r="G322" s="134" t="str">
        <f ca="1">IFERROR(__xludf.DUMMYFUNCTION("""COMPUTED_VALUE"""),"")</f>
        <v/>
      </c>
      <c r="H322" s="134" t="str">
        <f ca="1">IFERROR(__xludf.DUMMYFUNCTION("""COMPUTED_VALUE"""),"")</f>
        <v/>
      </c>
      <c r="I322" s="134" t="str">
        <f ca="1">IFERROR(__xludf.DUMMYFUNCTION("""COMPUTED_VALUE"""),"")</f>
        <v/>
      </c>
      <c r="J322" s="134" t="str">
        <f ca="1">IFERROR(__xludf.DUMMYFUNCTION("""COMPUTED_VALUE"""),"")</f>
        <v/>
      </c>
      <c r="N322" s="31"/>
    </row>
    <row r="323" spans="1:14" customFormat="1">
      <c r="A323" s="134" t="str">
        <f ca="1">IFERROR(__xludf.DUMMYFUNCTION("""COMPUTED_VALUE"""),"")</f>
        <v/>
      </c>
      <c r="B323" s="134" t="str">
        <f ca="1">IFERROR(__xludf.DUMMYFUNCTION("""COMPUTED_VALUE"""),"")</f>
        <v/>
      </c>
      <c r="C323" s="134" t="str">
        <f ca="1">IFERROR(__xludf.DUMMYFUNCTION("""COMPUTED_VALUE"""),"")</f>
        <v/>
      </c>
      <c r="D323" s="134" t="str">
        <f ca="1">IFERROR(__xludf.DUMMYFUNCTION("""COMPUTED_VALUE"""),"")</f>
        <v/>
      </c>
      <c r="E323" s="134" t="str">
        <f ca="1">IFERROR(__xludf.DUMMYFUNCTION("""COMPUTED_VALUE"""),"")</f>
        <v/>
      </c>
      <c r="F323" s="134" t="str">
        <f ca="1">IFERROR(__xludf.DUMMYFUNCTION("""COMPUTED_VALUE"""),"")</f>
        <v/>
      </c>
      <c r="G323" s="134" t="str">
        <f ca="1">IFERROR(__xludf.DUMMYFUNCTION("""COMPUTED_VALUE"""),"")</f>
        <v/>
      </c>
      <c r="H323" s="134" t="str">
        <f ca="1">IFERROR(__xludf.DUMMYFUNCTION("""COMPUTED_VALUE"""),"")</f>
        <v/>
      </c>
      <c r="I323" s="134" t="str">
        <f ca="1">IFERROR(__xludf.DUMMYFUNCTION("""COMPUTED_VALUE"""),"")</f>
        <v/>
      </c>
      <c r="J323" s="134" t="str">
        <f ca="1">IFERROR(__xludf.DUMMYFUNCTION("""COMPUTED_VALUE"""),"")</f>
        <v/>
      </c>
      <c r="N323" s="31"/>
    </row>
    <row r="324" spans="1:14" customFormat="1">
      <c r="A324" s="134" t="str">
        <f ca="1">IFERROR(__xludf.DUMMYFUNCTION("""COMPUTED_VALUE"""),"")</f>
        <v/>
      </c>
      <c r="B324" s="134" t="str">
        <f ca="1">IFERROR(__xludf.DUMMYFUNCTION("""COMPUTED_VALUE"""),"")</f>
        <v/>
      </c>
      <c r="C324" s="134" t="str">
        <f ca="1">IFERROR(__xludf.DUMMYFUNCTION("""COMPUTED_VALUE"""),"")</f>
        <v/>
      </c>
      <c r="D324" s="134" t="str">
        <f ca="1">IFERROR(__xludf.DUMMYFUNCTION("""COMPUTED_VALUE"""),"")</f>
        <v/>
      </c>
      <c r="E324" s="134" t="str">
        <f ca="1">IFERROR(__xludf.DUMMYFUNCTION("""COMPUTED_VALUE"""),"")</f>
        <v/>
      </c>
      <c r="F324" s="134" t="str">
        <f ca="1">IFERROR(__xludf.DUMMYFUNCTION("""COMPUTED_VALUE"""),"")</f>
        <v/>
      </c>
      <c r="G324" s="134" t="str">
        <f ca="1">IFERROR(__xludf.DUMMYFUNCTION("""COMPUTED_VALUE"""),"")</f>
        <v/>
      </c>
      <c r="H324" s="134" t="str">
        <f ca="1">IFERROR(__xludf.DUMMYFUNCTION("""COMPUTED_VALUE"""),"")</f>
        <v/>
      </c>
      <c r="I324" s="134" t="str">
        <f ca="1">IFERROR(__xludf.DUMMYFUNCTION("""COMPUTED_VALUE"""),"")</f>
        <v/>
      </c>
      <c r="J324" s="134" t="str">
        <f ca="1">IFERROR(__xludf.DUMMYFUNCTION("""COMPUTED_VALUE"""),"")</f>
        <v/>
      </c>
      <c r="N324" s="31"/>
    </row>
    <row r="325" spans="1:14" customFormat="1">
      <c r="A325" s="134" t="str">
        <f ca="1">IFERROR(__xludf.DUMMYFUNCTION("""COMPUTED_VALUE"""),"")</f>
        <v/>
      </c>
      <c r="B325" s="134" t="str">
        <f ca="1">IFERROR(__xludf.DUMMYFUNCTION("""COMPUTED_VALUE"""),"")</f>
        <v/>
      </c>
      <c r="C325" s="134" t="str">
        <f ca="1">IFERROR(__xludf.DUMMYFUNCTION("""COMPUTED_VALUE"""),"")</f>
        <v/>
      </c>
      <c r="D325" s="134" t="str">
        <f ca="1">IFERROR(__xludf.DUMMYFUNCTION("""COMPUTED_VALUE"""),"")</f>
        <v/>
      </c>
      <c r="E325" s="134" t="str">
        <f ca="1">IFERROR(__xludf.DUMMYFUNCTION("""COMPUTED_VALUE"""),"")</f>
        <v/>
      </c>
      <c r="F325" s="134" t="str">
        <f ca="1">IFERROR(__xludf.DUMMYFUNCTION("""COMPUTED_VALUE"""),"")</f>
        <v/>
      </c>
      <c r="G325" s="134" t="str">
        <f ca="1">IFERROR(__xludf.DUMMYFUNCTION("""COMPUTED_VALUE"""),"")</f>
        <v/>
      </c>
      <c r="H325" s="134" t="str">
        <f ca="1">IFERROR(__xludf.DUMMYFUNCTION("""COMPUTED_VALUE"""),"")</f>
        <v/>
      </c>
      <c r="I325" s="134" t="str">
        <f ca="1">IFERROR(__xludf.DUMMYFUNCTION("""COMPUTED_VALUE"""),"")</f>
        <v/>
      </c>
      <c r="J325" s="134" t="str">
        <f ca="1">IFERROR(__xludf.DUMMYFUNCTION("""COMPUTED_VALUE"""),"")</f>
        <v/>
      </c>
      <c r="N325" s="31"/>
    </row>
    <row r="326" spans="1:14" customFormat="1">
      <c r="A326" s="134" t="str">
        <f ca="1">IFERROR(__xludf.DUMMYFUNCTION("""COMPUTED_VALUE"""),"")</f>
        <v/>
      </c>
      <c r="B326" s="134" t="str">
        <f ca="1">IFERROR(__xludf.DUMMYFUNCTION("""COMPUTED_VALUE"""),"")</f>
        <v/>
      </c>
      <c r="C326" s="134" t="str">
        <f ca="1">IFERROR(__xludf.DUMMYFUNCTION("""COMPUTED_VALUE"""),"")</f>
        <v/>
      </c>
      <c r="D326" s="134" t="str">
        <f ca="1">IFERROR(__xludf.DUMMYFUNCTION("""COMPUTED_VALUE"""),"")</f>
        <v/>
      </c>
      <c r="E326" s="134" t="str">
        <f ca="1">IFERROR(__xludf.DUMMYFUNCTION("""COMPUTED_VALUE"""),"")</f>
        <v/>
      </c>
      <c r="F326" s="134" t="str">
        <f ca="1">IFERROR(__xludf.DUMMYFUNCTION("""COMPUTED_VALUE"""),"")</f>
        <v/>
      </c>
      <c r="G326" s="134" t="str">
        <f ca="1">IFERROR(__xludf.DUMMYFUNCTION("""COMPUTED_VALUE"""),"")</f>
        <v/>
      </c>
      <c r="H326" s="134" t="str">
        <f ca="1">IFERROR(__xludf.DUMMYFUNCTION("""COMPUTED_VALUE"""),"")</f>
        <v/>
      </c>
      <c r="I326" s="134" t="str">
        <f ca="1">IFERROR(__xludf.DUMMYFUNCTION("""COMPUTED_VALUE"""),"")</f>
        <v/>
      </c>
      <c r="J326" s="134" t="str">
        <f ca="1">IFERROR(__xludf.DUMMYFUNCTION("""COMPUTED_VALUE"""),"")</f>
        <v/>
      </c>
      <c r="N326" s="31"/>
    </row>
    <row r="327" spans="1:14" customFormat="1">
      <c r="A327" s="134" t="str">
        <f ca="1">IFERROR(__xludf.DUMMYFUNCTION("""COMPUTED_VALUE"""),"")</f>
        <v/>
      </c>
      <c r="B327" s="134" t="str">
        <f ca="1">IFERROR(__xludf.DUMMYFUNCTION("""COMPUTED_VALUE"""),"")</f>
        <v/>
      </c>
      <c r="C327" s="134" t="str">
        <f ca="1">IFERROR(__xludf.DUMMYFUNCTION("""COMPUTED_VALUE"""),"")</f>
        <v/>
      </c>
      <c r="D327" s="134" t="str">
        <f ca="1">IFERROR(__xludf.DUMMYFUNCTION("""COMPUTED_VALUE"""),"")</f>
        <v/>
      </c>
      <c r="E327" s="134" t="str">
        <f ca="1">IFERROR(__xludf.DUMMYFUNCTION("""COMPUTED_VALUE"""),"")</f>
        <v/>
      </c>
      <c r="F327" s="134" t="str">
        <f ca="1">IFERROR(__xludf.DUMMYFUNCTION("""COMPUTED_VALUE"""),"")</f>
        <v/>
      </c>
      <c r="G327" s="134" t="str">
        <f ca="1">IFERROR(__xludf.DUMMYFUNCTION("""COMPUTED_VALUE"""),"")</f>
        <v/>
      </c>
      <c r="H327" s="134" t="str">
        <f ca="1">IFERROR(__xludf.DUMMYFUNCTION("""COMPUTED_VALUE"""),"")</f>
        <v/>
      </c>
      <c r="I327" s="134" t="str">
        <f ca="1">IFERROR(__xludf.DUMMYFUNCTION("""COMPUTED_VALUE"""),"")</f>
        <v/>
      </c>
      <c r="J327" s="134" t="str">
        <f ca="1">IFERROR(__xludf.DUMMYFUNCTION("""COMPUTED_VALUE"""),"")</f>
        <v/>
      </c>
      <c r="N327" s="31"/>
    </row>
    <row r="328" spans="1:14" customFormat="1">
      <c r="A328" s="134" t="str">
        <f ca="1">IFERROR(__xludf.DUMMYFUNCTION("""COMPUTED_VALUE"""),"")</f>
        <v/>
      </c>
      <c r="B328" s="134" t="str">
        <f ca="1">IFERROR(__xludf.DUMMYFUNCTION("""COMPUTED_VALUE"""),"")</f>
        <v/>
      </c>
      <c r="C328" s="134" t="str">
        <f ca="1">IFERROR(__xludf.DUMMYFUNCTION("""COMPUTED_VALUE"""),"")</f>
        <v/>
      </c>
      <c r="D328" s="134" t="str">
        <f ca="1">IFERROR(__xludf.DUMMYFUNCTION("""COMPUTED_VALUE"""),"")</f>
        <v/>
      </c>
      <c r="E328" s="134" t="str">
        <f ca="1">IFERROR(__xludf.DUMMYFUNCTION("""COMPUTED_VALUE"""),"")</f>
        <v/>
      </c>
      <c r="F328" s="134" t="str">
        <f ca="1">IFERROR(__xludf.DUMMYFUNCTION("""COMPUTED_VALUE"""),"")</f>
        <v/>
      </c>
      <c r="G328" s="134" t="str">
        <f ca="1">IFERROR(__xludf.DUMMYFUNCTION("""COMPUTED_VALUE"""),"")</f>
        <v/>
      </c>
      <c r="H328" s="134" t="str">
        <f ca="1">IFERROR(__xludf.DUMMYFUNCTION("""COMPUTED_VALUE"""),"")</f>
        <v/>
      </c>
      <c r="I328" s="134" t="str">
        <f ca="1">IFERROR(__xludf.DUMMYFUNCTION("""COMPUTED_VALUE"""),"")</f>
        <v/>
      </c>
      <c r="J328" s="134" t="str">
        <f ca="1">IFERROR(__xludf.DUMMYFUNCTION("""COMPUTED_VALUE"""),"")</f>
        <v/>
      </c>
      <c r="N328" s="31"/>
    </row>
    <row r="329" spans="1:14" customFormat="1">
      <c r="A329" s="134" t="str">
        <f ca="1">IFERROR(__xludf.DUMMYFUNCTION("""COMPUTED_VALUE"""),"")</f>
        <v/>
      </c>
      <c r="B329" s="134" t="str">
        <f ca="1">IFERROR(__xludf.DUMMYFUNCTION("""COMPUTED_VALUE"""),"")</f>
        <v/>
      </c>
      <c r="C329" s="134" t="str">
        <f ca="1">IFERROR(__xludf.DUMMYFUNCTION("""COMPUTED_VALUE"""),"")</f>
        <v/>
      </c>
      <c r="D329" s="134" t="str">
        <f ca="1">IFERROR(__xludf.DUMMYFUNCTION("""COMPUTED_VALUE"""),"")</f>
        <v/>
      </c>
      <c r="E329" s="134" t="str">
        <f ca="1">IFERROR(__xludf.DUMMYFUNCTION("""COMPUTED_VALUE"""),"")</f>
        <v/>
      </c>
      <c r="F329" s="134" t="str">
        <f ca="1">IFERROR(__xludf.DUMMYFUNCTION("""COMPUTED_VALUE"""),"")</f>
        <v/>
      </c>
      <c r="G329" s="134" t="str">
        <f ca="1">IFERROR(__xludf.DUMMYFUNCTION("""COMPUTED_VALUE"""),"")</f>
        <v/>
      </c>
      <c r="H329" s="134" t="str">
        <f ca="1">IFERROR(__xludf.DUMMYFUNCTION("""COMPUTED_VALUE"""),"")</f>
        <v/>
      </c>
      <c r="I329" s="134" t="str">
        <f ca="1">IFERROR(__xludf.DUMMYFUNCTION("""COMPUTED_VALUE"""),"")</f>
        <v/>
      </c>
      <c r="J329" s="134" t="str">
        <f ca="1">IFERROR(__xludf.DUMMYFUNCTION("""COMPUTED_VALUE"""),"")</f>
        <v/>
      </c>
      <c r="N329" s="31"/>
    </row>
    <row r="330" spans="1:14" customFormat="1">
      <c r="A330" s="134" t="str">
        <f ca="1">IFERROR(__xludf.DUMMYFUNCTION("""COMPUTED_VALUE"""),"")</f>
        <v/>
      </c>
      <c r="B330" s="134" t="str">
        <f ca="1">IFERROR(__xludf.DUMMYFUNCTION("""COMPUTED_VALUE"""),"")</f>
        <v/>
      </c>
      <c r="C330" s="134" t="str">
        <f ca="1">IFERROR(__xludf.DUMMYFUNCTION("""COMPUTED_VALUE"""),"")</f>
        <v/>
      </c>
      <c r="D330" s="134" t="str">
        <f ca="1">IFERROR(__xludf.DUMMYFUNCTION("""COMPUTED_VALUE"""),"")</f>
        <v/>
      </c>
      <c r="E330" s="134" t="str">
        <f ca="1">IFERROR(__xludf.DUMMYFUNCTION("""COMPUTED_VALUE"""),"")</f>
        <v/>
      </c>
      <c r="F330" s="134" t="str">
        <f ca="1">IFERROR(__xludf.DUMMYFUNCTION("""COMPUTED_VALUE"""),"")</f>
        <v/>
      </c>
      <c r="G330" s="134" t="str">
        <f ca="1">IFERROR(__xludf.DUMMYFUNCTION("""COMPUTED_VALUE"""),"")</f>
        <v/>
      </c>
      <c r="H330" s="134" t="str">
        <f ca="1">IFERROR(__xludf.DUMMYFUNCTION("""COMPUTED_VALUE"""),"")</f>
        <v/>
      </c>
      <c r="I330" s="134" t="str">
        <f ca="1">IFERROR(__xludf.DUMMYFUNCTION("""COMPUTED_VALUE"""),"")</f>
        <v/>
      </c>
      <c r="J330" s="134" t="str">
        <f ca="1">IFERROR(__xludf.DUMMYFUNCTION("""COMPUTED_VALUE"""),"")</f>
        <v/>
      </c>
      <c r="N330" s="31"/>
    </row>
    <row r="331" spans="1:14" customFormat="1">
      <c r="A331" s="134" t="str">
        <f ca="1">IFERROR(__xludf.DUMMYFUNCTION("""COMPUTED_VALUE"""),"")</f>
        <v/>
      </c>
      <c r="B331" s="134" t="str">
        <f ca="1">IFERROR(__xludf.DUMMYFUNCTION("""COMPUTED_VALUE"""),"")</f>
        <v/>
      </c>
      <c r="C331" s="134" t="str">
        <f ca="1">IFERROR(__xludf.DUMMYFUNCTION("""COMPUTED_VALUE"""),"")</f>
        <v/>
      </c>
      <c r="D331" s="134" t="str">
        <f ca="1">IFERROR(__xludf.DUMMYFUNCTION("""COMPUTED_VALUE"""),"")</f>
        <v/>
      </c>
      <c r="E331" s="134" t="str">
        <f ca="1">IFERROR(__xludf.DUMMYFUNCTION("""COMPUTED_VALUE"""),"")</f>
        <v/>
      </c>
      <c r="F331" s="134" t="str">
        <f ca="1">IFERROR(__xludf.DUMMYFUNCTION("""COMPUTED_VALUE"""),"")</f>
        <v/>
      </c>
      <c r="G331" s="134" t="str">
        <f ca="1">IFERROR(__xludf.DUMMYFUNCTION("""COMPUTED_VALUE"""),"")</f>
        <v/>
      </c>
      <c r="H331" s="134" t="str">
        <f ca="1">IFERROR(__xludf.DUMMYFUNCTION("""COMPUTED_VALUE"""),"")</f>
        <v/>
      </c>
      <c r="I331" s="134" t="str">
        <f ca="1">IFERROR(__xludf.DUMMYFUNCTION("""COMPUTED_VALUE"""),"")</f>
        <v/>
      </c>
      <c r="J331" s="134" t="str">
        <f ca="1">IFERROR(__xludf.DUMMYFUNCTION("""COMPUTED_VALUE"""),"")</f>
        <v/>
      </c>
      <c r="N331" s="31"/>
    </row>
    <row r="332" spans="1:14" customFormat="1">
      <c r="A332" s="134" t="str">
        <f ca="1">IFERROR(__xludf.DUMMYFUNCTION("""COMPUTED_VALUE"""),"")</f>
        <v/>
      </c>
      <c r="B332" s="134" t="str">
        <f ca="1">IFERROR(__xludf.DUMMYFUNCTION("""COMPUTED_VALUE"""),"")</f>
        <v/>
      </c>
      <c r="C332" s="134" t="str">
        <f ca="1">IFERROR(__xludf.DUMMYFUNCTION("""COMPUTED_VALUE"""),"")</f>
        <v/>
      </c>
      <c r="D332" s="134" t="str">
        <f ca="1">IFERROR(__xludf.DUMMYFUNCTION("""COMPUTED_VALUE"""),"")</f>
        <v/>
      </c>
      <c r="E332" s="134" t="str">
        <f ca="1">IFERROR(__xludf.DUMMYFUNCTION("""COMPUTED_VALUE"""),"")</f>
        <v/>
      </c>
      <c r="F332" s="134" t="str">
        <f ca="1">IFERROR(__xludf.DUMMYFUNCTION("""COMPUTED_VALUE"""),"")</f>
        <v/>
      </c>
      <c r="G332" s="134" t="str">
        <f ca="1">IFERROR(__xludf.DUMMYFUNCTION("""COMPUTED_VALUE"""),"")</f>
        <v/>
      </c>
      <c r="H332" s="134" t="str">
        <f ca="1">IFERROR(__xludf.DUMMYFUNCTION("""COMPUTED_VALUE"""),"")</f>
        <v/>
      </c>
      <c r="I332" s="134" t="str">
        <f ca="1">IFERROR(__xludf.DUMMYFUNCTION("""COMPUTED_VALUE"""),"")</f>
        <v/>
      </c>
      <c r="J332" s="134" t="str">
        <f ca="1">IFERROR(__xludf.DUMMYFUNCTION("""COMPUTED_VALUE"""),"")</f>
        <v/>
      </c>
      <c r="N332" s="31"/>
    </row>
    <row r="333" spans="1:14" customFormat="1">
      <c r="A333" s="134" t="str">
        <f ca="1">IFERROR(__xludf.DUMMYFUNCTION("""COMPUTED_VALUE"""),"")</f>
        <v/>
      </c>
      <c r="B333" s="134" t="str">
        <f ca="1">IFERROR(__xludf.DUMMYFUNCTION("""COMPUTED_VALUE"""),"")</f>
        <v/>
      </c>
      <c r="C333" s="134" t="str">
        <f ca="1">IFERROR(__xludf.DUMMYFUNCTION("""COMPUTED_VALUE"""),"")</f>
        <v/>
      </c>
      <c r="D333" s="134" t="str">
        <f ca="1">IFERROR(__xludf.DUMMYFUNCTION("""COMPUTED_VALUE"""),"")</f>
        <v/>
      </c>
      <c r="E333" s="134" t="str">
        <f ca="1">IFERROR(__xludf.DUMMYFUNCTION("""COMPUTED_VALUE"""),"")</f>
        <v/>
      </c>
      <c r="F333" s="134" t="str">
        <f ca="1">IFERROR(__xludf.DUMMYFUNCTION("""COMPUTED_VALUE"""),"")</f>
        <v/>
      </c>
      <c r="G333" s="134" t="str">
        <f ca="1">IFERROR(__xludf.DUMMYFUNCTION("""COMPUTED_VALUE"""),"")</f>
        <v/>
      </c>
      <c r="H333" s="134" t="str">
        <f ca="1">IFERROR(__xludf.DUMMYFUNCTION("""COMPUTED_VALUE"""),"")</f>
        <v/>
      </c>
      <c r="I333" s="134" t="str">
        <f ca="1">IFERROR(__xludf.DUMMYFUNCTION("""COMPUTED_VALUE"""),"")</f>
        <v/>
      </c>
      <c r="J333" s="134" t="str">
        <f ca="1">IFERROR(__xludf.DUMMYFUNCTION("""COMPUTED_VALUE"""),"")</f>
        <v/>
      </c>
      <c r="N333" s="31"/>
    </row>
    <row r="334" spans="1:14" customFormat="1">
      <c r="A334" s="134" t="str">
        <f ca="1">IFERROR(__xludf.DUMMYFUNCTION("""COMPUTED_VALUE"""),"")</f>
        <v/>
      </c>
      <c r="B334" s="134" t="str">
        <f ca="1">IFERROR(__xludf.DUMMYFUNCTION("""COMPUTED_VALUE"""),"")</f>
        <v/>
      </c>
      <c r="C334" s="134" t="str">
        <f ca="1">IFERROR(__xludf.DUMMYFUNCTION("""COMPUTED_VALUE"""),"")</f>
        <v/>
      </c>
      <c r="D334" s="134" t="str">
        <f ca="1">IFERROR(__xludf.DUMMYFUNCTION("""COMPUTED_VALUE"""),"")</f>
        <v/>
      </c>
      <c r="E334" s="134" t="str">
        <f ca="1">IFERROR(__xludf.DUMMYFUNCTION("""COMPUTED_VALUE"""),"")</f>
        <v/>
      </c>
      <c r="F334" s="134" t="str">
        <f ca="1">IFERROR(__xludf.DUMMYFUNCTION("""COMPUTED_VALUE"""),"")</f>
        <v/>
      </c>
      <c r="G334" s="134" t="str">
        <f ca="1">IFERROR(__xludf.DUMMYFUNCTION("""COMPUTED_VALUE"""),"")</f>
        <v/>
      </c>
      <c r="H334" s="134" t="str">
        <f ca="1">IFERROR(__xludf.DUMMYFUNCTION("""COMPUTED_VALUE"""),"")</f>
        <v/>
      </c>
      <c r="I334" s="134" t="str">
        <f ca="1">IFERROR(__xludf.DUMMYFUNCTION("""COMPUTED_VALUE"""),"")</f>
        <v/>
      </c>
      <c r="J334" s="134" t="str">
        <f ca="1">IFERROR(__xludf.DUMMYFUNCTION("""COMPUTED_VALUE"""),"")</f>
        <v/>
      </c>
      <c r="N334" s="31"/>
    </row>
    <row r="335" spans="1:14" customFormat="1">
      <c r="A335" s="134" t="str">
        <f ca="1">IFERROR(__xludf.DUMMYFUNCTION("""COMPUTED_VALUE"""),"")</f>
        <v/>
      </c>
      <c r="B335" s="134" t="str">
        <f ca="1">IFERROR(__xludf.DUMMYFUNCTION("""COMPUTED_VALUE"""),"")</f>
        <v/>
      </c>
      <c r="C335" s="134" t="str">
        <f ca="1">IFERROR(__xludf.DUMMYFUNCTION("""COMPUTED_VALUE"""),"")</f>
        <v/>
      </c>
      <c r="D335" s="134" t="str">
        <f ca="1">IFERROR(__xludf.DUMMYFUNCTION("""COMPUTED_VALUE"""),"")</f>
        <v/>
      </c>
      <c r="E335" s="134" t="str">
        <f ca="1">IFERROR(__xludf.DUMMYFUNCTION("""COMPUTED_VALUE"""),"")</f>
        <v/>
      </c>
      <c r="F335" s="134" t="str">
        <f ca="1">IFERROR(__xludf.DUMMYFUNCTION("""COMPUTED_VALUE"""),"")</f>
        <v/>
      </c>
      <c r="G335" s="134" t="str">
        <f ca="1">IFERROR(__xludf.DUMMYFUNCTION("""COMPUTED_VALUE"""),"")</f>
        <v/>
      </c>
      <c r="H335" s="134" t="str">
        <f ca="1">IFERROR(__xludf.DUMMYFUNCTION("""COMPUTED_VALUE"""),"")</f>
        <v/>
      </c>
      <c r="I335" s="134" t="str">
        <f ca="1">IFERROR(__xludf.DUMMYFUNCTION("""COMPUTED_VALUE"""),"")</f>
        <v/>
      </c>
      <c r="J335" s="134" t="str">
        <f ca="1">IFERROR(__xludf.DUMMYFUNCTION("""COMPUTED_VALUE"""),"")</f>
        <v/>
      </c>
      <c r="N335" s="31"/>
    </row>
    <row r="336" spans="1:14" customFormat="1">
      <c r="A336" s="134" t="str">
        <f ca="1">IFERROR(__xludf.DUMMYFUNCTION("""COMPUTED_VALUE"""),"")</f>
        <v/>
      </c>
      <c r="B336" s="134" t="str">
        <f ca="1">IFERROR(__xludf.DUMMYFUNCTION("""COMPUTED_VALUE"""),"")</f>
        <v/>
      </c>
      <c r="C336" s="134" t="str">
        <f ca="1">IFERROR(__xludf.DUMMYFUNCTION("""COMPUTED_VALUE"""),"")</f>
        <v/>
      </c>
      <c r="D336" s="134" t="str">
        <f ca="1">IFERROR(__xludf.DUMMYFUNCTION("""COMPUTED_VALUE"""),"")</f>
        <v/>
      </c>
      <c r="E336" s="134" t="str">
        <f ca="1">IFERROR(__xludf.DUMMYFUNCTION("""COMPUTED_VALUE"""),"")</f>
        <v/>
      </c>
      <c r="F336" s="134" t="str">
        <f ca="1">IFERROR(__xludf.DUMMYFUNCTION("""COMPUTED_VALUE"""),"")</f>
        <v/>
      </c>
      <c r="G336" s="134" t="str">
        <f ca="1">IFERROR(__xludf.DUMMYFUNCTION("""COMPUTED_VALUE"""),"")</f>
        <v/>
      </c>
      <c r="H336" s="134" t="str">
        <f ca="1">IFERROR(__xludf.DUMMYFUNCTION("""COMPUTED_VALUE"""),"")</f>
        <v/>
      </c>
      <c r="I336" s="134" t="str">
        <f ca="1">IFERROR(__xludf.DUMMYFUNCTION("""COMPUTED_VALUE"""),"")</f>
        <v/>
      </c>
      <c r="J336" s="134" t="str">
        <f ca="1">IFERROR(__xludf.DUMMYFUNCTION("""COMPUTED_VALUE"""),"")</f>
        <v/>
      </c>
      <c r="N336" s="31"/>
    </row>
    <row r="337" spans="1:14" customFormat="1">
      <c r="A337" s="134" t="str">
        <f ca="1">IFERROR(__xludf.DUMMYFUNCTION("""COMPUTED_VALUE"""),"")</f>
        <v/>
      </c>
      <c r="B337" s="134" t="str">
        <f ca="1">IFERROR(__xludf.DUMMYFUNCTION("""COMPUTED_VALUE"""),"")</f>
        <v/>
      </c>
      <c r="C337" s="134" t="str">
        <f ca="1">IFERROR(__xludf.DUMMYFUNCTION("""COMPUTED_VALUE"""),"")</f>
        <v/>
      </c>
      <c r="D337" s="134" t="str">
        <f ca="1">IFERROR(__xludf.DUMMYFUNCTION("""COMPUTED_VALUE"""),"")</f>
        <v/>
      </c>
      <c r="E337" s="134" t="str">
        <f ca="1">IFERROR(__xludf.DUMMYFUNCTION("""COMPUTED_VALUE"""),"")</f>
        <v/>
      </c>
      <c r="F337" s="134" t="str">
        <f ca="1">IFERROR(__xludf.DUMMYFUNCTION("""COMPUTED_VALUE"""),"")</f>
        <v/>
      </c>
      <c r="G337" s="134" t="str">
        <f ca="1">IFERROR(__xludf.DUMMYFUNCTION("""COMPUTED_VALUE"""),"")</f>
        <v/>
      </c>
      <c r="H337" s="134" t="str">
        <f ca="1">IFERROR(__xludf.DUMMYFUNCTION("""COMPUTED_VALUE"""),"")</f>
        <v/>
      </c>
      <c r="I337" s="134" t="str">
        <f ca="1">IFERROR(__xludf.DUMMYFUNCTION("""COMPUTED_VALUE"""),"")</f>
        <v/>
      </c>
      <c r="J337" s="134" t="str">
        <f ca="1">IFERROR(__xludf.DUMMYFUNCTION("""COMPUTED_VALUE"""),"")</f>
        <v/>
      </c>
      <c r="N337" s="31"/>
    </row>
    <row r="338" spans="1:14" customFormat="1">
      <c r="A338" s="134" t="str">
        <f ca="1">IFERROR(__xludf.DUMMYFUNCTION("""COMPUTED_VALUE"""),"")</f>
        <v/>
      </c>
      <c r="B338" s="134" t="str">
        <f ca="1">IFERROR(__xludf.DUMMYFUNCTION("""COMPUTED_VALUE"""),"")</f>
        <v/>
      </c>
      <c r="C338" s="134" t="str">
        <f ca="1">IFERROR(__xludf.DUMMYFUNCTION("""COMPUTED_VALUE"""),"")</f>
        <v/>
      </c>
      <c r="D338" s="134" t="str">
        <f ca="1">IFERROR(__xludf.DUMMYFUNCTION("""COMPUTED_VALUE"""),"")</f>
        <v/>
      </c>
      <c r="E338" s="134" t="str">
        <f ca="1">IFERROR(__xludf.DUMMYFUNCTION("""COMPUTED_VALUE"""),"")</f>
        <v/>
      </c>
      <c r="F338" s="134" t="str">
        <f ca="1">IFERROR(__xludf.DUMMYFUNCTION("""COMPUTED_VALUE"""),"")</f>
        <v/>
      </c>
      <c r="G338" s="134" t="str">
        <f ca="1">IFERROR(__xludf.DUMMYFUNCTION("""COMPUTED_VALUE"""),"")</f>
        <v/>
      </c>
      <c r="H338" s="134" t="str">
        <f ca="1">IFERROR(__xludf.DUMMYFUNCTION("""COMPUTED_VALUE"""),"")</f>
        <v/>
      </c>
      <c r="I338" s="134" t="str">
        <f ca="1">IFERROR(__xludf.DUMMYFUNCTION("""COMPUTED_VALUE"""),"")</f>
        <v/>
      </c>
      <c r="J338" s="134" t="str">
        <f ca="1">IFERROR(__xludf.DUMMYFUNCTION("""COMPUTED_VALUE"""),"")</f>
        <v/>
      </c>
      <c r="N338" s="31"/>
    </row>
    <row r="339" spans="1:14" customFormat="1">
      <c r="A339" s="134" t="str">
        <f ca="1">IFERROR(__xludf.DUMMYFUNCTION("""COMPUTED_VALUE"""),"")</f>
        <v/>
      </c>
      <c r="B339" s="134" t="str">
        <f ca="1">IFERROR(__xludf.DUMMYFUNCTION("""COMPUTED_VALUE"""),"")</f>
        <v/>
      </c>
      <c r="C339" s="134" t="str">
        <f ca="1">IFERROR(__xludf.DUMMYFUNCTION("""COMPUTED_VALUE"""),"")</f>
        <v/>
      </c>
      <c r="D339" s="134" t="str">
        <f ca="1">IFERROR(__xludf.DUMMYFUNCTION("""COMPUTED_VALUE"""),"")</f>
        <v/>
      </c>
      <c r="E339" s="134" t="str">
        <f ca="1">IFERROR(__xludf.DUMMYFUNCTION("""COMPUTED_VALUE"""),"")</f>
        <v/>
      </c>
      <c r="F339" s="134" t="str">
        <f ca="1">IFERROR(__xludf.DUMMYFUNCTION("""COMPUTED_VALUE"""),"")</f>
        <v/>
      </c>
      <c r="G339" s="134" t="str">
        <f ca="1">IFERROR(__xludf.DUMMYFUNCTION("""COMPUTED_VALUE"""),"")</f>
        <v/>
      </c>
      <c r="H339" s="134" t="str">
        <f ca="1">IFERROR(__xludf.DUMMYFUNCTION("""COMPUTED_VALUE"""),"")</f>
        <v/>
      </c>
      <c r="I339" s="134" t="str">
        <f ca="1">IFERROR(__xludf.DUMMYFUNCTION("""COMPUTED_VALUE"""),"")</f>
        <v/>
      </c>
      <c r="J339" s="134" t="str">
        <f ca="1">IFERROR(__xludf.DUMMYFUNCTION("""COMPUTED_VALUE"""),"")</f>
        <v/>
      </c>
      <c r="N339" s="31"/>
    </row>
    <row r="340" spans="1:14" customFormat="1">
      <c r="A340" s="134" t="str">
        <f ca="1">IFERROR(__xludf.DUMMYFUNCTION("""COMPUTED_VALUE"""),"")</f>
        <v/>
      </c>
      <c r="B340" s="134" t="str">
        <f ca="1">IFERROR(__xludf.DUMMYFUNCTION("""COMPUTED_VALUE"""),"")</f>
        <v/>
      </c>
      <c r="C340" s="134" t="str">
        <f ca="1">IFERROR(__xludf.DUMMYFUNCTION("""COMPUTED_VALUE"""),"")</f>
        <v/>
      </c>
      <c r="D340" s="134" t="str">
        <f ca="1">IFERROR(__xludf.DUMMYFUNCTION("""COMPUTED_VALUE"""),"")</f>
        <v/>
      </c>
      <c r="E340" s="134" t="str">
        <f ca="1">IFERROR(__xludf.DUMMYFUNCTION("""COMPUTED_VALUE"""),"")</f>
        <v/>
      </c>
      <c r="F340" s="134" t="str">
        <f ca="1">IFERROR(__xludf.DUMMYFUNCTION("""COMPUTED_VALUE"""),"")</f>
        <v/>
      </c>
      <c r="G340" s="134" t="str">
        <f ca="1">IFERROR(__xludf.DUMMYFUNCTION("""COMPUTED_VALUE"""),"")</f>
        <v/>
      </c>
      <c r="H340" s="134" t="str">
        <f ca="1">IFERROR(__xludf.DUMMYFUNCTION("""COMPUTED_VALUE"""),"")</f>
        <v/>
      </c>
      <c r="I340" s="134" t="str">
        <f ca="1">IFERROR(__xludf.DUMMYFUNCTION("""COMPUTED_VALUE"""),"")</f>
        <v/>
      </c>
      <c r="J340" s="134" t="str">
        <f ca="1">IFERROR(__xludf.DUMMYFUNCTION("""COMPUTED_VALUE"""),"")</f>
        <v/>
      </c>
      <c r="N340" s="31"/>
    </row>
    <row r="341" spans="1:14" customFormat="1">
      <c r="A341" s="134" t="str">
        <f ca="1">IFERROR(__xludf.DUMMYFUNCTION("""COMPUTED_VALUE"""),"")</f>
        <v/>
      </c>
      <c r="B341" s="134" t="str">
        <f ca="1">IFERROR(__xludf.DUMMYFUNCTION("""COMPUTED_VALUE"""),"")</f>
        <v/>
      </c>
      <c r="C341" s="134" t="str">
        <f ca="1">IFERROR(__xludf.DUMMYFUNCTION("""COMPUTED_VALUE"""),"")</f>
        <v/>
      </c>
      <c r="D341" s="134" t="str">
        <f ca="1">IFERROR(__xludf.DUMMYFUNCTION("""COMPUTED_VALUE"""),"")</f>
        <v/>
      </c>
      <c r="E341" s="134" t="str">
        <f ca="1">IFERROR(__xludf.DUMMYFUNCTION("""COMPUTED_VALUE"""),"")</f>
        <v/>
      </c>
      <c r="F341" s="134" t="str">
        <f ca="1">IFERROR(__xludf.DUMMYFUNCTION("""COMPUTED_VALUE"""),"")</f>
        <v/>
      </c>
      <c r="G341" s="134" t="str">
        <f ca="1">IFERROR(__xludf.DUMMYFUNCTION("""COMPUTED_VALUE"""),"")</f>
        <v/>
      </c>
      <c r="H341" s="134" t="str">
        <f ca="1">IFERROR(__xludf.DUMMYFUNCTION("""COMPUTED_VALUE"""),"")</f>
        <v/>
      </c>
      <c r="I341" s="134" t="str">
        <f ca="1">IFERROR(__xludf.DUMMYFUNCTION("""COMPUTED_VALUE"""),"")</f>
        <v/>
      </c>
      <c r="J341" s="134" t="str">
        <f ca="1">IFERROR(__xludf.DUMMYFUNCTION("""COMPUTED_VALUE"""),"")</f>
        <v/>
      </c>
      <c r="N341" s="31"/>
    </row>
    <row r="342" spans="1:14" customFormat="1">
      <c r="A342" s="134" t="str">
        <f ca="1">IFERROR(__xludf.DUMMYFUNCTION("""COMPUTED_VALUE"""),"")</f>
        <v/>
      </c>
      <c r="B342" s="134" t="str">
        <f ca="1">IFERROR(__xludf.DUMMYFUNCTION("""COMPUTED_VALUE"""),"")</f>
        <v/>
      </c>
      <c r="C342" s="134" t="str">
        <f ca="1">IFERROR(__xludf.DUMMYFUNCTION("""COMPUTED_VALUE"""),"")</f>
        <v/>
      </c>
      <c r="D342" s="134" t="str">
        <f ca="1">IFERROR(__xludf.DUMMYFUNCTION("""COMPUTED_VALUE"""),"")</f>
        <v/>
      </c>
      <c r="E342" s="134" t="str">
        <f ca="1">IFERROR(__xludf.DUMMYFUNCTION("""COMPUTED_VALUE"""),"")</f>
        <v/>
      </c>
      <c r="F342" s="134" t="str">
        <f ca="1">IFERROR(__xludf.DUMMYFUNCTION("""COMPUTED_VALUE"""),"")</f>
        <v/>
      </c>
      <c r="G342" s="134" t="str">
        <f ca="1">IFERROR(__xludf.DUMMYFUNCTION("""COMPUTED_VALUE"""),"")</f>
        <v/>
      </c>
      <c r="H342" s="134" t="str">
        <f ca="1">IFERROR(__xludf.DUMMYFUNCTION("""COMPUTED_VALUE"""),"")</f>
        <v/>
      </c>
      <c r="I342" s="134" t="str">
        <f ca="1">IFERROR(__xludf.DUMMYFUNCTION("""COMPUTED_VALUE"""),"")</f>
        <v/>
      </c>
      <c r="J342" s="134" t="str">
        <f ca="1">IFERROR(__xludf.DUMMYFUNCTION("""COMPUTED_VALUE"""),"")</f>
        <v/>
      </c>
      <c r="N342" s="31"/>
    </row>
    <row r="343" spans="1:14" customFormat="1">
      <c r="A343" s="134" t="str">
        <f ca="1">IFERROR(__xludf.DUMMYFUNCTION("""COMPUTED_VALUE"""),"")</f>
        <v/>
      </c>
      <c r="B343" s="134" t="str">
        <f ca="1">IFERROR(__xludf.DUMMYFUNCTION("""COMPUTED_VALUE"""),"")</f>
        <v/>
      </c>
      <c r="C343" s="134" t="str">
        <f ca="1">IFERROR(__xludf.DUMMYFUNCTION("""COMPUTED_VALUE"""),"")</f>
        <v/>
      </c>
      <c r="D343" s="134" t="str">
        <f ca="1">IFERROR(__xludf.DUMMYFUNCTION("""COMPUTED_VALUE"""),"")</f>
        <v/>
      </c>
      <c r="E343" s="134" t="str">
        <f ca="1">IFERROR(__xludf.DUMMYFUNCTION("""COMPUTED_VALUE"""),"")</f>
        <v/>
      </c>
      <c r="F343" s="134" t="str">
        <f ca="1">IFERROR(__xludf.DUMMYFUNCTION("""COMPUTED_VALUE"""),"")</f>
        <v/>
      </c>
      <c r="G343" s="134" t="str">
        <f ca="1">IFERROR(__xludf.DUMMYFUNCTION("""COMPUTED_VALUE"""),"")</f>
        <v/>
      </c>
      <c r="H343" s="134" t="str">
        <f ca="1">IFERROR(__xludf.DUMMYFUNCTION("""COMPUTED_VALUE"""),"")</f>
        <v/>
      </c>
      <c r="I343" s="134" t="str">
        <f ca="1">IFERROR(__xludf.DUMMYFUNCTION("""COMPUTED_VALUE"""),"")</f>
        <v/>
      </c>
      <c r="J343" s="134" t="str">
        <f ca="1">IFERROR(__xludf.DUMMYFUNCTION("""COMPUTED_VALUE"""),"")</f>
        <v/>
      </c>
      <c r="N343" s="31"/>
    </row>
    <row r="344" spans="1:14" customFormat="1">
      <c r="A344" s="134" t="str">
        <f ca="1">IFERROR(__xludf.DUMMYFUNCTION("""COMPUTED_VALUE"""),"")</f>
        <v/>
      </c>
      <c r="B344" s="134" t="str">
        <f ca="1">IFERROR(__xludf.DUMMYFUNCTION("""COMPUTED_VALUE"""),"")</f>
        <v/>
      </c>
      <c r="C344" s="134" t="str">
        <f ca="1">IFERROR(__xludf.DUMMYFUNCTION("""COMPUTED_VALUE"""),"")</f>
        <v/>
      </c>
      <c r="D344" s="134" t="str">
        <f ca="1">IFERROR(__xludf.DUMMYFUNCTION("""COMPUTED_VALUE"""),"")</f>
        <v/>
      </c>
      <c r="E344" s="134" t="str">
        <f ca="1">IFERROR(__xludf.DUMMYFUNCTION("""COMPUTED_VALUE"""),"")</f>
        <v/>
      </c>
      <c r="F344" s="134" t="str">
        <f ca="1">IFERROR(__xludf.DUMMYFUNCTION("""COMPUTED_VALUE"""),"")</f>
        <v/>
      </c>
      <c r="G344" s="134" t="str">
        <f ca="1">IFERROR(__xludf.DUMMYFUNCTION("""COMPUTED_VALUE"""),"")</f>
        <v/>
      </c>
      <c r="H344" s="134" t="str">
        <f ca="1">IFERROR(__xludf.DUMMYFUNCTION("""COMPUTED_VALUE"""),"")</f>
        <v/>
      </c>
      <c r="I344" s="134" t="str">
        <f ca="1">IFERROR(__xludf.DUMMYFUNCTION("""COMPUTED_VALUE"""),"")</f>
        <v/>
      </c>
      <c r="J344" s="134" t="str">
        <f ca="1">IFERROR(__xludf.DUMMYFUNCTION("""COMPUTED_VALUE"""),"")</f>
        <v/>
      </c>
      <c r="N344" s="31"/>
    </row>
    <row r="345" spans="1:14" customFormat="1">
      <c r="A345" s="134" t="str">
        <f ca="1">IFERROR(__xludf.DUMMYFUNCTION("""COMPUTED_VALUE"""),"")</f>
        <v/>
      </c>
      <c r="B345" s="134" t="str">
        <f ca="1">IFERROR(__xludf.DUMMYFUNCTION("""COMPUTED_VALUE"""),"")</f>
        <v/>
      </c>
      <c r="C345" s="134" t="str">
        <f ca="1">IFERROR(__xludf.DUMMYFUNCTION("""COMPUTED_VALUE"""),"")</f>
        <v/>
      </c>
      <c r="D345" s="134" t="str">
        <f ca="1">IFERROR(__xludf.DUMMYFUNCTION("""COMPUTED_VALUE"""),"")</f>
        <v/>
      </c>
      <c r="E345" s="134" t="str">
        <f ca="1">IFERROR(__xludf.DUMMYFUNCTION("""COMPUTED_VALUE"""),"")</f>
        <v/>
      </c>
      <c r="F345" s="134" t="str">
        <f ca="1">IFERROR(__xludf.DUMMYFUNCTION("""COMPUTED_VALUE"""),"")</f>
        <v/>
      </c>
      <c r="G345" s="134" t="str">
        <f ca="1">IFERROR(__xludf.DUMMYFUNCTION("""COMPUTED_VALUE"""),"")</f>
        <v/>
      </c>
      <c r="H345" s="134" t="str">
        <f ca="1">IFERROR(__xludf.DUMMYFUNCTION("""COMPUTED_VALUE"""),"")</f>
        <v/>
      </c>
      <c r="I345" s="134" t="str">
        <f ca="1">IFERROR(__xludf.DUMMYFUNCTION("""COMPUTED_VALUE"""),"")</f>
        <v/>
      </c>
      <c r="J345" s="134" t="str">
        <f ca="1">IFERROR(__xludf.DUMMYFUNCTION("""COMPUTED_VALUE"""),"")</f>
        <v/>
      </c>
      <c r="N345" s="31"/>
    </row>
    <row r="346" spans="1:14" customFormat="1">
      <c r="A346" s="134" t="str">
        <f ca="1">IFERROR(__xludf.DUMMYFUNCTION("""COMPUTED_VALUE"""),"")</f>
        <v/>
      </c>
      <c r="B346" s="134" t="str">
        <f ca="1">IFERROR(__xludf.DUMMYFUNCTION("""COMPUTED_VALUE"""),"")</f>
        <v/>
      </c>
      <c r="C346" s="134" t="str">
        <f ca="1">IFERROR(__xludf.DUMMYFUNCTION("""COMPUTED_VALUE"""),"")</f>
        <v/>
      </c>
      <c r="D346" s="134" t="str">
        <f ca="1">IFERROR(__xludf.DUMMYFUNCTION("""COMPUTED_VALUE"""),"")</f>
        <v/>
      </c>
      <c r="E346" s="134" t="str">
        <f ca="1">IFERROR(__xludf.DUMMYFUNCTION("""COMPUTED_VALUE"""),"")</f>
        <v/>
      </c>
      <c r="F346" s="134" t="str">
        <f ca="1">IFERROR(__xludf.DUMMYFUNCTION("""COMPUTED_VALUE"""),"")</f>
        <v/>
      </c>
      <c r="G346" s="134" t="str">
        <f ca="1">IFERROR(__xludf.DUMMYFUNCTION("""COMPUTED_VALUE"""),"")</f>
        <v/>
      </c>
      <c r="H346" s="134" t="str">
        <f ca="1">IFERROR(__xludf.DUMMYFUNCTION("""COMPUTED_VALUE"""),"")</f>
        <v/>
      </c>
      <c r="I346" s="134" t="str">
        <f ca="1">IFERROR(__xludf.DUMMYFUNCTION("""COMPUTED_VALUE"""),"")</f>
        <v/>
      </c>
      <c r="J346" s="134" t="str">
        <f ca="1">IFERROR(__xludf.DUMMYFUNCTION("""COMPUTED_VALUE"""),"")</f>
        <v/>
      </c>
      <c r="N346" s="31"/>
    </row>
    <row r="347" spans="1:14" customFormat="1">
      <c r="A347" s="134" t="str">
        <f ca="1">IFERROR(__xludf.DUMMYFUNCTION("""COMPUTED_VALUE"""),"")</f>
        <v/>
      </c>
      <c r="B347" s="134" t="str">
        <f ca="1">IFERROR(__xludf.DUMMYFUNCTION("""COMPUTED_VALUE"""),"")</f>
        <v/>
      </c>
      <c r="C347" s="134" t="str">
        <f ca="1">IFERROR(__xludf.DUMMYFUNCTION("""COMPUTED_VALUE"""),"")</f>
        <v/>
      </c>
      <c r="D347" s="134" t="str">
        <f ca="1">IFERROR(__xludf.DUMMYFUNCTION("""COMPUTED_VALUE"""),"")</f>
        <v/>
      </c>
      <c r="E347" s="134" t="str">
        <f ca="1">IFERROR(__xludf.DUMMYFUNCTION("""COMPUTED_VALUE"""),"")</f>
        <v/>
      </c>
      <c r="F347" s="134" t="str">
        <f ca="1">IFERROR(__xludf.DUMMYFUNCTION("""COMPUTED_VALUE"""),"")</f>
        <v/>
      </c>
      <c r="G347" s="134" t="str">
        <f ca="1">IFERROR(__xludf.DUMMYFUNCTION("""COMPUTED_VALUE"""),"")</f>
        <v/>
      </c>
      <c r="H347" s="134" t="str">
        <f ca="1">IFERROR(__xludf.DUMMYFUNCTION("""COMPUTED_VALUE"""),"")</f>
        <v/>
      </c>
      <c r="I347" s="134" t="str">
        <f ca="1">IFERROR(__xludf.DUMMYFUNCTION("""COMPUTED_VALUE"""),"")</f>
        <v/>
      </c>
      <c r="J347" s="134" t="str">
        <f ca="1">IFERROR(__xludf.DUMMYFUNCTION("""COMPUTED_VALUE"""),"")</f>
        <v/>
      </c>
      <c r="N347" s="31"/>
    </row>
    <row r="348" spans="1:14" customFormat="1">
      <c r="A348" s="134" t="str">
        <f ca="1">IFERROR(__xludf.DUMMYFUNCTION("""COMPUTED_VALUE"""),"")</f>
        <v/>
      </c>
      <c r="B348" s="134" t="str">
        <f ca="1">IFERROR(__xludf.DUMMYFUNCTION("""COMPUTED_VALUE"""),"")</f>
        <v/>
      </c>
      <c r="C348" s="134" t="str">
        <f ca="1">IFERROR(__xludf.DUMMYFUNCTION("""COMPUTED_VALUE"""),"")</f>
        <v/>
      </c>
      <c r="D348" s="134" t="str">
        <f ca="1">IFERROR(__xludf.DUMMYFUNCTION("""COMPUTED_VALUE"""),"")</f>
        <v/>
      </c>
      <c r="E348" s="134" t="str">
        <f ca="1">IFERROR(__xludf.DUMMYFUNCTION("""COMPUTED_VALUE"""),"")</f>
        <v/>
      </c>
      <c r="F348" s="134" t="str">
        <f ca="1">IFERROR(__xludf.DUMMYFUNCTION("""COMPUTED_VALUE"""),"")</f>
        <v/>
      </c>
      <c r="G348" s="134" t="str">
        <f ca="1">IFERROR(__xludf.DUMMYFUNCTION("""COMPUTED_VALUE"""),"")</f>
        <v/>
      </c>
      <c r="H348" s="134" t="str">
        <f ca="1">IFERROR(__xludf.DUMMYFUNCTION("""COMPUTED_VALUE"""),"")</f>
        <v/>
      </c>
      <c r="I348" s="134" t="str">
        <f ca="1">IFERROR(__xludf.DUMMYFUNCTION("""COMPUTED_VALUE"""),"")</f>
        <v/>
      </c>
      <c r="J348" s="134" t="str">
        <f ca="1">IFERROR(__xludf.DUMMYFUNCTION("""COMPUTED_VALUE"""),"")</f>
        <v/>
      </c>
      <c r="N348" s="31"/>
    </row>
    <row r="349" spans="1:14" customFormat="1">
      <c r="A349" s="134" t="str">
        <f ca="1">IFERROR(__xludf.DUMMYFUNCTION("""COMPUTED_VALUE"""),"")</f>
        <v/>
      </c>
      <c r="B349" s="134" t="str">
        <f ca="1">IFERROR(__xludf.DUMMYFUNCTION("""COMPUTED_VALUE"""),"")</f>
        <v/>
      </c>
      <c r="C349" s="134" t="str">
        <f ca="1">IFERROR(__xludf.DUMMYFUNCTION("""COMPUTED_VALUE"""),"")</f>
        <v/>
      </c>
      <c r="D349" s="134" t="str">
        <f ca="1">IFERROR(__xludf.DUMMYFUNCTION("""COMPUTED_VALUE"""),"")</f>
        <v/>
      </c>
      <c r="E349" s="134" t="str">
        <f ca="1">IFERROR(__xludf.DUMMYFUNCTION("""COMPUTED_VALUE"""),"")</f>
        <v/>
      </c>
      <c r="F349" s="134" t="str">
        <f ca="1">IFERROR(__xludf.DUMMYFUNCTION("""COMPUTED_VALUE"""),"")</f>
        <v/>
      </c>
      <c r="G349" s="134" t="str">
        <f ca="1">IFERROR(__xludf.DUMMYFUNCTION("""COMPUTED_VALUE"""),"")</f>
        <v/>
      </c>
      <c r="H349" s="134" t="str">
        <f ca="1">IFERROR(__xludf.DUMMYFUNCTION("""COMPUTED_VALUE"""),"")</f>
        <v/>
      </c>
      <c r="I349" s="134" t="str">
        <f ca="1">IFERROR(__xludf.DUMMYFUNCTION("""COMPUTED_VALUE"""),"")</f>
        <v/>
      </c>
      <c r="J349" s="134" t="str">
        <f ca="1">IFERROR(__xludf.DUMMYFUNCTION("""COMPUTED_VALUE"""),"")</f>
        <v/>
      </c>
      <c r="N349" s="31"/>
    </row>
    <row r="350" spans="1:14" customFormat="1">
      <c r="A350" s="134" t="str">
        <f ca="1">IFERROR(__xludf.DUMMYFUNCTION("""COMPUTED_VALUE"""),"")</f>
        <v/>
      </c>
      <c r="B350" s="134" t="str">
        <f ca="1">IFERROR(__xludf.DUMMYFUNCTION("""COMPUTED_VALUE"""),"")</f>
        <v/>
      </c>
      <c r="C350" s="134" t="str">
        <f ca="1">IFERROR(__xludf.DUMMYFUNCTION("""COMPUTED_VALUE"""),"")</f>
        <v/>
      </c>
      <c r="D350" s="134" t="str">
        <f ca="1">IFERROR(__xludf.DUMMYFUNCTION("""COMPUTED_VALUE"""),"")</f>
        <v/>
      </c>
      <c r="E350" s="134" t="str">
        <f ca="1">IFERROR(__xludf.DUMMYFUNCTION("""COMPUTED_VALUE"""),"")</f>
        <v/>
      </c>
      <c r="F350" s="134" t="str">
        <f ca="1">IFERROR(__xludf.DUMMYFUNCTION("""COMPUTED_VALUE"""),"")</f>
        <v/>
      </c>
      <c r="G350" s="134" t="str">
        <f ca="1">IFERROR(__xludf.DUMMYFUNCTION("""COMPUTED_VALUE"""),"")</f>
        <v/>
      </c>
      <c r="H350" s="134" t="str">
        <f ca="1">IFERROR(__xludf.DUMMYFUNCTION("""COMPUTED_VALUE"""),"")</f>
        <v/>
      </c>
      <c r="I350" s="134" t="str">
        <f ca="1">IFERROR(__xludf.DUMMYFUNCTION("""COMPUTED_VALUE"""),"")</f>
        <v/>
      </c>
      <c r="J350" s="134" t="str">
        <f ca="1">IFERROR(__xludf.DUMMYFUNCTION("""COMPUTED_VALUE"""),"")</f>
        <v/>
      </c>
      <c r="N350" s="31"/>
    </row>
    <row r="351" spans="1:14" customFormat="1">
      <c r="A351" s="134" t="str">
        <f ca="1">IFERROR(__xludf.DUMMYFUNCTION("""COMPUTED_VALUE"""),"")</f>
        <v/>
      </c>
      <c r="B351" s="134" t="str">
        <f ca="1">IFERROR(__xludf.DUMMYFUNCTION("""COMPUTED_VALUE"""),"")</f>
        <v/>
      </c>
      <c r="C351" s="134" t="str">
        <f ca="1">IFERROR(__xludf.DUMMYFUNCTION("""COMPUTED_VALUE"""),"")</f>
        <v/>
      </c>
      <c r="D351" s="134" t="str">
        <f ca="1">IFERROR(__xludf.DUMMYFUNCTION("""COMPUTED_VALUE"""),"")</f>
        <v/>
      </c>
      <c r="E351" s="134" t="str">
        <f ca="1">IFERROR(__xludf.DUMMYFUNCTION("""COMPUTED_VALUE"""),"")</f>
        <v/>
      </c>
      <c r="F351" s="134" t="str">
        <f ca="1">IFERROR(__xludf.DUMMYFUNCTION("""COMPUTED_VALUE"""),"")</f>
        <v/>
      </c>
      <c r="G351" s="134" t="str">
        <f ca="1">IFERROR(__xludf.DUMMYFUNCTION("""COMPUTED_VALUE"""),"")</f>
        <v/>
      </c>
      <c r="H351" s="134" t="str">
        <f ca="1">IFERROR(__xludf.DUMMYFUNCTION("""COMPUTED_VALUE"""),"")</f>
        <v/>
      </c>
      <c r="I351" s="134" t="str">
        <f ca="1">IFERROR(__xludf.DUMMYFUNCTION("""COMPUTED_VALUE"""),"")</f>
        <v/>
      </c>
      <c r="J351" s="134" t="str">
        <f ca="1">IFERROR(__xludf.DUMMYFUNCTION("""COMPUTED_VALUE"""),"")</f>
        <v/>
      </c>
      <c r="N351" s="31"/>
    </row>
    <row r="352" spans="1:14" customFormat="1">
      <c r="A352" s="134" t="str">
        <f ca="1">IFERROR(__xludf.DUMMYFUNCTION("""COMPUTED_VALUE"""),"")</f>
        <v/>
      </c>
      <c r="B352" s="134" t="str">
        <f ca="1">IFERROR(__xludf.DUMMYFUNCTION("""COMPUTED_VALUE"""),"")</f>
        <v/>
      </c>
      <c r="C352" s="134" t="str">
        <f ca="1">IFERROR(__xludf.DUMMYFUNCTION("""COMPUTED_VALUE"""),"")</f>
        <v/>
      </c>
      <c r="D352" s="134" t="str">
        <f ca="1">IFERROR(__xludf.DUMMYFUNCTION("""COMPUTED_VALUE"""),"")</f>
        <v/>
      </c>
      <c r="E352" s="134" t="str">
        <f ca="1">IFERROR(__xludf.DUMMYFUNCTION("""COMPUTED_VALUE"""),"")</f>
        <v/>
      </c>
      <c r="F352" s="134" t="str">
        <f ca="1">IFERROR(__xludf.DUMMYFUNCTION("""COMPUTED_VALUE"""),"")</f>
        <v/>
      </c>
      <c r="G352" s="134" t="str">
        <f ca="1">IFERROR(__xludf.DUMMYFUNCTION("""COMPUTED_VALUE"""),"")</f>
        <v/>
      </c>
      <c r="H352" s="134" t="str">
        <f ca="1">IFERROR(__xludf.DUMMYFUNCTION("""COMPUTED_VALUE"""),"")</f>
        <v/>
      </c>
      <c r="I352" s="134" t="str">
        <f ca="1">IFERROR(__xludf.DUMMYFUNCTION("""COMPUTED_VALUE"""),"")</f>
        <v/>
      </c>
      <c r="J352" s="134" t="str">
        <f ca="1">IFERROR(__xludf.DUMMYFUNCTION("""COMPUTED_VALUE"""),"")</f>
        <v/>
      </c>
      <c r="N352" s="31"/>
    </row>
    <row r="353" spans="1:14" customFormat="1">
      <c r="A353" s="134" t="str">
        <f ca="1">IFERROR(__xludf.DUMMYFUNCTION("""COMPUTED_VALUE"""),"")</f>
        <v/>
      </c>
      <c r="B353" s="134" t="str">
        <f ca="1">IFERROR(__xludf.DUMMYFUNCTION("""COMPUTED_VALUE"""),"")</f>
        <v/>
      </c>
      <c r="C353" s="134" t="str">
        <f ca="1">IFERROR(__xludf.DUMMYFUNCTION("""COMPUTED_VALUE"""),"")</f>
        <v/>
      </c>
      <c r="D353" s="134" t="str">
        <f ca="1">IFERROR(__xludf.DUMMYFUNCTION("""COMPUTED_VALUE"""),"")</f>
        <v/>
      </c>
      <c r="E353" s="134" t="str">
        <f ca="1">IFERROR(__xludf.DUMMYFUNCTION("""COMPUTED_VALUE"""),"")</f>
        <v/>
      </c>
      <c r="F353" s="134" t="str">
        <f ca="1">IFERROR(__xludf.DUMMYFUNCTION("""COMPUTED_VALUE"""),"")</f>
        <v/>
      </c>
      <c r="G353" s="134" t="str">
        <f ca="1">IFERROR(__xludf.DUMMYFUNCTION("""COMPUTED_VALUE"""),"")</f>
        <v/>
      </c>
      <c r="H353" s="134" t="str">
        <f ca="1">IFERROR(__xludf.DUMMYFUNCTION("""COMPUTED_VALUE"""),"")</f>
        <v/>
      </c>
      <c r="I353" s="134" t="str">
        <f ca="1">IFERROR(__xludf.DUMMYFUNCTION("""COMPUTED_VALUE"""),"")</f>
        <v/>
      </c>
      <c r="J353" s="134" t="str">
        <f ca="1">IFERROR(__xludf.DUMMYFUNCTION("""COMPUTED_VALUE"""),"")</f>
        <v/>
      </c>
      <c r="N353" s="31"/>
    </row>
    <row r="354" spans="1:14" customFormat="1">
      <c r="A354" s="134" t="str">
        <f ca="1">IFERROR(__xludf.DUMMYFUNCTION("""COMPUTED_VALUE"""),"")</f>
        <v/>
      </c>
      <c r="B354" s="134" t="str">
        <f ca="1">IFERROR(__xludf.DUMMYFUNCTION("""COMPUTED_VALUE"""),"")</f>
        <v/>
      </c>
      <c r="C354" s="134" t="str">
        <f ca="1">IFERROR(__xludf.DUMMYFUNCTION("""COMPUTED_VALUE"""),"")</f>
        <v/>
      </c>
      <c r="D354" s="134" t="str">
        <f ca="1">IFERROR(__xludf.DUMMYFUNCTION("""COMPUTED_VALUE"""),"")</f>
        <v/>
      </c>
      <c r="E354" s="134" t="str">
        <f ca="1">IFERROR(__xludf.DUMMYFUNCTION("""COMPUTED_VALUE"""),"")</f>
        <v/>
      </c>
      <c r="F354" s="134" t="str">
        <f ca="1">IFERROR(__xludf.DUMMYFUNCTION("""COMPUTED_VALUE"""),"")</f>
        <v/>
      </c>
      <c r="G354" s="134" t="str">
        <f ca="1">IFERROR(__xludf.DUMMYFUNCTION("""COMPUTED_VALUE"""),"")</f>
        <v/>
      </c>
      <c r="H354" s="134" t="str">
        <f ca="1">IFERROR(__xludf.DUMMYFUNCTION("""COMPUTED_VALUE"""),"")</f>
        <v/>
      </c>
      <c r="I354" s="134" t="str">
        <f ca="1">IFERROR(__xludf.DUMMYFUNCTION("""COMPUTED_VALUE"""),"")</f>
        <v/>
      </c>
      <c r="J354" s="134" t="str">
        <f ca="1">IFERROR(__xludf.DUMMYFUNCTION("""COMPUTED_VALUE"""),"")</f>
        <v/>
      </c>
      <c r="N354" s="31"/>
    </row>
    <row r="355" spans="1:14" customFormat="1">
      <c r="A355" s="134" t="str">
        <f ca="1">IFERROR(__xludf.DUMMYFUNCTION("""COMPUTED_VALUE"""),"")</f>
        <v/>
      </c>
      <c r="B355" s="134" t="str">
        <f ca="1">IFERROR(__xludf.DUMMYFUNCTION("""COMPUTED_VALUE"""),"")</f>
        <v/>
      </c>
      <c r="C355" s="134" t="str">
        <f ca="1">IFERROR(__xludf.DUMMYFUNCTION("""COMPUTED_VALUE"""),"")</f>
        <v/>
      </c>
      <c r="D355" s="134" t="str">
        <f ca="1">IFERROR(__xludf.DUMMYFUNCTION("""COMPUTED_VALUE"""),"")</f>
        <v/>
      </c>
      <c r="E355" s="134" t="str">
        <f ca="1">IFERROR(__xludf.DUMMYFUNCTION("""COMPUTED_VALUE"""),"")</f>
        <v/>
      </c>
      <c r="F355" s="134" t="str">
        <f ca="1">IFERROR(__xludf.DUMMYFUNCTION("""COMPUTED_VALUE"""),"")</f>
        <v/>
      </c>
      <c r="G355" s="134" t="str">
        <f ca="1">IFERROR(__xludf.DUMMYFUNCTION("""COMPUTED_VALUE"""),"")</f>
        <v/>
      </c>
      <c r="H355" s="134" t="str">
        <f ca="1">IFERROR(__xludf.DUMMYFUNCTION("""COMPUTED_VALUE"""),"")</f>
        <v/>
      </c>
      <c r="I355" s="134" t="str">
        <f ca="1">IFERROR(__xludf.DUMMYFUNCTION("""COMPUTED_VALUE"""),"")</f>
        <v/>
      </c>
      <c r="J355" s="134" t="str">
        <f ca="1">IFERROR(__xludf.DUMMYFUNCTION("""COMPUTED_VALUE"""),"")</f>
        <v/>
      </c>
      <c r="N355" s="31"/>
    </row>
    <row r="356" spans="1:14" customFormat="1">
      <c r="A356" s="134" t="str">
        <f ca="1">IFERROR(__xludf.DUMMYFUNCTION("""COMPUTED_VALUE"""),"")</f>
        <v/>
      </c>
      <c r="B356" s="134" t="str">
        <f ca="1">IFERROR(__xludf.DUMMYFUNCTION("""COMPUTED_VALUE"""),"")</f>
        <v/>
      </c>
      <c r="C356" s="134" t="str">
        <f ca="1">IFERROR(__xludf.DUMMYFUNCTION("""COMPUTED_VALUE"""),"")</f>
        <v/>
      </c>
      <c r="D356" s="134" t="str">
        <f ca="1">IFERROR(__xludf.DUMMYFUNCTION("""COMPUTED_VALUE"""),"")</f>
        <v/>
      </c>
      <c r="E356" s="134" t="str">
        <f ca="1">IFERROR(__xludf.DUMMYFUNCTION("""COMPUTED_VALUE"""),"")</f>
        <v/>
      </c>
      <c r="F356" s="134" t="str">
        <f ca="1">IFERROR(__xludf.DUMMYFUNCTION("""COMPUTED_VALUE"""),"")</f>
        <v/>
      </c>
      <c r="G356" s="134" t="str">
        <f ca="1">IFERROR(__xludf.DUMMYFUNCTION("""COMPUTED_VALUE"""),"")</f>
        <v/>
      </c>
      <c r="H356" s="134" t="str">
        <f ca="1">IFERROR(__xludf.DUMMYFUNCTION("""COMPUTED_VALUE"""),"")</f>
        <v/>
      </c>
      <c r="I356" s="134" t="str">
        <f ca="1">IFERROR(__xludf.DUMMYFUNCTION("""COMPUTED_VALUE"""),"")</f>
        <v/>
      </c>
      <c r="J356" s="134" t="str">
        <f ca="1">IFERROR(__xludf.DUMMYFUNCTION("""COMPUTED_VALUE"""),"")</f>
        <v/>
      </c>
      <c r="N356" s="31"/>
    </row>
    <row r="357" spans="1:14" customFormat="1">
      <c r="A357" s="134" t="str">
        <f ca="1">IFERROR(__xludf.DUMMYFUNCTION("""COMPUTED_VALUE"""),"")</f>
        <v/>
      </c>
      <c r="B357" s="134" t="str">
        <f ca="1">IFERROR(__xludf.DUMMYFUNCTION("""COMPUTED_VALUE"""),"")</f>
        <v/>
      </c>
      <c r="C357" s="134" t="str">
        <f ca="1">IFERROR(__xludf.DUMMYFUNCTION("""COMPUTED_VALUE"""),"")</f>
        <v/>
      </c>
      <c r="D357" s="134" t="str">
        <f ca="1">IFERROR(__xludf.DUMMYFUNCTION("""COMPUTED_VALUE"""),"")</f>
        <v/>
      </c>
      <c r="E357" s="134" t="str">
        <f ca="1">IFERROR(__xludf.DUMMYFUNCTION("""COMPUTED_VALUE"""),"")</f>
        <v/>
      </c>
      <c r="F357" s="134" t="str">
        <f ca="1">IFERROR(__xludf.DUMMYFUNCTION("""COMPUTED_VALUE"""),"")</f>
        <v/>
      </c>
      <c r="G357" s="134" t="str">
        <f ca="1">IFERROR(__xludf.DUMMYFUNCTION("""COMPUTED_VALUE"""),"")</f>
        <v/>
      </c>
      <c r="H357" s="134" t="str">
        <f ca="1">IFERROR(__xludf.DUMMYFUNCTION("""COMPUTED_VALUE"""),"")</f>
        <v/>
      </c>
      <c r="I357" s="134" t="str">
        <f ca="1">IFERROR(__xludf.DUMMYFUNCTION("""COMPUTED_VALUE"""),"")</f>
        <v/>
      </c>
      <c r="J357" s="134" t="str">
        <f ca="1">IFERROR(__xludf.DUMMYFUNCTION("""COMPUTED_VALUE"""),"")</f>
        <v/>
      </c>
      <c r="N357" s="31"/>
    </row>
    <row r="358" spans="1:14" customFormat="1">
      <c r="A358" s="134" t="str">
        <f ca="1">IFERROR(__xludf.DUMMYFUNCTION("""COMPUTED_VALUE"""),"")</f>
        <v/>
      </c>
      <c r="B358" s="134" t="str">
        <f ca="1">IFERROR(__xludf.DUMMYFUNCTION("""COMPUTED_VALUE"""),"")</f>
        <v/>
      </c>
      <c r="C358" s="134" t="str">
        <f ca="1">IFERROR(__xludf.DUMMYFUNCTION("""COMPUTED_VALUE"""),"")</f>
        <v/>
      </c>
      <c r="D358" s="134" t="str">
        <f ca="1">IFERROR(__xludf.DUMMYFUNCTION("""COMPUTED_VALUE"""),"")</f>
        <v/>
      </c>
      <c r="E358" s="134" t="str">
        <f ca="1">IFERROR(__xludf.DUMMYFUNCTION("""COMPUTED_VALUE"""),"")</f>
        <v/>
      </c>
      <c r="F358" s="134" t="str">
        <f ca="1">IFERROR(__xludf.DUMMYFUNCTION("""COMPUTED_VALUE"""),"")</f>
        <v/>
      </c>
      <c r="G358" s="134" t="str">
        <f ca="1">IFERROR(__xludf.DUMMYFUNCTION("""COMPUTED_VALUE"""),"")</f>
        <v/>
      </c>
      <c r="H358" s="134" t="str">
        <f ca="1">IFERROR(__xludf.DUMMYFUNCTION("""COMPUTED_VALUE"""),"")</f>
        <v/>
      </c>
      <c r="I358" s="134" t="str">
        <f ca="1">IFERROR(__xludf.DUMMYFUNCTION("""COMPUTED_VALUE"""),"")</f>
        <v/>
      </c>
      <c r="J358" s="134" t="str">
        <f ca="1">IFERROR(__xludf.DUMMYFUNCTION("""COMPUTED_VALUE"""),"")</f>
        <v/>
      </c>
      <c r="N358" s="31"/>
    </row>
    <row r="359" spans="1:14" customFormat="1">
      <c r="A359" s="134" t="str">
        <f ca="1">IFERROR(__xludf.DUMMYFUNCTION("""COMPUTED_VALUE"""),"")</f>
        <v/>
      </c>
      <c r="B359" s="134" t="str">
        <f ca="1">IFERROR(__xludf.DUMMYFUNCTION("""COMPUTED_VALUE"""),"")</f>
        <v/>
      </c>
      <c r="C359" s="134" t="str">
        <f ca="1">IFERROR(__xludf.DUMMYFUNCTION("""COMPUTED_VALUE"""),"")</f>
        <v/>
      </c>
      <c r="D359" s="134" t="str">
        <f ca="1">IFERROR(__xludf.DUMMYFUNCTION("""COMPUTED_VALUE"""),"")</f>
        <v/>
      </c>
      <c r="E359" s="134" t="str">
        <f ca="1">IFERROR(__xludf.DUMMYFUNCTION("""COMPUTED_VALUE"""),"")</f>
        <v/>
      </c>
      <c r="F359" s="134" t="str">
        <f ca="1">IFERROR(__xludf.DUMMYFUNCTION("""COMPUTED_VALUE"""),"")</f>
        <v/>
      </c>
      <c r="G359" s="134" t="str">
        <f ca="1">IFERROR(__xludf.DUMMYFUNCTION("""COMPUTED_VALUE"""),"")</f>
        <v/>
      </c>
      <c r="H359" s="134" t="str">
        <f ca="1">IFERROR(__xludf.DUMMYFUNCTION("""COMPUTED_VALUE"""),"")</f>
        <v/>
      </c>
      <c r="I359" s="134" t="str">
        <f ca="1">IFERROR(__xludf.DUMMYFUNCTION("""COMPUTED_VALUE"""),"")</f>
        <v/>
      </c>
      <c r="J359" s="134" t="str">
        <f ca="1">IFERROR(__xludf.DUMMYFUNCTION("""COMPUTED_VALUE"""),"")</f>
        <v/>
      </c>
      <c r="N359" s="31"/>
    </row>
    <row r="360" spans="1:14" customFormat="1">
      <c r="A360" s="134" t="str">
        <f ca="1">IFERROR(__xludf.DUMMYFUNCTION("""COMPUTED_VALUE"""),"")</f>
        <v/>
      </c>
      <c r="B360" s="134" t="str">
        <f ca="1">IFERROR(__xludf.DUMMYFUNCTION("""COMPUTED_VALUE"""),"")</f>
        <v/>
      </c>
      <c r="C360" s="134" t="str">
        <f ca="1">IFERROR(__xludf.DUMMYFUNCTION("""COMPUTED_VALUE"""),"")</f>
        <v/>
      </c>
      <c r="D360" s="134" t="str">
        <f ca="1">IFERROR(__xludf.DUMMYFUNCTION("""COMPUTED_VALUE"""),"")</f>
        <v/>
      </c>
      <c r="E360" s="134" t="str">
        <f ca="1">IFERROR(__xludf.DUMMYFUNCTION("""COMPUTED_VALUE"""),"")</f>
        <v/>
      </c>
      <c r="F360" s="134" t="str">
        <f ca="1">IFERROR(__xludf.DUMMYFUNCTION("""COMPUTED_VALUE"""),"")</f>
        <v/>
      </c>
      <c r="G360" s="134" t="str">
        <f ca="1">IFERROR(__xludf.DUMMYFUNCTION("""COMPUTED_VALUE"""),"")</f>
        <v/>
      </c>
      <c r="H360" s="134" t="str">
        <f ca="1">IFERROR(__xludf.DUMMYFUNCTION("""COMPUTED_VALUE"""),"")</f>
        <v/>
      </c>
      <c r="I360" s="134" t="str">
        <f ca="1">IFERROR(__xludf.DUMMYFUNCTION("""COMPUTED_VALUE"""),"")</f>
        <v/>
      </c>
      <c r="J360" s="134" t="str">
        <f ca="1">IFERROR(__xludf.DUMMYFUNCTION("""COMPUTED_VALUE"""),"")</f>
        <v/>
      </c>
      <c r="N360" s="31"/>
    </row>
    <row r="361" spans="1:14" customFormat="1">
      <c r="A361" s="134" t="str">
        <f ca="1">IFERROR(__xludf.DUMMYFUNCTION("""COMPUTED_VALUE"""),"")</f>
        <v/>
      </c>
      <c r="B361" s="134" t="str">
        <f ca="1">IFERROR(__xludf.DUMMYFUNCTION("""COMPUTED_VALUE"""),"")</f>
        <v/>
      </c>
      <c r="C361" s="134" t="str">
        <f ca="1">IFERROR(__xludf.DUMMYFUNCTION("""COMPUTED_VALUE"""),"")</f>
        <v/>
      </c>
      <c r="D361" s="134" t="str">
        <f ca="1">IFERROR(__xludf.DUMMYFUNCTION("""COMPUTED_VALUE"""),"")</f>
        <v/>
      </c>
      <c r="E361" s="134" t="str">
        <f ca="1">IFERROR(__xludf.DUMMYFUNCTION("""COMPUTED_VALUE"""),"")</f>
        <v/>
      </c>
      <c r="F361" s="134" t="str">
        <f ca="1">IFERROR(__xludf.DUMMYFUNCTION("""COMPUTED_VALUE"""),"")</f>
        <v/>
      </c>
      <c r="G361" s="134" t="str">
        <f ca="1">IFERROR(__xludf.DUMMYFUNCTION("""COMPUTED_VALUE"""),"")</f>
        <v/>
      </c>
      <c r="H361" s="134" t="str">
        <f ca="1">IFERROR(__xludf.DUMMYFUNCTION("""COMPUTED_VALUE"""),"")</f>
        <v/>
      </c>
      <c r="I361" s="134" t="str">
        <f ca="1">IFERROR(__xludf.DUMMYFUNCTION("""COMPUTED_VALUE"""),"")</f>
        <v/>
      </c>
      <c r="J361" s="134" t="str">
        <f ca="1">IFERROR(__xludf.DUMMYFUNCTION("""COMPUTED_VALUE"""),"")</f>
        <v/>
      </c>
      <c r="N361" s="31"/>
    </row>
    <row r="362" spans="1:14" customFormat="1">
      <c r="A362" s="134" t="str">
        <f ca="1">IFERROR(__xludf.DUMMYFUNCTION("""COMPUTED_VALUE"""),"")</f>
        <v/>
      </c>
      <c r="B362" s="134" t="str">
        <f ca="1">IFERROR(__xludf.DUMMYFUNCTION("""COMPUTED_VALUE"""),"")</f>
        <v/>
      </c>
      <c r="C362" s="134" t="str">
        <f ca="1">IFERROR(__xludf.DUMMYFUNCTION("""COMPUTED_VALUE"""),"")</f>
        <v/>
      </c>
      <c r="D362" s="134" t="str">
        <f ca="1">IFERROR(__xludf.DUMMYFUNCTION("""COMPUTED_VALUE"""),"")</f>
        <v/>
      </c>
      <c r="E362" s="134" t="str">
        <f ca="1">IFERROR(__xludf.DUMMYFUNCTION("""COMPUTED_VALUE"""),"")</f>
        <v/>
      </c>
      <c r="F362" s="134" t="str">
        <f ca="1">IFERROR(__xludf.DUMMYFUNCTION("""COMPUTED_VALUE"""),"")</f>
        <v/>
      </c>
      <c r="G362" s="134" t="str">
        <f ca="1">IFERROR(__xludf.DUMMYFUNCTION("""COMPUTED_VALUE"""),"")</f>
        <v/>
      </c>
      <c r="H362" s="134" t="str">
        <f ca="1">IFERROR(__xludf.DUMMYFUNCTION("""COMPUTED_VALUE"""),"")</f>
        <v/>
      </c>
      <c r="I362" s="134" t="str">
        <f ca="1">IFERROR(__xludf.DUMMYFUNCTION("""COMPUTED_VALUE"""),"")</f>
        <v/>
      </c>
      <c r="J362" s="134" t="str">
        <f ca="1">IFERROR(__xludf.DUMMYFUNCTION("""COMPUTED_VALUE"""),"")</f>
        <v/>
      </c>
      <c r="N362" s="31"/>
    </row>
    <row r="363" spans="1:14" customFormat="1">
      <c r="A363" s="134" t="str">
        <f ca="1">IFERROR(__xludf.DUMMYFUNCTION("""COMPUTED_VALUE"""),"")</f>
        <v/>
      </c>
      <c r="B363" s="134" t="str">
        <f ca="1">IFERROR(__xludf.DUMMYFUNCTION("""COMPUTED_VALUE"""),"")</f>
        <v/>
      </c>
      <c r="C363" s="134" t="str">
        <f ca="1">IFERROR(__xludf.DUMMYFUNCTION("""COMPUTED_VALUE"""),"")</f>
        <v/>
      </c>
      <c r="D363" s="134" t="str">
        <f ca="1">IFERROR(__xludf.DUMMYFUNCTION("""COMPUTED_VALUE"""),"")</f>
        <v/>
      </c>
      <c r="E363" s="134" t="str">
        <f ca="1">IFERROR(__xludf.DUMMYFUNCTION("""COMPUTED_VALUE"""),"")</f>
        <v/>
      </c>
      <c r="F363" s="134" t="str">
        <f ca="1">IFERROR(__xludf.DUMMYFUNCTION("""COMPUTED_VALUE"""),"")</f>
        <v/>
      </c>
      <c r="G363" s="134" t="str">
        <f ca="1">IFERROR(__xludf.DUMMYFUNCTION("""COMPUTED_VALUE"""),"")</f>
        <v/>
      </c>
      <c r="H363" s="134" t="str">
        <f ca="1">IFERROR(__xludf.DUMMYFUNCTION("""COMPUTED_VALUE"""),"")</f>
        <v/>
      </c>
      <c r="I363" s="134" t="str">
        <f ca="1">IFERROR(__xludf.DUMMYFUNCTION("""COMPUTED_VALUE"""),"")</f>
        <v/>
      </c>
      <c r="J363" s="134" t="str">
        <f ca="1">IFERROR(__xludf.DUMMYFUNCTION("""COMPUTED_VALUE"""),"")</f>
        <v/>
      </c>
      <c r="N363" s="31"/>
    </row>
    <row r="364" spans="1:14" customFormat="1">
      <c r="A364" s="134" t="str">
        <f ca="1">IFERROR(__xludf.DUMMYFUNCTION("""COMPUTED_VALUE"""),"")</f>
        <v/>
      </c>
      <c r="B364" s="134" t="str">
        <f ca="1">IFERROR(__xludf.DUMMYFUNCTION("""COMPUTED_VALUE"""),"")</f>
        <v/>
      </c>
      <c r="C364" s="134" t="str">
        <f ca="1">IFERROR(__xludf.DUMMYFUNCTION("""COMPUTED_VALUE"""),"")</f>
        <v/>
      </c>
      <c r="D364" s="134" t="str">
        <f ca="1">IFERROR(__xludf.DUMMYFUNCTION("""COMPUTED_VALUE"""),"")</f>
        <v/>
      </c>
      <c r="E364" s="134" t="str">
        <f ca="1">IFERROR(__xludf.DUMMYFUNCTION("""COMPUTED_VALUE"""),"")</f>
        <v/>
      </c>
      <c r="F364" s="134" t="str">
        <f ca="1">IFERROR(__xludf.DUMMYFUNCTION("""COMPUTED_VALUE"""),"")</f>
        <v/>
      </c>
      <c r="G364" s="134" t="str">
        <f ca="1">IFERROR(__xludf.DUMMYFUNCTION("""COMPUTED_VALUE"""),"")</f>
        <v/>
      </c>
      <c r="H364" s="134" t="str">
        <f ca="1">IFERROR(__xludf.DUMMYFUNCTION("""COMPUTED_VALUE"""),"")</f>
        <v/>
      </c>
      <c r="I364" s="134" t="str">
        <f ca="1">IFERROR(__xludf.DUMMYFUNCTION("""COMPUTED_VALUE"""),"")</f>
        <v/>
      </c>
      <c r="J364" s="134" t="str">
        <f ca="1">IFERROR(__xludf.DUMMYFUNCTION("""COMPUTED_VALUE"""),"")</f>
        <v/>
      </c>
      <c r="N364" s="31"/>
    </row>
    <row r="365" spans="1:14" customFormat="1">
      <c r="A365" s="134" t="str">
        <f ca="1">IFERROR(__xludf.DUMMYFUNCTION("""COMPUTED_VALUE"""),"")</f>
        <v/>
      </c>
      <c r="B365" s="134" t="str">
        <f ca="1">IFERROR(__xludf.DUMMYFUNCTION("""COMPUTED_VALUE"""),"")</f>
        <v/>
      </c>
      <c r="C365" s="134" t="str">
        <f ca="1">IFERROR(__xludf.DUMMYFUNCTION("""COMPUTED_VALUE"""),"")</f>
        <v/>
      </c>
      <c r="D365" s="134" t="str">
        <f ca="1">IFERROR(__xludf.DUMMYFUNCTION("""COMPUTED_VALUE"""),"")</f>
        <v/>
      </c>
      <c r="E365" s="134" t="str">
        <f ca="1">IFERROR(__xludf.DUMMYFUNCTION("""COMPUTED_VALUE"""),"")</f>
        <v/>
      </c>
      <c r="F365" s="134" t="str">
        <f ca="1">IFERROR(__xludf.DUMMYFUNCTION("""COMPUTED_VALUE"""),"")</f>
        <v/>
      </c>
      <c r="G365" s="134" t="str">
        <f ca="1">IFERROR(__xludf.DUMMYFUNCTION("""COMPUTED_VALUE"""),"")</f>
        <v/>
      </c>
      <c r="H365" s="134" t="str">
        <f ca="1">IFERROR(__xludf.DUMMYFUNCTION("""COMPUTED_VALUE"""),"")</f>
        <v/>
      </c>
      <c r="I365" s="134" t="str">
        <f ca="1">IFERROR(__xludf.DUMMYFUNCTION("""COMPUTED_VALUE"""),"")</f>
        <v/>
      </c>
      <c r="J365" s="134" t="str">
        <f ca="1">IFERROR(__xludf.DUMMYFUNCTION("""COMPUTED_VALUE"""),"")</f>
        <v/>
      </c>
      <c r="N365" s="31"/>
    </row>
    <row r="366" spans="1:14" customFormat="1">
      <c r="A366" s="134" t="str">
        <f ca="1">IFERROR(__xludf.DUMMYFUNCTION("""COMPUTED_VALUE"""),"")</f>
        <v/>
      </c>
      <c r="B366" s="134" t="str">
        <f ca="1">IFERROR(__xludf.DUMMYFUNCTION("""COMPUTED_VALUE"""),"")</f>
        <v/>
      </c>
      <c r="C366" s="134" t="str">
        <f ca="1">IFERROR(__xludf.DUMMYFUNCTION("""COMPUTED_VALUE"""),"")</f>
        <v/>
      </c>
      <c r="D366" s="134" t="str">
        <f ca="1">IFERROR(__xludf.DUMMYFUNCTION("""COMPUTED_VALUE"""),"")</f>
        <v/>
      </c>
      <c r="E366" s="134" t="str">
        <f ca="1">IFERROR(__xludf.DUMMYFUNCTION("""COMPUTED_VALUE"""),"")</f>
        <v/>
      </c>
      <c r="F366" s="134" t="str">
        <f ca="1">IFERROR(__xludf.DUMMYFUNCTION("""COMPUTED_VALUE"""),"")</f>
        <v/>
      </c>
      <c r="G366" s="134" t="str">
        <f ca="1">IFERROR(__xludf.DUMMYFUNCTION("""COMPUTED_VALUE"""),"")</f>
        <v/>
      </c>
      <c r="H366" s="134" t="str">
        <f ca="1">IFERROR(__xludf.DUMMYFUNCTION("""COMPUTED_VALUE"""),"")</f>
        <v/>
      </c>
      <c r="I366" s="134" t="str">
        <f ca="1">IFERROR(__xludf.DUMMYFUNCTION("""COMPUTED_VALUE"""),"")</f>
        <v/>
      </c>
      <c r="J366" s="134" t="str">
        <f ca="1">IFERROR(__xludf.DUMMYFUNCTION("""COMPUTED_VALUE"""),"")</f>
        <v/>
      </c>
      <c r="N366" s="31"/>
    </row>
    <row r="367" spans="1:14" customFormat="1">
      <c r="A367" s="134" t="str">
        <f ca="1">IFERROR(__xludf.DUMMYFUNCTION("""COMPUTED_VALUE"""),"")</f>
        <v/>
      </c>
      <c r="B367" s="134" t="str">
        <f ca="1">IFERROR(__xludf.DUMMYFUNCTION("""COMPUTED_VALUE"""),"")</f>
        <v/>
      </c>
      <c r="C367" s="134" t="str">
        <f ca="1">IFERROR(__xludf.DUMMYFUNCTION("""COMPUTED_VALUE"""),"")</f>
        <v/>
      </c>
      <c r="D367" s="134" t="str">
        <f ca="1">IFERROR(__xludf.DUMMYFUNCTION("""COMPUTED_VALUE"""),"")</f>
        <v/>
      </c>
      <c r="E367" s="134" t="str">
        <f ca="1">IFERROR(__xludf.DUMMYFUNCTION("""COMPUTED_VALUE"""),"")</f>
        <v/>
      </c>
      <c r="F367" s="134" t="str">
        <f ca="1">IFERROR(__xludf.DUMMYFUNCTION("""COMPUTED_VALUE"""),"")</f>
        <v/>
      </c>
      <c r="G367" s="134" t="str">
        <f ca="1">IFERROR(__xludf.DUMMYFUNCTION("""COMPUTED_VALUE"""),"")</f>
        <v/>
      </c>
      <c r="H367" s="134" t="str">
        <f ca="1">IFERROR(__xludf.DUMMYFUNCTION("""COMPUTED_VALUE"""),"")</f>
        <v/>
      </c>
      <c r="I367" s="134" t="str">
        <f ca="1">IFERROR(__xludf.DUMMYFUNCTION("""COMPUTED_VALUE"""),"")</f>
        <v/>
      </c>
      <c r="J367" s="134" t="str">
        <f ca="1">IFERROR(__xludf.DUMMYFUNCTION("""COMPUTED_VALUE"""),"")</f>
        <v/>
      </c>
      <c r="N367" s="31"/>
    </row>
    <row r="368" spans="1:14" customFormat="1">
      <c r="A368" s="134" t="str">
        <f ca="1">IFERROR(__xludf.DUMMYFUNCTION("""COMPUTED_VALUE"""),"")</f>
        <v/>
      </c>
      <c r="B368" s="134" t="str">
        <f ca="1">IFERROR(__xludf.DUMMYFUNCTION("""COMPUTED_VALUE"""),"")</f>
        <v/>
      </c>
      <c r="C368" s="134" t="str">
        <f ca="1">IFERROR(__xludf.DUMMYFUNCTION("""COMPUTED_VALUE"""),"")</f>
        <v/>
      </c>
      <c r="D368" s="134" t="str">
        <f ca="1">IFERROR(__xludf.DUMMYFUNCTION("""COMPUTED_VALUE"""),"")</f>
        <v/>
      </c>
      <c r="E368" s="134" t="str">
        <f ca="1">IFERROR(__xludf.DUMMYFUNCTION("""COMPUTED_VALUE"""),"")</f>
        <v/>
      </c>
      <c r="F368" s="134" t="str">
        <f ca="1">IFERROR(__xludf.DUMMYFUNCTION("""COMPUTED_VALUE"""),"")</f>
        <v/>
      </c>
      <c r="G368" s="134" t="str">
        <f ca="1">IFERROR(__xludf.DUMMYFUNCTION("""COMPUTED_VALUE"""),"")</f>
        <v/>
      </c>
      <c r="H368" s="134" t="str">
        <f ca="1">IFERROR(__xludf.DUMMYFUNCTION("""COMPUTED_VALUE"""),"")</f>
        <v/>
      </c>
      <c r="I368" s="134" t="str">
        <f ca="1">IFERROR(__xludf.DUMMYFUNCTION("""COMPUTED_VALUE"""),"")</f>
        <v/>
      </c>
      <c r="J368" s="134" t="str">
        <f ca="1">IFERROR(__xludf.DUMMYFUNCTION("""COMPUTED_VALUE"""),"")</f>
        <v/>
      </c>
      <c r="N368" s="31"/>
    </row>
    <row r="369" spans="1:14" customFormat="1">
      <c r="A369" s="134" t="str">
        <f ca="1">IFERROR(__xludf.DUMMYFUNCTION("""COMPUTED_VALUE"""),"")</f>
        <v/>
      </c>
      <c r="B369" s="134" t="str">
        <f ca="1">IFERROR(__xludf.DUMMYFUNCTION("""COMPUTED_VALUE"""),"")</f>
        <v/>
      </c>
      <c r="C369" s="134" t="str">
        <f ca="1">IFERROR(__xludf.DUMMYFUNCTION("""COMPUTED_VALUE"""),"")</f>
        <v/>
      </c>
      <c r="D369" s="134" t="str">
        <f ca="1">IFERROR(__xludf.DUMMYFUNCTION("""COMPUTED_VALUE"""),"")</f>
        <v/>
      </c>
      <c r="E369" s="134" t="str">
        <f ca="1">IFERROR(__xludf.DUMMYFUNCTION("""COMPUTED_VALUE"""),"")</f>
        <v/>
      </c>
      <c r="F369" s="134" t="str">
        <f ca="1">IFERROR(__xludf.DUMMYFUNCTION("""COMPUTED_VALUE"""),"")</f>
        <v/>
      </c>
      <c r="G369" s="134" t="str">
        <f ca="1">IFERROR(__xludf.DUMMYFUNCTION("""COMPUTED_VALUE"""),"")</f>
        <v/>
      </c>
      <c r="H369" s="134" t="str">
        <f ca="1">IFERROR(__xludf.DUMMYFUNCTION("""COMPUTED_VALUE"""),"")</f>
        <v/>
      </c>
      <c r="I369" s="134" t="str">
        <f ca="1">IFERROR(__xludf.DUMMYFUNCTION("""COMPUTED_VALUE"""),"")</f>
        <v/>
      </c>
      <c r="J369" s="134" t="str">
        <f ca="1">IFERROR(__xludf.DUMMYFUNCTION("""COMPUTED_VALUE"""),"")</f>
        <v/>
      </c>
      <c r="N369" s="31"/>
    </row>
    <row r="370" spans="1:14" customFormat="1">
      <c r="A370" s="134" t="str">
        <f ca="1">IFERROR(__xludf.DUMMYFUNCTION("""COMPUTED_VALUE"""),"")</f>
        <v/>
      </c>
      <c r="B370" s="134" t="str">
        <f ca="1">IFERROR(__xludf.DUMMYFUNCTION("""COMPUTED_VALUE"""),"")</f>
        <v/>
      </c>
      <c r="C370" s="134" t="str">
        <f ca="1">IFERROR(__xludf.DUMMYFUNCTION("""COMPUTED_VALUE"""),"")</f>
        <v/>
      </c>
      <c r="D370" s="134" t="str">
        <f ca="1">IFERROR(__xludf.DUMMYFUNCTION("""COMPUTED_VALUE"""),"")</f>
        <v/>
      </c>
      <c r="E370" s="134" t="str">
        <f ca="1">IFERROR(__xludf.DUMMYFUNCTION("""COMPUTED_VALUE"""),"")</f>
        <v/>
      </c>
      <c r="F370" s="134" t="str">
        <f ca="1">IFERROR(__xludf.DUMMYFUNCTION("""COMPUTED_VALUE"""),"")</f>
        <v/>
      </c>
      <c r="G370" s="134" t="str">
        <f ca="1">IFERROR(__xludf.DUMMYFUNCTION("""COMPUTED_VALUE"""),"")</f>
        <v/>
      </c>
      <c r="H370" s="134" t="str">
        <f ca="1">IFERROR(__xludf.DUMMYFUNCTION("""COMPUTED_VALUE"""),"")</f>
        <v/>
      </c>
      <c r="I370" s="134" t="str">
        <f ca="1">IFERROR(__xludf.DUMMYFUNCTION("""COMPUTED_VALUE"""),"")</f>
        <v/>
      </c>
      <c r="J370" s="134" t="str">
        <f ca="1">IFERROR(__xludf.DUMMYFUNCTION("""COMPUTED_VALUE"""),"")</f>
        <v/>
      </c>
      <c r="N370" s="31"/>
    </row>
    <row r="371" spans="1:14" customFormat="1">
      <c r="A371" s="134" t="str">
        <f ca="1">IFERROR(__xludf.DUMMYFUNCTION("""COMPUTED_VALUE"""),"")</f>
        <v/>
      </c>
      <c r="B371" s="134" t="str">
        <f ca="1">IFERROR(__xludf.DUMMYFUNCTION("""COMPUTED_VALUE"""),"")</f>
        <v/>
      </c>
      <c r="C371" s="134" t="str">
        <f ca="1">IFERROR(__xludf.DUMMYFUNCTION("""COMPUTED_VALUE"""),"")</f>
        <v/>
      </c>
      <c r="D371" s="134" t="str">
        <f ca="1">IFERROR(__xludf.DUMMYFUNCTION("""COMPUTED_VALUE"""),"")</f>
        <v/>
      </c>
      <c r="E371" s="134" t="str">
        <f ca="1">IFERROR(__xludf.DUMMYFUNCTION("""COMPUTED_VALUE"""),"")</f>
        <v/>
      </c>
      <c r="F371" s="134" t="str">
        <f ca="1">IFERROR(__xludf.DUMMYFUNCTION("""COMPUTED_VALUE"""),"")</f>
        <v/>
      </c>
      <c r="G371" s="134" t="str">
        <f ca="1">IFERROR(__xludf.DUMMYFUNCTION("""COMPUTED_VALUE"""),"")</f>
        <v/>
      </c>
      <c r="H371" s="134" t="str">
        <f ca="1">IFERROR(__xludf.DUMMYFUNCTION("""COMPUTED_VALUE"""),"")</f>
        <v/>
      </c>
      <c r="I371" s="134" t="str">
        <f ca="1">IFERROR(__xludf.DUMMYFUNCTION("""COMPUTED_VALUE"""),"")</f>
        <v/>
      </c>
      <c r="J371" s="134" t="str">
        <f ca="1">IFERROR(__xludf.DUMMYFUNCTION("""COMPUTED_VALUE"""),"")</f>
        <v/>
      </c>
      <c r="N371" s="31"/>
    </row>
    <row r="372" spans="1:14" customFormat="1">
      <c r="A372" s="134" t="str">
        <f ca="1">IFERROR(__xludf.DUMMYFUNCTION("""COMPUTED_VALUE"""),"")</f>
        <v/>
      </c>
      <c r="B372" s="134" t="str">
        <f ca="1">IFERROR(__xludf.DUMMYFUNCTION("""COMPUTED_VALUE"""),"")</f>
        <v/>
      </c>
      <c r="C372" s="134" t="str">
        <f ca="1">IFERROR(__xludf.DUMMYFUNCTION("""COMPUTED_VALUE"""),"")</f>
        <v/>
      </c>
      <c r="D372" s="134" t="str">
        <f ca="1">IFERROR(__xludf.DUMMYFUNCTION("""COMPUTED_VALUE"""),"")</f>
        <v/>
      </c>
      <c r="E372" s="134" t="str">
        <f ca="1">IFERROR(__xludf.DUMMYFUNCTION("""COMPUTED_VALUE"""),"")</f>
        <v/>
      </c>
      <c r="F372" s="134" t="str">
        <f ca="1">IFERROR(__xludf.DUMMYFUNCTION("""COMPUTED_VALUE"""),"")</f>
        <v/>
      </c>
      <c r="G372" s="134" t="str">
        <f ca="1">IFERROR(__xludf.DUMMYFUNCTION("""COMPUTED_VALUE"""),"")</f>
        <v/>
      </c>
      <c r="H372" s="134" t="str">
        <f ca="1">IFERROR(__xludf.DUMMYFUNCTION("""COMPUTED_VALUE"""),"")</f>
        <v/>
      </c>
      <c r="I372" s="134" t="str">
        <f ca="1">IFERROR(__xludf.DUMMYFUNCTION("""COMPUTED_VALUE"""),"")</f>
        <v/>
      </c>
      <c r="J372" s="134" t="str">
        <f ca="1">IFERROR(__xludf.DUMMYFUNCTION("""COMPUTED_VALUE"""),"")</f>
        <v/>
      </c>
      <c r="N372" s="31"/>
    </row>
    <row r="373" spans="1:14" customFormat="1">
      <c r="A373" s="134" t="str">
        <f ca="1">IFERROR(__xludf.DUMMYFUNCTION("""COMPUTED_VALUE"""),"")</f>
        <v/>
      </c>
      <c r="B373" s="134" t="str">
        <f ca="1">IFERROR(__xludf.DUMMYFUNCTION("""COMPUTED_VALUE"""),"")</f>
        <v/>
      </c>
      <c r="C373" s="134" t="str">
        <f ca="1">IFERROR(__xludf.DUMMYFUNCTION("""COMPUTED_VALUE"""),"")</f>
        <v/>
      </c>
      <c r="D373" s="134" t="str">
        <f ca="1">IFERROR(__xludf.DUMMYFUNCTION("""COMPUTED_VALUE"""),"")</f>
        <v/>
      </c>
      <c r="E373" s="134" t="str">
        <f ca="1">IFERROR(__xludf.DUMMYFUNCTION("""COMPUTED_VALUE"""),"")</f>
        <v/>
      </c>
      <c r="F373" s="134" t="str">
        <f ca="1">IFERROR(__xludf.DUMMYFUNCTION("""COMPUTED_VALUE"""),"")</f>
        <v/>
      </c>
      <c r="G373" s="134" t="str">
        <f ca="1">IFERROR(__xludf.DUMMYFUNCTION("""COMPUTED_VALUE"""),"")</f>
        <v/>
      </c>
      <c r="H373" s="134" t="str">
        <f ca="1">IFERROR(__xludf.DUMMYFUNCTION("""COMPUTED_VALUE"""),"")</f>
        <v/>
      </c>
      <c r="I373" s="134" t="str">
        <f ca="1">IFERROR(__xludf.DUMMYFUNCTION("""COMPUTED_VALUE"""),"")</f>
        <v/>
      </c>
      <c r="J373" s="134" t="str">
        <f ca="1">IFERROR(__xludf.DUMMYFUNCTION("""COMPUTED_VALUE"""),"")</f>
        <v/>
      </c>
      <c r="N373" s="31"/>
    </row>
    <row r="374" spans="1:14" customFormat="1">
      <c r="A374" s="134" t="str">
        <f ca="1">IFERROR(__xludf.DUMMYFUNCTION("""COMPUTED_VALUE"""),"")</f>
        <v/>
      </c>
      <c r="B374" s="134" t="str">
        <f ca="1">IFERROR(__xludf.DUMMYFUNCTION("""COMPUTED_VALUE"""),"")</f>
        <v/>
      </c>
      <c r="C374" s="134" t="str">
        <f ca="1">IFERROR(__xludf.DUMMYFUNCTION("""COMPUTED_VALUE"""),"")</f>
        <v/>
      </c>
      <c r="D374" s="134" t="str">
        <f ca="1">IFERROR(__xludf.DUMMYFUNCTION("""COMPUTED_VALUE"""),"")</f>
        <v/>
      </c>
      <c r="E374" s="134" t="str">
        <f ca="1">IFERROR(__xludf.DUMMYFUNCTION("""COMPUTED_VALUE"""),"")</f>
        <v/>
      </c>
      <c r="F374" s="134" t="str">
        <f ca="1">IFERROR(__xludf.DUMMYFUNCTION("""COMPUTED_VALUE"""),"")</f>
        <v/>
      </c>
      <c r="G374" s="134" t="str">
        <f ca="1">IFERROR(__xludf.DUMMYFUNCTION("""COMPUTED_VALUE"""),"")</f>
        <v/>
      </c>
      <c r="H374" s="134" t="str">
        <f ca="1">IFERROR(__xludf.DUMMYFUNCTION("""COMPUTED_VALUE"""),"")</f>
        <v/>
      </c>
      <c r="I374" s="134" t="str">
        <f ca="1">IFERROR(__xludf.DUMMYFUNCTION("""COMPUTED_VALUE"""),"")</f>
        <v/>
      </c>
      <c r="J374" s="134" t="str">
        <f ca="1">IFERROR(__xludf.DUMMYFUNCTION("""COMPUTED_VALUE"""),"")</f>
        <v/>
      </c>
      <c r="N374" s="31"/>
    </row>
    <row r="375" spans="1:14" customFormat="1">
      <c r="A375" s="134" t="str">
        <f ca="1">IFERROR(__xludf.DUMMYFUNCTION("""COMPUTED_VALUE"""),"")</f>
        <v/>
      </c>
      <c r="B375" s="134" t="str">
        <f ca="1">IFERROR(__xludf.DUMMYFUNCTION("""COMPUTED_VALUE"""),"")</f>
        <v/>
      </c>
      <c r="C375" s="134" t="str">
        <f ca="1">IFERROR(__xludf.DUMMYFUNCTION("""COMPUTED_VALUE"""),"")</f>
        <v/>
      </c>
      <c r="D375" s="134" t="str">
        <f ca="1">IFERROR(__xludf.DUMMYFUNCTION("""COMPUTED_VALUE"""),"")</f>
        <v/>
      </c>
      <c r="E375" s="134" t="str">
        <f ca="1">IFERROR(__xludf.DUMMYFUNCTION("""COMPUTED_VALUE"""),"")</f>
        <v/>
      </c>
      <c r="F375" s="134" t="str">
        <f ca="1">IFERROR(__xludf.DUMMYFUNCTION("""COMPUTED_VALUE"""),"")</f>
        <v/>
      </c>
      <c r="G375" s="134" t="str">
        <f ca="1">IFERROR(__xludf.DUMMYFUNCTION("""COMPUTED_VALUE"""),"")</f>
        <v/>
      </c>
      <c r="H375" s="134" t="str">
        <f ca="1">IFERROR(__xludf.DUMMYFUNCTION("""COMPUTED_VALUE"""),"")</f>
        <v/>
      </c>
      <c r="I375" s="134" t="str">
        <f ca="1">IFERROR(__xludf.DUMMYFUNCTION("""COMPUTED_VALUE"""),"")</f>
        <v/>
      </c>
      <c r="J375" s="134" t="str">
        <f ca="1">IFERROR(__xludf.DUMMYFUNCTION("""COMPUTED_VALUE"""),"")</f>
        <v/>
      </c>
      <c r="N375" s="31"/>
    </row>
    <row r="376" spans="1:14" customFormat="1">
      <c r="A376" s="134" t="str">
        <f ca="1">IFERROR(__xludf.DUMMYFUNCTION("""COMPUTED_VALUE"""),"")</f>
        <v/>
      </c>
      <c r="B376" s="134" t="str">
        <f ca="1">IFERROR(__xludf.DUMMYFUNCTION("""COMPUTED_VALUE"""),"")</f>
        <v/>
      </c>
      <c r="C376" s="134" t="str">
        <f ca="1">IFERROR(__xludf.DUMMYFUNCTION("""COMPUTED_VALUE"""),"")</f>
        <v/>
      </c>
      <c r="D376" s="134" t="str">
        <f ca="1">IFERROR(__xludf.DUMMYFUNCTION("""COMPUTED_VALUE"""),"")</f>
        <v/>
      </c>
      <c r="E376" s="134" t="str">
        <f ca="1">IFERROR(__xludf.DUMMYFUNCTION("""COMPUTED_VALUE"""),"")</f>
        <v/>
      </c>
      <c r="F376" s="134" t="str">
        <f ca="1">IFERROR(__xludf.DUMMYFUNCTION("""COMPUTED_VALUE"""),"")</f>
        <v/>
      </c>
      <c r="G376" s="134" t="str">
        <f ca="1">IFERROR(__xludf.DUMMYFUNCTION("""COMPUTED_VALUE"""),"")</f>
        <v/>
      </c>
      <c r="H376" s="134" t="str">
        <f ca="1">IFERROR(__xludf.DUMMYFUNCTION("""COMPUTED_VALUE"""),"")</f>
        <v/>
      </c>
      <c r="I376" s="134" t="str">
        <f ca="1">IFERROR(__xludf.DUMMYFUNCTION("""COMPUTED_VALUE"""),"")</f>
        <v/>
      </c>
      <c r="J376" s="134" t="str">
        <f ca="1">IFERROR(__xludf.DUMMYFUNCTION("""COMPUTED_VALUE"""),"")</f>
        <v/>
      </c>
      <c r="N376" s="31"/>
    </row>
    <row r="377" spans="1:14" customFormat="1">
      <c r="A377" s="134" t="str">
        <f ca="1">IFERROR(__xludf.DUMMYFUNCTION("""COMPUTED_VALUE"""),"")</f>
        <v/>
      </c>
      <c r="B377" s="134" t="str">
        <f ca="1">IFERROR(__xludf.DUMMYFUNCTION("""COMPUTED_VALUE"""),"")</f>
        <v/>
      </c>
      <c r="C377" s="134" t="str">
        <f ca="1">IFERROR(__xludf.DUMMYFUNCTION("""COMPUTED_VALUE"""),"")</f>
        <v/>
      </c>
      <c r="D377" s="134" t="str">
        <f ca="1">IFERROR(__xludf.DUMMYFUNCTION("""COMPUTED_VALUE"""),"")</f>
        <v/>
      </c>
      <c r="E377" s="134" t="str">
        <f ca="1">IFERROR(__xludf.DUMMYFUNCTION("""COMPUTED_VALUE"""),"")</f>
        <v/>
      </c>
      <c r="F377" s="134" t="str">
        <f ca="1">IFERROR(__xludf.DUMMYFUNCTION("""COMPUTED_VALUE"""),"")</f>
        <v/>
      </c>
      <c r="G377" s="134" t="str">
        <f ca="1">IFERROR(__xludf.DUMMYFUNCTION("""COMPUTED_VALUE"""),"")</f>
        <v/>
      </c>
      <c r="H377" s="134" t="str">
        <f ca="1">IFERROR(__xludf.DUMMYFUNCTION("""COMPUTED_VALUE"""),"")</f>
        <v/>
      </c>
      <c r="I377" s="134" t="str">
        <f ca="1">IFERROR(__xludf.DUMMYFUNCTION("""COMPUTED_VALUE"""),"")</f>
        <v/>
      </c>
      <c r="J377" s="134" t="str">
        <f ca="1">IFERROR(__xludf.DUMMYFUNCTION("""COMPUTED_VALUE"""),"")</f>
        <v/>
      </c>
      <c r="N377" s="31"/>
    </row>
    <row r="378" spans="1:14" customFormat="1">
      <c r="A378" s="134" t="str">
        <f ca="1">IFERROR(__xludf.DUMMYFUNCTION("""COMPUTED_VALUE"""),"")</f>
        <v/>
      </c>
      <c r="B378" s="134" t="str">
        <f ca="1">IFERROR(__xludf.DUMMYFUNCTION("""COMPUTED_VALUE"""),"")</f>
        <v/>
      </c>
      <c r="C378" s="134" t="str">
        <f ca="1">IFERROR(__xludf.DUMMYFUNCTION("""COMPUTED_VALUE"""),"")</f>
        <v/>
      </c>
      <c r="D378" s="134" t="str">
        <f ca="1">IFERROR(__xludf.DUMMYFUNCTION("""COMPUTED_VALUE"""),"")</f>
        <v/>
      </c>
      <c r="E378" s="134" t="str">
        <f ca="1">IFERROR(__xludf.DUMMYFUNCTION("""COMPUTED_VALUE"""),"")</f>
        <v/>
      </c>
      <c r="F378" s="134" t="str">
        <f ca="1">IFERROR(__xludf.DUMMYFUNCTION("""COMPUTED_VALUE"""),"")</f>
        <v/>
      </c>
      <c r="G378" s="134" t="str">
        <f ca="1">IFERROR(__xludf.DUMMYFUNCTION("""COMPUTED_VALUE"""),"")</f>
        <v/>
      </c>
      <c r="H378" s="134" t="str">
        <f ca="1">IFERROR(__xludf.DUMMYFUNCTION("""COMPUTED_VALUE"""),"")</f>
        <v/>
      </c>
      <c r="I378" s="134" t="str">
        <f ca="1">IFERROR(__xludf.DUMMYFUNCTION("""COMPUTED_VALUE"""),"")</f>
        <v/>
      </c>
      <c r="J378" s="134" t="str">
        <f ca="1">IFERROR(__xludf.DUMMYFUNCTION("""COMPUTED_VALUE"""),"")</f>
        <v/>
      </c>
      <c r="N378" s="31"/>
    </row>
    <row r="379" spans="1:14" customFormat="1">
      <c r="A379" s="134" t="str">
        <f ca="1">IFERROR(__xludf.DUMMYFUNCTION("""COMPUTED_VALUE"""),"")</f>
        <v/>
      </c>
      <c r="B379" s="134" t="str">
        <f ca="1">IFERROR(__xludf.DUMMYFUNCTION("""COMPUTED_VALUE"""),"")</f>
        <v/>
      </c>
      <c r="C379" s="134" t="str">
        <f ca="1">IFERROR(__xludf.DUMMYFUNCTION("""COMPUTED_VALUE"""),"")</f>
        <v/>
      </c>
      <c r="D379" s="134" t="str">
        <f ca="1">IFERROR(__xludf.DUMMYFUNCTION("""COMPUTED_VALUE"""),"")</f>
        <v/>
      </c>
      <c r="E379" s="134" t="str">
        <f ca="1">IFERROR(__xludf.DUMMYFUNCTION("""COMPUTED_VALUE"""),"")</f>
        <v/>
      </c>
      <c r="F379" s="134" t="str">
        <f ca="1">IFERROR(__xludf.DUMMYFUNCTION("""COMPUTED_VALUE"""),"")</f>
        <v/>
      </c>
      <c r="G379" s="134" t="str">
        <f ca="1">IFERROR(__xludf.DUMMYFUNCTION("""COMPUTED_VALUE"""),"")</f>
        <v/>
      </c>
      <c r="H379" s="134" t="str">
        <f ca="1">IFERROR(__xludf.DUMMYFUNCTION("""COMPUTED_VALUE"""),"")</f>
        <v/>
      </c>
      <c r="I379" s="134" t="str">
        <f ca="1">IFERROR(__xludf.DUMMYFUNCTION("""COMPUTED_VALUE"""),"")</f>
        <v/>
      </c>
      <c r="J379" s="134" t="str">
        <f ca="1">IFERROR(__xludf.DUMMYFUNCTION("""COMPUTED_VALUE"""),"")</f>
        <v/>
      </c>
      <c r="N379" s="31"/>
    </row>
    <row r="380" spans="1:14" customFormat="1">
      <c r="A380" s="134" t="str">
        <f ca="1">IFERROR(__xludf.DUMMYFUNCTION("""COMPUTED_VALUE"""),"")</f>
        <v/>
      </c>
      <c r="B380" s="134" t="str">
        <f ca="1">IFERROR(__xludf.DUMMYFUNCTION("""COMPUTED_VALUE"""),"")</f>
        <v/>
      </c>
      <c r="C380" s="134" t="str">
        <f ca="1">IFERROR(__xludf.DUMMYFUNCTION("""COMPUTED_VALUE"""),"")</f>
        <v/>
      </c>
      <c r="D380" s="134" t="str">
        <f ca="1">IFERROR(__xludf.DUMMYFUNCTION("""COMPUTED_VALUE"""),"")</f>
        <v/>
      </c>
      <c r="E380" s="134" t="str">
        <f ca="1">IFERROR(__xludf.DUMMYFUNCTION("""COMPUTED_VALUE"""),"")</f>
        <v/>
      </c>
      <c r="F380" s="134" t="str">
        <f ca="1">IFERROR(__xludf.DUMMYFUNCTION("""COMPUTED_VALUE"""),"")</f>
        <v/>
      </c>
      <c r="G380" s="134" t="str">
        <f ca="1">IFERROR(__xludf.DUMMYFUNCTION("""COMPUTED_VALUE"""),"")</f>
        <v/>
      </c>
      <c r="H380" s="134" t="str">
        <f ca="1">IFERROR(__xludf.DUMMYFUNCTION("""COMPUTED_VALUE"""),"")</f>
        <v/>
      </c>
      <c r="I380" s="134" t="str">
        <f ca="1">IFERROR(__xludf.DUMMYFUNCTION("""COMPUTED_VALUE"""),"")</f>
        <v/>
      </c>
      <c r="J380" s="134" t="str">
        <f ca="1">IFERROR(__xludf.DUMMYFUNCTION("""COMPUTED_VALUE"""),"")</f>
        <v/>
      </c>
      <c r="N380" s="31"/>
    </row>
    <row r="381" spans="1:14" customFormat="1">
      <c r="A381" s="134" t="str">
        <f ca="1">IFERROR(__xludf.DUMMYFUNCTION("""COMPUTED_VALUE"""),"")</f>
        <v/>
      </c>
      <c r="B381" s="134" t="str">
        <f ca="1">IFERROR(__xludf.DUMMYFUNCTION("""COMPUTED_VALUE"""),"")</f>
        <v/>
      </c>
      <c r="C381" s="134" t="str">
        <f ca="1">IFERROR(__xludf.DUMMYFUNCTION("""COMPUTED_VALUE"""),"")</f>
        <v/>
      </c>
      <c r="D381" s="134" t="str">
        <f ca="1">IFERROR(__xludf.DUMMYFUNCTION("""COMPUTED_VALUE"""),"")</f>
        <v/>
      </c>
      <c r="E381" s="134" t="str">
        <f ca="1">IFERROR(__xludf.DUMMYFUNCTION("""COMPUTED_VALUE"""),"")</f>
        <v/>
      </c>
      <c r="F381" s="134" t="str">
        <f ca="1">IFERROR(__xludf.DUMMYFUNCTION("""COMPUTED_VALUE"""),"")</f>
        <v/>
      </c>
      <c r="G381" s="134" t="str">
        <f ca="1">IFERROR(__xludf.DUMMYFUNCTION("""COMPUTED_VALUE"""),"")</f>
        <v/>
      </c>
      <c r="H381" s="134" t="str">
        <f ca="1">IFERROR(__xludf.DUMMYFUNCTION("""COMPUTED_VALUE"""),"")</f>
        <v/>
      </c>
      <c r="I381" s="134" t="str">
        <f ca="1">IFERROR(__xludf.DUMMYFUNCTION("""COMPUTED_VALUE"""),"")</f>
        <v/>
      </c>
      <c r="J381" s="134" t="str">
        <f ca="1">IFERROR(__xludf.DUMMYFUNCTION("""COMPUTED_VALUE"""),"")</f>
        <v/>
      </c>
      <c r="N381" s="31"/>
    </row>
    <row r="382" spans="1:14" customFormat="1">
      <c r="A382" s="134" t="str">
        <f ca="1">IFERROR(__xludf.DUMMYFUNCTION("""COMPUTED_VALUE"""),"")</f>
        <v/>
      </c>
      <c r="B382" s="134" t="str">
        <f ca="1">IFERROR(__xludf.DUMMYFUNCTION("""COMPUTED_VALUE"""),"")</f>
        <v/>
      </c>
      <c r="C382" s="134" t="str">
        <f ca="1">IFERROR(__xludf.DUMMYFUNCTION("""COMPUTED_VALUE"""),"")</f>
        <v/>
      </c>
      <c r="D382" s="134" t="str">
        <f ca="1">IFERROR(__xludf.DUMMYFUNCTION("""COMPUTED_VALUE"""),"")</f>
        <v/>
      </c>
      <c r="E382" s="134" t="str">
        <f ca="1">IFERROR(__xludf.DUMMYFUNCTION("""COMPUTED_VALUE"""),"")</f>
        <v/>
      </c>
      <c r="F382" s="134" t="str">
        <f ca="1">IFERROR(__xludf.DUMMYFUNCTION("""COMPUTED_VALUE"""),"")</f>
        <v/>
      </c>
      <c r="G382" s="134" t="str">
        <f ca="1">IFERROR(__xludf.DUMMYFUNCTION("""COMPUTED_VALUE"""),"")</f>
        <v/>
      </c>
      <c r="H382" s="134" t="str">
        <f ca="1">IFERROR(__xludf.DUMMYFUNCTION("""COMPUTED_VALUE"""),"")</f>
        <v/>
      </c>
      <c r="I382" s="134" t="str">
        <f ca="1">IFERROR(__xludf.DUMMYFUNCTION("""COMPUTED_VALUE"""),"")</f>
        <v/>
      </c>
      <c r="J382" s="134" t="str">
        <f ca="1">IFERROR(__xludf.DUMMYFUNCTION("""COMPUTED_VALUE"""),"")</f>
        <v/>
      </c>
      <c r="N382" s="31"/>
    </row>
    <row r="383" spans="1:14" customFormat="1">
      <c r="A383" s="134" t="str">
        <f ca="1">IFERROR(__xludf.DUMMYFUNCTION("""COMPUTED_VALUE"""),"")</f>
        <v/>
      </c>
      <c r="B383" s="134" t="str">
        <f ca="1">IFERROR(__xludf.DUMMYFUNCTION("""COMPUTED_VALUE"""),"")</f>
        <v/>
      </c>
      <c r="C383" s="134" t="str">
        <f ca="1">IFERROR(__xludf.DUMMYFUNCTION("""COMPUTED_VALUE"""),"")</f>
        <v/>
      </c>
      <c r="D383" s="134" t="str">
        <f ca="1">IFERROR(__xludf.DUMMYFUNCTION("""COMPUTED_VALUE"""),"")</f>
        <v/>
      </c>
      <c r="E383" s="134" t="str">
        <f ca="1">IFERROR(__xludf.DUMMYFUNCTION("""COMPUTED_VALUE"""),"")</f>
        <v/>
      </c>
      <c r="F383" s="134" t="str">
        <f ca="1">IFERROR(__xludf.DUMMYFUNCTION("""COMPUTED_VALUE"""),"")</f>
        <v/>
      </c>
      <c r="G383" s="134" t="str">
        <f ca="1">IFERROR(__xludf.DUMMYFUNCTION("""COMPUTED_VALUE"""),"")</f>
        <v/>
      </c>
      <c r="H383" s="134" t="str">
        <f ca="1">IFERROR(__xludf.DUMMYFUNCTION("""COMPUTED_VALUE"""),"")</f>
        <v/>
      </c>
      <c r="I383" s="134" t="str">
        <f ca="1">IFERROR(__xludf.DUMMYFUNCTION("""COMPUTED_VALUE"""),"")</f>
        <v/>
      </c>
      <c r="J383" s="134" t="str">
        <f ca="1">IFERROR(__xludf.DUMMYFUNCTION("""COMPUTED_VALUE"""),"")</f>
        <v/>
      </c>
      <c r="N383" s="31"/>
    </row>
    <row r="384" spans="1:14" customFormat="1">
      <c r="A384" s="134" t="str">
        <f ca="1">IFERROR(__xludf.DUMMYFUNCTION("""COMPUTED_VALUE"""),"")</f>
        <v/>
      </c>
      <c r="B384" s="134" t="str">
        <f ca="1">IFERROR(__xludf.DUMMYFUNCTION("""COMPUTED_VALUE"""),"")</f>
        <v/>
      </c>
      <c r="C384" s="134" t="str">
        <f ca="1">IFERROR(__xludf.DUMMYFUNCTION("""COMPUTED_VALUE"""),"")</f>
        <v/>
      </c>
      <c r="D384" s="134" t="str">
        <f ca="1">IFERROR(__xludf.DUMMYFUNCTION("""COMPUTED_VALUE"""),"")</f>
        <v/>
      </c>
      <c r="E384" s="134" t="str">
        <f ca="1">IFERROR(__xludf.DUMMYFUNCTION("""COMPUTED_VALUE"""),"")</f>
        <v/>
      </c>
      <c r="F384" s="134" t="str">
        <f ca="1">IFERROR(__xludf.DUMMYFUNCTION("""COMPUTED_VALUE"""),"")</f>
        <v/>
      </c>
      <c r="G384" s="134" t="str">
        <f ca="1">IFERROR(__xludf.DUMMYFUNCTION("""COMPUTED_VALUE"""),"")</f>
        <v/>
      </c>
      <c r="H384" s="134" t="str">
        <f ca="1">IFERROR(__xludf.DUMMYFUNCTION("""COMPUTED_VALUE"""),"")</f>
        <v/>
      </c>
      <c r="I384" s="134" t="str">
        <f ca="1">IFERROR(__xludf.DUMMYFUNCTION("""COMPUTED_VALUE"""),"")</f>
        <v/>
      </c>
      <c r="J384" s="134" t="str">
        <f ca="1">IFERROR(__xludf.DUMMYFUNCTION("""COMPUTED_VALUE"""),"")</f>
        <v/>
      </c>
      <c r="N384" s="31"/>
    </row>
    <row r="385" spans="1:14" customFormat="1">
      <c r="A385" s="134" t="str">
        <f ca="1">IFERROR(__xludf.DUMMYFUNCTION("""COMPUTED_VALUE"""),"")</f>
        <v/>
      </c>
      <c r="B385" s="134" t="str">
        <f ca="1">IFERROR(__xludf.DUMMYFUNCTION("""COMPUTED_VALUE"""),"")</f>
        <v/>
      </c>
      <c r="C385" s="134" t="str">
        <f ca="1">IFERROR(__xludf.DUMMYFUNCTION("""COMPUTED_VALUE"""),"")</f>
        <v/>
      </c>
      <c r="D385" s="134" t="str">
        <f ca="1">IFERROR(__xludf.DUMMYFUNCTION("""COMPUTED_VALUE"""),"")</f>
        <v/>
      </c>
      <c r="E385" s="134" t="str">
        <f ca="1">IFERROR(__xludf.DUMMYFUNCTION("""COMPUTED_VALUE"""),"")</f>
        <v/>
      </c>
      <c r="F385" s="134" t="str">
        <f ca="1">IFERROR(__xludf.DUMMYFUNCTION("""COMPUTED_VALUE"""),"")</f>
        <v/>
      </c>
      <c r="G385" s="134" t="str">
        <f ca="1">IFERROR(__xludf.DUMMYFUNCTION("""COMPUTED_VALUE"""),"")</f>
        <v/>
      </c>
      <c r="H385" s="134" t="str">
        <f ca="1">IFERROR(__xludf.DUMMYFUNCTION("""COMPUTED_VALUE"""),"")</f>
        <v/>
      </c>
      <c r="I385" s="134" t="str">
        <f ca="1">IFERROR(__xludf.DUMMYFUNCTION("""COMPUTED_VALUE"""),"")</f>
        <v/>
      </c>
      <c r="J385" s="134" t="str">
        <f ca="1">IFERROR(__xludf.DUMMYFUNCTION("""COMPUTED_VALUE"""),"")</f>
        <v/>
      </c>
      <c r="N385" s="31"/>
    </row>
    <row r="386" spans="1:14" customFormat="1">
      <c r="A386" s="134" t="str">
        <f ca="1">IFERROR(__xludf.DUMMYFUNCTION("""COMPUTED_VALUE"""),"")</f>
        <v/>
      </c>
      <c r="B386" s="134" t="str">
        <f ca="1">IFERROR(__xludf.DUMMYFUNCTION("""COMPUTED_VALUE"""),"")</f>
        <v/>
      </c>
      <c r="C386" s="134" t="str">
        <f ca="1">IFERROR(__xludf.DUMMYFUNCTION("""COMPUTED_VALUE"""),"")</f>
        <v/>
      </c>
      <c r="D386" s="134" t="str">
        <f ca="1">IFERROR(__xludf.DUMMYFUNCTION("""COMPUTED_VALUE"""),"")</f>
        <v/>
      </c>
      <c r="E386" s="134" t="str">
        <f ca="1">IFERROR(__xludf.DUMMYFUNCTION("""COMPUTED_VALUE"""),"")</f>
        <v/>
      </c>
      <c r="F386" s="134" t="str">
        <f ca="1">IFERROR(__xludf.DUMMYFUNCTION("""COMPUTED_VALUE"""),"")</f>
        <v/>
      </c>
      <c r="G386" s="134" t="str">
        <f ca="1">IFERROR(__xludf.DUMMYFUNCTION("""COMPUTED_VALUE"""),"")</f>
        <v/>
      </c>
      <c r="H386" s="134" t="str">
        <f ca="1">IFERROR(__xludf.DUMMYFUNCTION("""COMPUTED_VALUE"""),"")</f>
        <v/>
      </c>
      <c r="I386" s="134" t="str">
        <f ca="1">IFERROR(__xludf.DUMMYFUNCTION("""COMPUTED_VALUE"""),"")</f>
        <v/>
      </c>
      <c r="J386" s="134" t="str">
        <f ca="1">IFERROR(__xludf.DUMMYFUNCTION("""COMPUTED_VALUE"""),"")</f>
        <v/>
      </c>
      <c r="N386" s="31"/>
    </row>
    <row r="387" spans="1:14" customFormat="1">
      <c r="A387" s="134" t="str">
        <f ca="1">IFERROR(__xludf.DUMMYFUNCTION("""COMPUTED_VALUE"""),"")</f>
        <v/>
      </c>
      <c r="B387" s="134" t="str">
        <f ca="1">IFERROR(__xludf.DUMMYFUNCTION("""COMPUTED_VALUE"""),"")</f>
        <v/>
      </c>
      <c r="C387" s="134" t="str">
        <f ca="1">IFERROR(__xludf.DUMMYFUNCTION("""COMPUTED_VALUE"""),"")</f>
        <v/>
      </c>
      <c r="D387" s="134" t="str">
        <f ca="1">IFERROR(__xludf.DUMMYFUNCTION("""COMPUTED_VALUE"""),"")</f>
        <v/>
      </c>
      <c r="E387" s="134" t="str">
        <f ca="1">IFERROR(__xludf.DUMMYFUNCTION("""COMPUTED_VALUE"""),"")</f>
        <v/>
      </c>
      <c r="F387" s="134" t="str">
        <f ca="1">IFERROR(__xludf.DUMMYFUNCTION("""COMPUTED_VALUE"""),"")</f>
        <v/>
      </c>
      <c r="G387" s="134" t="str">
        <f ca="1">IFERROR(__xludf.DUMMYFUNCTION("""COMPUTED_VALUE"""),"")</f>
        <v/>
      </c>
      <c r="H387" s="134" t="str">
        <f ca="1">IFERROR(__xludf.DUMMYFUNCTION("""COMPUTED_VALUE"""),"")</f>
        <v/>
      </c>
      <c r="I387" s="134" t="str">
        <f ca="1">IFERROR(__xludf.DUMMYFUNCTION("""COMPUTED_VALUE"""),"")</f>
        <v/>
      </c>
      <c r="J387" s="134" t="str">
        <f ca="1">IFERROR(__xludf.DUMMYFUNCTION("""COMPUTED_VALUE"""),"")</f>
        <v/>
      </c>
      <c r="N387" s="31"/>
    </row>
    <row r="388" spans="1:14" customFormat="1">
      <c r="A388" s="134" t="str">
        <f ca="1">IFERROR(__xludf.DUMMYFUNCTION("""COMPUTED_VALUE"""),"")</f>
        <v/>
      </c>
      <c r="B388" s="134" t="str">
        <f ca="1">IFERROR(__xludf.DUMMYFUNCTION("""COMPUTED_VALUE"""),"")</f>
        <v/>
      </c>
      <c r="C388" s="134" t="str">
        <f ca="1">IFERROR(__xludf.DUMMYFUNCTION("""COMPUTED_VALUE"""),"")</f>
        <v/>
      </c>
      <c r="D388" s="134" t="str">
        <f ca="1">IFERROR(__xludf.DUMMYFUNCTION("""COMPUTED_VALUE"""),"")</f>
        <v/>
      </c>
      <c r="E388" s="134" t="str">
        <f ca="1">IFERROR(__xludf.DUMMYFUNCTION("""COMPUTED_VALUE"""),"")</f>
        <v/>
      </c>
      <c r="F388" s="134" t="str">
        <f ca="1">IFERROR(__xludf.DUMMYFUNCTION("""COMPUTED_VALUE"""),"")</f>
        <v/>
      </c>
      <c r="G388" s="134" t="str">
        <f ca="1">IFERROR(__xludf.DUMMYFUNCTION("""COMPUTED_VALUE"""),"")</f>
        <v/>
      </c>
      <c r="H388" s="134" t="str">
        <f ca="1">IFERROR(__xludf.DUMMYFUNCTION("""COMPUTED_VALUE"""),"")</f>
        <v/>
      </c>
      <c r="I388" s="134" t="str">
        <f ca="1">IFERROR(__xludf.DUMMYFUNCTION("""COMPUTED_VALUE"""),"")</f>
        <v/>
      </c>
      <c r="J388" s="134" t="str">
        <f ca="1">IFERROR(__xludf.DUMMYFUNCTION("""COMPUTED_VALUE"""),"")</f>
        <v/>
      </c>
      <c r="N388" s="31"/>
    </row>
    <row r="389" spans="1:14" customFormat="1">
      <c r="A389" s="134" t="str">
        <f ca="1">IFERROR(__xludf.DUMMYFUNCTION("""COMPUTED_VALUE"""),"")</f>
        <v/>
      </c>
      <c r="B389" s="134" t="str">
        <f ca="1">IFERROR(__xludf.DUMMYFUNCTION("""COMPUTED_VALUE"""),"")</f>
        <v/>
      </c>
      <c r="C389" s="134" t="str">
        <f ca="1">IFERROR(__xludf.DUMMYFUNCTION("""COMPUTED_VALUE"""),"")</f>
        <v/>
      </c>
      <c r="D389" s="134" t="str">
        <f ca="1">IFERROR(__xludf.DUMMYFUNCTION("""COMPUTED_VALUE"""),"")</f>
        <v/>
      </c>
      <c r="E389" s="134" t="str">
        <f ca="1">IFERROR(__xludf.DUMMYFUNCTION("""COMPUTED_VALUE"""),"")</f>
        <v/>
      </c>
      <c r="F389" s="134" t="str">
        <f ca="1">IFERROR(__xludf.DUMMYFUNCTION("""COMPUTED_VALUE"""),"")</f>
        <v/>
      </c>
      <c r="G389" s="134" t="str">
        <f ca="1">IFERROR(__xludf.DUMMYFUNCTION("""COMPUTED_VALUE"""),"")</f>
        <v/>
      </c>
      <c r="H389" s="134" t="str">
        <f ca="1">IFERROR(__xludf.DUMMYFUNCTION("""COMPUTED_VALUE"""),"")</f>
        <v/>
      </c>
      <c r="I389" s="134" t="str">
        <f ca="1">IFERROR(__xludf.DUMMYFUNCTION("""COMPUTED_VALUE"""),"")</f>
        <v/>
      </c>
      <c r="J389" s="134" t="str">
        <f ca="1">IFERROR(__xludf.DUMMYFUNCTION("""COMPUTED_VALUE"""),"")</f>
        <v/>
      </c>
      <c r="N389" s="31"/>
    </row>
    <row r="390" spans="1:14" customFormat="1">
      <c r="A390" s="134" t="str">
        <f ca="1">IFERROR(__xludf.DUMMYFUNCTION("""COMPUTED_VALUE"""),"")</f>
        <v/>
      </c>
      <c r="B390" s="134" t="str">
        <f ca="1">IFERROR(__xludf.DUMMYFUNCTION("""COMPUTED_VALUE"""),"")</f>
        <v/>
      </c>
      <c r="C390" s="134" t="str">
        <f ca="1">IFERROR(__xludf.DUMMYFUNCTION("""COMPUTED_VALUE"""),"")</f>
        <v/>
      </c>
      <c r="D390" s="134" t="str">
        <f ca="1">IFERROR(__xludf.DUMMYFUNCTION("""COMPUTED_VALUE"""),"")</f>
        <v/>
      </c>
      <c r="E390" s="134" t="str">
        <f ca="1">IFERROR(__xludf.DUMMYFUNCTION("""COMPUTED_VALUE"""),"")</f>
        <v/>
      </c>
      <c r="F390" s="134" t="str">
        <f ca="1">IFERROR(__xludf.DUMMYFUNCTION("""COMPUTED_VALUE"""),"")</f>
        <v/>
      </c>
      <c r="G390" s="134" t="str">
        <f ca="1">IFERROR(__xludf.DUMMYFUNCTION("""COMPUTED_VALUE"""),"")</f>
        <v/>
      </c>
      <c r="H390" s="134" t="str">
        <f ca="1">IFERROR(__xludf.DUMMYFUNCTION("""COMPUTED_VALUE"""),"")</f>
        <v/>
      </c>
      <c r="I390" s="134" t="str">
        <f ca="1">IFERROR(__xludf.DUMMYFUNCTION("""COMPUTED_VALUE"""),"")</f>
        <v/>
      </c>
      <c r="J390" s="134" t="str">
        <f ca="1">IFERROR(__xludf.DUMMYFUNCTION("""COMPUTED_VALUE"""),"")</f>
        <v/>
      </c>
      <c r="N390" s="31"/>
    </row>
    <row r="391" spans="1:14" customFormat="1">
      <c r="A391" s="134" t="str">
        <f ca="1">IFERROR(__xludf.DUMMYFUNCTION("""COMPUTED_VALUE"""),"")</f>
        <v/>
      </c>
      <c r="B391" s="134" t="str">
        <f ca="1">IFERROR(__xludf.DUMMYFUNCTION("""COMPUTED_VALUE"""),"")</f>
        <v/>
      </c>
      <c r="C391" s="134" t="str">
        <f ca="1">IFERROR(__xludf.DUMMYFUNCTION("""COMPUTED_VALUE"""),"")</f>
        <v/>
      </c>
      <c r="D391" s="134" t="str">
        <f ca="1">IFERROR(__xludf.DUMMYFUNCTION("""COMPUTED_VALUE"""),"")</f>
        <v/>
      </c>
      <c r="E391" s="134" t="str">
        <f ca="1">IFERROR(__xludf.DUMMYFUNCTION("""COMPUTED_VALUE"""),"")</f>
        <v/>
      </c>
      <c r="F391" s="134" t="str">
        <f ca="1">IFERROR(__xludf.DUMMYFUNCTION("""COMPUTED_VALUE"""),"")</f>
        <v/>
      </c>
      <c r="G391" s="134" t="str">
        <f ca="1">IFERROR(__xludf.DUMMYFUNCTION("""COMPUTED_VALUE"""),"")</f>
        <v/>
      </c>
      <c r="H391" s="134" t="str">
        <f ca="1">IFERROR(__xludf.DUMMYFUNCTION("""COMPUTED_VALUE"""),"")</f>
        <v/>
      </c>
      <c r="I391" s="134" t="str">
        <f ca="1">IFERROR(__xludf.DUMMYFUNCTION("""COMPUTED_VALUE"""),"")</f>
        <v/>
      </c>
      <c r="J391" s="134" t="str">
        <f ca="1">IFERROR(__xludf.DUMMYFUNCTION("""COMPUTED_VALUE"""),"")</f>
        <v/>
      </c>
      <c r="N391" s="31"/>
    </row>
    <row r="392" spans="1:14" customFormat="1">
      <c r="A392" s="134" t="str">
        <f ca="1">IFERROR(__xludf.DUMMYFUNCTION("""COMPUTED_VALUE"""),"")</f>
        <v/>
      </c>
      <c r="B392" s="134" t="str">
        <f ca="1">IFERROR(__xludf.DUMMYFUNCTION("""COMPUTED_VALUE"""),"")</f>
        <v/>
      </c>
      <c r="C392" s="134" t="str">
        <f ca="1">IFERROR(__xludf.DUMMYFUNCTION("""COMPUTED_VALUE"""),"")</f>
        <v/>
      </c>
      <c r="D392" s="134" t="str">
        <f ca="1">IFERROR(__xludf.DUMMYFUNCTION("""COMPUTED_VALUE"""),"")</f>
        <v/>
      </c>
      <c r="E392" s="134" t="str">
        <f ca="1">IFERROR(__xludf.DUMMYFUNCTION("""COMPUTED_VALUE"""),"")</f>
        <v/>
      </c>
      <c r="F392" s="134" t="str">
        <f ca="1">IFERROR(__xludf.DUMMYFUNCTION("""COMPUTED_VALUE"""),"")</f>
        <v/>
      </c>
      <c r="G392" s="134" t="str">
        <f ca="1">IFERROR(__xludf.DUMMYFUNCTION("""COMPUTED_VALUE"""),"")</f>
        <v/>
      </c>
      <c r="H392" s="134" t="str">
        <f ca="1">IFERROR(__xludf.DUMMYFUNCTION("""COMPUTED_VALUE"""),"")</f>
        <v/>
      </c>
      <c r="I392" s="134" t="str">
        <f ca="1">IFERROR(__xludf.DUMMYFUNCTION("""COMPUTED_VALUE"""),"")</f>
        <v/>
      </c>
      <c r="J392" s="134" t="str">
        <f ca="1">IFERROR(__xludf.DUMMYFUNCTION("""COMPUTED_VALUE"""),"")</f>
        <v/>
      </c>
      <c r="N392" s="31"/>
    </row>
    <row r="393" spans="1:14" customFormat="1">
      <c r="A393" s="134" t="str">
        <f ca="1">IFERROR(__xludf.DUMMYFUNCTION("""COMPUTED_VALUE"""),"")</f>
        <v/>
      </c>
      <c r="B393" s="134" t="str">
        <f ca="1">IFERROR(__xludf.DUMMYFUNCTION("""COMPUTED_VALUE"""),"")</f>
        <v/>
      </c>
      <c r="C393" s="134" t="str">
        <f ca="1">IFERROR(__xludf.DUMMYFUNCTION("""COMPUTED_VALUE"""),"")</f>
        <v/>
      </c>
      <c r="D393" s="134" t="str">
        <f ca="1">IFERROR(__xludf.DUMMYFUNCTION("""COMPUTED_VALUE"""),"")</f>
        <v/>
      </c>
      <c r="E393" s="134" t="str">
        <f ca="1">IFERROR(__xludf.DUMMYFUNCTION("""COMPUTED_VALUE"""),"")</f>
        <v/>
      </c>
      <c r="F393" s="134" t="str">
        <f ca="1">IFERROR(__xludf.DUMMYFUNCTION("""COMPUTED_VALUE"""),"")</f>
        <v/>
      </c>
      <c r="G393" s="134" t="str">
        <f ca="1">IFERROR(__xludf.DUMMYFUNCTION("""COMPUTED_VALUE"""),"")</f>
        <v/>
      </c>
      <c r="H393" s="134" t="str">
        <f ca="1">IFERROR(__xludf.DUMMYFUNCTION("""COMPUTED_VALUE"""),"")</f>
        <v/>
      </c>
      <c r="I393" s="134" t="str">
        <f ca="1">IFERROR(__xludf.DUMMYFUNCTION("""COMPUTED_VALUE"""),"")</f>
        <v/>
      </c>
      <c r="J393" s="134" t="str">
        <f ca="1">IFERROR(__xludf.DUMMYFUNCTION("""COMPUTED_VALUE"""),"")</f>
        <v/>
      </c>
      <c r="N393" s="31"/>
    </row>
    <row r="394" spans="1:14" customFormat="1">
      <c r="A394" s="134" t="str">
        <f ca="1">IFERROR(__xludf.DUMMYFUNCTION("""COMPUTED_VALUE"""),"")</f>
        <v/>
      </c>
      <c r="B394" s="134" t="str">
        <f ca="1">IFERROR(__xludf.DUMMYFUNCTION("""COMPUTED_VALUE"""),"")</f>
        <v/>
      </c>
      <c r="C394" s="134" t="str">
        <f ca="1">IFERROR(__xludf.DUMMYFUNCTION("""COMPUTED_VALUE"""),"")</f>
        <v/>
      </c>
      <c r="D394" s="134" t="str">
        <f ca="1">IFERROR(__xludf.DUMMYFUNCTION("""COMPUTED_VALUE"""),"")</f>
        <v/>
      </c>
      <c r="E394" s="134" t="str">
        <f ca="1">IFERROR(__xludf.DUMMYFUNCTION("""COMPUTED_VALUE"""),"")</f>
        <v/>
      </c>
      <c r="F394" s="134" t="str">
        <f ca="1">IFERROR(__xludf.DUMMYFUNCTION("""COMPUTED_VALUE"""),"")</f>
        <v/>
      </c>
      <c r="G394" s="134" t="str">
        <f ca="1">IFERROR(__xludf.DUMMYFUNCTION("""COMPUTED_VALUE"""),"")</f>
        <v/>
      </c>
      <c r="H394" s="134" t="str">
        <f ca="1">IFERROR(__xludf.DUMMYFUNCTION("""COMPUTED_VALUE"""),"")</f>
        <v/>
      </c>
      <c r="I394" s="134" t="str">
        <f ca="1">IFERROR(__xludf.DUMMYFUNCTION("""COMPUTED_VALUE"""),"")</f>
        <v/>
      </c>
      <c r="J394" s="134" t="str">
        <f ca="1">IFERROR(__xludf.DUMMYFUNCTION("""COMPUTED_VALUE"""),"")</f>
        <v/>
      </c>
      <c r="N394" s="31"/>
    </row>
    <row r="395" spans="1:14" customFormat="1">
      <c r="A395" s="134" t="str">
        <f ca="1">IFERROR(__xludf.DUMMYFUNCTION("""COMPUTED_VALUE"""),"")</f>
        <v/>
      </c>
      <c r="B395" s="134" t="str">
        <f ca="1">IFERROR(__xludf.DUMMYFUNCTION("""COMPUTED_VALUE"""),"")</f>
        <v/>
      </c>
      <c r="C395" s="134" t="str">
        <f ca="1">IFERROR(__xludf.DUMMYFUNCTION("""COMPUTED_VALUE"""),"")</f>
        <v/>
      </c>
      <c r="D395" s="134" t="str">
        <f ca="1">IFERROR(__xludf.DUMMYFUNCTION("""COMPUTED_VALUE"""),"")</f>
        <v/>
      </c>
      <c r="E395" s="134" t="str">
        <f ca="1">IFERROR(__xludf.DUMMYFUNCTION("""COMPUTED_VALUE"""),"")</f>
        <v/>
      </c>
      <c r="F395" s="134" t="str">
        <f ca="1">IFERROR(__xludf.DUMMYFUNCTION("""COMPUTED_VALUE"""),"")</f>
        <v/>
      </c>
      <c r="G395" s="134" t="str">
        <f ca="1">IFERROR(__xludf.DUMMYFUNCTION("""COMPUTED_VALUE"""),"")</f>
        <v/>
      </c>
      <c r="H395" s="134" t="str">
        <f ca="1">IFERROR(__xludf.DUMMYFUNCTION("""COMPUTED_VALUE"""),"")</f>
        <v/>
      </c>
      <c r="I395" s="134" t="str">
        <f ca="1">IFERROR(__xludf.DUMMYFUNCTION("""COMPUTED_VALUE"""),"")</f>
        <v/>
      </c>
      <c r="J395" s="134" t="str">
        <f ca="1">IFERROR(__xludf.DUMMYFUNCTION("""COMPUTED_VALUE"""),"")</f>
        <v/>
      </c>
      <c r="N395" s="31"/>
    </row>
    <row r="396" spans="1:14" customFormat="1">
      <c r="A396" s="134" t="str">
        <f ca="1">IFERROR(__xludf.DUMMYFUNCTION("""COMPUTED_VALUE"""),"")</f>
        <v/>
      </c>
      <c r="B396" s="134" t="str">
        <f ca="1">IFERROR(__xludf.DUMMYFUNCTION("""COMPUTED_VALUE"""),"")</f>
        <v/>
      </c>
      <c r="C396" s="134" t="str">
        <f ca="1">IFERROR(__xludf.DUMMYFUNCTION("""COMPUTED_VALUE"""),"")</f>
        <v/>
      </c>
      <c r="D396" s="134" t="str">
        <f ca="1">IFERROR(__xludf.DUMMYFUNCTION("""COMPUTED_VALUE"""),"")</f>
        <v/>
      </c>
      <c r="E396" s="134" t="str">
        <f ca="1">IFERROR(__xludf.DUMMYFUNCTION("""COMPUTED_VALUE"""),"")</f>
        <v/>
      </c>
      <c r="F396" s="134" t="str">
        <f ca="1">IFERROR(__xludf.DUMMYFUNCTION("""COMPUTED_VALUE"""),"")</f>
        <v/>
      </c>
      <c r="G396" s="134" t="str">
        <f ca="1">IFERROR(__xludf.DUMMYFUNCTION("""COMPUTED_VALUE"""),"")</f>
        <v/>
      </c>
      <c r="H396" s="134" t="str">
        <f ca="1">IFERROR(__xludf.DUMMYFUNCTION("""COMPUTED_VALUE"""),"")</f>
        <v/>
      </c>
      <c r="I396" s="134" t="str">
        <f ca="1">IFERROR(__xludf.DUMMYFUNCTION("""COMPUTED_VALUE"""),"")</f>
        <v/>
      </c>
      <c r="J396" s="134" t="str">
        <f ca="1">IFERROR(__xludf.DUMMYFUNCTION("""COMPUTED_VALUE"""),"")</f>
        <v/>
      </c>
      <c r="N396" s="31"/>
    </row>
    <row r="397" spans="1:14" customFormat="1">
      <c r="A397" s="134" t="str">
        <f ca="1">IFERROR(__xludf.DUMMYFUNCTION("""COMPUTED_VALUE"""),"")</f>
        <v/>
      </c>
      <c r="B397" s="134" t="str">
        <f ca="1">IFERROR(__xludf.DUMMYFUNCTION("""COMPUTED_VALUE"""),"")</f>
        <v/>
      </c>
      <c r="C397" s="134" t="str">
        <f ca="1">IFERROR(__xludf.DUMMYFUNCTION("""COMPUTED_VALUE"""),"")</f>
        <v/>
      </c>
      <c r="D397" s="134" t="str">
        <f ca="1">IFERROR(__xludf.DUMMYFUNCTION("""COMPUTED_VALUE"""),"")</f>
        <v/>
      </c>
      <c r="E397" s="134" t="str">
        <f ca="1">IFERROR(__xludf.DUMMYFUNCTION("""COMPUTED_VALUE"""),"")</f>
        <v/>
      </c>
      <c r="F397" s="134" t="str">
        <f ca="1">IFERROR(__xludf.DUMMYFUNCTION("""COMPUTED_VALUE"""),"")</f>
        <v/>
      </c>
      <c r="G397" s="134" t="str">
        <f ca="1">IFERROR(__xludf.DUMMYFUNCTION("""COMPUTED_VALUE"""),"")</f>
        <v/>
      </c>
      <c r="H397" s="134" t="str">
        <f ca="1">IFERROR(__xludf.DUMMYFUNCTION("""COMPUTED_VALUE"""),"")</f>
        <v/>
      </c>
      <c r="I397" s="134" t="str">
        <f ca="1">IFERROR(__xludf.DUMMYFUNCTION("""COMPUTED_VALUE"""),"")</f>
        <v/>
      </c>
      <c r="J397" s="134" t="str">
        <f ca="1">IFERROR(__xludf.DUMMYFUNCTION("""COMPUTED_VALUE"""),"")</f>
        <v/>
      </c>
      <c r="N397" s="31"/>
    </row>
    <row r="398" spans="1:14" customFormat="1">
      <c r="A398" s="134" t="str">
        <f ca="1">IFERROR(__xludf.DUMMYFUNCTION("""COMPUTED_VALUE"""),"")</f>
        <v/>
      </c>
      <c r="B398" s="134" t="str">
        <f ca="1">IFERROR(__xludf.DUMMYFUNCTION("""COMPUTED_VALUE"""),"")</f>
        <v/>
      </c>
      <c r="C398" s="134" t="str">
        <f ca="1">IFERROR(__xludf.DUMMYFUNCTION("""COMPUTED_VALUE"""),"")</f>
        <v/>
      </c>
      <c r="D398" s="134" t="str">
        <f ca="1">IFERROR(__xludf.DUMMYFUNCTION("""COMPUTED_VALUE"""),"")</f>
        <v/>
      </c>
      <c r="E398" s="134" t="str">
        <f ca="1">IFERROR(__xludf.DUMMYFUNCTION("""COMPUTED_VALUE"""),"")</f>
        <v/>
      </c>
      <c r="F398" s="134" t="str">
        <f ca="1">IFERROR(__xludf.DUMMYFUNCTION("""COMPUTED_VALUE"""),"")</f>
        <v/>
      </c>
      <c r="G398" s="134" t="str">
        <f ca="1">IFERROR(__xludf.DUMMYFUNCTION("""COMPUTED_VALUE"""),"")</f>
        <v/>
      </c>
      <c r="H398" s="134" t="str">
        <f ca="1">IFERROR(__xludf.DUMMYFUNCTION("""COMPUTED_VALUE"""),"")</f>
        <v/>
      </c>
      <c r="I398" s="134" t="str">
        <f ca="1">IFERROR(__xludf.DUMMYFUNCTION("""COMPUTED_VALUE"""),"")</f>
        <v/>
      </c>
      <c r="J398" s="134" t="str">
        <f ca="1">IFERROR(__xludf.DUMMYFUNCTION("""COMPUTED_VALUE"""),"")</f>
        <v/>
      </c>
      <c r="N398" s="31"/>
    </row>
    <row r="399" spans="1:14" customFormat="1">
      <c r="A399" s="134" t="str">
        <f ca="1">IFERROR(__xludf.DUMMYFUNCTION("""COMPUTED_VALUE"""),"")</f>
        <v/>
      </c>
      <c r="B399" s="134" t="str">
        <f ca="1">IFERROR(__xludf.DUMMYFUNCTION("""COMPUTED_VALUE"""),"")</f>
        <v/>
      </c>
      <c r="C399" s="134" t="str">
        <f ca="1">IFERROR(__xludf.DUMMYFUNCTION("""COMPUTED_VALUE"""),"")</f>
        <v/>
      </c>
      <c r="D399" s="134" t="str">
        <f ca="1">IFERROR(__xludf.DUMMYFUNCTION("""COMPUTED_VALUE"""),"")</f>
        <v/>
      </c>
      <c r="E399" s="134" t="str">
        <f ca="1">IFERROR(__xludf.DUMMYFUNCTION("""COMPUTED_VALUE"""),"")</f>
        <v/>
      </c>
      <c r="F399" s="134" t="str">
        <f ca="1">IFERROR(__xludf.DUMMYFUNCTION("""COMPUTED_VALUE"""),"")</f>
        <v/>
      </c>
      <c r="G399" s="134" t="str">
        <f ca="1">IFERROR(__xludf.DUMMYFUNCTION("""COMPUTED_VALUE"""),"")</f>
        <v/>
      </c>
      <c r="H399" s="134" t="str">
        <f ca="1">IFERROR(__xludf.DUMMYFUNCTION("""COMPUTED_VALUE"""),"")</f>
        <v/>
      </c>
      <c r="I399" s="134" t="str">
        <f ca="1">IFERROR(__xludf.DUMMYFUNCTION("""COMPUTED_VALUE"""),"")</f>
        <v/>
      </c>
      <c r="J399" s="134" t="str">
        <f ca="1">IFERROR(__xludf.DUMMYFUNCTION("""COMPUTED_VALUE"""),"")</f>
        <v/>
      </c>
      <c r="N399" s="31"/>
    </row>
    <row r="400" spans="1:14" customFormat="1">
      <c r="A400" s="134" t="str">
        <f ca="1">IFERROR(__xludf.DUMMYFUNCTION("""COMPUTED_VALUE"""),"")</f>
        <v/>
      </c>
      <c r="B400" s="134" t="str">
        <f ca="1">IFERROR(__xludf.DUMMYFUNCTION("""COMPUTED_VALUE"""),"")</f>
        <v/>
      </c>
      <c r="C400" s="134" t="str">
        <f ca="1">IFERROR(__xludf.DUMMYFUNCTION("""COMPUTED_VALUE"""),"")</f>
        <v/>
      </c>
      <c r="D400" s="134" t="str">
        <f ca="1">IFERROR(__xludf.DUMMYFUNCTION("""COMPUTED_VALUE"""),"")</f>
        <v/>
      </c>
      <c r="E400" s="134" t="str">
        <f ca="1">IFERROR(__xludf.DUMMYFUNCTION("""COMPUTED_VALUE"""),"")</f>
        <v/>
      </c>
      <c r="F400" s="134" t="str">
        <f ca="1">IFERROR(__xludf.DUMMYFUNCTION("""COMPUTED_VALUE"""),"")</f>
        <v/>
      </c>
      <c r="G400" s="134" t="str">
        <f ca="1">IFERROR(__xludf.DUMMYFUNCTION("""COMPUTED_VALUE"""),"")</f>
        <v/>
      </c>
      <c r="H400" s="134" t="str">
        <f ca="1">IFERROR(__xludf.DUMMYFUNCTION("""COMPUTED_VALUE"""),"")</f>
        <v/>
      </c>
      <c r="I400" s="134" t="str">
        <f ca="1">IFERROR(__xludf.DUMMYFUNCTION("""COMPUTED_VALUE"""),"")</f>
        <v/>
      </c>
      <c r="J400" s="134" t="str">
        <f ca="1">IFERROR(__xludf.DUMMYFUNCTION("""COMPUTED_VALUE"""),"")</f>
        <v/>
      </c>
      <c r="N400" s="31"/>
    </row>
    <row r="401" spans="1:14" customFormat="1">
      <c r="A401" s="134" t="str">
        <f ca="1">IFERROR(__xludf.DUMMYFUNCTION("""COMPUTED_VALUE"""),"")</f>
        <v/>
      </c>
      <c r="B401" s="134" t="str">
        <f ca="1">IFERROR(__xludf.DUMMYFUNCTION("""COMPUTED_VALUE"""),"")</f>
        <v/>
      </c>
      <c r="C401" s="134" t="str">
        <f ca="1">IFERROR(__xludf.DUMMYFUNCTION("""COMPUTED_VALUE"""),"")</f>
        <v/>
      </c>
      <c r="D401" s="134" t="str">
        <f ca="1">IFERROR(__xludf.DUMMYFUNCTION("""COMPUTED_VALUE"""),"")</f>
        <v/>
      </c>
      <c r="E401" s="134" t="str">
        <f ca="1">IFERROR(__xludf.DUMMYFUNCTION("""COMPUTED_VALUE"""),"")</f>
        <v/>
      </c>
      <c r="F401" s="134" t="str">
        <f ca="1">IFERROR(__xludf.DUMMYFUNCTION("""COMPUTED_VALUE"""),"")</f>
        <v/>
      </c>
      <c r="G401" s="134" t="str">
        <f ca="1">IFERROR(__xludf.DUMMYFUNCTION("""COMPUTED_VALUE"""),"")</f>
        <v/>
      </c>
      <c r="H401" s="134" t="str">
        <f ca="1">IFERROR(__xludf.DUMMYFUNCTION("""COMPUTED_VALUE"""),"")</f>
        <v/>
      </c>
      <c r="I401" s="134" t="str">
        <f ca="1">IFERROR(__xludf.DUMMYFUNCTION("""COMPUTED_VALUE"""),"")</f>
        <v/>
      </c>
      <c r="J401" s="134" t="str">
        <f ca="1">IFERROR(__xludf.DUMMYFUNCTION("""COMPUTED_VALUE"""),"")</f>
        <v/>
      </c>
      <c r="N401" s="31"/>
    </row>
    <row r="402" spans="1:14" customFormat="1">
      <c r="A402" s="134" t="str">
        <f ca="1">IFERROR(__xludf.DUMMYFUNCTION("""COMPUTED_VALUE"""),"")</f>
        <v/>
      </c>
      <c r="B402" s="134" t="str">
        <f ca="1">IFERROR(__xludf.DUMMYFUNCTION("""COMPUTED_VALUE"""),"")</f>
        <v/>
      </c>
      <c r="C402" s="134" t="str">
        <f ca="1">IFERROR(__xludf.DUMMYFUNCTION("""COMPUTED_VALUE"""),"")</f>
        <v/>
      </c>
      <c r="D402" s="134" t="str">
        <f ca="1">IFERROR(__xludf.DUMMYFUNCTION("""COMPUTED_VALUE"""),"")</f>
        <v/>
      </c>
      <c r="E402" s="134" t="str">
        <f ca="1">IFERROR(__xludf.DUMMYFUNCTION("""COMPUTED_VALUE"""),"")</f>
        <v/>
      </c>
      <c r="F402" s="134" t="str">
        <f ca="1">IFERROR(__xludf.DUMMYFUNCTION("""COMPUTED_VALUE"""),"")</f>
        <v/>
      </c>
      <c r="G402" s="134" t="str">
        <f ca="1">IFERROR(__xludf.DUMMYFUNCTION("""COMPUTED_VALUE"""),"")</f>
        <v/>
      </c>
      <c r="H402" s="134" t="str">
        <f ca="1">IFERROR(__xludf.DUMMYFUNCTION("""COMPUTED_VALUE"""),"")</f>
        <v/>
      </c>
      <c r="I402" s="134" t="str">
        <f ca="1">IFERROR(__xludf.DUMMYFUNCTION("""COMPUTED_VALUE"""),"")</f>
        <v/>
      </c>
      <c r="J402" s="134" t="str">
        <f ca="1">IFERROR(__xludf.DUMMYFUNCTION("""COMPUTED_VALUE"""),"")</f>
        <v/>
      </c>
      <c r="N402" s="31"/>
    </row>
    <row r="403" spans="1:14" customFormat="1">
      <c r="A403" s="134" t="str">
        <f ca="1">IFERROR(__xludf.DUMMYFUNCTION("""COMPUTED_VALUE"""),"")</f>
        <v/>
      </c>
      <c r="B403" s="134" t="str">
        <f ca="1">IFERROR(__xludf.DUMMYFUNCTION("""COMPUTED_VALUE"""),"")</f>
        <v/>
      </c>
      <c r="C403" s="134" t="str">
        <f ca="1">IFERROR(__xludf.DUMMYFUNCTION("""COMPUTED_VALUE"""),"")</f>
        <v/>
      </c>
      <c r="D403" s="134" t="str">
        <f ca="1">IFERROR(__xludf.DUMMYFUNCTION("""COMPUTED_VALUE"""),"")</f>
        <v/>
      </c>
      <c r="E403" s="134" t="str">
        <f ca="1">IFERROR(__xludf.DUMMYFUNCTION("""COMPUTED_VALUE"""),"")</f>
        <v/>
      </c>
      <c r="F403" s="134" t="str">
        <f ca="1">IFERROR(__xludf.DUMMYFUNCTION("""COMPUTED_VALUE"""),"")</f>
        <v/>
      </c>
      <c r="G403" s="134" t="str">
        <f ca="1">IFERROR(__xludf.DUMMYFUNCTION("""COMPUTED_VALUE"""),"")</f>
        <v/>
      </c>
      <c r="H403" s="134" t="str">
        <f ca="1">IFERROR(__xludf.DUMMYFUNCTION("""COMPUTED_VALUE"""),"")</f>
        <v/>
      </c>
      <c r="I403" s="134" t="str">
        <f ca="1">IFERROR(__xludf.DUMMYFUNCTION("""COMPUTED_VALUE"""),"")</f>
        <v/>
      </c>
      <c r="J403" s="134" t="str">
        <f ca="1">IFERROR(__xludf.DUMMYFUNCTION("""COMPUTED_VALUE"""),"")</f>
        <v/>
      </c>
      <c r="N403" s="31"/>
    </row>
    <row r="404" spans="1:14" customFormat="1">
      <c r="A404" s="134" t="str">
        <f ca="1">IFERROR(__xludf.DUMMYFUNCTION("""COMPUTED_VALUE"""),"")</f>
        <v/>
      </c>
      <c r="B404" s="134" t="str">
        <f ca="1">IFERROR(__xludf.DUMMYFUNCTION("""COMPUTED_VALUE"""),"")</f>
        <v/>
      </c>
      <c r="C404" s="134" t="str">
        <f ca="1">IFERROR(__xludf.DUMMYFUNCTION("""COMPUTED_VALUE"""),"")</f>
        <v/>
      </c>
      <c r="D404" s="134" t="str">
        <f ca="1">IFERROR(__xludf.DUMMYFUNCTION("""COMPUTED_VALUE"""),"")</f>
        <v/>
      </c>
      <c r="E404" s="134" t="str">
        <f ca="1">IFERROR(__xludf.DUMMYFUNCTION("""COMPUTED_VALUE"""),"")</f>
        <v/>
      </c>
      <c r="F404" s="134" t="str">
        <f ca="1">IFERROR(__xludf.DUMMYFUNCTION("""COMPUTED_VALUE"""),"")</f>
        <v/>
      </c>
      <c r="G404" s="134" t="str">
        <f ca="1">IFERROR(__xludf.DUMMYFUNCTION("""COMPUTED_VALUE"""),"")</f>
        <v/>
      </c>
      <c r="H404" s="134" t="str">
        <f ca="1">IFERROR(__xludf.DUMMYFUNCTION("""COMPUTED_VALUE"""),"")</f>
        <v/>
      </c>
      <c r="I404" s="134" t="str">
        <f ca="1">IFERROR(__xludf.DUMMYFUNCTION("""COMPUTED_VALUE"""),"")</f>
        <v/>
      </c>
      <c r="J404" s="134" t="str">
        <f ca="1">IFERROR(__xludf.DUMMYFUNCTION("""COMPUTED_VALUE"""),"")</f>
        <v/>
      </c>
      <c r="N404" s="31"/>
    </row>
    <row r="405" spans="1:14" customFormat="1">
      <c r="A405" s="134" t="str">
        <f ca="1">IFERROR(__xludf.DUMMYFUNCTION("""COMPUTED_VALUE"""),"")</f>
        <v/>
      </c>
      <c r="B405" s="134" t="str">
        <f ca="1">IFERROR(__xludf.DUMMYFUNCTION("""COMPUTED_VALUE"""),"")</f>
        <v/>
      </c>
      <c r="C405" s="134" t="str">
        <f ca="1">IFERROR(__xludf.DUMMYFUNCTION("""COMPUTED_VALUE"""),"")</f>
        <v/>
      </c>
      <c r="D405" s="134" t="str">
        <f ca="1">IFERROR(__xludf.DUMMYFUNCTION("""COMPUTED_VALUE"""),"")</f>
        <v/>
      </c>
      <c r="E405" s="134" t="str">
        <f ca="1">IFERROR(__xludf.DUMMYFUNCTION("""COMPUTED_VALUE"""),"")</f>
        <v/>
      </c>
      <c r="F405" s="134" t="str">
        <f ca="1">IFERROR(__xludf.DUMMYFUNCTION("""COMPUTED_VALUE"""),"")</f>
        <v/>
      </c>
      <c r="G405" s="134" t="str">
        <f ca="1">IFERROR(__xludf.DUMMYFUNCTION("""COMPUTED_VALUE"""),"")</f>
        <v/>
      </c>
      <c r="H405" s="134" t="str">
        <f ca="1">IFERROR(__xludf.DUMMYFUNCTION("""COMPUTED_VALUE"""),"")</f>
        <v/>
      </c>
      <c r="I405" s="134" t="str">
        <f ca="1">IFERROR(__xludf.DUMMYFUNCTION("""COMPUTED_VALUE"""),"")</f>
        <v/>
      </c>
      <c r="J405" s="134" t="str">
        <f ca="1">IFERROR(__xludf.DUMMYFUNCTION("""COMPUTED_VALUE"""),"")</f>
        <v/>
      </c>
      <c r="N405" s="31"/>
    </row>
    <row r="406" spans="1:14" customFormat="1">
      <c r="A406" s="134" t="str">
        <f ca="1">IFERROR(__xludf.DUMMYFUNCTION("""COMPUTED_VALUE"""),"")</f>
        <v/>
      </c>
      <c r="B406" s="134" t="str">
        <f ca="1">IFERROR(__xludf.DUMMYFUNCTION("""COMPUTED_VALUE"""),"")</f>
        <v/>
      </c>
      <c r="C406" s="134" t="str">
        <f ca="1">IFERROR(__xludf.DUMMYFUNCTION("""COMPUTED_VALUE"""),"")</f>
        <v/>
      </c>
      <c r="D406" s="134" t="str">
        <f ca="1">IFERROR(__xludf.DUMMYFUNCTION("""COMPUTED_VALUE"""),"")</f>
        <v/>
      </c>
      <c r="E406" s="134" t="str">
        <f ca="1">IFERROR(__xludf.DUMMYFUNCTION("""COMPUTED_VALUE"""),"")</f>
        <v/>
      </c>
      <c r="F406" s="134" t="str">
        <f ca="1">IFERROR(__xludf.DUMMYFUNCTION("""COMPUTED_VALUE"""),"")</f>
        <v/>
      </c>
      <c r="G406" s="134" t="str">
        <f ca="1">IFERROR(__xludf.DUMMYFUNCTION("""COMPUTED_VALUE"""),"")</f>
        <v/>
      </c>
      <c r="H406" s="134" t="str">
        <f ca="1">IFERROR(__xludf.DUMMYFUNCTION("""COMPUTED_VALUE"""),"")</f>
        <v/>
      </c>
      <c r="I406" s="134" t="str">
        <f ca="1">IFERROR(__xludf.DUMMYFUNCTION("""COMPUTED_VALUE"""),"")</f>
        <v/>
      </c>
      <c r="J406" s="134" t="str">
        <f ca="1">IFERROR(__xludf.DUMMYFUNCTION("""COMPUTED_VALUE"""),"")</f>
        <v/>
      </c>
      <c r="N406" s="31"/>
    </row>
    <row r="407" spans="1:14" customFormat="1">
      <c r="A407" s="134" t="str">
        <f ca="1">IFERROR(__xludf.DUMMYFUNCTION("""COMPUTED_VALUE"""),"")</f>
        <v/>
      </c>
      <c r="B407" s="134" t="str">
        <f ca="1">IFERROR(__xludf.DUMMYFUNCTION("""COMPUTED_VALUE"""),"")</f>
        <v/>
      </c>
      <c r="C407" s="134" t="str">
        <f ca="1">IFERROR(__xludf.DUMMYFUNCTION("""COMPUTED_VALUE"""),"")</f>
        <v/>
      </c>
      <c r="D407" s="134" t="str">
        <f ca="1">IFERROR(__xludf.DUMMYFUNCTION("""COMPUTED_VALUE"""),"")</f>
        <v/>
      </c>
      <c r="E407" s="134" t="str">
        <f ca="1">IFERROR(__xludf.DUMMYFUNCTION("""COMPUTED_VALUE"""),"")</f>
        <v/>
      </c>
      <c r="F407" s="134" t="str">
        <f ca="1">IFERROR(__xludf.DUMMYFUNCTION("""COMPUTED_VALUE"""),"")</f>
        <v/>
      </c>
      <c r="G407" s="134" t="str">
        <f ca="1">IFERROR(__xludf.DUMMYFUNCTION("""COMPUTED_VALUE"""),"")</f>
        <v/>
      </c>
      <c r="H407" s="134" t="str">
        <f ca="1">IFERROR(__xludf.DUMMYFUNCTION("""COMPUTED_VALUE"""),"")</f>
        <v/>
      </c>
      <c r="I407" s="134" t="str">
        <f ca="1">IFERROR(__xludf.DUMMYFUNCTION("""COMPUTED_VALUE"""),"")</f>
        <v/>
      </c>
      <c r="J407" s="134" t="str">
        <f ca="1">IFERROR(__xludf.DUMMYFUNCTION("""COMPUTED_VALUE"""),"")</f>
        <v/>
      </c>
      <c r="N407" s="31"/>
    </row>
    <row r="408" spans="1:14" customFormat="1">
      <c r="A408" s="134" t="str">
        <f ca="1">IFERROR(__xludf.DUMMYFUNCTION("""COMPUTED_VALUE"""),"")</f>
        <v/>
      </c>
      <c r="B408" s="134" t="str">
        <f ca="1">IFERROR(__xludf.DUMMYFUNCTION("""COMPUTED_VALUE"""),"")</f>
        <v/>
      </c>
      <c r="C408" s="134" t="str">
        <f ca="1">IFERROR(__xludf.DUMMYFUNCTION("""COMPUTED_VALUE"""),"")</f>
        <v/>
      </c>
      <c r="D408" s="134" t="str">
        <f ca="1">IFERROR(__xludf.DUMMYFUNCTION("""COMPUTED_VALUE"""),"")</f>
        <v/>
      </c>
      <c r="E408" s="134" t="str">
        <f ca="1">IFERROR(__xludf.DUMMYFUNCTION("""COMPUTED_VALUE"""),"")</f>
        <v/>
      </c>
      <c r="F408" s="134" t="str">
        <f ca="1">IFERROR(__xludf.DUMMYFUNCTION("""COMPUTED_VALUE"""),"")</f>
        <v/>
      </c>
      <c r="G408" s="134" t="str">
        <f ca="1">IFERROR(__xludf.DUMMYFUNCTION("""COMPUTED_VALUE"""),"")</f>
        <v/>
      </c>
      <c r="H408" s="134" t="str">
        <f ca="1">IFERROR(__xludf.DUMMYFUNCTION("""COMPUTED_VALUE"""),"")</f>
        <v/>
      </c>
      <c r="I408" s="134" t="str">
        <f ca="1">IFERROR(__xludf.DUMMYFUNCTION("""COMPUTED_VALUE"""),"")</f>
        <v/>
      </c>
      <c r="J408" s="134" t="str">
        <f ca="1">IFERROR(__xludf.DUMMYFUNCTION("""COMPUTED_VALUE"""),"")</f>
        <v/>
      </c>
      <c r="N408" s="31"/>
    </row>
    <row r="409" spans="1:14" customFormat="1">
      <c r="A409" s="134" t="str">
        <f ca="1">IFERROR(__xludf.DUMMYFUNCTION("""COMPUTED_VALUE"""),"")</f>
        <v/>
      </c>
      <c r="B409" s="134" t="str">
        <f ca="1">IFERROR(__xludf.DUMMYFUNCTION("""COMPUTED_VALUE"""),"")</f>
        <v/>
      </c>
      <c r="C409" s="134" t="str">
        <f ca="1">IFERROR(__xludf.DUMMYFUNCTION("""COMPUTED_VALUE"""),"")</f>
        <v/>
      </c>
      <c r="D409" s="134" t="str">
        <f ca="1">IFERROR(__xludf.DUMMYFUNCTION("""COMPUTED_VALUE"""),"")</f>
        <v/>
      </c>
      <c r="E409" s="134" t="str">
        <f ca="1">IFERROR(__xludf.DUMMYFUNCTION("""COMPUTED_VALUE"""),"")</f>
        <v/>
      </c>
      <c r="F409" s="134" t="str">
        <f ca="1">IFERROR(__xludf.DUMMYFUNCTION("""COMPUTED_VALUE"""),"")</f>
        <v/>
      </c>
      <c r="G409" s="134" t="str">
        <f ca="1">IFERROR(__xludf.DUMMYFUNCTION("""COMPUTED_VALUE"""),"")</f>
        <v/>
      </c>
      <c r="H409" s="134" t="str">
        <f ca="1">IFERROR(__xludf.DUMMYFUNCTION("""COMPUTED_VALUE"""),"")</f>
        <v/>
      </c>
      <c r="I409" s="134" t="str">
        <f ca="1">IFERROR(__xludf.DUMMYFUNCTION("""COMPUTED_VALUE"""),"")</f>
        <v/>
      </c>
      <c r="J409" s="134" t="str">
        <f ca="1">IFERROR(__xludf.DUMMYFUNCTION("""COMPUTED_VALUE"""),"")</f>
        <v/>
      </c>
      <c r="N409" s="31"/>
    </row>
    <row r="410" spans="1:14" customFormat="1">
      <c r="A410" s="134" t="str">
        <f ca="1">IFERROR(__xludf.DUMMYFUNCTION("""COMPUTED_VALUE"""),"")</f>
        <v/>
      </c>
      <c r="B410" s="134" t="str">
        <f ca="1">IFERROR(__xludf.DUMMYFUNCTION("""COMPUTED_VALUE"""),"")</f>
        <v/>
      </c>
      <c r="C410" s="134" t="str">
        <f ca="1">IFERROR(__xludf.DUMMYFUNCTION("""COMPUTED_VALUE"""),"")</f>
        <v/>
      </c>
      <c r="D410" s="134" t="str">
        <f ca="1">IFERROR(__xludf.DUMMYFUNCTION("""COMPUTED_VALUE"""),"")</f>
        <v/>
      </c>
      <c r="E410" s="134" t="str">
        <f ca="1">IFERROR(__xludf.DUMMYFUNCTION("""COMPUTED_VALUE"""),"")</f>
        <v/>
      </c>
      <c r="F410" s="134" t="str">
        <f ca="1">IFERROR(__xludf.DUMMYFUNCTION("""COMPUTED_VALUE"""),"")</f>
        <v/>
      </c>
      <c r="G410" s="134" t="str">
        <f ca="1">IFERROR(__xludf.DUMMYFUNCTION("""COMPUTED_VALUE"""),"")</f>
        <v/>
      </c>
      <c r="H410" s="134" t="str">
        <f ca="1">IFERROR(__xludf.DUMMYFUNCTION("""COMPUTED_VALUE"""),"")</f>
        <v/>
      </c>
      <c r="I410" s="134" t="str">
        <f ca="1">IFERROR(__xludf.DUMMYFUNCTION("""COMPUTED_VALUE"""),"")</f>
        <v/>
      </c>
      <c r="J410" s="134" t="str">
        <f ca="1">IFERROR(__xludf.DUMMYFUNCTION("""COMPUTED_VALUE"""),"")</f>
        <v/>
      </c>
      <c r="N410" s="31"/>
    </row>
    <row r="411" spans="1:14" customFormat="1">
      <c r="A411" s="134" t="str">
        <f ca="1">IFERROR(__xludf.DUMMYFUNCTION("""COMPUTED_VALUE"""),"")</f>
        <v/>
      </c>
      <c r="B411" s="134" t="str">
        <f ca="1">IFERROR(__xludf.DUMMYFUNCTION("""COMPUTED_VALUE"""),"")</f>
        <v/>
      </c>
      <c r="C411" s="134" t="str">
        <f ca="1">IFERROR(__xludf.DUMMYFUNCTION("""COMPUTED_VALUE"""),"")</f>
        <v/>
      </c>
      <c r="D411" s="134" t="str">
        <f ca="1">IFERROR(__xludf.DUMMYFUNCTION("""COMPUTED_VALUE"""),"")</f>
        <v/>
      </c>
      <c r="E411" s="134" t="str">
        <f ca="1">IFERROR(__xludf.DUMMYFUNCTION("""COMPUTED_VALUE"""),"")</f>
        <v/>
      </c>
      <c r="F411" s="134" t="str">
        <f ca="1">IFERROR(__xludf.DUMMYFUNCTION("""COMPUTED_VALUE"""),"")</f>
        <v/>
      </c>
      <c r="G411" s="134" t="str">
        <f ca="1">IFERROR(__xludf.DUMMYFUNCTION("""COMPUTED_VALUE"""),"")</f>
        <v/>
      </c>
      <c r="H411" s="134" t="str">
        <f ca="1">IFERROR(__xludf.DUMMYFUNCTION("""COMPUTED_VALUE"""),"")</f>
        <v/>
      </c>
      <c r="I411" s="134" t="str">
        <f ca="1">IFERROR(__xludf.DUMMYFUNCTION("""COMPUTED_VALUE"""),"")</f>
        <v/>
      </c>
      <c r="J411" s="134" t="str">
        <f ca="1">IFERROR(__xludf.DUMMYFUNCTION("""COMPUTED_VALUE"""),"")</f>
        <v/>
      </c>
      <c r="N411" s="31"/>
    </row>
    <row r="412" spans="1:14" customFormat="1">
      <c r="A412" s="134" t="str">
        <f ca="1">IFERROR(__xludf.DUMMYFUNCTION("""COMPUTED_VALUE"""),"")</f>
        <v/>
      </c>
      <c r="B412" s="134" t="str">
        <f ca="1">IFERROR(__xludf.DUMMYFUNCTION("""COMPUTED_VALUE"""),"")</f>
        <v/>
      </c>
      <c r="C412" s="134" t="str">
        <f ca="1">IFERROR(__xludf.DUMMYFUNCTION("""COMPUTED_VALUE"""),"")</f>
        <v/>
      </c>
      <c r="D412" s="134" t="str">
        <f ca="1">IFERROR(__xludf.DUMMYFUNCTION("""COMPUTED_VALUE"""),"")</f>
        <v/>
      </c>
      <c r="E412" s="134" t="str">
        <f ca="1">IFERROR(__xludf.DUMMYFUNCTION("""COMPUTED_VALUE"""),"")</f>
        <v/>
      </c>
      <c r="F412" s="134" t="str">
        <f ca="1">IFERROR(__xludf.DUMMYFUNCTION("""COMPUTED_VALUE"""),"")</f>
        <v/>
      </c>
      <c r="G412" s="134" t="str">
        <f ca="1">IFERROR(__xludf.DUMMYFUNCTION("""COMPUTED_VALUE"""),"")</f>
        <v/>
      </c>
      <c r="H412" s="134" t="str">
        <f ca="1">IFERROR(__xludf.DUMMYFUNCTION("""COMPUTED_VALUE"""),"")</f>
        <v/>
      </c>
      <c r="I412" s="134" t="str">
        <f ca="1">IFERROR(__xludf.DUMMYFUNCTION("""COMPUTED_VALUE"""),"")</f>
        <v/>
      </c>
      <c r="J412" s="134" t="str">
        <f ca="1">IFERROR(__xludf.DUMMYFUNCTION("""COMPUTED_VALUE"""),"")</f>
        <v/>
      </c>
      <c r="N412" s="31"/>
    </row>
    <row r="413" spans="1:14" customFormat="1">
      <c r="A413" s="134" t="str">
        <f ca="1">IFERROR(__xludf.DUMMYFUNCTION("""COMPUTED_VALUE"""),"")</f>
        <v/>
      </c>
      <c r="B413" s="134" t="str">
        <f ca="1">IFERROR(__xludf.DUMMYFUNCTION("""COMPUTED_VALUE"""),"")</f>
        <v/>
      </c>
      <c r="C413" s="134" t="str">
        <f ca="1">IFERROR(__xludf.DUMMYFUNCTION("""COMPUTED_VALUE"""),"")</f>
        <v/>
      </c>
      <c r="D413" s="134" t="str">
        <f ca="1">IFERROR(__xludf.DUMMYFUNCTION("""COMPUTED_VALUE"""),"")</f>
        <v/>
      </c>
      <c r="E413" s="134" t="str">
        <f ca="1">IFERROR(__xludf.DUMMYFUNCTION("""COMPUTED_VALUE"""),"")</f>
        <v/>
      </c>
      <c r="F413" s="134" t="str">
        <f ca="1">IFERROR(__xludf.DUMMYFUNCTION("""COMPUTED_VALUE"""),"")</f>
        <v/>
      </c>
      <c r="G413" s="134" t="str">
        <f ca="1">IFERROR(__xludf.DUMMYFUNCTION("""COMPUTED_VALUE"""),"")</f>
        <v/>
      </c>
      <c r="H413" s="134" t="str">
        <f ca="1">IFERROR(__xludf.DUMMYFUNCTION("""COMPUTED_VALUE"""),"")</f>
        <v/>
      </c>
      <c r="I413" s="134" t="str">
        <f ca="1">IFERROR(__xludf.DUMMYFUNCTION("""COMPUTED_VALUE"""),"")</f>
        <v/>
      </c>
      <c r="J413" s="134" t="str">
        <f ca="1">IFERROR(__xludf.DUMMYFUNCTION("""COMPUTED_VALUE"""),"")</f>
        <v/>
      </c>
      <c r="N413" s="31"/>
    </row>
    <row r="414" spans="1:14" customFormat="1">
      <c r="A414" s="134" t="str">
        <f ca="1">IFERROR(__xludf.DUMMYFUNCTION("""COMPUTED_VALUE"""),"")</f>
        <v/>
      </c>
      <c r="B414" s="134" t="str">
        <f ca="1">IFERROR(__xludf.DUMMYFUNCTION("""COMPUTED_VALUE"""),"")</f>
        <v/>
      </c>
      <c r="C414" s="134" t="str">
        <f ca="1">IFERROR(__xludf.DUMMYFUNCTION("""COMPUTED_VALUE"""),"")</f>
        <v/>
      </c>
      <c r="D414" s="134" t="str">
        <f ca="1">IFERROR(__xludf.DUMMYFUNCTION("""COMPUTED_VALUE"""),"")</f>
        <v/>
      </c>
      <c r="E414" s="134" t="str">
        <f ca="1">IFERROR(__xludf.DUMMYFUNCTION("""COMPUTED_VALUE"""),"")</f>
        <v/>
      </c>
      <c r="F414" s="134" t="str">
        <f ca="1">IFERROR(__xludf.DUMMYFUNCTION("""COMPUTED_VALUE"""),"")</f>
        <v/>
      </c>
      <c r="G414" s="134" t="str">
        <f ca="1">IFERROR(__xludf.DUMMYFUNCTION("""COMPUTED_VALUE"""),"")</f>
        <v/>
      </c>
      <c r="H414" s="134" t="str">
        <f ca="1">IFERROR(__xludf.DUMMYFUNCTION("""COMPUTED_VALUE"""),"")</f>
        <v/>
      </c>
      <c r="I414" s="134" t="str">
        <f ca="1">IFERROR(__xludf.DUMMYFUNCTION("""COMPUTED_VALUE"""),"")</f>
        <v/>
      </c>
      <c r="J414" s="134" t="str">
        <f ca="1">IFERROR(__xludf.DUMMYFUNCTION("""COMPUTED_VALUE"""),"")</f>
        <v/>
      </c>
      <c r="N414" s="31"/>
    </row>
    <row r="415" spans="1:14" customFormat="1">
      <c r="A415" s="134" t="str">
        <f ca="1">IFERROR(__xludf.DUMMYFUNCTION("""COMPUTED_VALUE"""),"")</f>
        <v/>
      </c>
      <c r="B415" s="134" t="str">
        <f ca="1">IFERROR(__xludf.DUMMYFUNCTION("""COMPUTED_VALUE"""),"")</f>
        <v/>
      </c>
      <c r="C415" s="134" t="str">
        <f ca="1">IFERROR(__xludf.DUMMYFUNCTION("""COMPUTED_VALUE"""),"")</f>
        <v/>
      </c>
      <c r="D415" s="134" t="str">
        <f ca="1">IFERROR(__xludf.DUMMYFUNCTION("""COMPUTED_VALUE"""),"")</f>
        <v/>
      </c>
      <c r="E415" s="134" t="str">
        <f ca="1">IFERROR(__xludf.DUMMYFUNCTION("""COMPUTED_VALUE"""),"")</f>
        <v/>
      </c>
      <c r="F415" s="134" t="str">
        <f ca="1">IFERROR(__xludf.DUMMYFUNCTION("""COMPUTED_VALUE"""),"")</f>
        <v/>
      </c>
      <c r="G415" s="134" t="str">
        <f ca="1">IFERROR(__xludf.DUMMYFUNCTION("""COMPUTED_VALUE"""),"")</f>
        <v/>
      </c>
      <c r="H415" s="134" t="str">
        <f ca="1">IFERROR(__xludf.DUMMYFUNCTION("""COMPUTED_VALUE"""),"")</f>
        <v/>
      </c>
      <c r="I415" s="134" t="str">
        <f ca="1">IFERROR(__xludf.DUMMYFUNCTION("""COMPUTED_VALUE"""),"")</f>
        <v/>
      </c>
      <c r="J415" s="134" t="str">
        <f ca="1">IFERROR(__xludf.DUMMYFUNCTION("""COMPUTED_VALUE"""),"")</f>
        <v/>
      </c>
      <c r="N415" s="31"/>
    </row>
    <row r="416" spans="1:14" customFormat="1">
      <c r="A416" s="134" t="str">
        <f ca="1">IFERROR(__xludf.DUMMYFUNCTION("""COMPUTED_VALUE"""),"")</f>
        <v/>
      </c>
      <c r="B416" s="134" t="str">
        <f ca="1">IFERROR(__xludf.DUMMYFUNCTION("""COMPUTED_VALUE"""),"")</f>
        <v/>
      </c>
      <c r="C416" s="134" t="str">
        <f ca="1">IFERROR(__xludf.DUMMYFUNCTION("""COMPUTED_VALUE"""),"")</f>
        <v/>
      </c>
      <c r="D416" s="134" t="str">
        <f ca="1">IFERROR(__xludf.DUMMYFUNCTION("""COMPUTED_VALUE"""),"")</f>
        <v/>
      </c>
      <c r="E416" s="134" t="str">
        <f ca="1">IFERROR(__xludf.DUMMYFUNCTION("""COMPUTED_VALUE"""),"")</f>
        <v/>
      </c>
      <c r="F416" s="134" t="str">
        <f ca="1">IFERROR(__xludf.DUMMYFUNCTION("""COMPUTED_VALUE"""),"")</f>
        <v/>
      </c>
      <c r="G416" s="134" t="str">
        <f ca="1">IFERROR(__xludf.DUMMYFUNCTION("""COMPUTED_VALUE"""),"")</f>
        <v/>
      </c>
      <c r="H416" s="134" t="str">
        <f ca="1">IFERROR(__xludf.DUMMYFUNCTION("""COMPUTED_VALUE"""),"")</f>
        <v/>
      </c>
      <c r="I416" s="134" t="str">
        <f ca="1">IFERROR(__xludf.DUMMYFUNCTION("""COMPUTED_VALUE"""),"")</f>
        <v/>
      </c>
      <c r="J416" s="134" t="str">
        <f ca="1">IFERROR(__xludf.DUMMYFUNCTION("""COMPUTED_VALUE"""),"")</f>
        <v/>
      </c>
      <c r="N416" s="31"/>
    </row>
    <row r="417" spans="1:14" customFormat="1">
      <c r="A417" s="134" t="str">
        <f ca="1">IFERROR(__xludf.DUMMYFUNCTION("""COMPUTED_VALUE"""),"")</f>
        <v/>
      </c>
      <c r="B417" s="134" t="str">
        <f ca="1">IFERROR(__xludf.DUMMYFUNCTION("""COMPUTED_VALUE"""),"")</f>
        <v/>
      </c>
      <c r="C417" s="134" t="str">
        <f ca="1">IFERROR(__xludf.DUMMYFUNCTION("""COMPUTED_VALUE"""),"")</f>
        <v/>
      </c>
      <c r="D417" s="134" t="str">
        <f ca="1">IFERROR(__xludf.DUMMYFUNCTION("""COMPUTED_VALUE"""),"")</f>
        <v/>
      </c>
      <c r="E417" s="134" t="str">
        <f ca="1">IFERROR(__xludf.DUMMYFUNCTION("""COMPUTED_VALUE"""),"")</f>
        <v/>
      </c>
      <c r="F417" s="134" t="str">
        <f ca="1">IFERROR(__xludf.DUMMYFUNCTION("""COMPUTED_VALUE"""),"")</f>
        <v/>
      </c>
      <c r="G417" s="134" t="str">
        <f ca="1">IFERROR(__xludf.DUMMYFUNCTION("""COMPUTED_VALUE"""),"")</f>
        <v/>
      </c>
      <c r="H417" s="134" t="str">
        <f ca="1">IFERROR(__xludf.DUMMYFUNCTION("""COMPUTED_VALUE"""),"")</f>
        <v/>
      </c>
      <c r="I417" s="134" t="str">
        <f ca="1">IFERROR(__xludf.DUMMYFUNCTION("""COMPUTED_VALUE"""),"")</f>
        <v/>
      </c>
      <c r="J417" s="134" t="str">
        <f ca="1">IFERROR(__xludf.DUMMYFUNCTION("""COMPUTED_VALUE"""),"")</f>
        <v/>
      </c>
      <c r="N417" s="31"/>
    </row>
    <row r="418" spans="1:14" customFormat="1">
      <c r="A418" s="134" t="str">
        <f ca="1">IFERROR(__xludf.DUMMYFUNCTION("""COMPUTED_VALUE"""),"")</f>
        <v/>
      </c>
      <c r="B418" s="134" t="str">
        <f ca="1">IFERROR(__xludf.DUMMYFUNCTION("""COMPUTED_VALUE"""),"")</f>
        <v/>
      </c>
      <c r="C418" s="134" t="str">
        <f ca="1">IFERROR(__xludf.DUMMYFUNCTION("""COMPUTED_VALUE"""),"")</f>
        <v/>
      </c>
      <c r="D418" s="134" t="str">
        <f ca="1">IFERROR(__xludf.DUMMYFUNCTION("""COMPUTED_VALUE"""),"")</f>
        <v/>
      </c>
      <c r="E418" s="134" t="str">
        <f ca="1">IFERROR(__xludf.DUMMYFUNCTION("""COMPUTED_VALUE"""),"")</f>
        <v/>
      </c>
      <c r="F418" s="134" t="str">
        <f ca="1">IFERROR(__xludf.DUMMYFUNCTION("""COMPUTED_VALUE"""),"")</f>
        <v/>
      </c>
      <c r="G418" s="134" t="str">
        <f ca="1">IFERROR(__xludf.DUMMYFUNCTION("""COMPUTED_VALUE"""),"")</f>
        <v/>
      </c>
      <c r="H418" s="134" t="str">
        <f ca="1">IFERROR(__xludf.DUMMYFUNCTION("""COMPUTED_VALUE"""),"")</f>
        <v/>
      </c>
      <c r="I418" s="134" t="str">
        <f ca="1">IFERROR(__xludf.DUMMYFUNCTION("""COMPUTED_VALUE"""),"")</f>
        <v/>
      </c>
      <c r="J418" s="134" t="str">
        <f ca="1">IFERROR(__xludf.DUMMYFUNCTION("""COMPUTED_VALUE"""),"")</f>
        <v/>
      </c>
      <c r="N418" s="31"/>
    </row>
    <row r="419" spans="1:14" customFormat="1">
      <c r="A419" s="134" t="str">
        <f ca="1">IFERROR(__xludf.DUMMYFUNCTION("""COMPUTED_VALUE"""),"")</f>
        <v/>
      </c>
      <c r="B419" s="134" t="str">
        <f ca="1">IFERROR(__xludf.DUMMYFUNCTION("""COMPUTED_VALUE"""),"")</f>
        <v/>
      </c>
      <c r="C419" s="134" t="str">
        <f ca="1">IFERROR(__xludf.DUMMYFUNCTION("""COMPUTED_VALUE"""),"")</f>
        <v/>
      </c>
      <c r="D419" s="134" t="str">
        <f ca="1">IFERROR(__xludf.DUMMYFUNCTION("""COMPUTED_VALUE"""),"")</f>
        <v/>
      </c>
      <c r="E419" s="134" t="str">
        <f ca="1">IFERROR(__xludf.DUMMYFUNCTION("""COMPUTED_VALUE"""),"")</f>
        <v/>
      </c>
      <c r="F419" s="134" t="str">
        <f ca="1">IFERROR(__xludf.DUMMYFUNCTION("""COMPUTED_VALUE"""),"")</f>
        <v/>
      </c>
      <c r="G419" s="134" t="str">
        <f ca="1">IFERROR(__xludf.DUMMYFUNCTION("""COMPUTED_VALUE"""),"")</f>
        <v/>
      </c>
      <c r="H419" s="134" t="str">
        <f ca="1">IFERROR(__xludf.DUMMYFUNCTION("""COMPUTED_VALUE"""),"")</f>
        <v/>
      </c>
      <c r="I419" s="134" t="str">
        <f ca="1">IFERROR(__xludf.DUMMYFUNCTION("""COMPUTED_VALUE"""),"")</f>
        <v/>
      </c>
      <c r="J419" s="134" t="str">
        <f ca="1">IFERROR(__xludf.DUMMYFUNCTION("""COMPUTED_VALUE"""),"")</f>
        <v/>
      </c>
      <c r="N419" s="31"/>
    </row>
    <row r="420" spans="1:14" customFormat="1">
      <c r="A420" s="134" t="str">
        <f ca="1">IFERROR(__xludf.DUMMYFUNCTION("""COMPUTED_VALUE"""),"")</f>
        <v/>
      </c>
      <c r="B420" s="134" t="str">
        <f ca="1">IFERROR(__xludf.DUMMYFUNCTION("""COMPUTED_VALUE"""),"")</f>
        <v/>
      </c>
      <c r="C420" s="134" t="str">
        <f ca="1">IFERROR(__xludf.DUMMYFUNCTION("""COMPUTED_VALUE"""),"")</f>
        <v/>
      </c>
      <c r="D420" s="134" t="str">
        <f ca="1">IFERROR(__xludf.DUMMYFUNCTION("""COMPUTED_VALUE"""),"")</f>
        <v/>
      </c>
      <c r="E420" s="134" t="str">
        <f ca="1">IFERROR(__xludf.DUMMYFUNCTION("""COMPUTED_VALUE"""),"")</f>
        <v/>
      </c>
      <c r="F420" s="134" t="str">
        <f ca="1">IFERROR(__xludf.DUMMYFUNCTION("""COMPUTED_VALUE"""),"")</f>
        <v/>
      </c>
      <c r="G420" s="134" t="str">
        <f ca="1">IFERROR(__xludf.DUMMYFUNCTION("""COMPUTED_VALUE"""),"")</f>
        <v/>
      </c>
      <c r="H420" s="134" t="str">
        <f ca="1">IFERROR(__xludf.DUMMYFUNCTION("""COMPUTED_VALUE"""),"")</f>
        <v/>
      </c>
      <c r="I420" s="134" t="str">
        <f ca="1">IFERROR(__xludf.DUMMYFUNCTION("""COMPUTED_VALUE"""),"")</f>
        <v/>
      </c>
      <c r="J420" s="134" t="str">
        <f ca="1">IFERROR(__xludf.DUMMYFUNCTION("""COMPUTED_VALUE"""),"")</f>
        <v/>
      </c>
      <c r="N420" s="31"/>
    </row>
    <row r="421" spans="1:14" customFormat="1">
      <c r="A421" s="134" t="str">
        <f ca="1">IFERROR(__xludf.DUMMYFUNCTION("""COMPUTED_VALUE"""),"")</f>
        <v/>
      </c>
      <c r="B421" s="134" t="str">
        <f ca="1">IFERROR(__xludf.DUMMYFUNCTION("""COMPUTED_VALUE"""),"")</f>
        <v/>
      </c>
      <c r="C421" s="134" t="str">
        <f ca="1">IFERROR(__xludf.DUMMYFUNCTION("""COMPUTED_VALUE"""),"")</f>
        <v/>
      </c>
      <c r="D421" s="134" t="str">
        <f ca="1">IFERROR(__xludf.DUMMYFUNCTION("""COMPUTED_VALUE"""),"")</f>
        <v/>
      </c>
      <c r="E421" s="134" t="str">
        <f ca="1">IFERROR(__xludf.DUMMYFUNCTION("""COMPUTED_VALUE"""),"")</f>
        <v/>
      </c>
      <c r="F421" s="134" t="str">
        <f ca="1">IFERROR(__xludf.DUMMYFUNCTION("""COMPUTED_VALUE"""),"")</f>
        <v/>
      </c>
      <c r="G421" s="134" t="str">
        <f ca="1">IFERROR(__xludf.DUMMYFUNCTION("""COMPUTED_VALUE"""),"")</f>
        <v/>
      </c>
      <c r="H421" s="134" t="str">
        <f ca="1">IFERROR(__xludf.DUMMYFUNCTION("""COMPUTED_VALUE"""),"")</f>
        <v/>
      </c>
      <c r="I421" s="134" t="str">
        <f ca="1">IFERROR(__xludf.DUMMYFUNCTION("""COMPUTED_VALUE"""),"")</f>
        <v/>
      </c>
      <c r="J421" s="134" t="str">
        <f ca="1">IFERROR(__xludf.DUMMYFUNCTION("""COMPUTED_VALUE"""),"")</f>
        <v/>
      </c>
      <c r="N421" s="31"/>
    </row>
    <row r="422" spans="1:14" customFormat="1">
      <c r="A422" s="134" t="str">
        <f ca="1">IFERROR(__xludf.DUMMYFUNCTION("""COMPUTED_VALUE"""),"")</f>
        <v/>
      </c>
      <c r="B422" s="134" t="str">
        <f ca="1">IFERROR(__xludf.DUMMYFUNCTION("""COMPUTED_VALUE"""),"")</f>
        <v/>
      </c>
      <c r="C422" s="134" t="str">
        <f ca="1">IFERROR(__xludf.DUMMYFUNCTION("""COMPUTED_VALUE"""),"")</f>
        <v/>
      </c>
      <c r="D422" s="134" t="str">
        <f ca="1">IFERROR(__xludf.DUMMYFUNCTION("""COMPUTED_VALUE"""),"")</f>
        <v/>
      </c>
      <c r="E422" s="134" t="str">
        <f ca="1">IFERROR(__xludf.DUMMYFUNCTION("""COMPUTED_VALUE"""),"")</f>
        <v/>
      </c>
      <c r="F422" s="134" t="str">
        <f ca="1">IFERROR(__xludf.DUMMYFUNCTION("""COMPUTED_VALUE"""),"")</f>
        <v/>
      </c>
      <c r="G422" s="134" t="str">
        <f ca="1">IFERROR(__xludf.DUMMYFUNCTION("""COMPUTED_VALUE"""),"")</f>
        <v/>
      </c>
      <c r="H422" s="134" t="str">
        <f ca="1">IFERROR(__xludf.DUMMYFUNCTION("""COMPUTED_VALUE"""),"")</f>
        <v/>
      </c>
      <c r="I422" s="134" t="str">
        <f ca="1">IFERROR(__xludf.DUMMYFUNCTION("""COMPUTED_VALUE"""),"")</f>
        <v/>
      </c>
      <c r="J422" s="134" t="str">
        <f ca="1">IFERROR(__xludf.DUMMYFUNCTION("""COMPUTED_VALUE"""),"")</f>
        <v/>
      </c>
      <c r="N422" s="31"/>
    </row>
    <row r="423" spans="1:14" customFormat="1">
      <c r="A423" s="134" t="str">
        <f ca="1">IFERROR(__xludf.DUMMYFUNCTION("""COMPUTED_VALUE"""),"")</f>
        <v/>
      </c>
      <c r="B423" s="134" t="str">
        <f ca="1">IFERROR(__xludf.DUMMYFUNCTION("""COMPUTED_VALUE"""),"")</f>
        <v/>
      </c>
      <c r="C423" s="134" t="str">
        <f ca="1">IFERROR(__xludf.DUMMYFUNCTION("""COMPUTED_VALUE"""),"")</f>
        <v/>
      </c>
      <c r="D423" s="134" t="str">
        <f ca="1">IFERROR(__xludf.DUMMYFUNCTION("""COMPUTED_VALUE"""),"")</f>
        <v/>
      </c>
      <c r="E423" s="134" t="str">
        <f ca="1">IFERROR(__xludf.DUMMYFUNCTION("""COMPUTED_VALUE"""),"")</f>
        <v/>
      </c>
      <c r="F423" s="134" t="str">
        <f ca="1">IFERROR(__xludf.DUMMYFUNCTION("""COMPUTED_VALUE"""),"")</f>
        <v/>
      </c>
      <c r="G423" s="134" t="str">
        <f ca="1">IFERROR(__xludf.DUMMYFUNCTION("""COMPUTED_VALUE"""),"")</f>
        <v/>
      </c>
      <c r="H423" s="134" t="str">
        <f ca="1">IFERROR(__xludf.DUMMYFUNCTION("""COMPUTED_VALUE"""),"")</f>
        <v/>
      </c>
      <c r="I423" s="134" t="str">
        <f ca="1">IFERROR(__xludf.DUMMYFUNCTION("""COMPUTED_VALUE"""),"")</f>
        <v/>
      </c>
      <c r="J423" s="134" t="str">
        <f ca="1">IFERROR(__xludf.DUMMYFUNCTION("""COMPUTED_VALUE"""),"")</f>
        <v/>
      </c>
      <c r="N423" s="31"/>
    </row>
    <row r="424" spans="1:14" customFormat="1">
      <c r="A424" s="134" t="str">
        <f ca="1">IFERROR(__xludf.DUMMYFUNCTION("""COMPUTED_VALUE"""),"")</f>
        <v/>
      </c>
      <c r="B424" s="134" t="str">
        <f ca="1">IFERROR(__xludf.DUMMYFUNCTION("""COMPUTED_VALUE"""),"")</f>
        <v/>
      </c>
      <c r="C424" s="134" t="str">
        <f ca="1">IFERROR(__xludf.DUMMYFUNCTION("""COMPUTED_VALUE"""),"")</f>
        <v/>
      </c>
      <c r="D424" s="134" t="str">
        <f ca="1">IFERROR(__xludf.DUMMYFUNCTION("""COMPUTED_VALUE"""),"")</f>
        <v/>
      </c>
      <c r="E424" s="134" t="str">
        <f ca="1">IFERROR(__xludf.DUMMYFUNCTION("""COMPUTED_VALUE"""),"")</f>
        <v/>
      </c>
      <c r="F424" s="134" t="str">
        <f ca="1">IFERROR(__xludf.DUMMYFUNCTION("""COMPUTED_VALUE"""),"")</f>
        <v/>
      </c>
      <c r="G424" s="134" t="str">
        <f ca="1">IFERROR(__xludf.DUMMYFUNCTION("""COMPUTED_VALUE"""),"")</f>
        <v/>
      </c>
      <c r="H424" s="134" t="str">
        <f ca="1">IFERROR(__xludf.DUMMYFUNCTION("""COMPUTED_VALUE"""),"")</f>
        <v/>
      </c>
      <c r="I424" s="134" t="str">
        <f ca="1">IFERROR(__xludf.DUMMYFUNCTION("""COMPUTED_VALUE"""),"")</f>
        <v/>
      </c>
      <c r="J424" s="134" t="str">
        <f ca="1">IFERROR(__xludf.DUMMYFUNCTION("""COMPUTED_VALUE"""),"")</f>
        <v/>
      </c>
      <c r="N424" s="31"/>
    </row>
    <row r="425" spans="1:14" customFormat="1">
      <c r="A425" s="134" t="str">
        <f ca="1">IFERROR(__xludf.DUMMYFUNCTION("""COMPUTED_VALUE"""),"")</f>
        <v/>
      </c>
      <c r="B425" s="134" t="str">
        <f ca="1">IFERROR(__xludf.DUMMYFUNCTION("""COMPUTED_VALUE"""),"")</f>
        <v/>
      </c>
      <c r="C425" s="134" t="str">
        <f ca="1">IFERROR(__xludf.DUMMYFUNCTION("""COMPUTED_VALUE"""),"")</f>
        <v/>
      </c>
      <c r="D425" s="134" t="str">
        <f ca="1">IFERROR(__xludf.DUMMYFUNCTION("""COMPUTED_VALUE"""),"")</f>
        <v/>
      </c>
      <c r="E425" s="134" t="str">
        <f ca="1">IFERROR(__xludf.DUMMYFUNCTION("""COMPUTED_VALUE"""),"")</f>
        <v/>
      </c>
      <c r="F425" s="134" t="str">
        <f ca="1">IFERROR(__xludf.DUMMYFUNCTION("""COMPUTED_VALUE"""),"")</f>
        <v/>
      </c>
      <c r="G425" s="134" t="str">
        <f ca="1">IFERROR(__xludf.DUMMYFUNCTION("""COMPUTED_VALUE"""),"")</f>
        <v/>
      </c>
      <c r="H425" s="134" t="str">
        <f ca="1">IFERROR(__xludf.DUMMYFUNCTION("""COMPUTED_VALUE"""),"")</f>
        <v/>
      </c>
      <c r="I425" s="134" t="str">
        <f ca="1">IFERROR(__xludf.DUMMYFUNCTION("""COMPUTED_VALUE"""),"")</f>
        <v/>
      </c>
      <c r="J425" s="134" t="str">
        <f ca="1">IFERROR(__xludf.DUMMYFUNCTION("""COMPUTED_VALUE"""),"")</f>
        <v/>
      </c>
      <c r="N425" s="31"/>
    </row>
    <row r="426" spans="1:14" customFormat="1">
      <c r="A426" s="134" t="str">
        <f ca="1">IFERROR(__xludf.DUMMYFUNCTION("""COMPUTED_VALUE"""),"")</f>
        <v/>
      </c>
      <c r="B426" s="134" t="str">
        <f ca="1">IFERROR(__xludf.DUMMYFUNCTION("""COMPUTED_VALUE"""),"")</f>
        <v/>
      </c>
      <c r="C426" s="134" t="str">
        <f ca="1">IFERROR(__xludf.DUMMYFUNCTION("""COMPUTED_VALUE"""),"")</f>
        <v/>
      </c>
      <c r="D426" s="134" t="str">
        <f ca="1">IFERROR(__xludf.DUMMYFUNCTION("""COMPUTED_VALUE"""),"")</f>
        <v/>
      </c>
      <c r="E426" s="134" t="str">
        <f ca="1">IFERROR(__xludf.DUMMYFUNCTION("""COMPUTED_VALUE"""),"")</f>
        <v/>
      </c>
      <c r="F426" s="134" t="str">
        <f ca="1">IFERROR(__xludf.DUMMYFUNCTION("""COMPUTED_VALUE"""),"")</f>
        <v/>
      </c>
      <c r="G426" s="134" t="str">
        <f ca="1">IFERROR(__xludf.DUMMYFUNCTION("""COMPUTED_VALUE"""),"")</f>
        <v/>
      </c>
      <c r="H426" s="134" t="str">
        <f ca="1">IFERROR(__xludf.DUMMYFUNCTION("""COMPUTED_VALUE"""),"")</f>
        <v/>
      </c>
      <c r="I426" s="134" t="str">
        <f ca="1">IFERROR(__xludf.DUMMYFUNCTION("""COMPUTED_VALUE"""),"")</f>
        <v/>
      </c>
      <c r="J426" s="134" t="str">
        <f ca="1">IFERROR(__xludf.DUMMYFUNCTION("""COMPUTED_VALUE"""),"")</f>
        <v/>
      </c>
      <c r="N426" s="31"/>
    </row>
    <row r="427" spans="1:14" customFormat="1">
      <c r="A427" s="134" t="str">
        <f ca="1">IFERROR(__xludf.DUMMYFUNCTION("""COMPUTED_VALUE"""),"")</f>
        <v/>
      </c>
      <c r="B427" s="134" t="str">
        <f ca="1">IFERROR(__xludf.DUMMYFUNCTION("""COMPUTED_VALUE"""),"")</f>
        <v/>
      </c>
      <c r="C427" s="134" t="str">
        <f ca="1">IFERROR(__xludf.DUMMYFUNCTION("""COMPUTED_VALUE"""),"")</f>
        <v/>
      </c>
      <c r="D427" s="134" t="str">
        <f ca="1">IFERROR(__xludf.DUMMYFUNCTION("""COMPUTED_VALUE"""),"")</f>
        <v/>
      </c>
      <c r="E427" s="134" t="str">
        <f ca="1">IFERROR(__xludf.DUMMYFUNCTION("""COMPUTED_VALUE"""),"")</f>
        <v/>
      </c>
      <c r="F427" s="134" t="str">
        <f ca="1">IFERROR(__xludf.DUMMYFUNCTION("""COMPUTED_VALUE"""),"")</f>
        <v/>
      </c>
      <c r="G427" s="134" t="str">
        <f ca="1">IFERROR(__xludf.DUMMYFUNCTION("""COMPUTED_VALUE"""),"")</f>
        <v/>
      </c>
      <c r="H427" s="134" t="str">
        <f ca="1">IFERROR(__xludf.DUMMYFUNCTION("""COMPUTED_VALUE"""),"")</f>
        <v/>
      </c>
      <c r="I427" s="134" t="str">
        <f ca="1">IFERROR(__xludf.DUMMYFUNCTION("""COMPUTED_VALUE"""),"")</f>
        <v/>
      </c>
      <c r="J427" s="134" t="str">
        <f ca="1">IFERROR(__xludf.DUMMYFUNCTION("""COMPUTED_VALUE"""),"")</f>
        <v/>
      </c>
      <c r="N427" s="31"/>
    </row>
    <row r="428" spans="1:14" customFormat="1">
      <c r="A428" s="134" t="str">
        <f ca="1">IFERROR(__xludf.DUMMYFUNCTION("""COMPUTED_VALUE"""),"")</f>
        <v/>
      </c>
      <c r="B428" s="134" t="str">
        <f ca="1">IFERROR(__xludf.DUMMYFUNCTION("""COMPUTED_VALUE"""),"")</f>
        <v/>
      </c>
      <c r="C428" s="134" t="str">
        <f ca="1">IFERROR(__xludf.DUMMYFUNCTION("""COMPUTED_VALUE"""),"")</f>
        <v/>
      </c>
      <c r="D428" s="134" t="str">
        <f ca="1">IFERROR(__xludf.DUMMYFUNCTION("""COMPUTED_VALUE"""),"")</f>
        <v/>
      </c>
      <c r="E428" s="134" t="str">
        <f ca="1">IFERROR(__xludf.DUMMYFUNCTION("""COMPUTED_VALUE"""),"")</f>
        <v/>
      </c>
      <c r="F428" s="134" t="str">
        <f ca="1">IFERROR(__xludf.DUMMYFUNCTION("""COMPUTED_VALUE"""),"")</f>
        <v/>
      </c>
      <c r="G428" s="134" t="str">
        <f ca="1">IFERROR(__xludf.DUMMYFUNCTION("""COMPUTED_VALUE"""),"")</f>
        <v/>
      </c>
      <c r="H428" s="134" t="str">
        <f ca="1">IFERROR(__xludf.DUMMYFUNCTION("""COMPUTED_VALUE"""),"")</f>
        <v/>
      </c>
      <c r="I428" s="134" t="str">
        <f ca="1">IFERROR(__xludf.DUMMYFUNCTION("""COMPUTED_VALUE"""),"")</f>
        <v/>
      </c>
      <c r="J428" s="134" t="str">
        <f ca="1">IFERROR(__xludf.DUMMYFUNCTION("""COMPUTED_VALUE"""),"")</f>
        <v/>
      </c>
      <c r="N428" s="31"/>
    </row>
    <row r="429" spans="1:14" customFormat="1">
      <c r="A429" s="134" t="str">
        <f ca="1">IFERROR(__xludf.DUMMYFUNCTION("""COMPUTED_VALUE"""),"")</f>
        <v/>
      </c>
      <c r="B429" s="134" t="str">
        <f ca="1">IFERROR(__xludf.DUMMYFUNCTION("""COMPUTED_VALUE"""),"")</f>
        <v/>
      </c>
      <c r="C429" s="134" t="str">
        <f ca="1">IFERROR(__xludf.DUMMYFUNCTION("""COMPUTED_VALUE"""),"")</f>
        <v/>
      </c>
      <c r="D429" s="134" t="str">
        <f ca="1">IFERROR(__xludf.DUMMYFUNCTION("""COMPUTED_VALUE"""),"")</f>
        <v/>
      </c>
      <c r="E429" s="134" t="str">
        <f ca="1">IFERROR(__xludf.DUMMYFUNCTION("""COMPUTED_VALUE"""),"")</f>
        <v/>
      </c>
      <c r="F429" s="134" t="str">
        <f ca="1">IFERROR(__xludf.DUMMYFUNCTION("""COMPUTED_VALUE"""),"")</f>
        <v/>
      </c>
      <c r="G429" s="134" t="str">
        <f ca="1">IFERROR(__xludf.DUMMYFUNCTION("""COMPUTED_VALUE"""),"")</f>
        <v/>
      </c>
      <c r="H429" s="134" t="str">
        <f ca="1">IFERROR(__xludf.DUMMYFUNCTION("""COMPUTED_VALUE"""),"")</f>
        <v/>
      </c>
      <c r="I429" s="134" t="str">
        <f ca="1">IFERROR(__xludf.DUMMYFUNCTION("""COMPUTED_VALUE"""),"")</f>
        <v/>
      </c>
      <c r="J429" s="134" t="str">
        <f ca="1">IFERROR(__xludf.DUMMYFUNCTION("""COMPUTED_VALUE"""),"")</f>
        <v/>
      </c>
      <c r="N429" s="31"/>
    </row>
    <row r="430" spans="1:14" customFormat="1">
      <c r="A430" s="134" t="str">
        <f ca="1">IFERROR(__xludf.DUMMYFUNCTION("""COMPUTED_VALUE"""),"")</f>
        <v/>
      </c>
      <c r="B430" s="134" t="str">
        <f ca="1">IFERROR(__xludf.DUMMYFUNCTION("""COMPUTED_VALUE"""),"")</f>
        <v/>
      </c>
      <c r="C430" s="134" t="str">
        <f ca="1">IFERROR(__xludf.DUMMYFUNCTION("""COMPUTED_VALUE"""),"")</f>
        <v/>
      </c>
      <c r="D430" s="134" t="str">
        <f ca="1">IFERROR(__xludf.DUMMYFUNCTION("""COMPUTED_VALUE"""),"")</f>
        <v/>
      </c>
      <c r="E430" s="134" t="str">
        <f ca="1">IFERROR(__xludf.DUMMYFUNCTION("""COMPUTED_VALUE"""),"")</f>
        <v/>
      </c>
      <c r="F430" s="134" t="str">
        <f ca="1">IFERROR(__xludf.DUMMYFUNCTION("""COMPUTED_VALUE"""),"")</f>
        <v/>
      </c>
      <c r="G430" s="134" t="str">
        <f ca="1">IFERROR(__xludf.DUMMYFUNCTION("""COMPUTED_VALUE"""),"")</f>
        <v/>
      </c>
      <c r="H430" s="134" t="str">
        <f ca="1">IFERROR(__xludf.DUMMYFUNCTION("""COMPUTED_VALUE"""),"")</f>
        <v/>
      </c>
      <c r="I430" s="134" t="str">
        <f ca="1">IFERROR(__xludf.DUMMYFUNCTION("""COMPUTED_VALUE"""),"")</f>
        <v/>
      </c>
      <c r="J430" s="134" t="str">
        <f ca="1">IFERROR(__xludf.DUMMYFUNCTION("""COMPUTED_VALUE"""),"")</f>
        <v/>
      </c>
      <c r="N430" s="31"/>
    </row>
    <row r="431" spans="1:14" customFormat="1">
      <c r="A431" s="134" t="str">
        <f ca="1">IFERROR(__xludf.DUMMYFUNCTION("""COMPUTED_VALUE"""),"")</f>
        <v/>
      </c>
      <c r="B431" s="134" t="str">
        <f ca="1">IFERROR(__xludf.DUMMYFUNCTION("""COMPUTED_VALUE"""),"")</f>
        <v/>
      </c>
      <c r="C431" s="134" t="str">
        <f ca="1">IFERROR(__xludf.DUMMYFUNCTION("""COMPUTED_VALUE"""),"")</f>
        <v/>
      </c>
      <c r="D431" s="134" t="str">
        <f ca="1">IFERROR(__xludf.DUMMYFUNCTION("""COMPUTED_VALUE"""),"")</f>
        <v/>
      </c>
      <c r="E431" s="134" t="str">
        <f ca="1">IFERROR(__xludf.DUMMYFUNCTION("""COMPUTED_VALUE"""),"")</f>
        <v/>
      </c>
      <c r="F431" s="134" t="str">
        <f ca="1">IFERROR(__xludf.DUMMYFUNCTION("""COMPUTED_VALUE"""),"")</f>
        <v/>
      </c>
      <c r="G431" s="134" t="str">
        <f ca="1">IFERROR(__xludf.DUMMYFUNCTION("""COMPUTED_VALUE"""),"")</f>
        <v/>
      </c>
      <c r="H431" s="134" t="str">
        <f ca="1">IFERROR(__xludf.DUMMYFUNCTION("""COMPUTED_VALUE"""),"")</f>
        <v/>
      </c>
      <c r="I431" s="134" t="str">
        <f ca="1">IFERROR(__xludf.DUMMYFUNCTION("""COMPUTED_VALUE"""),"")</f>
        <v/>
      </c>
      <c r="J431" s="134" t="str">
        <f ca="1">IFERROR(__xludf.DUMMYFUNCTION("""COMPUTED_VALUE"""),"")</f>
        <v/>
      </c>
      <c r="N431" s="31"/>
    </row>
    <row r="432" spans="1:14" customFormat="1">
      <c r="A432" s="134" t="str">
        <f ca="1">IFERROR(__xludf.DUMMYFUNCTION("""COMPUTED_VALUE"""),"")</f>
        <v/>
      </c>
      <c r="B432" s="134" t="str">
        <f ca="1">IFERROR(__xludf.DUMMYFUNCTION("""COMPUTED_VALUE"""),"")</f>
        <v/>
      </c>
      <c r="C432" s="134" t="str">
        <f ca="1">IFERROR(__xludf.DUMMYFUNCTION("""COMPUTED_VALUE"""),"")</f>
        <v/>
      </c>
      <c r="D432" s="134" t="str">
        <f ca="1">IFERROR(__xludf.DUMMYFUNCTION("""COMPUTED_VALUE"""),"")</f>
        <v/>
      </c>
      <c r="E432" s="134" t="str">
        <f ca="1">IFERROR(__xludf.DUMMYFUNCTION("""COMPUTED_VALUE"""),"")</f>
        <v/>
      </c>
      <c r="F432" s="134" t="str">
        <f ca="1">IFERROR(__xludf.DUMMYFUNCTION("""COMPUTED_VALUE"""),"")</f>
        <v/>
      </c>
      <c r="G432" s="134" t="str">
        <f ca="1">IFERROR(__xludf.DUMMYFUNCTION("""COMPUTED_VALUE"""),"")</f>
        <v/>
      </c>
      <c r="H432" s="134" t="str">
        <f ca="1">IFERROR(__xludf.DUMMYFUNCTION("""COMPUTED_VALUE"""),"")</f>
        <v/>
      </c>
      <c r="I432" s="134" t="str">
        <f ca="1">IFERROR(__xludf.DUMMYFUNCTION("""COMPUTED_VALUE"""),"")</f>
        <v/>
      </c>
      <c r="J432" s="134" t="str">
        <f ca="1">IFERROR(__xludf.DUMMYFUNCTION("""COMPUTED_VALUE"""),"")</f>
        <v/>
      </c>
      <c r="N432" s="31"/>
    </row>
    <row r="433" spans="1:14" customFormat="1">
      <c r="A433" s="134" t="str">
        <f ca="1">IFERROR(__xludf.DUMMYFUNCTION("""COMPUTED_VALUE"""),"")</f>
        <v/>
      </c>
      <c r="B433" s="134" t="str">
        <f ca="1">IFERROR(__xludf.DUMMYFUNCTION("""COMPUTED_VALUE"""),"")</f>
        <v/>
      </c>
      <c r="C433" s="134" t="str">
        <f ca="1">IFERROR(__xludf.DUMMYFUNCTION("""COMPUTED_VALUE"""),"")</f>
        <v/>
      </c>
      <c r="D433" s="134" t="str">
        <f ca="1">IFERROR(__xludf.DUMMYFUNCTION("""COMPUTED_VALUE"""),"")</f>
        <v/>
      </c>
      <c r="E433" s="134" t="str">
        <f ca="1">IFERROR(__xludf.DUMMYFUNCTION("""COMPUTED_VALUE"""),"")</f>
        <v/>
      </c>
      <c r="F433" s="134" t="str">
        <f ca="1">IFERROR(__xludf.DUMMYFUNCTION("""COMPUTED_VALUE"""),"")</f>
        <v/>
      </c>
      <c r="G433" s="134" t="str">
        <f ca="1">IFERROR(__xludf.DUMMYFUNCTION("""COMPUTED_VALUE"""),"")</f>
        <v/>
      </c>
      <c r="H433" s="134" t="str">
        <f ca="1">IFERROR(__xludf.DUMMYFUNCTION("""COMPUTED_VALUE"""),"")</f>
        <v/>
      </c>
      <c r="I433" s="134" t="str">
        <f ca="1">IFERROR(__xludf.DUMMYFUNCTION("""COMPUTED_VALUE"""),"")</f>
        <v/>
      </c>
      <c r="J433" s="134" t="str">
        <f ca="1">IFERROR(__xludf.DUMMYFUNCTION("""COMPUTED_VALUE"""),"")</f>
        <v/>
      </c>
      <c r="N433" s="31"/>
    </row>
    <row r="434" spans="1:14" customFormat="1">
      <c r="A434" s="134" t="str">
        <f ca="1">IFERROR(__xludf.DUMMYFUNCTION("""COMPUTED_VALUE"""),"")</f>
        <v/>
      </c>
      <c r="B434" s="134" t="str">
        <f ca="1">IFERROR(__xludf.DUMMYFUNCTION("""COMPUTED_VALUE"""),"")</f>
        <v/>
      </c>
      <c r="C434" s="134" t="str">
        <f ca="1">IFERROR(__xludf.DUMMYFUNCTION("""COMPUTED_VALUE"""),"")</f>
        <v/>
      </c>
      <c r="D434" s="134" t="str">
        <f ca="1">IFERROR(__xludf.DUMMYFUNCTION("""COMPUTED_VALUE"""),"")</f>
        <v/>
      </c>
      <c r="E434" s="134" t="str">
        <f ca="1">IFERROR(__xludf.DUMMYFUNCTION("""COMPUTED_VALUE"""),"")</f>
        <v/>
      </c>
      <c r="F434" s="134" t="str">
        <f ca="1">IFERROR(__xludf.DUMMYFUNCTION("""COMPUTED_VALUE"""),"")</f>
        <v/>
      </c>
      <c r="G434" s="134" t="str">
        <f ca="1">IFERROR(__xludf.DUMMYFUNCTION("""COMPUTED_VALUE"""),"")</f>
        <v/>
      </c>
      <c r="H434" s="134" t="str">
        <f ca="1">IFERROR(__xludf.DUMMYFUNCTION("""COMPUTED_VALUE"""),"")</f>
        <v/>
      </c>
      <c r="I434" s="134" t="str">
        <f ca="1">IFERROR(__xludf.DUMMYFUNCTION("""COMPUTED_VALUE"""),"")</f>
        <v/>
      </c>
      <c r="J434" s="134" t="str">
        <f ca="1">IFERROR(__xludf.DUMMYFUNCTION("""COMPUTED_VALUE"""),"")</f>
        <v/>
      </c>
      <c r="N434" s="31"/>
    </row>
    <row r="435" spans="1:14" customFormat="1">
      <c r="A435" s="134" t="str">
        <f ca="1">IFERROR(__xludf.DUMMYFUNCTION("""COMPUTED_VALUE"""),"")</f>
        <v/>
      </c>
      <c r="B435" s="134" t="str">
        <f ca="1">IFERROR(__xludf.DUMMYFUNCTION("""COMPUTED_VALUE"""),"")</f>
        <v/>
      </c>
      <c r="C435" s="134" t="str">
        <f ca="1">IFERROR(__xludf.DUMMYFUNCTION("""COMPUTED_VALUE"""),"")</f>
        <v/>
      </c>
      <c r="D435" s="134" t="str">
        <f ca="1">IFERROR(__xludf.DUMMYFUNCTION("""COMPUTED_VALUE"""),"")</f>
        <v/>
      </c>
      <c r="E435" s="134" t="str">
        <f ca="1">IFERROR(__xludf.DUMMYFUNCTION("""COMPUTED_VALUE"""),"")</f>
        <v/>
      </c>
      <c r="F435" s="134" t="str">
        <f ca="1">IFERROR(__xludf.DUMMYFUNCTION("""COMPUTED_VALUE"""),"")</f>
        <v/>
      </c>
      <c r="G435" s="134" t="str">
        <f ca="1">IFERROR(__xludf.DUMMYFUNCTION("""COMPUTED_VALUE"""),"")</f>
        <v/>
      </c>
      <c r="H435" s="134" t="str">
        <f ca="1">IFERROR(__xludf.DUMMYFUNCTION("""COMPUTED_VALUE"""),"")</f>
        <v/>
      </c>
      <c r="I435" s="134" t="str">
        <f ca="1">IFERROR(__xludf.DUMMYFUNCTION("""COMPUTED_VALUE"""),"")</f>
        <v/>
      </c>
      <c r="J435" s="134" t="str">
        <f ca="1">IFERROR(__xludf.DUMMYFUNCTION("""COMPUTED_VALUE"""),"")</f>
        <v/>
      </c>
      <c r="N435" s="31"/>
    </row>
    <row r="436" spans="1:14" customFormat="1">
      <c r="A436" s="134" t="str">
        <f ca="1">IFERROR(__xludf.DUMMYFUNCTION("""COMPUTED_VALUE"""),"")</f>
        <v/>
      </c>
      <c r="B436" s="134" t="str">
        <f ca="1">IFERROR(__xludf.DUMMYFUNCTION("""COMPUTED_VALUE"""),"")</f>
        <v/>
      </c>
      <c r="C436" s="134" t="str">
        <f ca="1">IFERROR(__xludf.DUMMYFUNCTION("""COMPUTED_VALUE"""),"")</f>
        <v/>
      </c>
      <c r="D436" s="134" t="str">
        <f ca="1">IFERROR(__xludf.DUMMYFUNCTION("""COMPUTED_VALUE"""),"")</f>
        <v/>
      </c>
      <c r="E436" s="134" t="str">
        <f ca="1">IFERROR(__xludf.DUMMYFUNCTION("""COMPUTED_VALUE"""),"")</f>
        <v/>
      </c>
      <c r="F436" s="134" t="str">
        <f ca="1">IFERROR(__xludf.DUMMYFUNCTION("""COMPUTED_VALUE"""),"")</f>
        <v/>
      </c>
      <c r="G436" s="134" t="str">
        <f ca="1">IFERROR(__xludf.DUMMYFUNCTION("""COMPUTED_VALUE"""),"")</f>
        <v/>
      </c>
      <c r="H436" s="134" t="str">
        <f ca="1">IFERROR(__xludf.DUMMYFUNCTION("""COMPUTED_VALUE"""),"")</f>
        <v/>
      </c>
      <c r="I436" s="134" t="str">
        <f ca="1">IFERROR(__xludf.DUMMYFUNCTION("""COMPUTED_VALUE"""),"")</f>
        <v/>
      </c>
      <c r="J436" s="134" t="str">
        <f ca="1">IFERROR(__xludf.DUMMYFUNCTION("""COMPUTED_VALUE"""),"")</f>
        <v/>
      </c>
      <c r="N436" s="31"/>
    </row>
    <row r="437" spans="1:14" customFormat="1">
      <c r="A437" s="134" t="str">
        <f ca="1">IFERROR(__xludf.DUMMYFUNCTION("""COMPUTED_VALUE"""),"")</f>
        <v/>
      </c>
      <c r="B437" s="134" t="str">
        <f ca="1">IFERROR(__xludf.DUMMYFUNCTION("""COMPUTED_VALUE"""),"")</f>
        <v/>
      </c>
      <c r="C437" s="134" t="str">
        <f ca="1">IFERROR(__xludf.DUMMYFUNCTION("""COMPUTED_VALUE"""),"")</f>
        <v/>
      </c>
      <c r="D437" s="134" t="str">
        <f ca="1">IFERROR(__xludf.DUMMYFUNCTION("""COMPUTED_VALUE"""),"")</f>
        <v/>
      </c>
      <c r="E437" s="134" t="str">
        <f ca="1">IFERROR(__xludf.DUMMYFUNCTION("""COMPUTED_VALUE"""),"")</f>
        <v/>
      </c>
      <c r="F437" s="134" t="str">
        <f ca="1">IFERROR(__xludf.DUMMYFUNCTION("""COMPUTED_VALUE"""),"")</f>
        <v/>
      </c>
      <c r="G437" s="134" t="str">
        <f ca="1">IFERROR(__xludf.DUMMYFUNCTION("""COMPUTED_VALUE"""),"")</f>
        <v/>
      </c>
      <c r="H437" s="134" t="str">
        <f ca="1">IFERROR(__xludf.DUMMYFUNCTION("""COMPUTED_VALUE"""),"")</f>
        <v/>
      </c>
      <c r="I437" s="134" t="str">
        <f ca="1">IFERROR(__xludf.DUMMYFUNCTION("""COMPUTED_VALUE"""),"")</f>
        <v/>
      </c>
      <c r="J437" s="134" t="str">
        <f ca="1">IFERROR(__xludf.DUMMYFUNCTION("""COMPUTED_VALUE"""),"")</f>
        <v/>
      </c>
      <c r="N437" s="31"/>
    </row>
    <row r="438" spans="1:14" customFormat="1">
      <c r="A438" s="134" t="str">
        <f ca="1">IFERROR(__xludf.DUMMYFUNCTION("""COMPUTED_VALUE"""),"")</f>
        <v/>
      </c>
      <c r="B438" s="134" t="str">
        <f ca="1">IFERROR(__xludf.DUMMYFUNCTION("""COMPUTED_VALUE"""),"")</f>
        <v/>
      </c>
      <c r="C438" s="134" t="str">
        <f ca="1">IFERROR(__xludf.DUMMYFUNCTION("""COMPUTED_VALUE"""),"")</f>
        <v/>
      </c>
      <c r="D438" s="134" t="str">
        <f ca="1">IFERROR(__xludf.DUMMYFUNCTION("""COMPUTED_VALUE"""),"")</f>
        <v/>
      </c>
      <c r="E438" s="134" t="str">
        <f ca="1">IFERROR(__xludf.DUMMYFUNCTION("""COMPUTED_VALUE"""),"")</f>
        <v/>
      </c>
      <c r="F438" s="134" t="str">
        <f ca="1">IFERROR(__xludf.DUMMYFUNCTION("""COMPUTED_VALUE"""),"")</f>
        <v/>
      </c>
      <c r="G438" s="134" t="str">
        <f ca="1">IFERROR(__xludf.DUMMYFUNCTION("""COMPUTED_VALUE"""),"")</f>
        <v/>
      </c>
      <c r="H438" s="134" t="str">
        <f ca="1">IFERROR(__xludf.DUMMYFUNCTION("""COMPUTED_VALUE"""),"")</f>
        <v/>
      </c>
      <c r="I438" s="134" t="str">
        <f ca="1">IFERROR(__xludf.DUMMYFUNCTION("""COMPUTED_VALUE"""),"")</f>
        <v/>
      </c>
      <c r="J438" s="134" t="str">
        <f ca="1">IFERROR(__xludf.DUMMYFUNCTION("""COMPUTED_VALUE"""),"")</f>
        <v/>
      </c>
      <c r="N438" s="31"/>
    </row>
    <row r="439" spans="1:14" customFormat="1">
      <c r="A439" s="134" t="str">
        <f ca="1">IFERROR(__xludf.DUMMYFUNCTION("""COMPUTED_VALUE"""),"")</f>
        <v/>
      </c>
      <c r="B439" s="134" t="str">
        <f ca="1">IFERROR(__xludf.DUMMYFUNCTION("""COMPUTED_VALUE"""),"")</f>
        <v/>
      </c>
      <c r="C439" s="134" t="str">
        <f ca="1">IFERROR(__xludf.DUMMYFUNCTION("""COMPUTED_VALUE"""),"")</f>
        <v/>
      </c>
      <c r="D439" s="134" t="str">
        <f ca="1">IFERROR(__xludf.DUMMYFUNCTION("""COMPUTED_VALUE"""),"")</f>
        <v/>
      </c>
      <c r="E439" s="134" t="str">
        <f ca="1">IFERROR(__xludf.DUMMYFUNCTION("""COMPUTED_VALUE"""),"")</f>
        <v/>
      </c>
      <c r="F439" s="134" t="str">
        <f ca="1">IFERROR(__xludf.DUMMYFUNCTION("""COMPUTED_VALUE"""),"")</f>
        <v/>
      </c>
      <c r="G439" s="134" t="str">
        <f ca="1">IFERROR(__xludf.DUMMYFUNCTION("""COMPUTED_VALUE"""),"")</f>
        <v/>
      </c>
      <c r="H439" s="134" t="str">
        <f ca="1">IFERROR(__xludf.DUMMYFUNCTION("""COMPUTED_VALUE"""),"")</f>
        <v/>
      </c>
      <c r="I439" s="134" t="str">
        <f ca="1">IFERROR(__xludf.DUMMYFUNCTION("""COMPUTED_VALUE"""),"")</f>
        <v/>
      </c>
      <c r="J439" s="134" t="str">
        <f ca="1">IFERROR(__xludf.DUMMYFUNCTION("""COMPUTED_VALUE"""),"")</f>
        <v/>
      </c>
      <c r="N439" s="31"/>
    </row>
    <row r="440" spans="1:14" customFormat="1">
      <c r="A440" s="134" t="str">
        <f ca="1">IFERROR(__xludf.DUMMYFUNCTION("""COMPUTED_VALUE"""),"")</f>
        <v/>
      </c>
      <c r="B440" s="134" t="str">
        <f ca="1">IFERROR(__xludf.DUMMYFUNCTION("""COMPUTED_VALUE"""),"")</f>
        <v/>
      </c>
      <c r="C440" s="134" t="str">
        <f ca="1">IFERROR(__xludf.DUMMYFUNCTION("""COMPUTED_VALUE"""),"")</f>
        <v/>
      </c>
      <c r="D440" s="134" t="str">
        <f ca="1">IFERROR(__xludf.DUMMYFUNCTION("""COMPUTED_VALUE"""),"")</f>
        <v/>
      </c>
      <c r="E440" s="134" t="str">
        <f ca="1">IFERROR(__xludf.DUMMYFUNCTION("""COMPUTED_VALUE"""),"")</f>
        <v/>
      </c>
      <c r="F440" s="134" t="str">
        <f ca="1">IFERROR(__xludf.DUMMYFUNCTION("""COMPUTED_VALUE"""),"")</f>
        <v/>
      </c>
      <c r="G440" s="134" t="str">
        <f ca="1">IFERROR(__xludf.DUMMYFUNCTION("""COMPUTED_VALUE"""),"")</f>
        <v/>
      </c>
      <c r="H440" s="134" t="str">
        <f ca="1">IFERROR(__xludf.DUMMYFUNCTION("""COMPUTED_VALUE"""),"")</f>
        <v/>
      </c>
      <c r="I440" s="134" t="str">
        <f ca="1">IFERROR(__xludf.DUMMYFUNCTION("""COMPUTED_VALUE"""),"")</f>
        <v/>
      </c>
      <c r="J440" s="134" t="str">
        <f ca="1">IFERROR(__xludf.DUMMYFUNCTION("""COMPUTED_VALUE"""),"")</f>
        <v/>
      </c>
      <c r="N440" s="31"/>
    </row>
    <row r="441" spans="1:14" customFormat="1">
      <c r="A441" s="134" t="str">
        <f ca="1">IFERROR(__xludf.DUMMYFUNCTION("""COMPUTED_VALUE"""),"")</f>
        <v/>
      </c>
      <c r="B441" s="134" t="str">
        <f ca="1">IFERROR(__xludf.DUMMYFUNCTION("""COMPUTED_VALUE"""),"")</f>
        <v/>
      </c>
      <c r="C441" s="134" t="str">
        <f ca="1">IFERROR(__xludf.DUMMYFUNCTION("""COMPUTED_VALUE"""),"")</f>
        <v/>
      </c>
      <c r="D441" s="134" t="str">
        <f ca="1">IFERROR(__xludf.DUMMYFUNCTION("""COMPUTED_VALUE"""),"")</f>
        <v/>
      </c>
      <c r="E441" s="134" t="str">
        <f ca="1">IFERROR(__xludf.DUMMYFUNCTION("""COMPUTED_VALUE"""),"")</f>
        <v/>
      </c>
      <c r="F441" s="134" t="str">
        <f ca="1">IFERROR(__xludf.DUMMYFUNCTION("""COMPUTED_VALUE"""),"")</f>
        <v/>
      </c>
      <c r="G441" s="134" t="str">
        <f ca="1">IFERROR(__xludf.DUMMYFUNCTION("""COMPUTED_VALUE"""),"")</f>
        <v/>
      </c>
      <c r="H441" s="134" t="str">
        <f ca="1">IFERROR(__xludf.DUMMYFUNCTION("""COMPUTED_VALUE"""),"")</f>
        <v/>
      </c>
      <c r="I441" s="134" t="str">
        <f ca="1">IFERROR(__xludf.DUMMYFUNCTION("""COMPUTED_VALUE"""),"")</f>
        <v/>
      </c>
      <c r="J441" s="134" t="str">
        <f ca="1">IFERROR(__xludf.DUMMYFUNCTION("""COMPUTED_VALUE"""),"")</f>
        <v/>
      </c>
      <c r="N441" s="31"/>
    </row>
    <row r="442" spans="1:14" customFormat="1">
      <c r="A442" s="134" t="str">
        <f ca="1">IFERROR(__xludf.DUMMYFUNCTION("""COMPUTED_VALUE"""),"")</f>
        <v/>
      </c>
      <c r="B442" s="134" t="str">
        <f ca="1">IFERROR(__xludf.DUMMYFUNCTION("""COMPUTED_VALUE"""),"")</f>
        <v/>
      </c>
      <c r="C442" s="134" t="str">
        <f ca="1">IFERROR(__xludf.DUMMYFUNCTION("""COMPUTED_VALUE"""),"")</f>
        <v/>
      </c>
      <c r="D442" s="134" t="str">
        <f ca="1">IFERROR(__xludf.DUMMYFUNCTION("""COMPUTED_VALUE"""),"")</f>
        <v/>
      </c>
      <c r="E442" s="134" t="str">
        <f ca="1">IFERROR(__xludf.DUMMYFUNCTION("""COMPUTED_VALUE"""),"")</f>
        <v/>
      </c>
      <c r="F442" s="134" t="str">
        <f ca="1">IFERROR(__xludf.DUMMYFUNCTION("""COMPUTED_VALUE"""),"")</f>
        <v/>
      </c>
      <c r="G442" s="134" t="str">
        <f ca="1">IFERROR(__xludf.DUMMYFUNCTION("""COMPUTED_VALUE"""),"")</f>
        <v/>
      </c>
      <c r="H442" s="134" t="str">
        <f ca="1">IFERROR(__xludf.DUMMYFUNCTION("""COMPUTED_VALUE"""),"")</f>
        <v/>
      </c>
      <c r="I442" s="134" t="str">
        <f ca="1">IFERROR(__xludf.DUMMYFUNCTION("""COMPUTED_VALUE"""),"")</f>
        <v/>
      </c>
      <c r="J442" s="134" t="str">
        <f ca="1">IFERROR(__xludf.DUMMYFUNCTION("""COMPUTED_VALUE"""),"")</f>
        <v/>
      </c>
      <c r="N442" s="31"/>
    </row>
    <row r="443" spans="1:14" customFormat="1">
      <c r="A443" s="134" t="str">
        <f ca="1">IFERROR(__xludf.DUMMYFUNCTION("""COMPUTED_VALUE"""),"")</f>
        <v/>
      </c>
      <c r="B443" s="134" t="str">
        <f ca="1">IFERROR(__xludf.DUMMYFUNCTION("""COMPUTED_VALUE"""),"")</f>
        <v/>
      </c>
      <c r="C443" s="134" t="str">
        <f ca="1">IFERROR(__xludf.DUMMYFUNCTION("""COMPUTED_VALUE"""),"")</f>
        <v/>
      </c>
      <c r="D443" s="134" t="str">
        <f ca="1">IFERROR(__xludf.DUMMYFUNCTION("""COMPUTED_VALUE"""),"")</f>
        <v/>
      </c>
      <c r="E443" s="134" t="str">
        <f ca="1">IFERROR(__xludf.DUMMYFUNCTION("""COMPUTED_VALUE"""),"")</f>
        <v/>
      </c>
      <c r="F443" s="134" t="str">
        <f ca="1">IFERROR(__xludf.DUMMYFUNCTION("""COMPUTED_VALUE"""),"")</f>
        <v/>
      </c>
      <c r="G443" s="134" t="str">
        <f ca="1">IFERROR(__xludf.DUMMYFUNCTION("""COMPUTED_VALUE"""),"")</f>
        <v/>
      </c>
      <c r="H443" s="134" t="str">
        <f ca="1">IFERROR(__xludf.DUMMYFUNCTION("""COMPUTED_VALUE"""),"")</f>
        <v/>
      </c>
      <c r="I443" s="134" t="str">
        <f ca="1">IFERROR(__xludf.DUMMYFUNCTION("""COMPUTED_VALUE"""),"")</f>
        <v/>
      </c>
      <c r="J443" s="134" t="str">
        <f ca="1">IFERROR(__xludf.DUMMYFUNCTION("""COMPUTED_VALUE"""),"")</f>
        <v/>
      </c>
      <c r="N443" s="31"/>
    </row>
    <row r="444" spans="1:14" customFormat="1">
      <c r="A444" s="134" t="str">
        <f ca="1">IFERROR(__xludf.DUMMYFUNCTION("""COMPUTED_VALUE"""),"")</f>
        <v/>
      </c>
      <c r="B444" s="134" t="str">
        <f ca="1">IFERROR(__xludf.DUMMYFUNCTION("""COMPUTED_VALUE"""),"")</f>
        <v/>
      </c>
      <c r="C444" s="134" t="str">
        <f ca="1">IFERROR(__xludf.DUMMYFUNCTION("""COMPUTED_VALUE"""),"")</f>
        <v/>
      </c>
      <c r="D444" s="134" t="str">
        <f ca="1">IFERROR(__xludf.DUMMYFUNCTION("""COMPUTED_VALUE"""),"")</f>
        <v/>
      </c>
      <c r="E444" s="134" t="str">
        <f ca="1">IFERROR(__xludf.DUMMYFUNCTION("""COMPUTED_VALUE"""),"")</f>
        <v/>
      </c>
      <c r="F444" s="134" t="str">
        <f ca="1">IFERROR(__xludf.DUMMYFUNCTION("""COMPUTED_VALUE"""),"")</f>
        <v/>
      </c>
      <c r="G444" s="134" t="str">
        <f ca="1">IFERROR(__xludf.DUMMYFUNCTION("""COMPUTED_VALUE"""),"")</f>
        <v/>
      </c>
      <c r="H444" s="134" t="str">
        <f ca="1">IFERROR(__xludf.DUMMYFUNCTION("""COMPUTED_VALUE"""),"")</f>
        <v/>
      </c>
      <c r="I444" s="134" t="str">
        <f ca="1">IFERROR(__xludf.DUMMYFUNCTION("""COMPUTED_VALUE"""),"")</f>
        <v/>
      </c>
      <c r="J444" s="134" t="str">
        <f ca="1">IFERROR(__xludf.DUMMYFUNCTION("""COMPUTED_VALUE"""),"")</f>
        <v/>
      </c>
      <c r="N444" s="31"/>
    </row>
    <row r="445" spans="1:14" customFormat="1">
      <c r="A445" s="134" t="str">
        <f ca="1">IFERROR(__xludf.DUMMYFUNCTION("""COMPUTED_VALUE"""),"")</f>
        <v/>
      </c>
      <c r="B445" s="134" t="str">
        <f ca="1">IFERROR(__xludf.DUMMYFUNCTION("""COMPUTED_VALUE"""),"")</f>
        <v/>
      </c>
      <c r="C445" s="134" t="str">
        <f ca="1">IFERROR(__xludf.DUMMYFUNCTION("""COMPUTED_VALUE"""),"")</f>
        <v/>
      </c>
      <c r="D445" s="134" t="str">
        <f ca="1">IFERROR(__xludf.DUMMYFUNCTION("""COMPUTED_VALUE"""),"")</f>
        <v/>
      </c>
      <c r="E445" s="134" t="str">
        <f ca="1">IFERROR(__xludf.DUMMYFUNCTION("""COMPUTED_VALUE"""),"")</f>
        <v/>
      </c>
      <c r="F445" s="134" t="str">
        <f ca="1">IFERROR(__xludf.DUMMYFUNCTION("""COMPUTED_VALUE"""),"")</f>
        <v/>
      </c>
      <c r="G445" s="134" t="str">
        <f ca="1">IFERROR(__xludf.DUMMYFUNCTION("""COMPUTED_VALUE"""),"")</f>
        <v/>
      </c>
      <c r="H445" s="134" t="str">
        <f ca="1">IFERROR(__xludf.DUMMYFUNCTION("""COMPUTED_VALUE"""),"")</f>
        <v/>
      </c>
      <c r="I445" s="134" t="str">
        <f ca="1">IFERROR(__xludf.DUMMYFUNCTION("""COMPUTED_VALUE"""),"")</f>
        <v/>
      </c>
      <c r="J445" s="134" t="str">
        <f ca="1">IFERROR(__xludf.DUMMYFUNCTION("""COMPUTED_VALUE"""),"")</f>
        <v/>
      </c>
      <c r="N445" s="31"/>
    </row>
    <row r="446" spans="1:14" customFormat="1">
      <c r="A446" s="134" t="str">
        <f ca="1">IFERROR(__xludf.DUMMYFUNCTION("""COMPUTED_VALUE"""),"")</f>
        <v/>
      </c>
      <c r="B446" s="134" t="str">
        <f ca="1">IFERROR(__xludf.DUMMYFUNCTION("""COMPUTED_VALUE"""),"")</f>
        <v/>
      </c>
      <c r="C446" s="134" t="str">
        <f ca="1">IFERROR(__xludf.DUMMYFUNCTION("""COMPUTED_VALUE"""),"")</f>
        <v/>
      </c>
      <c r="D446" s="134" t="str">
        <f ca="1">IFERROR(__xludf.DUMMYFUNCTION("""COMPUTED_VALUE"""),"")</f>
        <v/>
      </c>
      <c r="E446" s="134" t="str">
        <f ca="1">IFERROR(__xludf.DUMMYFUNCTION("""COMPUTED_VALUE"""),"")</f>
        <v/>
      </c>
      <c r="F446" s="134" t="str">
        <f ca="1">IFERROR(__xludf.DUMMYFUNCTION("""COMPUTED_VALUE"""),"")</f>
        <v/>
      </c>
      <c r="G446" s="134" t="str">
        <f ca="1">IFERROR(__xludf.DUMMYFUNCTION("""COMPUTED_VALUE"""),"")</f>
        <v/>
      </c>
      <c r="H446" s="134" t="str">
        <f ca="1">IFERROR(__xludf.DUMMYFUNCTION("""COMPUTED_VALUE"""),"")</f>
        <v/>
      </c>
      <c r="I446" s="134" t="str">
        <f ca="1">IFERROR(__xludf.DUMMYFUNCTION("""COMPUTED_VALUE"""),"")</f>
        <v/>
      </c>
      <c r="J446" s="134" t="str">
        <f ca="1">IFERROR(__xludf.DUMMYFUNCTION("""COMPUTED_VALUE"""),"")</f>
        <v/>
      </c>
      <c r="N446" s="31"/>
    </row>
    <row r="447" spans="1:14" customFormat="1">
      <c r="A447" s="134" t="str">
        <f ca="1">IFERROR(__xludf.DUMMYFUNCTION("""COMPUTED_VALUE"""),"")</f>
        <v/>
      </c>
      <c r="B447" s="134" t="str">
        <f ca="1">IFERROR(__xludf.DUMMYFUNCTION("""COMPUTED_VALUE"""),"")</f>
        <v/>
      </c>
      <c r="C447" s="134" t="str">
        <f ca="1">IFERROR(__xludf.DUMMYFUNCTION("""COMPUTED_VALUE"""),"")</f>
        <v/>
      </c>
      <c r="D447" s="134" t="str">
        <f ca="1">IFERROR(__xludf.DUMMYFUNCTION("""COMPUTED_VALUE"""),"")</f>
        <v/>
      </c>
      <c r="E447" s="134" t="str">
        <f ca="1">IFERROR(__xludf.DUMMYFUNCTION("""COMPUTED_VALUE"""),"")</f>
        <v/>
      </c>
      <c r="F447" s="134" t="str">
        <f ca="1">IFERROR(__xludf.DUMMYFUNCTION("""COMPUTED_VALUE"""),"")</f>
        <v/>
      </c>
      <c r="G447" s="134" t="str">
        <f ca="1">IFERROR(__xludf.DUMMYFUNCTION("""COMPUTED_VALUE"""),"")</f>
        <v/>
      </c>
      <c r="H447" s="134" t="str">
        <f ca="1">IFERROR(__xludf.DUMMYFUNCTION("""COMPUTED_VALUE"""),"")</f>
        <v/>
      </c>
      <c r="I447" s="134" t="str">
        <f ca="1">IFERROR(__xludf.DUMMYFUNCTION("""COMPUTED_VALUE"""),"")</f>
        <v/>
      </c>
      <c r="J447" s="134" t="str">
        <f ca="1">IFERROR(__xludf.DUMMYFUNCTION("""COMPUTED_VALUE"""),"")</f>
        <v/>
      </c>
      <c r="N447" s="31"/>
    </row>
    <row r="448" spans="1:14" customFormat="1">
      <c r="A448" s="134" t="str">
        <f ca="1">IFERROR(__xludf.DUMMYFUNCTION("""COMPUTED_VALUE"""),"")</f>
        <v/>
      </c>
      <c r="B448" s="134" t="str">
        <f ca="1">IFERROR(__xludf.DUMMYFUNCTION("""COMPUTED_VALUE"""),"")</f>
        <v/>
      </c>
      <c r="C448" s="134" t="str">
        <f ca="1">IFERROR(__xludf.DUMMYFUNCTION("""COMPUTED_VALUE"""),"")</f>
        <v/>
      </c>
      <c r="D448" s="134" t="str">
        <f ca="1">IFERROR(__xludf.DUMMYFUNCTION("""COMPUTED_VALUE"""),"")</f>
        <v/>
      </c>
      <c r="E448" s="134" t="str">
        <f ca="1">IFERROR(__xludf.DUMMYFUNCTION("""COMPUTED_VALUE"""),"")</f>
        <v/>
      </c>
      <c r="F448" s="134" t="str">
        <f ca="1">IFERROR(__xludf.DUMMYFUNCTION("""COMPUTED_VALUE"""),"")</f>
        <v/>
      </c>
      <c r="G448" s="134" t="str">
        <f ca="1">IFERROR(__xludf.DUMMYFUNCTION("""COMPUTED_VALUE"""),"")</f>
        <v/>
      </c>
      <c r="H448" s="134" t="str">
        <f ca="1">IFERROR(__xludf.DUMMYFUNCTION("""COMPUTED_VALUE"""),"")</f>
        <v/>
      </c>
      <c r="I448" s="134" t="str">
        <f ca="1">IFERROR(__xludf.DUMMYFUNCTION("""COMPUTED_VALUE"""),"")</f>
        <v/>
      </c>
      <c r="J448" s="134" t="str">
        <f ca="1">IFERROR(__xludf.DUMMYFUNCTION("""COMPUTED_VALUE"""),"")</f>
        <v/>
      </c>
      <c r="N448" s="31"/>
    </row>
    <row r="449" spans="1:14" customFormat="1">
      <c r="A449" s="134" t="str">
        <f ca="1">IFERROR(__xludf.DUMMYFUNCTION("""COMPUTED_VALUE"""),"")</f>
        <v/>
      </c>
      <c r="B449" s="134" t="str">
        <f ca="1">IFERROR(__xludf.DUMMYFUNCTION("""COMPUTED_VALUE"""),"")</f>
        <v/>
      </c>
      <c r="C449" s="134" t="str">
        <f ca="1">IFERROR(__xludf.DUMMYFUNCTION("""COMPUTED_VALUE"""),"")</f>
        <v/>
      </c>
      <c r="D449" s="134" t="str">
        <f ca="1">IFERROR(__xludf.DUMMYFUNCTION("""COMPUTED_VALUE"""),"")</f>
        <v/>
      </c>
      <c r="E449" s="134" t="str">
        <f ca="1">IFERROR(__xludf.DUMMYFUNCTION("""COMPUTED_VALUE"""),"")</f>
        <v/>
      </c>
      <c r="F449" s="134" t="str">
        <f ca="1">IFERROR(__xludf.DUMMYFUNCTION("""COMPUTED_VALUE"""),"")</f>
        <v/>
      </c>
      <c r="G449" s="134" t="str">
        <f ca="1">IFERROR(__xludf.DUMMYFUNCTION("""COMPUTED_VALUE"""),"")</f>
        <v/>
      </c>
      <c r="H449" s="134" t="str">
        <f ca="1">IFERROR(__xludf.DUMMYFUNCTION("""COMPUTED_VALUE"""),"")</f>
        <v/>
      </c>
      <c r="I449" s="134" t="str">
        <f ca="1">IFERROR(__xludf.DUMMYFUNCTION("""COMPUTED_VALUE"""),"")</f>
        <v/>
      </c>
      <c r="J449" s="134" t="str">
        <f ca="1">IFERROR(__xludf.DUMMYFUNCTION("""COMPUTED_VALUE"""),"")</f>
        <v/>
      </c>
      <c r="N449" s="31"/>
    </row>
    <row r="450" spans="1:14" customFormat="1">
      <c r="A450" s="134" t="str">
        <f ca="1">IFERROR(__xludf.DUMMYFUNCTION("""COMPUTED_VALUE"""),"")</f>
        <v/>
      </c>
      <c r="B450" s="134" t="str">
        <f ca="1">IFERROR(__xludf.DUMMYFUNCTION("""COMPUTED_VALUE"""),"")</f>
        <v/>
      </c>
      <c r="C450" s="134" t="str">
        <f ca="1">IFERROR(__xludf.DUMMYFUNCTION("""COMPUTED_VALUE"""),"")</f>
        <v/>
      </c>
      <c r="D450" s="134" t="str">
        <f ca="1">IFERROR(__xludf.DUMMYFUNCTION("""COMPUTED_VALUE"""),"")</f>
        <v/>
      </c>
      <c r="E450" s="134" t="str">
        <f ca="1">IFERROR(__xludf.DUMMYFUNCTION("""COMPUTED_VALUE"""),"")</f>
        <v/>
      </c>
      <c r="F450" s="134" t="str">
        <f ca="1">IFERROR(__xludf.DUMMYFUNCTION("""COMPUTED_VALUE"""),"")</f>
        <v/>
      </c>
      <c r="G450" s="134" t="str">
        <f ca="1">IFERROR(__xludf.DUMMYFUNCTION("""COMPUTED_VALUE"""),"")</f>
        <v/>
      </c>
      <c r="H450" s="134" t="str">
        <f ca="1">IFERROR(__xludf.DUMMYFUNCTION("""COMPUTED_VALUE"""),"")</f>
        <v/>
      </c>
      <c r="I450" s="134" t="str">
        <f ca="1">IFERROR(__xludf.DUMMYFUNCTION("""COMPUTED_VALUE"""),"")</f>
        <v/>
      </c>
      <c r="J450" s="134" t="str">
        <f ca="1">IFERROR(__xludf.DUMMYFUNCTION("""COMPUTED_VALUE"""),"")</f>
        <v/>
      </c>
      <c r="N450" s="31"/>
    </row>
    <row r="451" spans="1:14" customFormat="1">
      <c r="C451" s="134" t="str">
        <f ca="1">IFERROR(__xludf.DUMMYFUNCTION("""COMPUTED_VALUE"""),"")</f>
        <v/>
      </c>
      <c r="D451" s="134" t="str">
        <f ca="1">IFERROR(__xludf.DUMMYFUNCTION("""COMPUTED_VALUE"""),"")</f>
        <v/>
      </c>
      <c r="E451" s="134" t="str">
        <f ca="1">IFERROR(__xludf.DUMMYFUNCTION("""COMPUTED_VALUE"""),"")</f>
        <v/>
      </c>
      <c r="F451" s="134" t="str">
        <f ca="1">IFERROR(__xludf.DUMMYFUNCTION("""COMPUTED_VALUE"""),"")</f>
        <v/>
      </c>
      <c r="G451" s="134" t="str">
        <f ca="1">IFERROR(__xludf.DUMMYFUNCTION("""COMPUTED_VALUE"""),"")</f>
        <v/>
      </c>
      <c r="H451" s="134" t="str">
        <f ca="1">IFERROR(__xludf.DUMMYFUNCTION("""COMPUTED_VALUE"""),"")</f>
        <v/>
      </c>
      <c r="I451" s="134" t="str">
        <f ca="1">IFERROR(__xludf.DUMMYFUNCTION("""COMPUTED_VALUE"""),"")</f>
        <v/>
      </c>
      <c r="J451" s="134" t="str">
        <f ca="1">IFERROR(__xludf.DUMMYFUNCTION("""COMPUTED_VALUE"""),"")</f>
        <v/>
      </c>
      <c r="N451" s="31"/>
    </row>
    <row r="452" spans="1:14" customFormat="1" ht="14.25">
      <c r="N452" s="31"/>
    </row>
    <row r="453" spans="1:14" customFormat="1" ht="14.25">
      <c r="N453" s="31"/>
    </row>
    <row r="454" spans="1:14" customFormat="1" ht="14.25">
      <c r="N454" s="31"/>
    </row>
    <row r="455" spans="1:14" customFormat="1" ht="14.25">
      <c r="N455" s="31"/>
    </row>
    <row r="456" spans="1:14" customFormat="1" ht="14.25">
      <c r="N456" s="31"/>
    </row>
    <row r="457" spans="1:14" customFormat="1" ht="14.25">
      <c r="N457" s="31"/>
    </row>
    <row r="458" spans="1:14" customFormat="1" ht="14.25">
      <c r="N458" s="31"/>
    </row>
    <row r="459" spans="1:14" customFormat="1" ht="14.25">
      <c r="N459" s="31"/>
    </row>
    <row r="460" spans="1:14" customFormat="1" ht="14.25">
      <c r="N460" s="31"/>
    </row>
    <row r="461" spans="1:14" customFormat="1" ht="14.25">
      <c r="N461" s="31"/>
    </row>
    <row r="462" spans="1:14" customFormat="1" ht="14.25">
      <c r="N462" s="31"/>
    </row>
    <row r="463" spans="1:14" customFormat="1" ht="14.25">
      <c r="N463" s="31"/>
    </row>
    <row r="464" spans="1:14" customFormat="1" ht="14.25">
      <c r="N464" s="31"/>
    </row>
    <row r="465" spans="14:14" customFormat="1" ht="14.25">
      <c r="N465" s="31"/>
    </row>
    <row r="466" spans="14:14" customFormat="1" ht="14.25">
      <c r="N466" s="31"/>
    </row>
    <row r="467" spans="14:14" customFormat="1" ht="14.25">
      <c r="N467" s="31"/>
    </row>
    <row r="468" spans="14:14" customFormat="1" ht="14.25">
      <c r="N468" s="31"/>
    </row>
    <row r="469" spans="14:14" customFormat="1" ht="14.25">
      <c r="N469" s="31"/>
    </row>
    <row r="470" spans="14:14" customFormat="1" ht="14.25">
      <c r="N470" s="31"/>
    </row>
    <row r="471" spans="14:14" customFormat="1" ht="14.25">
      <c r="N471" s="31"/>
    </row>
    <row r="472" spans="14:14" customFormat="1" ht="14.25">
      <c r="N472" s="31"/>
    </row>
    <row r="473" spans="14:14" customFormat="1" ht="14.25">
      <c r="N473" s="31"/>
    </row>
    <row r="474" spans="14:14" customFormat="1" ht="14.25">
      <c r="N474" s="31"/>
    </row>
    <row r="475" spans="14:14" customFormat="1" ht="14.25">
      <c r="N475" s="31"/>
    </row>
    <row r="476" spans="14:14" customFormat="1" ht="14.25">
      <c r="N476" s="31"/>
    </row>
    <row r="477" spans="14:14" customFormat="1" ht="14.25">
      <c r="N477" s="31"/>
    </row>
    <row r="478" spans="14:14" customFormat="1" ht="14.25">
      <c r="N478" s="31"/>
    </row>
    <row r="479" spans="14:14" customFormat="1" ht="14.25">
      <c r="N479" s="31"/>
    </row>
    <row r="480" spans="14:14" customFormat="1" ht="14.25">
      <c r="N480" s="31"/>
    </row>
    <row r="481" spans="14:14" customFormat="1" ht="14.25">
      <c r="N481" s="31"/>
    </row>
    <row r="482" spans="14:14" customFormat="1" ht="14.25">
      <c r="N482" s="31"/>
    </row>
    <row r="483" spans="14:14" customFormat="1" ht="14.25">
      <c r="N483" s="31"/>
    </row>
    <row r="484" spans="14:14" customFormat="1" ht="14.25">
      <c r="N484" s="31"/>
    </row>
    <row r="485" spans="14:14" customFormat="1" ht="14.25">
      <c r="N485" s="31"/>
    </row>
    <row r="486" spans="14:14" customFormat="1" ht="14.25">
      <c r="N486" s="31"/>
    </row>
    <row r="487" spans="14:14" customFormat="1" ht="14.25">
      <c r="N487" s="31"/>
    </row>
    <row r="488" spans="14:14" customFormat="1" ht="14.25">
      <c r="N488" s="31"/>
    </row>
    <row r="489" spans="14:14" customFormat="1" ht="14.25">
      <c r="N489" s="31"/>
    </row>
    <row r="490" spans="14:14" customFormat="1" ht="14.25">
      <c r="N490" s="31"/>
    </row>
    <row r="491" spans="14:14" customFormat="1" ht="14.25">
      <c r="N491" s="31"/>
    </row>
    <row r="492" spans="14:14" customFormat="1" ht="14.25">
      <c r="N492" s="31"/>
    </row>
    <row r="493" spans="14:14" customFormat="1" ht="14.25">
      <c r="N493" s="31"/>
    </row>
    <row r="494" spans="14:14" customFormat="1" ht="14.25">
      <c r="N494" s="31"/>
    </row>
    <row r="495" spans="14:14" customFormat="1" ht="14.25">
      <c r="N495" s="31"/>
    </row>
    <row r="496" spans="14:14" customFormat="1" ht="14.25">
      <c r="N496" s="31"/>
    </row>
    <row r="497" spans="14:14" customFormat="1" ht="14.25">
      <c r="N497" s="31"/>
    </row>
    <row r="498" spans="14:14" customFormat="1" ht="14.25">
      <c r="N498" s="31"/>
    </row>
    <row r="499" spans="14:14" customFormat="1" ht="14.25">
      <c r="N499" s="31"/>
    </row>
    <row r="500" spans="14:14" customFormat="1" ht="14.25">
      <c r="N500" s="31"/>
    </row>
    <row r="501" spans="14:14" customFormat="1" ht="14.25">
      <c r="N501" s="31"/>
    </row>
    <row r="502" spans="14:14" customFormat="1" ht="14.25">
      <c r="N502" s="31"/>
    </row>
    <row r="503" spans="14:14" customFormat="1" ht="14.25">
      <c r="N503" s="31"/>
    </row>
    <row r="504" spans="14:14" customFormat="1" ht="14.25">
      <c r="N504" s="31"/>
    </row>
    <row r="505" spans="14:14" customFormat="1" ht="14.25">
      <c r="N505" s="31"/>
    </row>
    <row r="506" spans="14:14" customFormat="1" ht="14.25">
      <c r="N506" s="31"/>
    </row>
    <row r="507" spans="14:14" customFormat="1" ht="14.25">
      <c r="N507" s="31"/>
    </row>
    <row r="508" spans="14:14" customFormat="1" ht="14.25">
      <c r="N508" s="31"/>
    </row>
    <row r="509" spans="14:14" customFormat="1" ht="14.25">
      <c r="N509" s="31"/>
    </row>
    <row r="510" spans="14:14" customFormat="1" ht="14.25">
      <c r="N510" s="31"/>
    </row>
    <row r="511" spans="14:14" customFormat="1" ht="14.25">
      <c r="N511" s="31"/>
    </row>
    <row r="512" spans="14:14" customFormat="1" ht="14.25">
      <c r="N512" s="31"/>
    </row>
    <row r="513" spans="14:14" customFormat="1" ht="14.25">
      <c r="N513" s="31"/>
    </row>
    <row r="514" spans="14:14" customFormat="1" ht="14.25">
      <c r="N514" s="31"/>
    </row>
    <row r="515" spans="14:14" customFormat="1" ht="14.25">
      <c r="N515" s="31"/>
    </row>
    <row r="516" spans="14:14" customFormat="1" ht="14.25">
      <c r="N516" s="31"/>
    </row>
    <row r="517" spans="14:14" customFormat="1" ht="14.25">
      <c r="N517" s="31"/>
    </row>
    <row r="518" spans="14:14" customFormat="1" ht="14.25">
      <c r="N518" s="31"/>
    </row>
    <row r="519" spans="14:14" customFormat="1" ht="14.25">
      <c r="N519" s="31"/>
    </row>
    <row r="520" spans="14:14" customFormat="1" ht="14.25">
      <c r="N520" s="31"/>
    </row>
    <row r="521" spans="14:14" customFormat="1" ht="14.25">
      <c r="N521" s="31"/>
    </row>
    <row r="522" spans="14:14" customFormat="1" ht="14.25">
      <c r="N522" s="31"/>
    </row>
    <row r="523" spans="14:14" customFormat="1" ht="14.25">
      <c r="N523" s="31"/>
    </row>
    <row r="524" spans="14:14" customFormat="1" ht="14.25">
      <c r="N524" s="31"/>
    </row>
    <row r="525" spans="14:14" customFormat="1" ht="14.25">
      <c r="N525" s="31"/>
    </row>
    <row r="526" spans="14:14" customFormat="1" ht="14.25">
      <c r="N526" s="31"/>
    </row>
    <row r="527" spans="14:14" customFormat="1" ht="14.25">
      <c r="N527" s="31"/>
    </row>
    <row r="528" spans="14:14" customFormat="1" ht="14.25">
      <c r="N528" s="31"/>
    </row>
    <row r="529" spans="1:14" customFormat="1" ht="14.25">
      <c r="N529" s="31"/>
    </row>
    <row r="530" spans="1:14" customFormat="1" ht="14.25">
      <c r="N530" s="31"/>
    </row>
    <row r="531" spans="1:14" customFormat="1" ht="14.25">
      <c r="N531" s="31"/>
    </row>
    <row r="532" spans="1:14" customFormat="1" ht="14.25">
      <c r="N532" s="31"/>
    </row>
    <row r="533" spans="1:14" customFormat="1" ht="14.25">
      <c r="N533" s="31"/>
    </row>
    <row r="534" spans="1:14" customFormat="1" ht="14.25">
      <c r="N534" s="31"/>
    </row>
    <row r="535" spans="1:14" customFormat="1" ht="14.25">
      <c r="N535" s="31"/>
    </row>
    <row r="536" spans="1:14" customFormat="1" ht="14.25">
      <c r="N536" s="31"/>
    </row>
    <row r="537" spans="1:14" customFormat="1" ht="14.25">
      <c r="N537" s="31"/>
    </row>
    <row r="538" spans="1:14" customFormat="1" ht="14.25">
      <c r="A538" s="28"/>
      <c r="B538" s="28"/>
      <c r="N538" s="31"/>
    </row>
  </sheetData>
  <autoFilter ref="A1:AA538" xr:uid="{00000000-0009-0000-0000-000005000000}"/>
  <sortState xmlns:xlrd2="http://schemas.microsoft.com/office/spreadsheetml/2017/richdata2" ref="A59:AA68">
    <sortCondition ref="M59:M68"/>
  </sortState>
  <mergeCells count="2">
    <mergeCell ref="D75:G75"/>
    <mergeCell ref="A75:B7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AA468"/>
  <sheetViews>
    <sheetView zoomScale="70" zoomScaleNormal="70" workbookViewId="0">
      <selection activeCell="X26" sqref="X26"/>
    </sheetView>
  </sheetViews>
  <sheetFormatPr defaultColWidth="12.625" defaultRowHeight="15" customHeight="1"/>
  <cols>
    <col min="1" max="1" width="34" style="28" customWidth="1"/>
    <col min="2" max="2" width="12.5" style="28" customWidth="1"/>
    <col min="3" max="3" width="10.5" style="28" customWidth="1"/>
    <col min="4" max="4" width="15.75" style="28" customWidth="1"/>
    <col min="5" max="5" width="34" style="28" customWidth="1"/>
    <col min="6" max="6" width="20.125" style="28" customWidth="1"/>
    <col min="7" max="7" width="21.5" style="28" customWidth="1"/>
    <col min="8" max="8" width="9.125" style="28" customWidth="1"/>
    <col min="9" max="9" width="15.5" style="28" customWidth="1"/>
    <col min="10" max="10" width="21" style="28" hidden="1" customWidth="1"/>
    <col min="11" max="13" width="0" hidden="1" customWidth="1"/>
    <col min="14" max="14" width="0" style="31" hidden="1" customWidth="1"/>
    <col min="15" max="16" width="12.625" style="28"/>
    <col min="17" max="17" width="12.625" style="28" hidden="1" customWidth="1"/>
    <col min="18" max="22" width="0" style="28" hidden="1" customWidth="1"/>
    <col min="23" max="16384" width="12.625" style="28"/>
  </cols>
  <sheetData>
    <row r="1" spans="1:27" s="236" customFormat="1" ht="45">
      <c r="A1" s="166" t="s">
        <v>1224</v>
      </c>
      <c r="B1" s="166" t="s">
        <v>1225</v>
      </c>
      <c r="C1" s="166" t="s">
        <v>1228</v>
      </c>
      <c r="D1" s="166" t="s">
        <v>1246</v>
      </c>
      <c r="E1" s="166" t="s">
        <v>1247</v>
      </c>
      <c r="F1" s="166" t="s">
        <v>1248</v>
      </c>
      <c r="G1" s="166" t="s">
        <v>18</v>
      </c>
      <c r="H1" s="166" t="s">
        <v>1249</v>
      </c>
      <c r="I1" s="166" t="s">
        <v>1250</v>
      </c>
      <c r="J1" s="166" t="s">
        <v>10</v>
      </c>
      <c r="K1" s="167" t="s">
        <v>3651</v>
      </c>
      <c r="L1" s="167" t="s">
        <v>3652</v>
      </c>
      <c r="M1" s="167" t="s">
        <v>3653</v>
      </c>
      <c r="N1" s="167" t="s">
        <v>3654</v>
      </c>
      <c r="O1" s="235">
        <v>43991</v>
      </c>
      <c r="P1" s="53" t="s">
        <v>3655</v>
      </c>
      <c r="Q1" s="89" t="s">
        <v>3656</v>
      </c>
      <c r="R1" s="53"/>
      <c r="S1" s="53" t="s">
        <v>3657</v>
      </c>
      <c r="T1" s="167" t="s">
        <v>3658</v>
      </c>
    </row>
    <row r="2" spans="1:27" s="55" customFormat="1">
      <c r="A2" s="181" t="s">
        <v>927</v>
      </c>
      <c r="B2" s="181" t="s">
        <v>3659</v>
      </c>
      <c r="C2" s="181" t="s">
        <v>1424</v>
      </c>
      <c r="D2" s="181" t="s">
        <v>3223</v>
      </c>
      <c r="E2" s="181" t="s">
        <v>3224</v>
      </c>
      <c r="F2" s="181" t="s">
        <v>1756</v>
      </c>
      <c r="G2" s="181" t="s">
        <v>18</v>
      </c>
      <c r="H2" s="181" t="s">
        <v>3659</v>
      </c>
      <c r="I2" s="181">
        <v>197</v>
      </c>
      <c r="J2" s="181" t="s">
        <v>930</v>
      </c>
      <c r="K2" s="71">
        <v>5.4722222222222223</v>
      </c>
      <c r="L2" s="71">
        <v>6.2222222222222223</v>
      </c>
      <c r="M2" s="227">
        <v>8</v>
      </c>
      <c r="N2" s="144">
        <v>1</v>
      </c>
      <c r="O2" s="63">
        <f>$O$1+N2</f>
        <v>43992</v>
      </c>
      <c r="P2" s="174" t="s">
        <v>3771</v>
      </c>
      <c r="Q2" s="143">
        <f>ROUNDUP(I2/$R$2,0)</f>
        <v>4</v>
      </c>
      <c r="R2" s="143">
        <v>50</v>
      </c>
      <c r="S2" s="208" t="s">
        <v>3661</v>
      </c>
      <c r="T2" s="143">
        <v>3</v>
      </c>
      <c r="U2" s="143"/>
      <c r="V2" s="143"/>
      <c r="W2" s="143"/>
      <c r="X2" s="143"/>
      <c r="Y2" s="143"/>
      <c r="Z2" s="143"/>
      <c r="AA2" s="143"/>
    </row>
    <row r="3" spans="1:27" s="57" customFormat="1">
      <c r="A3" s="181" t="s">
        <v>872</v>
      </c>
      <c r="B3" s="181" t="s">
        <v>3659</v>
      </c>
      <c r="C3" s="181" t="s">
        <v>1424</v>
      </c>
      <c r="D3" s="181" t="s">
        <v>3098</v>
      </c>
      <c r="E3" s="181" t="s">
        <v>3099</v>
      </c>
      <c r="F3" s="181" t="s">
        <v>1756</v>
      </c>
      <c r="G3" s="181" t="s">
        <v>18</v>
      </c>
      <c r="H3" s="181" t="s">
        <v>30</v>
      </c>
      <c r="I3" s="181">
        <v>140</v>
      </c>
      <c r="J3" s="181" t="s">
        <v>874</v>
      </c>
      <c r="K3" s="71">
        <v>3.8888888888888888</v>
      </c>
      <c r="L3" s="71">
        <v>4.6388888888888893</v>
      </c>
      <c r="M3" s="227"/>
      <c r="N3" s="132">
        <v>2</v>
      </c>
      <c r="O3" s="63">
        <f t="shared" ref="O3:O28" si="0">$O$1+N3</f>
        <v>43993</v>
      </c>
      <c r="P3" s="181" t="s">
        <v>3660</v>
      </c>
      <c r="Q3" s="143">
        <f t="shared" ref="Q3:Q30" si="1">ROUNDUP(I3/$R$2,0)</f>
        <v>3</v>
      </c>
      <c r="R3" s="181"/>
      <c r="S3" s="181"/>
      <c r="T3" s="181"/>
      <c r="U3" s="181"/>
      <c r="V3" s="181"/>
      <c r="W3" s="181"/>
      <c r="X3" s="181"/>
      <c r="Y3" s="181"/>
      <c r="Z3" s="181"/>
      <c r="AA3" s="181"/>
    </row>
    <row r="4" spans="1:27" s="55" customFormat="1">
      <c r="A4" s="181" t="s">
        <v>1090</v>
      </c>
      <c r="B4" s="181" t="s">
        <v>3659</v>
      </c>
      <c r="C4" s="181" t="s">
        <v>1424</v>
      </c>
      <c r="D4" s="181" t="s">
        <v>2240</v>
      </c>
      <c r="E4" s="181" t="s">
        <v>2241</v>
      </c>
      <c r="F4" s="181" t="s">
        <v>1756</v>
      </c>
      <c r="G4" s="181" t="s">
        <v>18</v>
      </c>
      <c r="H4" s="181" t="s">
        <v>30</v>
      </c>
      <c r="I4" s="181">
        <v>185</v>
      </c>
      <c r="J4" s="181" t="s">
        <v>3665</v>
      </c>
      <c r="K4" s="71">
        <v>5.1388888888888893</v>
      </c>
      <c r="L4" s="71">
        <v>5.8888888888888893</v>
      </c>
      <c r="M4" s="227"/>
      <c r="N4" s="132">
        <v>3</v>
      </c>
      <c r="O4" s="63">
        <f t="shared" si="0"/>
        <v>43994</v>
      </c>
      <c r="P4" s="174" t="s">
        <v>3676</v>
      </c>
      <c r="Q4" s="143">
        <f t="shared" si="1"/>
        <v>4</v>
      </c>
      <c r="R4" s="143"/>
      <c r="S4" s="143"/>
      <c r="T4" s="143"/>
      <c r="U4" s="143"/>
      <c r="V4" s="143"/>
      <c r="W4" s="143"/>
      <c r="X4" s="143"/>
      <c r="Y4" s="143"/>
      <c r="Z4" s="143"/>
      <c r="AA4" s="143"/>
    </row>
    <row r="5" spans="1:27" s="55" customFormat="1">
      <c r="A5" s="181" t="s">
        <v>1752</v>
      </c>
      <c r="B5" s="181" t="s">
        <v>1312</v>
      </c>
      <c r="C5" s="181" t="s">
        <v>1424</v>
      </c>
      <c r="D5" s="181" t="s">
        <v>1754</v>
      </c>
      <c r="E5" s="181" t="s">
        <v>1755</v>
      </c>
      <c r="F5" s="181" t="s">
        <v>1756</v>
      </c>
      <c r="G5" s="181" t="s">
        <v>18</v>
      </c>
      <c r="H5" s="181" t="s">
        <v>1298</v>
      </c>
      <c r="I5" s="181">
        <v>130</v>
      </c>
      <c r="J5" s="181" t="s">
        <v>3659</v>
      </c>
      <c r="K5" s="71">
        <v>3.6111111111111112</v>
      </c>
      <c r="L5" s="71">
        <v>4.3611111111111107</v>
      </c>
      <c r="M5" s="227"/>
      <c r="N5" s="144">
        <v>4</v>
      </c>
      <c r="O5" s="63">
        <f t="shared" si="0"/>
        <v>43995</v>
      </c>
      <c r="P5" s="174" t="s">
        <v>3772</v>
      </c>
      <c r="Q5" s="143">
        <f t="shared" si="1"/>
        <v>3</v>
      </c>
      <c r="R5" s="143"/>
      <c r="S5" s="143"/>
      <c r="T5" s="143"/>
      <c r="U5" s="143"/>
      <c r="V5" s="143"/>
      <c r="W5" s="143"/>
      <c r="X5" s="143"/>
      <c r="Y5" s="143"/>
      <c r="Z5" s="143"/>
      <c r="AA5" s="143"/>
    </row>
    <row r="6" spans="1:27" s="57" customFormat="1">
      <c r="A6" s="181" t="s">
        <v>804</v>
      </c>
      <c r="B6" s="181" t="s">
        <v>2880</v>
      </c>
      <c r="C6" s="181" t="s">
        <v>1424</v>
      </c>
      <c r="D6" s="181" t="s">
        <v>2892</v>
      </c>
      <c r="E6" s="181" t="s">
        <v>2893</v>
      </c>
      <c r="F6" s="181" t="s">
        <v>1739</v>
      </c>
      <c r="G6" s="181" t="s">
        <v>18</v>
      </c>
      <c r="H6" s="181" t="s">
        <v>30</v>
      </c>
      <c r="I6" s="181">
        <v>110</v>
      </c>
      <c r="J6" s="181" t="s">
        <v>807</v>
      </c>
      <c r="K6" s="71">
        <v>3.0555555555555554</v>
      </c>
      <c r="L6" s="71">
        <v>3.8055555555555554</v>
      </c>
      <c r="M6" s="227"/>
      <c r="N6" s="144">
        <v>6</v>
      </c>
      <c r="O6" s="63">
        <f t="shared" si="0"/>
        <v>43997</v>
      </c>
      <c r="P6" s="181" t="s">
        <v>3679</v>
      </c>
      <c r="Q6" s="143">
        <f t="shared" si="1"/>
        <v>3</v>
      </c>
      <c r="R6" s="181"/>
      <c r="S6" s="181"/>
      <c r="T6" s="181"/>
      <c r="U6" s="181"/>
      <c r="V6" s="181"/>
      <c r="W6" s="181"/>
      <c r="X6" s="181"/>
      <c r="Y6" s="181"/>
      <c r="Z6" s="181"/>
      <c r="AA6" s="181"/>
    </row>
    <row r="7" spans="1:27" s="57" customFormat="1">
      <c r="A7" s="181" t="s">
        <v>2983</v>
      </c>
      <c r="B7" s="181" t="s">
        <v>1312</v>
      </c>
      <c r="C7" s="181" t="s">
        <v>1424</v>
      </c>
      <c r="D7" s="181" t="s">
        <v>2984</v>
      </c>
      <c r="E7" s="181" t="s">
        <v>2985</v>
      </c>
      <c r="F7" s="181" t="s">
        <v>2843</v>
      </c>
      <c r="G7" s="181" t="s">
        <v>18</v>
      </c>
      <c r="H7" s="181" t="s">
        <v>1298</v>
      </c>
      <c r="I7" s="181">
        <v>102</v>
      </c>
      <c r="J7" s="181" t="s">
        <v>3659</v>
      </c>
      <c r="K7" s="71">
        <v>2.8333333333333335</v>
      </c>
      <c r="L7" s="71">
        <v>3.5833333333333335</v>
      </c>
      <c r="M7" s="227"/>
      <c r="N7" s="132">
        <v>6</v>
      </c>
      <c r="O7" s="63">
        <f t="shared" si="0"/>
        <v>43997</v>
      </c>
      <c r="P7" s="181" t="s">
        <v>3682</v>
      </c>
      <c r="Q7" s="143">
        <f t="shared" si="1"/>
        <v>3</v>
      </c>
      <c r="R7" s="181"/>
      <c r="S7" s="181"/>
      <c r="T7" s="181"/>
      <c r="U7" s="181"/>
      <c r="V7" s="181"/>
      <c r="W7" s="181"/>
      <c r="X7" s="181"/>
      <c r="Y7" s="181"/>
      <c r="Z7" s="181"/>
      <c r="AA7" s="181"/>
    </row>
    <row r="8" spans="1:27" s="55" customFormat="1">
      <c r="A8" s="181" t="s">
        <v>401</v>
      </c>
      <c r="B8" s="181" t="s">
        <v>2027</v>
      </c>
      <c r="C8" s="181" t="s">
        <v>1424</v>
      </c>
      <c r="D8" s="181" t="s">
        <v>2117</v>
      </c>
      <c r="E8" s="181" t="s">
        <v>2118</v>
      </c>
      <c r="F8" s="181" t="s">
        <v>1756</v>
      </c>
      <c r="G8" s="181" t="s">
        <v>18</v>
      </c>
      <c r="H8" s="181" t="s">
        <v>30</v>
      </c>
      <c r="I8" s="181">
        <v>100</v>
      </c>
      <c r="J8" s="181" t="s">
        <v>405</v>
      </c>
      <c r="K8" s="71">
        <v>2.7777777777777777</v>
      </c>
      <c r="L8" s="71">
        <v>3.5277777777777777</v>
      </c>
      <c r="M8" s="227"/>
      <c r="N8" s="132">
        <v>7</v>
      </c>
      <c r="O8" s="63">
        <f t="shared" si="0"/>
        <v>43998</v>
      </c>
      <c r="P8" s="174" t="s">
        <v>3679</v>
      </c>
      <c r="Q8" s="143">
        <f t="shared" si="1"/>
        <v>2</v>
      </c>
      <c r="R8" s="143"/>
      <c r="S8" s="143"/>
      <c r="T8" s="143"/>
      <c r="U8" s="143"/>
      <c r="V8" s="143"/>
      <c r="W8" s="143"/>
      <c r="X8" s="143"/>
      <c r="Y8" s="143"/>
      <c r="Z8" s="143"/>
      <c r="AA8" s="143"/>
    </row>
    <row r="9" spans="1:27" s="55" customFormat="1">
      <c r="A9" s="181" t="s">
        <v>2840</v>
      </c>
      <c r="B9" s="181" t="s">
        <v>343</v>
      </c>
      <c r="C9" s="181" t="s">
        <v>1424</v>
      </c>
      <c r="D9" s="181" t="s">
        <v>2841</v>
      </c>
      <c r="E9" s="181" t="s">
        <v>2842</v>
      </c>
      <c r="F9" s="181" t="s">
        <v>2843</v>
      </c>
      <c r="G9" s="181" t="s">
        <v>18</v>
      </c>
      <c r="H9" s="181" t="s">
        <v>1298</v>
      </c>
      <c r="I9" s="181">
        <v>162</v>
      </c>
      <c r="J9" s="181" t="s">
        <v>3659</v>
      </c>
      <c r="K9" s="71">
        <v>4.5</v>
      </c>
      <c r="L9" s="71">
        <v>5.25</v>
      </c>
      <c r="M9" s="227"/>
      <c r="N9" s="132">
        <v>7</v>
      </c>
      <c r="O9" s="63">
        <f t="shared" si="0"/>
        <v>43998</v>
      </c>
      <c r="P9" s="174" t="s">
        <v>3773</v>
      </c>
      <c r="Q9" s="143">
        <f t="shared" si="1"/>
        <v>4</v>
      </c>
      <c r="R9" s="143"/>
      <c r="S9" s="143"/>
      <c r="T9" s="143"/>
      <c r="U9" s="143"/>
      <c r="V9" s="143"/>
      <c r="W9" s="143"/>
      <c r="X9" s="143"/>
      <c r="Y9" s="143"/>
      <c r="Z9" s="143"/>
      <c r="AA9" s="143"/>
    </row>
    <row r="10" spans="1:27" s="55" customFormat="1">
      <c r="A10" s="181" t="s">
        <v>1736</v>
      </c>
      <c r="B10" s="181" t="s">
        <v>1312</v>
      </c>
      <c r="C10" s="181" t="s">
        <v>1424</v>
      </c>
      <c r="D10" s="181" t="s">
        <v>1737</v>
      </c>
      <c r="E10" s="181" t="s">
        <v>1738</v>
      </c>
      <c r="F10" s="181" t="s">
        <v>1739</v>
      </c>
      <c r="G10" s="181" t="s">
        <v>18</v>
      </c>
      <c r="H10" s="181" t="s">
        <v>1298</v>
      </c>
      <c r="I10" s="181">
        <v>125</v>
      </c>
      <c r="J10" s="181" t="s">
        <v>3659</v>
      </c>
      <c r="K10" s="71">
        <v>3.4722222222222223</v>
      </c>
      <c r="L10" s="71">
        <v>4.2222222222222223</v>
      </c>
      <c r="M10" s="227"/>
      <c r="N10" s="132">
        <v>8</v>
      </c>
      <c r="O10" s="63">
        <f t="shared" si="0"/>
        <v>43999</v>
      </c>
      <c r="P10" s="174" t="s">
        <v>3772</v>
      </c>
      <c r="Q10" s="143">
        <f t="shared" si="1"/>
        <v>3</v>
      </c>
      <c r="R10" s="143"/>
      <c r="S10" s="143"/>
      <c r="T10" s="143"/>
      <c r="U10" s="143"/>
      <c r="V10" s="143"/>
      <c r="W10" s="143"/>
      <c r="X10" s="143"/>
      <c r="Y10" s="143"/>
      <c r="Z10" s="143"/>
      <c r="AA10" s="143"/>
    </row>
    <row r="11" spans="1:27" s="55" customFormat="1">
      <c r="A11" s="181" t="s">
        <v>2850</v>
      </c>
      <c r="B11" s="181" t="s">
        <v>3659</v>
      </c>
      <c r="C11" s="181" t="s">
        <v>1424</v>
      </c>
      <c r="D11" s="181" t="s">
        <v>3774</v>
      </c>
      <c r="E11" s="181" t="s">
        <v>2851</v>
      </c>
      <c r="F11" s="181" t="s">
        <v>3775</v>
      </c>
      <c r="G11" s="181" t="s">
        <v>18</v>
      </c>
      <c r="H11" s="181" t="s">
        <v>19</v>
      </c>
      <c r="I11" s="181">
        <v>170</v>
      </c>
      <c r="J11" s="181" t="s">
        <v>3665</v>
      </c>
      <c r="K11" s="71">
        <v>4.7222222222222223</v>
      </c>
      <c r="L11" s="71">
        <v>5.4722222222222223</v>
      </c>
      <c r="M11" s="227"/>
      <c r="N11" s="132">
        <v>8</v>
      </c>
      <c r="O11" s="63">
        <f t="shared" si="0"/>
        <v>43999</v>
      </c>
      <c r="P11" s="174" t="s">
        <v>3755</v>
      </c>
      <c r="Q11" s="143">
        <f t="shared" si="1"/>
        <v>4</v>
      </c>
      <c r="R11" s="143"/>
      <c r="S11" s="143"/>
      <c r="T11" s="143"/>
      <c r="U11" s="143"/>
      <c r="V11" s="143"/>
      <c r="W11" s="143"/>
      <c r="X11" s="143"/>
      <c r="Y11" s="143"/>
      <c r="Z11" s="143"/>
      <c r="AA11" s="143"/>
    </row>
    <row r="12" spans="1:27" s="55" customFormat="1">
      <c r="A12" s="181" t="s">
        <v>2949</v>
      </c>
      <c r="B12" s="181" t="s">
        <v>1312</v>
      </c>
      <c r="C12" s="181" t="s">
        <v>1424</v>
      </c>
      <c r="D12" s="181" t="s">
        <v>2950</v>
      </c>
      <c r="E12" s="181" t="s">
        <v>2951</v>
      </c>
      <c r="F12" s="181" t="s">
        <v>2843</v>
      </c>
      <c r="G12" s="181" t="s">
        <v>18</v>
      </c>
      <c r="H12" s="181" t="s">
        <v>1298</v>
      </c>
      <c r="I12" s="181">
        <v>96</v>
      </c>
      <c r="J12" s="181" t="s">
        <v>3659</v>
      </c>
      <c r="K12" s="71">
        <v>2.6666666666666665</v>
      </c>
      <c r="L12" s="71">
        <v>3.4166666666666665</v>
      </c>
      <c r="M12" s="227"/>
      <c r="N12" s="132">
        <v>9</v>
      </c>
      <c r="O12" s="63">
        <f t="shared" si="0"/>
        <v>44000</v>
      </c>
      <c r="P12" s="174" t="s">
        <v>3679</v>
      </c>
      <c r="Q12" s="143">
        <f t="shared" si="1"/>
        <v>2</v>
      </c>
      <c r="R12" s="143"/>
      <c r="S12" s="143"/>
      <c r="T12" s="143"/>
      <c r="U12" s="143"/>
      <c r="V12" s="143"/>
      <c r="W12" s="143"/>
      <c r="X12" s="143"/>
      <c r="Y12" s="143"/>
      <c r="Z12" s="143"/>
      <c r="AA12" s="143"/>
    </row>
    <row r="13" spans="1:27" s="55" customFormat="1">
      <c r="A13" s="181" t="s">
        <v>2977</v>
      </c>
      <c r="B13" s="181" t="s">
        <v>1312</v>
      </c>
      <c r="C13" s="181" t="s">
        <v>2979</v>
      </c>
      <c r="D13" s="181" t="s">
        <v>2980</v>
      </c>
      <c r="E13" s="181" t="s">
        <v>2981</v>
      </c>
      <c r="F13" s="181" t="s">
        <v>2982</v>
      </c>
      <c r="G13" s="181" t="s">
        <v>18</v>
      </c>
      <c r="H13" s="181" t="s">
        <v>1298</v>
      </c>
      <c r="I13" s="181">
        <v>108</v>
      </c>
      <c r="J13" s="181" t="s">
        <v>3659</v>
      </c>
      <c r="K13" s="71">
        <v>3</v>
      </c>
      <c r="L13" s="71">
        <v>3.75</v>
      </c>
      <c r="M13" s="227"/>
      <c r="N13" s="132">
        <v>9</v>
      </c>
      <c r="O13" s="63">
        <f t="shared" si="0"/>
        <v>44000</v>
      </c>
      <c r="P13" s="174" t="s">
        <v>3704</v>
      </c>
      <c r="Q13" s="143">
        <f t="shared" si="1"/>
        <v>3</v>
      </c>
      <c r="R13" s="143"/>
      <c r="S13" s="143"/>
      <c r="T13" s="143"/>
      <c r="U13" s="143"/>
      <c r="V13" s="143"/>
      <c r="W13" s="143"/>
      <c r="X13" s="143"/>
      <c r="Y13" s="143"/>
      <c r="Z13" s="143"/>
      <c r="AA13" s="143"/>
    </row>
    <row r="14" spans="1:27" s="55" customFormat="1">
      <c r="A14" s="181" t="s">
        <v>1422</v>
      </c>
      <c r="B14" s="181" t="s">
        <v>343</v>
      </c>
      <c r="C14" s="181" t="s">
        <v>1424</v>
      </c>
      <c r="D14" s="181" t="s">
        <v>1426</v>
      </c>
      <c r="E14" s="181" t="s">
        <v>1427</v>
      </c>
      <c r="F14" s="181" t="s">
        <v>1428</v>
      </c>
      <c r="G14" s="181" t="s">
        <v>18</v>
      </c>
      <c r="H14" s="181" t="s">
        <v>1298</v>
      </c>
      <c r="I14" s="181">
        <v>70</v>
      </c>
      <c r="J14" s="181" t="s">
        <v>3659</v>
      </c>
      <c r="K14" s="71">
        <v>1.9444444444444444</v>
      </c>
      <c r="L14" s="71">
        <v>2.6944444444444446</v>
      </c>
      <c r="M14" s="227"/>
      <c r="N14" s="132">
        <v>10</v>
      </c>
      <c r="O14" s="63">
        <f t="shared" si="0"/>
        <v>44001</v>
      </c>
      <c r="P14" s="174" t="s">
        <v>3664</v>
      </c>
      <c r="Q14" s="143">
        <f t="shared" si="1"/>
        <v>2</v>
      </c>
      <c r="R14" s="143"/>
      <c r="S14" s="143"/>
      <c r="T14" s="143"/>
      <c r="U14" s="143"/>
      <c r="V14" s="143"/>
      <c r="W14" s="143"/>
      <c r="X14" s="143"/>
      <c r="Y14" s="143"/>
      <c r="Z14" s="143"/>
      <c r="AA14" s="143"/>
    </row>
    <row r="15" spans="1:27" s="59" customFormat="1">
      <c r="A15" s="182" t="s">
        <v>1033</v>
      </c>
      <c r="B15" s="182" t="s">
        <v>3659</v>
      </c>
      <c r="C15" s="182" t="s">
        <v>1349</v>
      </c>
      <c r="D15" s="182" t="s">
        <v>2595</v>
      </c>
      <c r="E15" s="182" t="s">
        <v>2596</v>
      </c>
      <c r="F15" s="182" t="s">
        <v>2597</v>
      </c>
      <c r="G15" s="182" t="s">
        <v>18</v>
      </c>
      <c r="H15" s="182" t="s">
        <v>30</v>
      </c>
      <c r="I15" s="182">
        <v>180</v>
      </c>
      <c r="J15" s="182" t="s">
        <v>3665</v>
      </c>
      <c r="K15" s="72">
        <v>5</v>
      </c>
      <c r="L15" s="72">
        <v>5.75</v>
      </c>
      <c r="M15" s="228">
        <v>9</v>
      </c>
      <c r="N15" s="61">
        <v>1</v>
      </c>
      <c r="O15" s="62">
        <f t="shared" si="0"/>
        <v>43992</v>
      </c>
      <c r="P15" s="138" t="s">
        <v>3676</v>
      </c>
      <c r="Q15" s="149">
        <f t="shared" si="1"/>
        <v>4</v>
      </c>
      <c r="R15" s="149"/>
      <c r="S15" s="169" t="s">
        <v>3661</v>
      </c>
      <c r="T15" s="149">
        <v>3</v>
      </c>
      <c r="U15" s="149"/>
      <c r="V15" s="149"/>
      <c r="W15" s="149"/>
      <c r="X15" s="149"/>
      <c r="Y15" s="149"/>
      <c r="Z15" s="149"/>
      <c r="AA15" s="149"/>
    </row>
    <row r="16" spans="1:27" s="59" customFormat="1">
      <c r="A16" s="182" t="s">
        <v>67</v>
      </c>
      <c r="B16" s="182" t="s">
        <v>1323</v>
      </c>
      <c r="C16" s="182" t="s">
        <v>1349</v>
      </c>
      <c r="D16" s="182" t="s">
        <v>1352</v>
      </c>
      <c r="E16" s="182" t="s">
        <v>1353</v>
      </c>
      <c r="F16" s="182" t="s">
        <v>1354</v>
      </c>
      <c r="G16" s="182" t="s">
        <v>18</v>
      </c>
      <c r="H16" s="182" t="s">
        <v>30</v>
      </c>
      <c r="I16" s="182">
        <v>90</v>
      </c>
      <c r="J16" s="182" t="s">
        <v>71</v>
      </c>
      <c r="K16" s="72">
        <v>2.5</v>
      </c>
      <c r="L16" s="72">
        <v>3.25</v>
      </c>
      <c r="M16" s="228"/>
      <c r="N16" s="61">
        <v>2</v>
      </c>
      <c r="O16" s="62">
        <f t="shared" si="0"/>
        <v>43993</v>
      </c>
      <c r="P16" s="138" t="s">
        <v>3720</v>
      </c>
      <c r="Q16" s="149">
        <f t="shared" si="1"/>
        <v>2</v>
      </c>
      <c r="R16" s="149"/>
      <c r="S16" s="149" t="s">
        <v>3661</v>
      </c>
      <c r="T16" s="149"/>
      <c r="U16" s="149"/>
      <c r="V16" s="149"/>
      <c r="W16" s="149"/>
      <c r="X16" s="149"/>
      <c r="Y16" s="149"/>
      <c r="Z16" s="149"/>
      <c r="AA16" s="149"/>
    </row>
    <row r="17" spans="1:27" s="60" customFormat="1">
      <c r="A17" s="182" t="s">
        <v>3195</v>
      </c>
      <c r="B17" s="182" t="s">
        <v>1312</v>
      </c>
      <c r="C17" s="182" t="s">
        <v>1487</v>
      </c>
      <c r="D17" s="182" t="s">
        <v>3196</v>
      </c>
      <c r="E17" s="182" t="s">
        <v>3197</v>
      </c>
      <c r="F17" s="182" t="s">
        <v>1490</v>
      </c>
      <c r="G17" s="182" t="s">
        <v>18</v>
      </c>
      <c r="H17" s="182" t="s">
        <v>1298</v>
      </c>
      <c r="I17" s="182">
        <v>126</v>
      </c>
      <c r="J17" s="182" t="s">
        <v>3659</v>
      </c>
      <c r="K17" s="72">
        <v>3.5</v>
      </c>
      <c r="L17" s="72">
        <v>4.25</v>
      </c>
      <c r="M17" s="72"/>
      <c r="N17" s="133">
        <v>2</v>
      </c>
      <c r="O17" s="62">
        <f t="shared" si="0"/>
        <v>43993</v>
      </c>
      <c r="P17" s="182" t="s">
        <v>3776</v>
      </c>
      <c r="Q17" s="149">
        <f t="shared" si="1"/>
        <v>3</v>
      </c>
      <c r="R17" s="182"/>
      <c r="S17" s="182"/>
      <c r="T17" s="182"/>
      <c r="U17" s="182"/>
      <c r="V17" s="182"/>
      <c r="W17" s="182"/>
      <c r="X17" s="182"/>
      <c r="Y17" s="182"/>
      <c r="Z17" s="182"/>
      <c r="AA17" s="182"/>
    </row>
    <row r="18" spans="1:27" s="59" customFormat="1">
      <c r="A18" s="182" t="s">
        <v>1485</v>
      </c>
      <c r="B18" s="182" t="s">
        <v>343</v>
      </c>
      <c r="C18" s="182" t="s">
        <v>1487</v>
      </c>
      <c r="D18" s="182" t="s">
        <v>1488</v>
      </c>
      <c r="E18" s="182" t="s">
        <v>1489</v>
      </c>
      <c r="F18" s="182" t="s">
        <v>1490</v>
      </c>
      <c r="G18" s="182" t="s">
        <v>18</v>
      </c>
      <c r="H18" s="182" t="s">
        <v>1298</v>
      </c>
      <c r="I18" s="182">
        <v>114</v>
      </c>
      <c r="J18" s="182" t="s">
        <v>3659</v>
      </c>
      <c r="K18" s="72">
        <v>3.1666666666666665</v>
      </c>
      <c r="L18" s="72">
        <v>3.9166666666666665</v>
      </c>
      <c r="M18" s="72"/>
      <c r="N18" s="133">
        <v>3</v>
      </c>
      <c r="O18" s="62">
        <f t="shared" si="0"/>
        <v>43994</v>
      </c>
      <c r="P18" s="138" t="s">
        <v>3679</v>
      </c>
      <c r="Q18" s="149">
        <f t="shared" si="1"/>
        <v>3</v>
      </c>
      <c r="R18" s="149"/>
      <c r="S18" s="149"/>
      <c r="T18" s="149"/>
      <c r="U18" s="149"/>
      <c r="V18" s="149"/>
      <c r="W18" s="149"/>
      <c r="X18" s="149"/>
      <c r="Y18" s="149"/>
      <c r="Z18" s="149"/>
      <c r="AA18" s="149"/>
    </row>
    <row r="19" spans="1:27" s="59" customFormat="1">
      <c r="A19" s="182" t="s">
        <v>2155</v>
      </c>
      <c r="B19" s="182" t="s">
        <v>2148</v>
      </c>
      <c r="C19" s="182" t="s">
        <v>1487</v>
      </c>
      <c r="D19" s="182" t="s">
        <v>2156</v>
      </c>
      <c r="E19" s="182" t="s">
        <v>2157</v>
      </c>
      <c r="F19" s="182" t="s">
        <v>1490</v>
      </c>
      <c r="G19" s="182" t="s">
        <v>18</v>
      </c>
      <c r="H19" s="182" t="s">
        <v>1298</v>
      </c>
      <c r="I19" s="182">
        <v>37</v>
      </c>
      <c r="J19" s="182" t="s">
        <v>3659</v>
      </c>
      <c r="K19" s="72">
        <v>1.0277777777777777</v>
      </c>
      <c r="L19" s="72">
        <v>1.7777777777777777</v>
      </c>
      <c r="M19" s="72"/>
      <c r="N19" s="133">
        <v>3</v>
      </c>
      <c r="O19" s="62">
        <f t="shared" si="0"/>
        <v>43994</v>
      </c>
      <c r="P19" s="138" t="s">
        <v>3768</v>
      </c>
      <c r="Q19" s="149">
        <f t="shared" si="1"/>
        <v>1</v>
      </c>
      <c r="R19" s="149"/>
      <c r="S19" s="149"/>
      <c r="T19" s="149"/>
      <c r="U19" s="149"/>
      <c r="V19" s="149"/>
      <c r="W19" s="149"/>
      <c r="X19" s="149"/>
      <c r="Y19" s="149"/>
      <c r="Z19" s="149"/>
      <c r="AA19" s="149"/>
    </row>
    <row r="20" spans="1:27" s="59" customFormat="1">
      <c r="A20" s="182" t="s">
        <v>1013</v>
      </c>
      <c r="B20" s="182" t="s">
        <v>2268</v>
      </c>
      <c r="C20" s="182" t="s">
        <v>1487</v>
      </c>
      <c r="D20" s="182" t="s">
        <v>2269</v>
      </c>
      <c r="E20" s="182" t="s">
        <v>2270</v>
      </c>
      <c r="F20" s="182" t="s">
        <v>1490</v>
      </c>
      <c r="G20" s="182" t="s">
        <v>18</v>
      </c>
      <c r="H20" s="182" t="s">
        <v>30</v>
      </c>
      <c r="I20" s="182">
        <v>60</v>
      </c>
      <c r="J20" s="182" t="s">
        <v>3665</v>
      </c>
      <c r="K20" s="72">
        <v>1.6666666666666667</v>
      </c>
      <c r="L20" s="72">
        <v>2.416666666666667</v>
      </c>
      <c r="M20" s="72"/>
      <c r="N20" s="133">
        <v>3</v>
      </c>
      <c r="O20" s="62">
        <f t="shared" si="0"/>
        <v>43994</v>
      </c>
      <c r="P20" s="138" t="s">
        <v>3777</v>
      </c>
      <c r="Q20" s="149">
        <f t="shared" si="1"/>
        <v>2</v>
      </c>
      <c r="R20" s="149"/>
      <c r="S20" s="149"/>
      <c r="T20" s="149"/>
      <c r="U20" s="149"/>
      <c r="V20" s="149"/>
      <c r="W20" s="149"/>
      <c r="X20" s="149"/>
      <c r="Y20" s="149"/>
      <c r="Z20" s="149"/>
      <c r="AA20" s="149"/>
    </row>
    <row r="21" spans="1:27" s="60" customFormat="1">
      <c r="A21" s="182" t="s">
        <v>892</v>
      </c>
      <c r="B21" s="182" t="s">
        <v>1300</v>
      </c>
      <c r="C21" s="182" t="s">
        <v>2141</v>
      </c>
      <c r="D21" s="182" t="s">
        <v>3146</v>
      </c>
      <c r="E21" s="182" t="s">
        <v>3147</v>
      </c>
      <c r="F21" s="182" t="s">
        <v>3148</v>
      </c>
      <c r="G21" s="182" t="s">
        <v>18</v>
      </c>
      <c r="H21" s="182" t="s">
        <v>3659</v>
      </c>
      <c r="I21" s="182">
        <v>130</v>
      </c>
      <c r="J21" s="182" t="s">
        <v>3659</v>
      </c>
      <c r="K21" s="72">
        <v>3.6111111111111112</v>
      </c>
      <c r="L21" s="72">
        <v>4.3611111111111107</v>
      </c>
      <c r="M21" s="72"/>
      <c r="N21" s="133">
        <v>4</v>
      </c>
      <c r="O21" s="62">
        <f t="shared" si="0"/>
        <v>43995</v>
      </c>
      <c r="P21" s="182" t="s">
        <v>3772</v>
      </c>
      <c r="Q21" s="149">
        <f t="shared" si="1"/>
        <v>3</v>
      </c>
      <c r="R21" s="182"/>
      <c r="S21" s="182"/>
      <c r="T21" s="182"/>
      <c r="U21" s="182"/>
      <c r="V21" s="182"/>
      <c r="W21" s="182"/>
      <c r="X21" s="182"/>
      <c r="Y21" s="182"/>
      <c r="Z21" s="182"/>
      <c r="AA21" s="182"/>
    </row>
    <row r="22" spans="1:27" s="59" customFormat="1">
      <c r="A22" s="182" t="s">
        <v>3262</v>
      </c>
      <c r="B22" s="182" t="s">
        <v>343</v>
      </c>
      <c r="C22" s="182" t="s">
        <v>2141</v>
      </c>
      <c r="D22" s="182" t="s">
        <v>3264</v>
      </c>
      <c r="E22" s="182" t="s">
        <v>3265</v>
      </c>
      <c r="F22" s="182" t="s">
        <v>3266</v>
      </c>
      <c r="G22" s="182" t="s">
        <v>18</v>
      </c>
      <c r="H22" s="182" t="s">
        <v>1298</v>
      </c>
      <c r="I22" s="182">
        <v>82</v>
      </c>
      <c r="J22" s="182" t="s">
        <v>3659</v>
      </c>
      <c r="K22" s="72">
        <v>2.2777777777777777</v>
      </c>
      <c r="L22" s="72">
        <v>3.0277777777777777</v>
      </c>
      <c r="M22" s="72"/>
      <c r="N22" s="61">
        <v>4</v>
      </c>
      <c r="O22" s="62">
        <f t="shared" si="0"/>
        <v>43995</v>
      </c>
      <c r="P22" s="138" t="s">
        <v>3663</v>
      </c>
      <c r="Q22" s="149">
        <f t="shared" si="1"/>
        <v>2</v>
      </c>
      <c r="R22" s="149"/>
      <c r="S22" s="149"/>
      <c r="T22" s="149"/>
      <c r="U22" s="149"/>
      <c r="V22" s="149"/>
      <c r="W22" s="149"/>
      <c r="X22" s="149"/>
      <c r="Y22" s="149"/>
      <c r="Z22" s="149"/>
      <c r="AA22" s="149"/>
    </row>
    <row r="23" spans="1:27" s="60" customFormat="1">
      <c r="A23" s="182" t="s">
        <v>3249</v>
      </c>
      <c r="B23" s="182" t="s">
        <v>1312</v>
      </c>
      <c r="C23" s="182" t="s">
        <v>2568</v>
      </c>
      <c r="D23" s="182" t="s">
        <v>3250</v>
      </c>
      <c r="E23" s="182" t="s">
        <v>3251</v>
      </c>
      <c r="F23" s="182" t="s">
        <v>2571</v>
      </c>
      <c r="G23" s="182" t="s">
        <v>18</v>
      </c>
      <c r="H23" s="182" t="s">
        <v>1298</v>
      </c>
      <c r="I23" s="182">
        <v>137</v>
      </c>
      <c r="J23" s="182" t="s">
        <v>3659</v>
      </c>
      <c r="K23" s="72">
        <v>3.8055555555555554</v>
      </c>
      <c r="L23" s="72">
        <v>4.5555555555555554</v>
      </c>
      <c r="M23" s="72"/>
      <c r="N23" s="133">
        <v>6</v>
      </c>
      <c r="O23" s="62">
        <f t="shared" si="0"/>
        <v>43997</v>
      </c>
      <c r="P23" s="182" t="s">
        <v>3660</v>
      </c>
      <c r="Q23" s="149">
        <f t="shared" si="1"/>
        <v>3</v>
      </c>
      <c r="R23" s="182"/>
      <c r="S23" s="182"/>
      <c r="T23" s="182"/>
      <c r="U23" s="182"/>
      <c r="V23" s="182"/>
      <c r="W23" s="182"/>
      <c r="X23" s="182"/>
      <c r="Y23" s="182"/>
      <c r="Z23" s="182"/>
      <c r="AA23" s="182"/>
    </row>
    <row r="24" spans="1:27" s="59" customFormat="1">
      <c r="A24" s="182" t="s">
        <v>2566</v>
      </c>
      <c r="B24" s="182" t="s">
        <v>343</v>
      </c>
      <c r="C24" s="182" t="s">
        <v>2568</v>
      </c>
      <c r="D24" s="182" t="s">
        <v>2569</v>
      </c>
      <c r="E24" s="182" t="s">
        <v>2570</v>
      </c>
      <c r="F24" s="182" t="s">
        <v>2571</v>
      </c>
      <c r="G24" s="182" t="s">
        <v>18</v>
      </c>
      <c r="H24" s="182" t="s">
        <v>1298</v>
      </c>
      <c r="I24" s="182">
        <v>115</v>
      </c>
      <c r="J24" s="182" t="s">
        <v>3659</v>
      </c>
      <c r="K24" s="72">
        <v>3.1944444444444446</v>
      </c>
      <c r="L24" s="72">
        <v>3.9444444444444446</v>
      </c>
      <c r="M24" s="72"/>
      <c r="N24" s="133">
        <v>7</v>
      </c>
      <c r="O24" s="62">
        <f t="shared" si="0"/>
        <v>43998</v>
      </c>
      <c r="P24" s="138" t="s">
        <v>3679</v>
      </c>
      <c r="Q24" s="149">
        <f t="shared" si="1"/>
        <v>3</v>
      </c>
      <c r="R24" s="149"/>
      <c r="S24" s="149"/>
      <c r="T24" s="149"/>
      <c r="U24" s="149"/>
      <c r="V24" s="149"/>
      <c r="W24" s="149"/>
      <c r="X24" s="149"/>
      <c r="Y24" s="149"/>
      <c r="Z24" s="149"/>
      <c r="AA24" s="149"/>
    </row>
    <row r="25" spans="1:27" s="60" customFormat="1">
      <c r="A25" s="182" t="s">
        <v>2481</v>
      </c>
      <c r="B25" s="182" t="s">
        <v>2423</v>
      </c>
      <c r="C25" s="182" t="s">
        <v>1601</v>
      </c>
      <c r="D25" s="182" t="s">
        <v>2482</v>
      </c>
      <c r="E25" s="182" t="s">
        <v>2483</v>
      </c>
      <c r="F25" s="182" t="s">
        <v>1605</v>
      </c>
      <c r="G25" s="182" t="s">
        <v>18</v>
      </c>
      <c r="H25" s="182" t="s">
        <v>1298</v>
      </c>
      <c r="I25" s="182">
        <v>134</v>
      </c>
      <c r="J25" s="182" t="s">
        <v>3659</v>
      </c>
      <c r="K25" s="72">
        <v>3.7222222222222223</v>
      </c>
      <c r="L25" s="72">
        <v>4.4722222222222223</v>
      </c>
      <c r="M25" s="72"/>
      <c r="N25" s="133">
        <v>7</v>
      </c>
      <c r="O25" s="62">
        <f t="shared" si="0"/>
        <v>43998</v>
      </c>
      <c r="P25" s="182" t="s">
        <v>3717</v>
      </c>
      <c r="Q25" s="149">
        <f t="shared" si="1"/>
        <v>3</v>
      </c>
      <c r="R25" s="182"/>
      <c r="S25" s="182"/>
      <c r="T25" s="182"/>
      <c r="U25" s="182"/>
      <c r="V25" s="182"/>
      <c r="W25" s="182"/>
      <c r="X25" s="182"/>
      <c r="Y25" s="182"/>
      <c r="Z25" s="182"/>
      <c r="AA25" s="182"/>
    </row>
    <row r="26" spans="1:27" s="59" customFormat="1">
      <c r="A26" s="182" t="s">
        <v>199</v>
      </c>
      <c r="B26" s="182" t="s">
        <v>3659</v>
      </c>
      <c r="C26" s="182" t="s">
        <v>1601</v>
      </c>
      <c r="D26" s="182" t="s">
        <v>1603</v>
      </c>
      <c r="E26" s="182" t="s">
        <v>1604</v>
      </c>
      <c r="F26" s="182" t="s">
        <v>1605</v>
      </c>
      <c r="G26" s="182" t="s">
        <v>18</v>
      </c>
      <c r="H26" s="182" t="s">
        <v>30</v>
      </c>
      <c r="I26" s="182">
        <v>116</v>
      </c>
      <c r="J26" s="182" t="s">
        <v>3659</v>
      </c>
      <c r="K26" s="72">
        <v>3.2222222222222223</v>
      </c>
      <c r="L26" s="72">
        <v>3.9722222222222223</v>
      </c>
      <c r="M26" s="72"/>
      <c r="N26" s="61">
        <v>8</v>
      </c>
      <c r="O26" s="62">
        <f t="shared" si="0"/>
        <v>43999</v>
      </c>
      <c r="P26" s="138" t="s">
        <v>3679</v>
      </c>
      <c r="Q26" s="149">
        <f t="shared" si="1"/>
        <v>3</v>
      </c>
      <c r="R26" s="149"/>
      <c r="S26" s="149"/>
      <c r="T26" s="149"/>
      <c r="U26" s="149"/>
      <c r="V26" s="149"/>
      <c r="W26" s="149"/>
      <c r="X26" s="149"/>
      <c r="Y26" s="149"/>
      <c r="Z26" s="149"/>
      <c r="AA26" s="149"/>
    </row>
    <row r="27" spans="1:27" s="59" customFormat="1">
      <c r="A27" s="182" t="s">
        <v>3283</v>
      </c>
      <c r="B27" s="182" t="s">
        <v>1312</v>
      </c>
      <c r="C27" s="182" t="s">
        <v>1601</v>
      </c>
      <c r="D27" s="182" t="s">
        <v>3284</v>
      </c>
      <c r="E27" s="182" t="s">
        <v>3285</v>
      </c>
      <c r="F27" s="182" t="s">
        <v>1605</v>
      </c>
      <c r="G27" s="182" t="s">
        <v>18</v>
      </c>
      <c r="H27" s="182" t="s">
        <v>1298</v>
      </c>
      <c r="I27" s="182">
        <v>106</v>
      </c>
      <c r="J27" s="182" t="s">
        <v>3659</v>
      </c>
      <c r="K27" s="72">
        <v>2.9444444444444446</v>
      </c>
      <c r="L27" s="72">
        <v>3.6944444444444446</v>
      </c>
      <c r="M27" s="72"/>
      <c r="N27" s="133">
        <v>8</v>
      </c>
      <c r="O27" s="62">
        <f t="shared" si="0"/>
        <v>43999</v>
      </c>
      <c r="P27" s="138" t="s">
        <v>3682</v>
      </c>
      <c r="Q27" s="149">
        <f t="shared" si="1"/>
        <v>3</v>
      </c>
      <c r="R27" s="149"/>
      <c r="S27" s="149"/>
      <c r="T27" s="149"/>
      <c r="U27" s="149"/>
      <c r="V27" s="149"/>
      <c r="W27" s="149"/>
      <c r="X27" s="149"/>
      <c r="Y27" s="149"/>
      <c r="Z27" s="149"/>
      <c r="AA27" s="149"/>
    </row>
    <row r="28" spans="1:27" s="149" customFormat="1">
      <c r="A28" s="182" t="s">
        <v>918</v>
      </c>
      <c r="B28" s="182" t="s">
        <v>1463</v>
      </c>
      <c r="C28" s="182" t="s">
        <v>1349</v>
      </c>
      <c r="D28" s="182" t="s">
        <v>3211</v>
      </c>
      <c r="E28" s="182" t="s">
        <v>3212</v>
      </c>
      <c r="F28" s="182" t="s">
        <v>1354</v>
      </c>
      <c r="G28" s="182" t="s">
        <v>18</v>
      </c>
      <c r="H28" s="182" t="s">
        <v>3659</v>
      </c>
      <c r="I28" s="182">
        <v>201</v>
      </c>
      <c r="J28" s="182"/>
      <c r="K28" s="72">
        <f>I28/B40</f>
        <v>5.583333333333333</v>
      </c>
      <c r="L28" s="72">
        <f>K28+((B37+B38)/60)</f>
        <v>6.333333333333333</v>
      </c>
      <c r="M28" s="72"/>
      <c r="N28" s="133">
        <v>9</v>
      </c>
      <c r="O28" s="62">
        <f t="shared" si="0"/>
        <v>44000</v>
      </c>
      <c r="P28" s="263" t="s">
        <v>3778</v>
      </c>
      <c r="Q28" s="149">
        <f t="shared" si="1"/>
        <v>5</v>
      </c>
    </row>
    <row r="29" spans="1:27" s="353" customFormat="1">
      <c r="A29" s="348" t="s">
        <v>226</v>
      </c>
      <c r="B29" s="348" t="s">
        <v>3659</v>
      </c>
      <c r="C29" s="348" t="s">
        <v>1601</v>
      </c>
      <c r="D29" s="348" t="s">
        <v>1655</v>
      </c>
      <c r="E29" s="348" t="s">
        <v>1656</v>
      </c>
      <c r="F29" s="348" t="s">
        <v>1605</v>
      </c>
      <c r="G29" s="348" t="s">
        <v>91</v>
      </c>
      <c r="H29" s="348" t="s">
        <v>3659</v>
      </c>
      <c r="I29" s="348">
        <v>90</v>
      </c>
      <c r="J29" s="348" t="s">
        <v>3659</v>
      </c>
      <c r="K29" s="365">
        <v>6.25</v>
      </c>
      <c r="L29" s="365">
        <v>8.75</v>
      </c>
      <c r="M29" s="365" t="s">
        <v>6930</v>
      </c>
      <c r="N29" s="351">
        <v>2</v>
      </c>
      <c r="O29" s="359">
        <v>44006</v>
      </c>
      <c r="P29" s="353" t="s">
        <v>6940</v>
      </c>
      <c r="Q29" s="353">
        <f t="shared" si="1"/>
        <v>2</v>
      </c>
    </row>
    <row r="30" spans="1:27" s="353" customFormat="1">
      <c r="A30" s="348" t="s">
        <v>660</v>
      </c>
      <c r="B30" s="348" t="s">
        <v>3659</v>
      </c>
      <c r="C30" s="348" t="s">
        <v>1349</v>
      </c>
      <c r="D30" s="348" t="s">
        <v>2554</v>
      </c>
      <c r="E30" s="348" t="s">
        <v>2555</v>
      </c>
      <c r="F30" s="348" t="s">
        <v>2556</v>
      </c>
      <c r="G30" s="348" t="s">
        <v>91</v>
      </c>
      <c r="H30" s="348" t="s">
        <v>3659</v>
      </c>
      <c r="I30" s="348">
        <v>100</v>
      </c>
      <c r="J30" s="348" t="s">
        <v>663</v>
      </c>
      <c r="K30" s="365">
        <v>6.25</v>
      </c>
      <c r="L30" s="365">
        <v>8.75</v>
      </c>
      <c r="M30" s="365" t="s">
        <v>6930</v>
      </c>
      <c r="N30" s="351">
        <v>1</v>
      </c>
      <c r="O30" s="359">
        <v>44005</v>
      </c>
      <c r="P30" s="353" t="s">
        <v>6940</v>
      </c>
      <c r="Q30" s="353">
        <f t="shared" si="1"/>
        <v>2</v>
      </c>
    </row>
    <row r="31" spans="1:27" customFormat="1">
      <c r="A31" s="134" t="str">
        <f ca="1">IFERROR(__xludf.DUMMYFUNCTION("""COMPUTED_VALUE"""),"")</f>
        <v/>
      </c>
      <c r="B31" s="134" t="str">
        <f ca="1">IFERROR(__xludf.DUMMYFUNCTION("""COMPUTED_VALUE"""),"")</f>
        <v/>
      </c>
      <c r="C31" s="134" t="str">
        <f ca="1">IFERROR(__xludf.DUMMYFUNCTION("""COMPUTED_VALUE"""),"")</f>
        <v/>
      </c>
      <c r="D31" s="134" t="str">
        <f ca="1">IFERROR(__xludf.DUMMYFUNCTION("""COMPUTED_VALUE"""),"")</f>
        <v/>
      </c>
      <c r="E31" s="134" t="str">
        <f ca="1">IFERROR(__xludf.DUMMYFUNCTION("""COMPUTED_VALUE"""),"")</f>
        <v/>
      </c>
      <c r="F31" s="134" t="str">
        <f ca="1">IFERROR(__xludf.DUMMYFUNCTION("""COMPUTED_VALUE"""),"")</f>
        <v/>
      </c>
      <c r="G31" s="134" t="str">
        <f ca="1">IFERROR(__xludf.DUMMYFUNCTION("""COMPUTED_VALUE"""),"")</f>
        <v/>
      </c>
      <c r="H31" s="134" t="str">
        <f ca="1">IFERROR(__xludf.DUMMYFUNCTION("""COMPUTED_VALUE"""),"")</f>
        <v/>
      </c>
      <c r="I31" s="134" t="str">
        <f ca="1">IFERROR(__xludf.DUMMYFUNCTION("""COMPUTED_VALUE"""),"")</f>
        <v/>
      </c>
      <c r="J31" s="134" t="str">
        <f ca="1">IFERROR(__xludf.DUMMYFUNCTION("""COMPUTED_VALUE"""),"")</f>
        <v/>
      </c>
      <c r="N31" s="31"/>
    </row>
    <row r="32" spans="1:27" customFormat="1" ht="15.75" hidden="1" thickBot="1">
      <c r="A32" s="134" t="str">
        <f ca="1">IFERROR(__xludf.DUMMYFUNCTION("""COMPUTED_VALUE"""),"")</f>
        <v/>
      </c>
      <c r="B32" s="134" t="str">
        <f ca="1">IFERROR(__xludf.DUMMYFUNCTION("""COMPUTED_VALUE"""),"")</f>
        <v/>
      </c>
      <c r="C32" s="134" t="str">
        <f ca="1">IFERROR(__xludf.DUMMYFUNCTION("""COMPUTED_VALUE"""),"")</f>
        <v/>
      </c>
      <c r="D32" s="134" t="str">
        <f ca="1">IFERROR(__xludf.DUMMYFUNCTION("""COMPUTED_VALUE"""),"")</f>
        <v/>
      </c>
      <c r="E32" s="134" t="str">
        <f ca="1">IFERROR(__xludf.DUMMYFUNCTION("""COMPUTED_VALUE"""),"")</f>
        <v/>
      </c>
      <c r="F32" s="134" t="str">
        <f ca="1">IFERROR(__xludf.DUMMYFUNCTION("""COMPUTED_VALUE"""),"")</f>
        <v/>
      </c>
      <c r="G32" s="134" t="str">
        <f ca="1">IFERROR(__xludf.DUMMYFUNCTION("""COMPUTED_VALUE"""),"")</f>
        <v/>
      </c>
      <c r="H32" s="134" t="str">
        <f ca="1">IFERROR(__xludf.DUMMYFUNCTION("""COMPUTED_VALUE"""),"")</f>
        <v/>
      </c>
      <c r="I32" s="134" t="str">
        <f ca="1">IFERROR(__xludf.DUMMYFUNCTION("""COMPUTED_VALUE"""),"")</f>
        <v/>
      </c>
      <c r="J32" s="134" t="str">
        <f ca="1">IFERROR(__xludf.DUMMYFUNCTION("""COMPUTED_VALUE"""),"")</f>
        <v/>
      </c>
      <c r="N32" s="31"/>
    </row>
    <row r="33" spans="1:24" customFormat="1" ht="15.75" hidden="1" thickBot="1">
      <c r="A33" s="414" t="s">
        <v>3695</v>
      </c>
      <c r="B33" s="415"/>
      <c r="C33" s="134" t="str">
        <f ca="1">IFERROR(__xludf.DUMMYFUNCTION("""COMPUTED_VALUE"""),"")</f>
        <v/>
      </c>
      <c r="D33" s="414" t="s">
        <v>3696</v>
      </c>
      <c r="E33" s="416"/>
      <c r="F33" s="416"/>
      <c r="G33" s="415"/>
      <c r="H33" s="134" t="str">
        <f ca="1">IFERROR(__xludf.DUMMYFUNCTION("""COMPUTED_VALUE"""),"")</f>
        <v/>
      </c>
      <c r="I33" s="134">
        <v>60</v>
      </c>
      <c r="J33" s="134" t="s">
        <v>3697</v>
      </c>
      <c r="K33" s="159">
        <v>43992</v>
      </c>
      <c r="L33" s="159"/>
      <c r="M33" s="159">
        <v>43993</v>
      </c>
      <c r="N33" s="159"/>
      <c r="O33" s="159">
        <v>43994</v>
      </c>
      <c r="P33" s="159"/>
      <c r="Q33" s="159">
        <v>43995</v>
      </c>
      <c r="R33" s="159"/>
      <c r="S33" s="159">
        <v>43996</v>
      </c>
      <c r="T33" s="159"/>
      <c r="U33" s="159">
        <v>43997</v>
      </c>
      <c r="V33" s="159"/>
      <c r="W33" s="159">
        <v>43998</v>
      </c>
      <c r="X33" s="159"/>
    </row>
    <row r="34" spans="1:24" customFormat="1" hidden="1">
      <c r="A34" s="43"/>
      <c r="B34" s="36" t="s">
        <v>3365</v>
      </c>
      <c r="C34" s="134" t="str">
        <f ca="1">IFERROR(__xludf.DUMMYFUNCTION("""COMPUTED_VALUE"""),"")</f>
        <v/>
      </c>
      <c r="D34" s="43"/>
      <c r="E34" s="44" t="s">
        <v>3366</v>
      </c>
      <c r="F34" s="50" t="s">
        <v>3367</v>
      </c>
      <c r="G34" s="36"/>
      <c r="H34" s="134" t="str">
        <f ca="1">IFERROR(__xludf.DUMMYFUNCTION("""COMPUTED_VALUE"""),"")</f>
        <v/>
      </c>
      <c r="K34" s="134">
        <f>SUM(I2,I15)</f>
        <v>377</v>
      </c>
      <c r="L34" s="134">
        <f>SUM(Q2,Q15)</f>
        <v>8</v>
      </c>
      <c r="M34" s="134">
        <f>SUM(I3,I16,I17)</f>
        <v>356</v>
      </c>
      <c r="N34" s="134">
        <f>SUM(Q3,Q16,Q17)</f>
        <v>8</v>
      </c>
      <c r="O34" s="134">
        <f>SUM(I4,I18:I19,I20)</f>
        <v>396</v>
      </c>
      <c r="P34" s="134">
        <f>SUM(Q4,Q18:Q19,Q20)</f>
        <v>10</v>
      </c>
      <c r="Q34" s="134">
        <f>SUM(I5,I21:I22)</f>
        <v>342</v>
      </c>
      <c r="R34" s="134">
        <f>SUM(Q5,Q21:Q22)</f>
        <v>8</v>
      </c>
      <c r="S34" s="134">
        <f>SUM(J5,J21:J22)</f>
        <v>0</v>
      </c>
      <c r="T34" s="134">
        <f>SUM(Q5,Q21:Q22)</f>
        <v>8</v>
      </c>
      <c r="U34" s="134">
        <f>SUM(I6:I7,I23)</f>
        <v>349</v>
      </c>
      <c r="V34" s="134">
        <f>SUM(Q6:Q7,Q23)</f>
        <v>9</v>
      </c>
      <c r="W34" s="134">
        <f>SUM(I8:I9,I24:I25)</f>
        <v>511</v>
      </c>
      <c r="X34" s="134">
        <f>SUM(Q8:Q9,Q24:Q25)</f>
        <v>12</v>
      </c>
    </row>
    <row r="35" spans="1:24" customFormat="1" hidden="1">
      <c r="A35" s="45" t="s">
        <v>3368</v>
      </c>
      <c r="B35" s="48">
        <v>5</v>
      </c>
      <c r="C35" s="134" t="str">
        <f ca="1">IFERROR(__xludf.DUMMYFUNCTION("""COMPUTED_VALUE"""),"")</f>
        <v/>
      </c>
      <c r="D35" s="45" t="s">
        <v>3369</v>
      </c>
      <c r="E35" s="27">
        <f>(50/$F$38)*60</f>
        <v>187.5</v>
      </c>
      <c r="F35" s="37">
        <v>15</v>
      </c>
      <c r="G35" s="38" t="s">
        <v>3370</v>
      </c>
      <c r="H35" s="134" t="str">
        <f ca="1">IFERROR(__xludf.DUMMYFUNCTION("""COMPUTED_VALUE"""),"")</f>
        <v/>
      </c>
      <c r="K35" s="134" t="str">
        <f ca="1">IFERROR(__xludf.DUMMYFUNCTION("""COMPUTED_VALUE"""),"")</f>
        <v/>
      </c>
      <c r="L35" s="134" t="str">
        <f ca="1">IFERROR(__xludf.DUMMYFUNCTION("""COMPUTED_VALUE"""),"")</f>
        <v/>
      </c>
      <c r="M35" s="134" t="str">
        <f ca="1">IFERROR(__xludf.DUMMYFUNCTION("""COMPUTED_VALUE"""),"")</f>
        <v/>
      </c>
    </row>
    <row r="36" spans="1:24" customFormat="1" hidden="1">
      <c r="A36" s="45" t="s">
        <v>3371</v>
      </c>
      <c r="B36" s="48">
        <v>3</v>
      </c>
      <c r="C36" s="134" t="str">
        <f ca="1">IFERROR(__xludf.DUMMYFUNCTION("""COMPUTED_VALUE"""),"")</f>
        <v/>
      </c>
      <c r="D36" s="45" t="s">
        <v>3372</v>
      </c>
      <c r="E36" s="27">
        <f>(100/$F$38)*60</f>
        <v>375</v>
      </c>
      <c r="F36" s="37">
        <v>5</v>
      </c>
      <c r="G36" s="38" t="s">
        <v>3373</v>
      </c>
      <c r="H36" s="134" t="str">
        <f ca="1">IFERROR(__xludf.DUMMYFUNCTION("""COMPUTED_VALUE"""),"")</f>
        <v/>
      </c>
      <c r="I36" s="135"/>
      <c r="J36" s="135"/>
      <c r="K36" s="135" t="str">
        <f ca="1">IFERROR(__xludf.DUMMYFUNCTION("""COMPUTED_VALUE"""),"")</f>
        <v/>
      </c>
      <c r="L36" s="135" t="str">
        <f ca="1">IFERROR(__xludf.DUMMYFUNCTION("""COMPUTED_VALUE"""),"")</f>
        <v/>
      </c>
      <c r="M36" s="135" t="str">
        <f ca="1">IFERROR(__xludf.DUMMYFUNCTION("""COMPUTED_VALUE"""),"")</f>
        <v/>
      </c>
      <c r="N36" s="135"/>
      <c r="O36" s="135"/>
      <c r="P36" s="135"/>
      <c r="Q36" s="135"/>
      <c r="R36" s="135"/>
      <c r="S36" s="135"/>
      <c r="T36" s="135"/>
    </row>
    <row r="37" spans="1:24" customFormat="1" hidden="1">
      <c r="A37" s="45" t="s">
        <v>3374</v>
      </c>
      <c r="B37" s="48">
        <v>15</v>
      </c>
      <c r="C37" s="134" t="str">
        <f ca="1">IFERROR(__xludf.DUMMYFUNCTION("""COMPUTED_VALUE"""),"")</f>
        <v/>
      </c>
      <c r="D37" s="45" t="s">
        <v>3375</v>
      </c>
      <c r="E37" s="27">
        <f>(150/$F$38)*60</f>
        <v>562.5</v>
      </c>
      <c r="F37" s="37">
        <v>5.5</v>
      </c>
      <c r="G37" s="38" t="s">
        <v>3376</v>
      </c>
      <c r="H37" s="134" t="str">
        <f ca="1">IFERROR(__xludf.DUMMYFUNCTION("""COMPUTED_VALUE"""),"")</f>
        <v/>
      </c>
      <c r="K37" s="135" t="str">
        <f ca="1">IFERROR(__xludf.DUMMYFUNCTION("""COMPUTED_VALUE"""),"")</f>
        <v/>
      </c>
      <c r="L37" s="135" t="str">
        <f ca="1">IFERROR(__xludf.DUMMYFUNCTION("""COMPUTED_VALUE"""),"")</f>
        <v/>
      </c>
      <c r="M37" s="135" t="str">
        <f ca="1">IFERROR(__xludf.DUMMYFUNCTION("""COMPUTED_VALUE"""),"")</f>
        <v/>
      </c>
      <c r="N37" s="135"/>
      <c r="O37" s="135"/>
      <c r="P37" s="135"/>
      <c r="Q37" s="135"/>
      <c r="R37" s="135"/>
      <c r="S37" s="135"/>
      <c r="T37" s="135"/>
    </row>
    <row r="38" spans="1:24" customFormat="1" hidden="1">
      <c r="A38" s="45" t="s">
        <v>3377</v>
      </c>
      <c r="B38" s="48">
        <v>30</v>
      </c>
      <c r="C38" s="134" t="str">
        <f ca="1">IFERROR(__xludf.DUMMYFUNCTION("""COMPUTED_VALUE"""),"")</f>
        <v/>
      </c>
      <c r="D38" s="45" t="s">
        <v>3378</v>
      </c>
      <c r="E38" s="27">
        <f>(200/$F$38)*60</f>
        <v>750</v>
      </c>
      <c r="F38" s="37">
        <f>ROUNDDOWN(F37*3,0)</f>
        <v>16</v>
      </c>
      <c r="G38" s="38" t="s">
        <v>3698</v>
      </c>
      <c r="H38" s="134" t="str">
        <f ca="1">IFERROR(__xludf.DUMMYFUNCTION("""COMPUTED_VALUE"""),"")</f>
        <v/>
      </c>
      <c r="K38" s="159">
        <v>43999</v>
      </c>
      <c r="L38" s="159"/>
      <c r="M38" s="159">
        <v>44000</v>
      </c>
      <c r="N38" s="159"/>
      <c r="O38" s="159">
        <v>44001</v>
      </c>
      <c r="P38" s="159"/>
      <c r="Q38" s="159">
        <v>44002</v>
      </c>
      <c r="R38" s="159"/>
      <c r="S38" s="159">
        <v>44004</v>
      </c>
      <c r="T38" s="159"/>
    </row>
    <row r="39" spans="1:24" customFormat="1" hidden="1">
      <c r="A39" s="45"/>
      <c r="B39" s="48"/>
      <c r="C39" s="134" t="str">
        <f ca="1">IFERROR(__xludf.DUMMYFUNCTION("""COMPUTED_VALUE"""),"")</f>
        <v/>
      </c>
      <c r="D39" s="45" t="s">
        <v>3381</v>
      </c>
      <c r="E39" s="27">
        <f>(250/$F$38)*60</f>
        <v>937.5</v>
      </c>
      <c r="F39" s="37">
        <v>45</v>
      </c>
      <c r="G39" s="38" t="s">
        <v>3382</v>
      </c>
      <c r="H39" s="134" t="str">
        <f ca="1">IFERROR(__xludf.DUMMYFUNCTION("""COMPUTED_VALUE"""),"")</f>
        <v/>
      </c>
      <c r="K39" s="128">
        <f>SUM(I10:I11,I26:I27)</f>
        <v>517</v>
      </c>
      <c r="L39" s="128">
        <f>SUM(Q10:Q11,Q26:Q27)</f>
        <v>13</v>
      </c>
      <c r="M39" s="128">
        <f>SUM(I12:I13)</f>
        <v>204</v>
      </c>
      <c r="N39" s="128">
        <f>SUM(Q12:Q13)</f>
        <v>5</v>
      </c>
      <c r="O39" s="128">
        <f>SUM(I14)</f>
        <v>70</v>
      </c>
      <c r="P39" s="128">
        <f>SUM(Q14)</f>
        <v>2</v>
      </c>
      <c r="Q39" s="128">
        <v>0</v>
      </c>
      <c r="R39" s="128">
        <v>0</v>
      </c>
      <c r="S39" s="128">
        <v>0</v>
      </c>
      <c r="T39" s="128">
        <v>0</v>
      </c>
    </row>
    <row r="40" spans="1:24" customFormat="1" hidden="1">
      <c r="A40" s="45" t="s">
        <v>3380</v>
      </c>
      <c r="B40" s="48">
        <f>(60/B35)*B36</f>
        <v>36</v>
      </c>
      <c r="C40" s="134" t="str">
        <f ca="1">IFERROR(__xludf.DUMMYFUNCTION("""COMPUTED_VALUE"""),"")</f>
        <v/>
      </c>
      <c r="D40" s="45" t="s">
        <v>3385</v>
      </c>
      <c r="E40" s="27">
        <f>(300/$F$38)*60</f>
        <v>1125</v>
      </c>
      <c r="F40" s="39">
        <v>60</v>
      </c>
      <c r="G40" s="40" t="s">
        <v>3386</v>
      </c>
      <c r="H40" s="134" t="str">
        <f ca="1">IFERROR(__xludf.DUMMYFUNCTION("""COMPUTED_VALUE"""),"")</f>
        <v/>
      </c>
      <c r="N40" s="31"/>
    </row>
    <row r="41" spans="1:24" customFormat="1" ht="15.75" hidden="1" thickBot="1">
      <c r="A41" s="46" t="s">
        <v>3383</v>
      </c>
      <c r="B41" s="49" t="s">
        <v>3384</v>
      </c>
      <c r="C41" s="134" t="str">
        <f ca="1">IFERROR(__xludf.DUMMYFUNCTION("""COMPUTED_VALUE"""),"")</f>
        <v/>
      </c>
      <c r="D41" s="46" t="s">
        <v>3387</v>
      </c>
      <c r="E41" s="47">
        <f>(350/$F$38)*60</f>
        <v>1312.5</v>
      </c>
      <c r="F41" s="41">
        <v>45</v>
      </c>
      <c r="G41" s="42" t="s">
        <v>3388</v>
      </c>
      <c r="H41" s="134" t="str">
        <f ca="1">IFERROR(__xludf.DUMMYFUNCTION("""COMPUTED_VALUE"""),"")</f>
        <v/>
      </c>
      <c r="N41" s="31"/>
    </row>
    <row r="42" spans="1:24" customFormat="1" hidden="1">
      <c r="A42" s="134" t="str">
        <f ca="1">IFERROR(__xludf.DUMMYFUNCTION("""COMPUTED_VALUE"""),"")</f>
        <v/>
      </c>
      <c r="B42" s="134" t="str">
        <f ca="1">IFERROR(__xludf.DUMMYFUNCTION("""COMPUTED_VALUE"""),"")</f>
        <v/>
      </c>
      <c r="C42" s="134" t="str">
        <f ca="1">IFERROR(__xludf.DUMMYFUNCTION("""COMPUTED_VALUE"""),"")</f>
        <v/>
      </c>
      <c r="D42" s="134" t="str">
        <f ca="1">IFERROR(__xludf.DUMMYFUNCTION("""COMPUTED_VALUE"""),"")</f>
        <v/>
      </c>
      <c r="E42" s="134" t="str">
        <f ca="1">IFERROR(__xludf.DUMMYFUNCTION("""COMPUTED_VALUE"""),"")</f>
        <v/>
      </c>
      <c r="F42" s="134" t="str">
        <f ca="1">IFERROR(__xludf.DUMMYFUNCTION("""COMPUTED_VALUE"""),"")</f>
        <v/>
      </c>
      <c r="G42" s="134" t="str">
        <f ca="1">IFERROR(__xludf.DUMMYFUNCTION("""COMPUTED_VALUE"""),"")</f>
        <v/>
      </c>
      <c r="H42" s="134" t="str">
        <f ca="1">IFERROR(__xludf.DUMMYFUNCTION("""COMPUTED_VALUE"""),"")</f>
        <v/>
      </c>
      <c r="N42" s="31"/>
    </row>
    <row r="43" spans="1:24" customFormat="1">
      <c r="A43" s="134" t="str">
        <f ca="1">IFERROR(__xludf.DUMMYFUNCTION("""COMPUTED_VALUE"""),"")</f>
        <v/>
      </c>
      <c r="B43" s="134" t="str">
        <f ca="1">IFERROR(__xludf.DUMMYFUNCTION("""COMPUTED_VALUE"""),"")</f>
        <v/>
      </c>
      <c r="C43" s="134" t="str">
        <f ca="1">IFERROR(__xludf.DUMMYFUNCTION("""COMPUTED_VALUE"""),"")</f>
        <v/>
      </c>
      <c r="D43" s="134" t="str">
        <f ca="1">IFERROR(__xludf.DUMMYFUNCTION("""COMPUTED_VALUE"""),"")</f>
        <v/>
      </c>
      <c r="E43" s="134" t="str">
        <f ca="1">IFERROR(__xludf.DUMMYFUNCTION("""COMPUTED_VALUE"""),"")</f>
        <v/>
      </c>
      <c r="F43" s="134" t="str">
        <f ca="1">IFERROR(__xludf.DUMMYFUNCTION("""COMPUTED_VALUE"""),"")</f>
        <v/>
      </c>
      <c r="G43" s="134" t="str">
        <f ca="1">IFERROR(__xludf.DUMMYFUNCTION("""COMPUTED_VALUE"""),"")</f>
        <v/>
      </c>
      <c r="H43" s="134" t="str">
        <f ca="1">IFERROR(__xludf.DUMMYFUNCTION("""COMPUTED_VALUE"""),"")</f>
        <v/>
      </c>
      <c r="I43" s="134" t="str">
        <f ca="1">IFERROR(__xludf.DUMMYFUNCTION("""COMPUTED_VALUE"""),"")</f>
        <v/>
      </c>
      <c r="J43" s="134" t="str">
        <f ca="1">IFERROR(__xludf.DUMMYFUNCTION("""COMPUTED_VALUE"""),"")</f>
        <v/>
      </c>
      <c r="N43" s="31"/>
    </row>
    <row r="44" spans="1:24" customFormat="1">
      <c r="A44" s="134" t="str">
        <f ca="1">IFERROR(__xludf.DUMMYFUNCTION("""COMPUTED_VALUE"""),"")</f>
        <v/>
      </c>
      <c r="B44" s="134" t="str">
        <f ca="1">IFERROR(__xludf.DUMMYFUNCTION("""COMPUTED_VALUE"""),"")</f>
        <v/>
      </c>
      <c r="C44" s="134" t="str">
        <f ca="1">IFERROR(__xludf.DUMMYFUNCTION("""COMPUTED_VALUE"""),"")</f>
        <v/>
      </c>
      <c r="D44" s="134" t="str">
        <f ca="1">IFERROR(__xludf.DUMMYFUNCTION("""COMPUTED_VALUE"""),"")</f>
        <v/>
      </c>
      <c r="E44" s="134" t="str">
        <f ca="1">IFERROR(__xludf.DUMMYFUNCTION("""COMPUTED_VALUE"""),"")</f>
        <v/>
      </c>
      <c r="F44" s="134" t="str">
        <f ca="1">IFERROR(__xludf.DUMMYFUNCTION("""COMPUTED_VALUE"""),"")</f>
        <v/>
      </c>
      <c r="G44" s="134" t="str">
        <f ca="1">IFERROR(__xludf.DUMMYFUNCTION("""COMPUTED_VALUE"""),"")</f>
        <v/>
      </c>
      <c r="H44" s="134" t="str">
        <f ca="1">IFERROR(__xludf.DUMMYFUNCTION("""COMPUTED_VALUE"""),"")</f>
        <v/>
      </c>
      <c r="I44" s="134" t="str">
        <f ca="1">IFERROR(__xludf.DUMMYFUNCTION("""COMPUTED_VALUE"""),"")</f>
        <v/>
      </c>
      <c r="J44" s="134" t="str">
        <f ca="1">IFERROR(__xludf.DUMMYFUNCTION("""COMPUTED_VALUE"""),"")</f>
        <v/>
      </c>
      <c r="N44" s="31"/>
    </row>
    <row r="45" spans="1:24" customFormat="1">
      <c r="A45" s="134" t="str">
        <f ca="1">IFERROR(__xludf.DUMMYFUNCTION("""COMPUTED_VALUE"""),"")</f>
        <v/>
      </c>
      <c r="B45" s="134" t="str">
        <f ca="1">IFERROR(__xludf.DUMMYFUNCTION("""COMPUTED_VALUE"""),"")</f>
        <v/>
      </c>
      <c r="C45" s="134" t="str">
        <f ca="1">IFERROR(__xludf.DUMMYFUNCTION("""COMPUTED_VALUE"""),"")</f>
        <v/>
      </c>
      <c r="D45" s="134" t="str">
        <f ca="1">IFERROR(__xludf.DUMMYFUNCTION("""COMPUTED_VALUE"""),"")</f>
        <v/>
      </c>
      <c r="E45" s="134" t="str">
        <f ca="1">IFERROR(__xludf.DUMMYFUNCTION("""COMPUTED_VALUE"""),"")</f>
        <v/>
      </c>
      <c r="F45" s="134" t="str">
        <f ca="1">IFERROR(__xludf.DUMMYFUNCTION("""COMPUTED_VALUE"""),"")</f>
        <v/>
      </c>
      <c r="G45" s="134" t="str">
        <f ca="1">IFERROR(__xludf.DUMMYFUNCTION("""COMPUTED_VALUE"""),"")</f>
        <v/>
      </c>
      <c r="H45" s="134" t="str">
        <f ca="1">IFERROR(__xludf.DUMMYFUNCTION("""COMPUTED_VALUE"""),"")</f>
        <v/>
      </c>
      <c r="I45" s="134" t="str">
        <f ca="1">IFERROR(__xludf.DUMMYFUNCTION("""COMPUTED_VALUE"""),"")</f>
        <v/>
      </c>
      <c r="J45" s="134" t="str">
        <f ca="1">IFERROR(__xludf.DUMMYFUNCTION("""COMPUTED_VALUE"""),"")</f>
        <v/>
      </c>
      <c r="N45" s="31"/>
    </row>
    <row r="46" spans="1:24" customFormat="1">
      <c r="A46" s="134" t="str">
        <f ca="1">IFERROR(__xludf.DUMMYFUNCTION("""COMPUTED_VALUE"""),"")</f>
        <v/>
      </c>
      <c r="B46" s="134" t="str">
        <f ca="1">IFERROR(__xludf.DUMMYFUNCTION("""COMPUTED_VALUE"""),"")</f>
        <v/>
      </c>
      <c r="C46" s="134" t="str">
        <f ca="1">IFERROR(__xludf.DUMMYFUNCTION("""COMPUTED_VALUE"""),"")</f>
        <v/>
      </c>
      <c r="D46" s="134" t="str">
        <f ca="1">IFERROR(__xludf.DUMMYFUNCTION("""COMPUTED_VALUE"""),"")</f>
        <v/>
      </c>
      <c r="E46" s="134" t="str">
        <f ca="1">IFERROR(__xludf.DUMMYFUNCTION("""COMPUTED_VALUE"""),"")</f>
        <v/>
      </c>
      <c r="F46" s="134" t="str">
        <f ca="1">IFERROR(__xludf.DUMMYFUNCTION("""COMPUTED_VALUE"""),"")</f>
        <v/>
      </c>
      <c r="G46" s="134" t="str">
        <f ca="1">IFERROR(__xludf.DUMMYFUNCTION("""COMPUTED_VALUE"""),"")</f>
        <v/>
      </c>
      <c r="H46" s="134" t="str">
        <f ca="1">IFERROR(__xludf.DUMMYFUNCTION("""COMPUTED_VALUE"""),"")</f>
        <v/>
      </c>
      <c r="I46" s="134" t="str">
        <f ca="1">IFERROR(__xludf.DUMMYFUNCTION("""COMPUTED_VALUE"""),"")</f>
        <v/>
      </c>
      <c r="J46" s="134" t="str">
        <f ca="1">IFERROR(__xludf.DUMMYFUNCTION("""COMPUTED_VALUE"""),"")</f>
        <v/>
      </c>
      <c r="N46" s="31"/>
    </row>
    <row r="47" spans="1:24" customFormat="1">
      <c r="A47" s="134" t="str">
        <f ca="1">IFERROR(__xludf.DUMMYFUNCTION("""COMPUTED_VALUE"""),"")</f>
        <v/>
      </c>
      <c r="B47" s="134" t="str">
        <f ca="1">IFERROR(__xludf.DUMMYFUNCTION("""COMPUTED_VALUE"""),"")</f>
        <v/>
      </c>
      <c r="C47" s="134" t="str">
        <f ca="1">IFERROR(__xludf.DUMMYFUNCTION("""COMPUTED_VALUE"""),"")</f>
        <v/>
      </c>
      <c r="D47" s="134" t="str">
        <f ca="1">IFERROR(__xludf.DUMMYFUNCTION("""COMPUTED_VALUE"""),"")</f>
        <v/>
      </c>
      <c r="E47" s="134" t="str">
        <f ca="1">IFERROR(__xludf.DUMMYFUNCTION("""COMPUTED_VALUE"""),"")</f>
        <v/>
      </c>
      <c r="F47" s="134" t="str">
        <f ca="1">IFERROR(__xludf.DUMMYFUNCTION("""COMPUTED_VALUE"""),"")</f>
        <v/>
      </c>
      <c r="G47" s="134" t="str">
        <f ca="1">IFERROR(__xludf.DUMMYFUNCTION("""COMPUTED_VALUE"""),"")</f>
        <v/>
      </c>
      <c r="H47" s="134" t="str">
        <f ca="1">IFERROR(__xludf.DUMMYFUNCTION("""COMPUTED_VALUE"""),"")</f>
        <v/>
      </c>
      <c r="I47" s="134" t="str">
        <f ca="1">IFERROR(__xludf.DUMMYFUNCTION("""COMPUTED_VALUE"""),"")</f>
        <v/>
      </c>
      <c r="J47" s="134" t="str">
        <f ca="1">IFERROR(__xludf.DUMMYFUNCTION("""COMPUTED_VALUE"""),"")</f>
        <v/>
      </c>
      <c r="N47" s="31"/>
    </row>
    <row r="48" spans="1:24" customFormat="1">
      <c r="A48" s="134" t="str">
        <f ca="1">IFERROR(__xludf.DUMMYFUNCTION("""COMPUTED_VALUE"""),"")</f>
        <v/>
      </c>
      <c r="B48" s="134" t="str">
        <f ca="1">IFERROR(__xludf.DUMMYFUNCTION("""COMPUTED_VALUE"""),"")</f>
        <v/>
      </c>
      <c r="C48" s="134" t="str">
        <f ca="1">IFERROR(__xludf.DUMMYFUNCTION("""COMPUTED_VALUE"""),"")</f>
        <v/>
      </c>
      <c r="D48" s="134" t="str">
        <f ca="1">IFERROR(__xludf.DUMMYFUNCTION("""COMPUTED_VALUE"""),"")</f>
        <v/>
      </c>
      <c r="E48" s="134" t="str">
        <f ca="1">IFERROR(__xludf.DUMMYFUNCTION("""COMPUTED_VALUE"""),"")</f>
        <v/>
      </c>
      <c r="F48" s="134" t="str">
        <f ca="1">IFERROR(__xludf.DUMMYFUNCTION("""COMPUTED_VALUE"""),"")</f>
        <v/>
      </c>
      <c r="G48" s="134" t="str">
        <f ca="1">IFERROR(__xludf.DUMMYFUNCTION("""COMPUTED_VALUE"""),"")</f>
        <v/>
      </c>
      <c r="H48" s="134" t="str">
        <f ca="1">IFERROR(__xludf.DUMMYFUNCTION("""COMPUTED_VALUE"""),"")</f>
        <v/>
      </c>
      <c r="I48" s="134" t="str">
        <f ca="1">IFERROR(__xludf.DUMMYFUNCTION("""COMPUTED_VALUE"""),"")</f>
        <v/>
      </c>
      <c r="J48" s="134" t="str">
        <f ca="1">IFERROR(__xludf.DUMMYFUNCTION("""COMPUTED_VALUE"""),"")</f>
        <v/>
      </c>
      <c r="N48" s="31"/>
    </row>
    <row r="49" spans="1:14" customFormat="1">
      <c r="A49" s="134" t="str">
        <f ca="1">IFERROR(__xludf.DUMMYFUNCTION("""COMPUTED_VALUE"""),"")</f>
        <v/>
      </c>
      <c r="B49" s="134" t="str">
        <f ca="1">IFERROR(__xludf.DUMMYFUNCTION("""COMPUTED_VALUE"""),"")</f>
        <v/>
      </c>
      <c r="C49" s="134" t="str">
        <f ca="1">IFERROR(__xludf.DUMMYFUNCTION("""COMPUTED_VALUE"""),"")</f>
        <v/>
      </c>
      <c r="D49" s="134" t="str">
        <f ca="1">IFERROR(__xludf.DUMMYFUNCTION("""COMPUTED_VALUE"""),"")</f>
        <v/>
      </c>
      <c r="E49" s="134" t="str">
        <f ca="1">IFERROR(__xludf.DUMMYFUNCTION("""COMPUTED_VALUE"""),"")</f>
        <v/>
      </c>
      <c r="F49" s="134" t="str">
        <f ca="1">IFERROR(__xludf.DUMMYFUNCTION("""COMPUTED_VALUE"""),"")</f>
        <v/>
      </c>
      <c r="G49" s="134" t="str">
        <f ca="1">IFERROR(__xludf.DUMMYFUNCTION("""COMPUTED_VALUE"""),"")</f>
        <v/>
      </c>
      <c r="H49" s="134" t="str">
        <f ca="1">IFERROR(__xludf.DUMMYFUNCTION("""COMPUTED_VALUE"""),"")</f>
        <v/>
      </c>
      <c r="I49" s="134" t="str">
        <f ca="1">IFERROR(__xludf.DUMMYFUNCTION("""COMPUTED_VALUE"""),"")</f>
        <v/>
      </c>
      <c r="J49" s="134" t="str">
        <f ca="1">IFERROR(__xludf.DUMMYFUNCTION("""COMPUTED_VALUE"""),"")</f>
        <v/>
      </c>
      <c r="N49" s="31"/>
    </row>
    <row r="50" spans="1:14" customFormat="1">
      <c r="A50" s="134" t="str">
        <f ca="1">IFERROR(__xludf.DUMMYFUNCTION("""COMPUTED_VALUE"""),"")</f>
        <v/>
      </c>
      <c r="B50" s="134" t="str">
        <f ca="1">IFERROR(__xludf.DUMMYFUNCTION("""COMPUTED_VALUE"""),"")</f>
        <v/>
      </c>
      <c r="C50" s="134" t="str">
        <f ca="1">IFERROR(__xludf.DUMMYFUNCTION("""COMPUTED_VALUE"""),"")</f>
        <v/>
      </c>
      <c r="D50" s="134" t="str">
        <f ca="1">IFERROR(__xludf.DUMMYFUNCTION("""COMPUTED_VALUE"""),"")</f>
        <v/>
      </c>
      <c r="E50" s="134" t="str">
        <f ca="1">IFERROR(__xludf.DUMMYFUNCTION("""COMPUTED_VALUE"""),"")</f>
        <v/>
      </c>
      <c r="F50" s="134" t="str">
        <f ca="1">IFERROR(__xludf.DUMMYFUNCTION("""COMPUTED_VALUE"""),"")</f>
        <v/>
      </c>
      <c r="G50" s="134" t="str">
        <f ca="1">IFERROR(__xludf.DUMMYFUNCTION("""COMPUTED_VALUE"""),"")</f>
        <v/>
      </c>
      <c r="H50" s="134" t="str">
        <f ca="1">IFERROR(__xludf.DUMMYFUNCTION("""COMPUTED_VALUE"""),"")</f>
        <v/>
      </c>
      <c r="I50" s="134" t="str">
        <f ca="1">IFERROR(__xludf.DUMMYFUNCTION("""COMPUTED_VALUE"""),"")</f>
        <v/>
      </c>
      <c r="J50" s="134" t="str">
        <f ca="1">IFERROR(__xludf.DUMMYFUNCTION("""COMPUTED_VALUE"""),"")</f>
        <v/>
      </c>
      <c r="N50" s="31"/>
    </row>
    <row r="51" spans="1:14" customFormat="1">
      <c r="A51" s="134" t="str">
        <f ca="1">IFERROR(__xludf.DUMMYFUNCTION("""COMPUTED_VALUE"""),"")</f>
        <v/>
      </c>
      <c r="B51" s="134" t="str">
        <f ca="1">IFERROR(__xludf.DUMMYFUNCTION("""COMPUTED_VALUE"""),"")</f>
        <v/>
      </c>
      <c r="C51" s="134" t="str">
        <f ca="1">IFERROR(__xludf.DUMMYFUNCTION("""COMPUTED_VALUE"""),"")</f>
        <v/>
      </c>
      <c r="D51" s="134" t="str">
        <f ca="1">IFERROR(__xludf.DUMMYFUNCTION("""COMPUTED_VALUE"""),"")</f>
        <v/>
      </c>
      <c r="E51" s="134" t="str">
        <f ca="1">IFERROR(__xludf.DUMMYFUNCTION("""COMPUTED_VALUE"""),"")</f>
        <v/>
      </c>
      <c r="F51" s="134" t="str">
        <f ca="1">IFERROR(__xludf.DUMMYFUNCTION("""COMPUTED_VALUE"""),"")</f>
        <v/>
      </c>
      <c r="G51" s="134" t="str">
        <f ca="1">IFERROR(__xludf.DUMMYFUNCTION("""COMPUTED_VALUE"""),"")</f>
        <v/>
      </c>
      <c r="H51" s="134" t="str">
        <f ca="1">IFERROR(__xludf.DUMMYFUNCTION("""COMPUTED_VALUE"""),"")</f>
        <v/>
      </c>
      <c r="I51" s="134" t="str">
        <f ca="1">IFERROR(__xludf.DUMMYFUNCTION("""COMPUTED_VALUE"""),"")</f>
        <v/>
      </c>
      <c r="J51" s="134" t="str">
        <f ca="1">IFERROR(__xludf.DUMMYFUNCTION("""COMPUTED_VALUE"""),"")</f>
        <v/>
      </c>
      <c r="N51" s="31"/>
    </row>
    <row r="52" spans="1:14" customFormat="1">
      <c r="A52" s="134" t="str">
        <f ca="1">IFERROR(__xludf.DUMMYFUNCTION("""COMPUTED_VALUE"""),"")</f>
        <v/>
      </c>
      <c r="B52" s="134" t="str">
        <f ca="1">IFERROR(__xludf.DUMMYFUNCTION("""COMPUTED_VALUE"""),"")</f>
        <v/>
      </c>
      <c r="C52" s="134" t="str">
        <f ca="1">IFERROR(__xludf.DUMMYFUNCTION("""COMPUTED_VALUE"""),"")</f>
        <v/>
      </c>
      <c r="D52" s="134" t="str">
        <f ca="1">IFERROR(__xludf.DUMMYFUNCTION("""COMPUTED_VALUE"""),"")</f>
        <v/>
      </c>
      <c r="E52" s="134" t="str">
        <f ca="1">IFERROR(__xludf.DUMMYFUNCTION("""COMPUTED_VALUE"""),"")</f>
        <v/>
      </c>
      <c r="F52" s="134" t="str">
        <f ca="1">IFERROR(__xludf.DUMMYFUNCTION("""COMPUTED_VALUE"""),"")</f>
        <v/>
      </c>
      <c r="G52" s="134" t="str">
        <f ca="1">IFERROR(__xludf.DUMMYFUNCTION("""COMPUTED_VALUE"""),"")</f>
        <v/>
      </c>
      <c r="H52" s="134" t="str">
        <f ca="1">IFERROR(__xludf.DUMMYFUNCTION("""COMPUTED_VALUE"""),"")</f>
        <v/>
      </c>
      <c r="I52" s="134" t="str">
        <f ca="1">IFERROR(__xludf.DUMMYFUNCTION("""COMPUTED_VALUE"""),"")</f>
        <v/>
      </c>
      <c r="J52" s="134" t="str">
        <f ca="1">IFERROR(__xludf.DUMMYFUNCTION("""COMPUTED_VALUE"""),"")</f>
        <v/>
      </c>
      <c r="N52" s="31"/>
    </row>
    <row r="53" spans="1:14" customFormat="1">
      <c r="A53" s="134" t="str">
        <f ca="1">IFERROR(__xludf.DUMMYFUNCTION("""COMPUTED_VALUE"""),"")</f>
        <v/>
      </c>
      <c r="B53" s="134" t="str">
        <f ca="1">IFERROR(__xludf.DUMMYFUNCTION("""COMPUTED_VALUE"""),"")</f>
        <v/>
      </c>
      <c r="C53" s="134" t="str">
        <f ca="1">IFERROR(__xludf.DUMMYFUNCTION("""COMPUTED_VALUE"""),"")</f>
        <v/>
      </c>
      <c r="D53" s="134" t="str">
        <f ca="1">IFERROR(__xludf.DUMMYFUNCTION("""COMPUTED_VALUE"""),"")</f>
        <v/>
      </c>
      <c r="E53" s="134" t="str">
        <f ca="1">IFERROR(__xludf.DUMMYFUNCTION("""COMPUTED_VALUE"""),"")</f>
        <v/>
      </c>
      <c r="F53" s="134" t="str">
        <f ca="1">IFERROR(__xludf.DUMMYFUNCTION("""COMPUTED_VALUE"""),"")</f>
        <v/>
      </c>
      <c r="G53" s="134" t="str">
        <f ca="1">IFERROR(__xludf.DUMMYFUNCTION("""COMPUTED_VALUE"""),"")</f>
        <v/>
      </c>
      <c r="H53" s="134" t="str">
        <f ca="1">IFERROR(__xludf.DUMMYFUNCTION("""COMPUTED_VALUE"""),"")</f>
        <v/>
      </c>
      <c r="I53" s="134" t="str">
        <f ca="1">IFERROR(__xludf.DUMMYFUNCTION("""COMPUTED_VALUE"""),"")</f>
        <v/>
      </c>
      <c r="J53" s="134" t="str">
        <f ca="1">IFERROR(__xludf.DUMMYFUNCTION("""COMPUTED_VALUE"""),"")</f>
        <v/>
      </c>
      <c r="N53" s="31"/>
    </row>
    <row r="54" spans="1:14" customFormat="1">
      <c r="A54" s="134" t="str">
        <f ca="1">IFERROR(__xludf.DUMMYFUNCTION("""COMPUTED_VALUE"""),"")</f>
        <v/>
      </c>
      <c r="B54" s="134" t="str">
        <f ca="1">IFERROR(__xludf.DUMMYFUNCTION("""COMPUTED_VALUE"""),"")</f>
        <v/>
      </c>
      <c r="C54" s="134" t="str">
        <f ca="1">IFERROR(__xludf.DUMMYFUNCTION("""COMPUTED_VALUE"""),"")</f>
        <v/>
      </c>
      <c r="D54" s="134" t="str">
        <f ca="1">IFERROR(__xludf.DUMMYFUNCTION("""COMPUTED_VALUE"""),"")</f>
        <v/>
      </c>
      <c r="E54" s="134" t="str">
        <f ca="1">IFERROR(__xludf.DUMMYFUNCTION("""COMPUTED_VALUE"""),"")</f>
        <v/>
      </c>
      <c r="F54" s="134" t="str">
        <f ca="1">IFERROR(__xludf.DUMMYFUNCTION("""COMPUTED_VALUE"""),"")</f>
        <v/>
      </c>
      <c r="G54" s="134" t="str">
        <f ca="1">IFERROR(__xludf.DUMMYFUNCTION("""COMPUTED_VALUE"""),"")</f>
        <v/>
      </c>
      <c r="H54" s="134" t="str">
        <f ca="1">IFERROR(__xludf.DUMMYFUNCTION("""COMPUTED_VALUE"""),"")</f>
        <v/>
      </c>
      <c r="I54" s="134" t="str">
        <f ca="1">IFERROR(__xludf.DUMMYFUNCTION("""COMPUTED_VALUE"""),"")</f>
        <v/>
      </c>
      <c r="J54" s="134" t="str">
        <f ca="1">IFERROR(__xludf.DUMMYFUNCTION("""COMPUTED_VALUE"""),"")</f>
        <v/>
      </c>
      <c r="K54" s="135"/>
      <c r="L54" s="135"/>
      <c r="M54" s="135"/>
      <c r="N54" s="31"/>
    </row>
    <row r="55" spans="1:14" customFormat="1">
      <c r="A55" s="134" t="str">
        <f ca="1">IFERROR(__xludf.DUMMYFUNCTION("""COMPUTED_VALUE"""),"")</f>
        <v/>
      </c>
      <c r="B55" s="134" t="str">
        <f ca="1">IFERROR(__xludf.DUMMYFUNCTION("""COMPUTED_VALUE"""),"")</f>
        <v/>
      </c>
      <c r="C55" s="134" t="str">
        <f ca="1">IFERROR(__xludf.DUMMYFUNCTION("""COMPUTED_VALUE"""),"")</f>
        <v/>
      </c>
      <c r="D55" s="134" t="str">
        <f ca="1">IFERROR(__xludf.DUMMYFUNCTION("""COMPUTED_VALUE"""),"")</f>
        <v/>
      </c>
      <c r="E55" s="134" t="str">
        <f ca="1">IFERROR(__xludf.DUMMYFUNCTION("""COMPUTED_VALUE"""),"")</f>
        <v/>
      </c>
      <c r="F55" s="134" t="str">
        <f ca="1">IFERROR(__xludf.DUMMYFUNCTION("""COMPUTED_VALUE"""),"")</f>
        <v/>
      </c>
      <c r="G55" s="134" t="str">
        <f ca="1">IFERROR(__xludf.DUMMYFUNCTION("""COMPUTED_VALUE"""),"")</f>
        <v/>
      </c>
      <c r="H55" s="134" t="str">
        <f ca="1">IFERROR(__xludf.DUMMYFUNCTION("""COMPUTED_VALUE"""),"")</f>
        <v/>
      </c>
      <c r="I55" s="134" t="str">
        <f ca="1">IFERROR(__xludf.DUMMYFUNCTION("""COMPUTED_VALUE"""),"")</f>
        <v/>
      </c>
      <c r="J55" s="134" t="str">
        <f ca="1">IFERROR(__xludf.DUMMYFUNCTION("""COMPUTED_VALUE"""),"")</f>
        <v/>
      </c>
      <c r="K55" s="135"/>
      <c r="L55" s="135"/>
      <c r="M55" s="135"/>
      <c r="N55" s="31"/>
    </row>
    <row r="56" spans="1:14" customFormat="1">
      <c r="A56" s="134" t="str">
        <f ca="1">IFERROR(__xludf.DUMMYFUNCTION("""COMPUTED_VALUE"""),"")</f>
        <v/>
      </c>
      <c r="B56" s="134" t="str">
        <f ca="1">IFERROR(__xludf.DUMMYFUNCTION("""COMPUTED_VALUE"""),"")</f>
        <v/>
      </c>
      <c r="C56" s="134" t="str">
        <f ca="1">IFERROR(__xludf.DUMMYFUNCTION("""COMPUTED_VALUE"""),"")</f>
        <v/>
      </c>
      <c r="D56" s="134" t="str">
        <f ca="1">IFERROR(__xludf.DUMMYFUNCTION("""COMPUTED_VALUE"""),"")</f>
        <v/>
      </c>
      <c r="E56" s="134" t="str">
        <f ca="1">IFERROR(__xludf.DUMMYFUNCTION("""COMPUTED_VALUE"""),"")</f>
        <v/>
      </c>
      <c r="F56" s="134" t="str">
        <f ca="1">IFERROR(__xludf.DUMMYFUNCTION("""COMPUTED_VALUE"""),"")</f>
        <v/>
      </c>
      <c r="G56" s="134" t="str">
        <f ca="1">IFERROR(__xludf.DUMMYFUNCTION("""COMPUTED_VALUE"""),"")</f>
        <v/>
      </c>
      <c r="H56" s="134" t="str">
        <f ca="1">IFERROR(__xludf.DUMMYFUNCTION("""COMPUTED_VALUE"""),"")</f>
        <v/>
      </c>
      <c r="I56" s="134" t="str">
        <f ca="1">IFERROR(__xludf.DUMMYFUNCTION("""COMPUTED_VALUE"""),"")</f>
        <v/>
      </c>
      <c r="J56" s="134" t="str">
        <f ca="1">IFERROR(__xludf.DUMMYFUNCTION("""COMPUTED_VALUE"""),"")</f>
        <v/>
      </c>
      <c r="N56" s="31"/>
    </row>
    <row r="57" spans="1:14" customFormat="1">
      <c r="A57" s="134" t="str">
        <f ca="1">IFERROR(__xludf.DUMMYFUNCTION("""COMPUTED_VALUE"""),"")</f>
        <v/>
      </c>
      <c r="B57" s="134" t="str">
        <f ca="1">IFERROR(__xludf.DUMMYFUNCTION("""COMPUTED_VALUE"""),"")</f>
        <v/>
      </c>
      <c r="C57" s="134" t="str">
        <f ca="1">IFERROR(__xludf.DUMMYFUNCTION("""COMPUTED_VALUE"""),"")</f>
        <v/>
      </c>
      <c r="D57" s="134" t="str">
        <f ca="1">IFERROR(__xludf.DUMMYFUNCTION("""COMPUTED_VALUE"""),"")</f>
        <v/>
      </c>
      <c r="E57" s="134" t="str">
        <f ca="1">IFERROR(__xludf.DUMMYFUNCTION("""COMPUTED_VALUE"""),"")</f>
        <v/>
      </c>
      <c r="F57" s="134" t="str">
        <f ca="1">IFERROR(__xludf.DUMMYFUNCTION("""COMPUTED_VALUE"""),"")</f>
        <v/>
      </c>
      <c r="G57" s="134" t="str">
        <f ca="1">IFERROR(__xludf.DUMMYFUNCTION("""COMPUTED_VALUE"""),"")</f>
        <v/>
      </c>
      <c r="H57" s="134" t="str">
        <f ca="1">IFERROR(__xludf.DUMMYFUNCTION("""COMPUTED_VALUE"""),"")</f>
        <v/>
      </c>
      <c r="I57" s="134" t="str">
        <f ca="1">IFERROR(__xludf.DUMMYFUNCTION("""COMPUTED_VALUE"""),"")</f>
        <v/>
      </c>
      <c r="J57" s="134" t="str">
        <f ca="1">IFERROR(__xludf.DUMMYFUNCTION("""COMPUTED_VALUE"""),"")</f>
        <v/>
      </c>
      <c r="N57" s="31"/>
    </row>
    <row r="58" spans="1:14" customFormat="1">
      <c r="A58" s="134" t="str">
        <f ca="1">IFERROR(__xludf.DUMMYFUNCTION("""COMPUTED_VALUE"""),"")</f>
        <v/>
      </c>
      <c r="B58" s="134" t="str">
        <f ca="1">IFERROR(__xludf.DUMMYFUNCTION("""COMPUTED_VALUE"""),"")</f>
        <v/>
      </c>
      <c r="C58" s="134" t="str">
        <f ca="1">IFERROR(__xludf.DUMMYFUNCTION("""COMPUTED_VALUE"""),"")</f>
        <v/>
      </c>
      <c r="D58" s="134" t="str">
        <f ca="1">IFERROR(__xludf.DUMMYFUNCTION("""COMPUTED_VALUE"""),"")</f>
        <v/>
      </c>
      <c r="E58" s="134" t="str">
        <f ca="1">IFERROR(__xludf.DUMMYFUNCTION("""COMPUTED_VALUE"""),"")</f>
        <v/>
      </c>
      <c r="F58" s="134" t="str">
        <f ca="1">IFERROR(__xludf.DUMMYFUNCTION("""COMPUTED_VALUE"""),"")</f>
        <v/>
      </c>
      <c r="G58" s="134" t="str">
        <f ca="1">IFERROR(__xludf.DUMMYFUNCTION("""COMPUTED_VALUE"""),"")</f>
        <v/>
      </c>
      <c r="H58" s="134" t="str">
        <f ca="1">IFERROR(__xludf.DUMMYFUNCTION("""COMPUTED_VALUE"""),"")</f>
        <v/>
      </c>
      <c r="I58" s="134" t="str">
        <f ca="1">IFERROR(__xludf.DUMMYFUNCTION("""COMPUTED_VALUE"""),"")</f>
        <v/>
      </c>
      <c r="J58" s="134" t="str">
        <f ca="1">IFERROR(__xludf.DUMMYFUNCTION("""COMPUTED_VALUE"""),"")</f>
        <v/>
      </c>
      <c r="N58" s="31"/>
    </row>
    <row r="59" spans="1:14" customFormat="1">
      <c r="A59" s="134" t="str">
        <f ca="1">IFERROR(__xludf.DUMMYFUNCTION("""COMPUTED_VALUE"""),"")</f>
        <v/>
      </c>
      <c r="B59" s="134" t="str">
        <f ca="1">IFERROR(__xludf.DUMMYFUNCTION("""COMPUTED_VALUE"""),"")</f>
        <v/>
      </c>
      <c r="C59" s="134" t="str">
        <f ca="1">IFERROR(__xludf.DUMMYFUNCTION("""COMPUTED_VALUE"""),"")</f>
        <v/>
      </c>
      <c r="D59" s="134" t="str">
        <f ca="1">IFERROR(__xludf.DUMMYFUNCTION("""COMPUTED_VALUE"""),"")</f>
        <v/>
      </c>
      <c r="E59" s="134" t="str">
        <f ca="1">IFERROR(__xludf.DUMMYFUNCTION("""COMPUTED_VALUE"""),"")</f>
        <v/>
      </c>
      <c r="F59" s="134" t="str">
        <f ca="1">IFERROR(__xludf.DUMMYFUNCTION("""COMPUTED_VALUE"""),"")</f>
        <v/>
      </c>
      <c r="G59" s="134" t="str">
        <f ca="1">IFERROR(__xludf.DUMMYFUNCTION("""COMPUTED_VALUE"""),"")</f>
        <v/>
      </c>
      <c r="H59" s="134" t="str">
        <f ca="1">IFERROR(__xludf.DUMMYFUNCTION("""COMPUTED_VALUE"""),"")</f>
        <v/>
      </c>
      <c r="I59" s="134" t="str">
        <f ca="1">IFERROR(__xludf.DUMMYFUNCTION("""COMPUTED_VALUE"""),"")</f>
        <v/>
      </c>
      <c r="J59" s="134" t="str">
        <f ca="1">IFERROR(__xludf.DUMMYFUNCTION("""COMPUTED_VALUE"""),"")</f>
        <v/>
      </c>
      <c r="N59" s="31"/>
    </row>
    <row r="60" spans="1:14" customFormat="1">
      <c r="A60" s="134" t="str">
        <f ca="1">IFERROR(__xludf.DUMMYFUNCTION("""COMPUTED_VALUE"""),"")</f>
        <v/>
      </c>
      <c r="B60" s="134" t="str">
        <f ca="1">IFERROR(__xludf.DUMMYFUNCTION("""COMPUTED_VALUE"""),"")</f>
        <v/>
      </c>
      <c r="C60" s="134" t="str">
        <f ca="1">IFERROR(__xludf.DUMMYFUNCTION("""COMPUTED_VALUE"""),"")</f>
        <v/>
      </c>
      <c r="D60" s="134" t="str">
        <f ca="1">IFERROR(__xludf.DUMMYFUNCTION("""COMPUTED_VALUE"""),"")</f>
        <v/>
      </c>
      <c r="E60" s="134" t="str">
        <f ca="1">IFERROR(__xludf.DUMMYFUNCTION("""COMPUTED_VALUE"""),"")</f>
        <v/>
      </c>
      <c r="F60" s="134" t="str">
        <f ca="1">IFERROR(__xludf.DUMMYFUNCTION("""COMPUTED_VALUE"""),"")</f>
        <v/>
      </c>
      <c r="G60" s="134" t="str">
        <f ca="1">IFERROR(__xludf.DUMMYFUNCTION("""COMPUTED_VALUE"""),"")</f>
        <v/>
      </c>
      <c r="H60" s="134" t="str">
        <f ca="1">IFERROR(__xludf.DUMMYFUNCTION("""COMPUTED_VALUE"""),"")</f>
        <v/>
      </c>
      <c r="I60" s="134" t="str">
        <f ca="1">IFERROR(__xludf.DUMMYFUNCTION("""COMPUTED_VALUE"""),"")</f>
        <v/>
      </c>
      <c r="J60" s="134" t="str">
        <f ca="1">IFERROR(__xludf.DUMMYFUNCTION("""COMPUTED_VALUE"""),"")</f>
        <v/>
      </c>
      <c r="N60" s="31"/>
    </row>
    <row r="61" spans="1:14" customFormat="1">
      <c r="A61" s="134" t="str">
        <f ca="1">IFERROR(__xludf.DUMMYFUNCTION("""COMPUTED_VALUE"""),"")</f>
        <v/>
      </c>
      <c r="B61" s="134" t="str">
        <f ca="1">IFERROR(__xludf.DUMMYFUNCTION("""COMPUTED_VALUE"""),"")</f>
        <v/>
      </c>
      <c r="C61" s="134" t="str">
        <f ca="1">IFERROR(__xludf.DUMMYFUNCTION("""COMPUTED_VALUE"""),"")</f>
        <v/>
      </c>
      <c r="D61" s="134" t="str">
        <f ca="1">IFERROR(__xludf.DUMMYFUNCTION("""COMPUTED_VALUE"""),"")</f>
        <v/>
      </c>
      <c r="E61" s="134" t="str">
        <f ca="1">IFERROR(__xludf.DUMMYFUNCTION("""COMPUTED_VALUE"""),"")</f>
        <v/>
      </c>
      <c r="F61" s="134" t="str">
        <f ca="1">IFERROR(__xludf.DUMMYFUNCTION("""COMPUTED_VALUE"""),"")</f>
        <v/>
      </c>
      <c r="G61" s="134" t="str">
        <f ca="1">IFERROR(__xludf.DUMMYFUNCTION("""COMPUTED_VALUE"""),"")</f>
        <v/>
      </c>
      <c r="H61" s="134" t="str">
        <f ca="1">IFERROR(__xludf.DUMMYFUNCTION("""COMPUTED_VALUE"""),"")</f>
        <v/>
      </c>
      <c r="I61" s="134" t="str">
        <f ca="1">IFERROR(__xludf.DUMMYFUNCTION("""COMPUTED_VALUE"""),"")</f>
        <v/>
      </c>
      <c r="J61" s="134" t="str">
        <f ca="1">IFERROR(__xludf.DUMMYFUNCTION("""COMPUTED_VALUE"""),"")</f>
        <v/>
      </c>
      <c r="N61" s="31"/>
    </row>
    <row r="62" spans="1:14" customFormat="1">
      <c r="A62" s="134" t="str">
        <f ca="1">IFERROR(__xludf.DUMMYFUNCTION("""COMPUTED_VALUE"""),"")</f>
        <v/>
      </c>
      <c r="B62" s="134" t="str">
        <f ca="1">IFERROR(__xludf.DUMMYFUNCTION("""COMPUTED_VALUE"""),"")</f>
        <v/>
      </c>
      <c r="C62" s="134" t="str">
        <f ca="1">IFERROR(__xludf.DUMMYFUNCTION("""COMPUTED_VALUE"""),"")</f>
        <v/>
      </c>
      <c r="D62" s="134" t="str">
        <f ca="1">IFERROR(__xludf.DUMMYFUNCTION("""COMPUTED_VALUE"""),"")</f>
        <v/>
      </c>
      <c r="E62" s="134" t="str">
        <f ca="1">IFERROR(__xludf.DUMMYFUNCTION("""COMPUTED_VALUE"""),"")</f>
        <v/>
      </c>
      <c r="F62" s="134" t="str">
        <f ca="1">IFERROR(__xludf.DUMMYFUNCTION("""COMPUTED_VALUE"""),"")</f>
        <v/>
      </c>
      <c r="G62" s="134" t="str">
        <f ca="1">IFERROR(__xludf.DUMMYFUNCTION("""COMPUTED_VALUE"""),"")</f>
        <v/>
      </c>
      <c r="H62" s="134" t="str">
        <f ca="1">IFERROR(__xludf.DUMMYFUNCTION("""COMPUTED_VALUE"""),"")</f>
        <v/>
      </c>
      <c r="I62" s="134" t="str">
        <f ca="1">IFERROR(__xludf.DUMMYFUNCTION("""COMPUTED_VALUE"""),"")</f>
        <v/>
      </c>
      <c r="J62" s="134" t="str">
        <f ca="1">IFERROR(__xludf.DUMMYFUNCTION("""COMPUTED_VALUE"""),"")</f>
        <v/>
      </c>
      <c r="N62" s="31"/>
    </row>
    <row r="63" spans="1:14" customFormat="1">
      <c r="A63" s="134" t="str">
        <f ca="1">IFERROR(__xludf.DUMMYFUNCTION("""COMPUTED_VALUE"""),"")</f>
        <v/>
      </c>
      <c r="B63" s="134" t="str">
        <f ca="1">IFERROR(__xludf.DUMMYFUNCTION("""COMPUTED_VALUE"""),"")</f>
        <v/>
      </c>
      <c r="C63" s="134" t="str">
        <f ca="1">IFERROR(__xludf.DUMMYFUNCTION("""COMPUTED_VALUE"""),"")</f>
        <v/>
      </c>
      <c r="D63" s="134" t="str">
        <f ca="1">IFERROR(__xludf.DUMMYFUNCTION("""COMPUTED_VALUE"""),"")</f>
        <v/>
      </c>
      <c r="E63" s="134" t="str">
        <f ca="1">IFERROR(__xludf.DUMMYFUNCTION("""COMPUTED_VALUE"""),"")</f>
        <v/>
      </c>
      <c r="F63" s="134" t="str">
        <f ca="1">IFERROR(__xludf.DUMMYFUNCTION("""COMPUTED_VALUE"""),"")</f>
        <v/>
      </c>
      <c r="G63" s="134" t="str">
        <f ca="1">IFERROR(__xludf.DUMMYFUNCTION("""COMPUTED_VALUE"""),"")</f>
        <v/>
      </c>
      <c r="H63" s="134" t="str">
        <f ca="1">IFERROR(__xludf.DUMMYFUNCTION("""COMPUTED_VALUE"""),"")</f>
        <v/>
      </c>
      <c r="I63" s="134" t="str">
        <f ca="1">IFERROR(__xludf.DUMMYFUNCTION("""COMPUTED_VALUE"""),"")</f>
        <v/>
      </c>
      <c r="J63" s="134" t="str">
        <f ca="1">IFERROR(__xludf.DUMMYFUNCTION("""COMPUTED_VALUE"""),"")</f>
        <v/>
      </c>
      <c r="N63" s="31"/>
    </row>
    <row r="64" spans="1:14" customFormat="1">
      <c r="A64" s="134" t="str">
        <f ca="1">IFERROR(__xludf.DUMMYFUNCTION("""COMPUTED_VALUE"""),"")</f>
        <v/>
      </c>
      <c r="B64" s="134" t="str">
        <f ca="1">IFERROR(__xludf.DUMMYFUNCTION("""COMPUTED_VALUE"""),"")</f>
        <v/>
      </c>
      <c r="C64" s="134" t="str">
        <f ca="1">IFERROR(__xludf.DUMMYFUNCTION("""COMPUTED_VALUE"""),"")</f>
        <v/>
      </c>
      <c r="D64" s="134" t="str">
        <f ca="1">IFERROR(__xludf.DUMMYFUNCTION("""COMPUTED_VALUE"""),"")</f>
        <v/>
      </c>
      <c r="E64" s="134" t="str">
        <f ca="1">IFERROR(__xludf.DUMMYFUNCTION("""COMPUTED_VALUE"""),"")</f>
        <v/>
      </c>
      <c r="F64" s="134" t="str">
        <f ca="1">IFERROR(__xludf.DUMMYFUNCTION("""COMPUTED_VALUE"""),"")</f>
        <v/>
      </c>
      <c r="G64" s="134" t="str">
        <f ca="1">IFERROR(__xludf.DUMMYFUNCTION("""COMPUTED_VALUE"""),"")</f>
        <v/>
      </c>
      <c r="H64" s="134" t="str">
        <f ca="1">IFERROR(__xludf.DUMMYFUNCTION("""COMPUTED_VALUE"""),"")</f>
        <v/>
      </c>
      <c r="I64" s="134" t="str">
        <f ca="1">IFERROR(__xludf.DUMMYFUNCTION("""COMPUTED_VALUE"""),"")</f>
        <v/>
      </c>
      <c r="J64" s="134" t="str">
        <f ca="1">IFERROR(__xludf.DUMMYFUNCTION("""COMPUTED_VALUE"""),"")</f>
        <v/>
      </c>
      <c r="N64" s="31"/>
    </row>
    <row r="65" spans="1:14" customFormat="1">
      <c r="A65" s="134" t="str">
        <f ca="1">IFERROR(__xludf.DUMMYFUNCTION("""COMPUTED_VALUE"""),"")</f>
        <v/>
      </c>
      <c r="B65" s="134" t="str">
        <f ca="1">IFERROR(__xludf.DUMMYFUNCTION("""COMPUTED_VALUE"""),"")</f>
        <v/>
      </c>
      <c r="C65" s="134" t="str">
        <f ca="1">IFERROR(__xludf.DUMMYFUNCTION("""COMPUTED_VALUE"""),"")</f>
        <v/>
      </c>
      <c r="D65" s="134" t="str">
        <f ca="1">IFERROR(__xludf.DUMMYFUNCTION("""COMPUTED_VALUE"""),"")</f>
        <v/>
      </c>
      <c r="E65" s="134" t="str">
        <f ca="1">IFERROR(__xludf.DUMMYFUNCTION("""COMPUTED_VALUE"""),"")</f>
        <v/>
      </c>
      <c r="F65" s="134" t="str">
        <f ca="1">IFERROR(__xludf.DUMMYFUNCTION("""COMPUTED_VALUE"""),"")</f>
        <v/>
      </c>
      <c r="G65" s="134" t="str">
        <f ca="1">IFERROR(__xludf.DUMMYFUNCTION("""COMPUTED_VALUE"""),"")</f>
        <v/>
      </c>
      <c r="H65" s="134" t="str">
        <f ca="1">IFERROR(__xludf.DUMMYFUNCTION("""COMPUTED_VALUE"""),"")</f>
        <v/>
      </c>
      <c r="I65" s="134" t="str">
        <f ca="1">IFERROR(__xludf.DUMMYFUNCTION("""COMPUTED_VALUE"""),"")</f>
        <v/>
      </c>
      <c r="J65" s="134" t="str">
        <f ca="1">IFERROR(__xludf.DUMMYFUNCTION("""COMPUTED_VALUE"""),"")</f>
        <v/>
      </c>
      <c r="N65" s="31"/>
    </row>
    <row r="66" spans="1:14" customFormat="1">
      <c r="A66" s="134" t="str">
        <f ca="1">IFERROR(__xludf.DUMMYFUNCTION("""COMPUTED_VALUE"""),"")</f>
        <v/>
      </c>
      <c r="B66" s="134" t="str">
        <f ca="1">IFERROR(__xludf.DUMMYFUNCTION("""COMPUTED_VALUE"""),"")</f>
        <v/>
      </c>
      <c r="C66" s="134" t="str">
        <f ca="1">IFERROR(__xludf.DUMMYFUNCTION("""COMPUTED_VALUE"""),"")</f>
        <v/>
      </c>
      <c r="D66" s="134" t="str">
        <f ca="1">IFERROR(__xludf.DUMMYFUNCTION("""COMPUTED_VALUE"""),"")</f>
        <v/>
      </c>
      <c r="E66" s="134" t="str">
        <f ca="1">IFERROR(__xludf.DUMMYFUNCTION("""COMPUTED_VALUE"""),"")</f>
        <v/>
      </c>
      <c r="F66" s="134" t="str">
        <f ca="1">IFERROR(__xludf.DUMMYFUNCTION("""COMPUTED_VALUE"""),"")</f>
        <v/>
      </c>
      <c r="G66" s="134" t="str">
        <f ca="1">IFERROR(__xludf.DUMMYFUNCTION("""COMPUTED_VALUE"""),"")</f>
        <v/>
      </c>
      <c r="H66" s="134" t="str">
        <f ca="1">IFERROR(__xludf.DUMMYFUNCTION("""COMPUTED_VALUE"""),"")</f>
        <v/>
      </c>
      <c r="I66" s="134" t="str">
        <f ca="1">IFERROR(__xludf.DUMMYFUNCTION("""COMPUTED_VALUE"""),"")</f>
        <v/>
      </c>
      <c r="J66" s="134" t="str">
        <f ca="1">IFERROR(__xludf.DUMMYFUNCTION("""COMPUTED_VALUE"""),"")</f>
        <v/>
      </c>
      <c r="N66" s="31"/>
    </row>
    <row r="67" spans="1:14" customFormat="1">
      <c r="A67" s="134" t="str">
        <f ca="1">IFERROR(__xludf.DUMMYFUNCTION("""COMPUTED_VALUE"""),"")</f>
        <v/>
      </c>
      <c r="B67" s="134" t="str">
        <f ca="1">IFERROR(__xludf.DUMMYFUNCTION("""COMPUTED_VALUE"""),"")</f>
        <v/>
      </c>
      <c r="C67" s="134" t="str">
        <f ca="1">IFERROR(__xludf.DUMMYFUNCTION("""COMPUTED_VALUE"""),"")</f>
        <v/>
      </c>
      <c r="D67" s="134" t="str">
        <f ca="1">IFERROR(__xludf.DUMMYFUNCTION("""COMPUTED_VALUE"""),"")</f>
        <v/>
      </c>
      <c r="E67" s="134" t="str">
        <f ca="1">IFERROR(__xludf.DUMMYFUNCTION("""COMPUTED_VALUE"""),"")</f>
        <v/>
      </c>
      <c r="F67" s="134" t="str">
        <f ca="1">IFERROR(__xludf.DUMMYFUNCTION("""COMPUTED_VALUE"""),"")</f>
        <v/>
      </c>
      <c r="G67" s="134" t="str">
        <f ca="1">IFERROR(__xludf.DUMMYFUNCTION("""COMPUTED_VALUE"""),"")</f>
        <v/>
      </c>
      <c r="H67" s="134" t="str">
        <f ca="1">IFERROR(__xludf.DUMMYFUNCTION("""COMPUTED_VALUE"""),"")</f>
        <v/>
      </c>
      <c r="I67" s="134" t="str">
        <f ca="1">IFERROR(__xludf.DUMMYFUNCTION("""COMPUTED_VALUE"""),"")</f>
        <v/>
      </c>
      <c r="J67" s="134" t="str">
        <f ca="1">IFERROR(__xludf.DUMMYFUNCTION("""COMPUTED_VALUE"""),"")</f>
        <v/>
      </c>
      <c r="N67" s="31"/>
    </row>
    <row r="68" spans="1:14" customFormat="1">
      <c r="A68" s="134" t="str">
        <f ca="1">IFERROR(__xludf.DUMMYFUNCTION("""COMPUTED_VALUE"""),"")</f>
        <v/>
      </c>
      <c r="B68" s="134" t="str">
        <f ca="1">IFERROR(__xludf.DUMMYFUNCTION("""COMPUTED_VALUE"""),"")</f>
        <v/>
      </c>
      <c r="C68" s="134" t="str">
        <f ca="1">IFERROR(__xludf.DUMMYFUNCTION("""COMPUTED_VALUE"""),"")</f>
        <v/>
      </c>
      <c r="D68" s="134" t="str">
        <f ca="1">IFERROR(__xludf.DUMMYFUNCTION("""COMPUTED_VALUE"""),"")</f>
        <v/>
      </c>
      <c r="E68" s="134" t="str">
        <f ca="1">IFERROR(__xludf.DUMMYFUNCTION("""COMPUTED_VALUE"""),"")</f>
        <v/>
      </c>
      <c r="F68" s="134" t="str">
        <f ca="1">IFERROR(__xludf.DUMMYFUNCTION("""COMPUTED_VALUE"""),"")</f>
        <v/>
      </c>
      <c r="G68" s="134" t="str">
        <f ca="1">IFERROR(__xludf.DUMMYFUNCTION("""COMPUTED_VALUE"""),"")</f>
        <v/>
      </c>
      <c r="H68" s="134" t="str">
        <f ca="1">IFERROR(__xludf.DUMMYFUNCTION("""COMPUTED_VALUE"""),"")</f>
        <v/>
      </c>
      <c r="I68" s="134" t="str">
        <f ca="1">IFERROR(__xludf.DUMMYFUNCTION("""COMPUTED_VALUE"""),"")</f>
        <v/>
      </c>
      <c r="J68" s="134" t="str">
        <f ca="1">IFERROR(__xludf.DUMMYFUNCTION("""COMPUTED_VALUE"""),"")</f>
        <v/>
      </c>
      <c r="N68" s="31"/>
    </row>
    <row r="69" spans="1:14" customFormat="1">
      <c r="A69" s="134" t="str">
        <f ca="1">IFERROR(__xludf.DUMMYFUNCTION("""COMPUTED_VALUE"""),"")</f>
        <v/>
      </c>
      <c r="B69" s="134" t="str">
        <f ca="1">IFERROR(__xludf.DUMMYFUNCTION("""COMPUTED_VALUE"""),"")</f>
        <v/>
      </c>
      <c r="C69" s="134" t="str">
        <f ca="1">IFERROR(__xludf.DUMMYFUNCTION("""COMPUTED_VALUE"""),"")</f>
        <v/>
      </c>
      <c r="D69" s="134" t="str">
        <f ca="1">IFERROR(__xludf.DUMMYFUNCTION("""COMPUTED_VALUE"""),"")</f>
        <v/>
      </c>
      <c r="E69" s="134" t="str">
        <f ca="1">IFERROR(__xludf.DUMMYFUNCTION("""COMPUTED_VALUE"""),"")</f>
        <v/>
      </c>
      <c r="F69" s="134" t="str">
        <f ca="1">IFERROR(__xludf.DUMMYFUNCTION("""COMPUTED_VALUE"""),"")</f>
        <v/>
      </c>
      <c r="G69" s="134" t="str">
        <f ca="1">IFERROR(__xludf.DUMMYFUNCTION("""COMPUTED_VALUE"""),"")</f>
        <v/>
      </c>
      <c r="H69" s="134" t="str">
        <f ca="1">IFERROR(__xludf.DUMMYFUNCTION("""COMPUTED_VALUE"""),"")</f>
        <v/>
      </c>
      <c r="I69" s="134" t="str">
        <f ca="1">IFERROR(__xludf.DUMMYFUNCTION("""COMPUTED_VALUE"""),"")</f>
        <v/>
      </c>
      <c r="J69" s="134" t="str">
        <f ca="1">IFERROR(__xludf.DUMMYFUNCTION("""COMPUTED_VALUE"""),"")</f>
        <v/>
      </c>
      <c r="N69" s="31"/>
    </row>
    <row r="70" spans="1:14" customFormat="1">
      <c r="A70" s="134" t="str">
        <f ca="1">IFERROR(__xludf.DUMMYFUNCTION("""COMPUTED_VALUE"""),"")</f>
        <v/>
      </c>
      <c r="B70" s="134" t="str">
        <f ca="1">IFERROR(__xludf.DUMMYFUNCTION("""COMPUTED_VALUE"""),"")</f>
        <v/>
      </c>
      <c r="C70" s="134" t="str">
        <f ca="1">IFERROR(__xludf.DUMMYFUNCTION("""COMPUTED_VALUE"""),"")</f>
        <v/>
      </c>
      <c r="D70" s="134" t="str">
        <f ca="1">IFERROR(__xludf.DUMMYFUNCTION("""COMPUTED_VALUE"""),"")</f>
        <v/>
      </c>
      <c r="E70" s="134" t="str">
        <f ca="1">IFERROR(__xludf.DUMMYFUNCTION("""COMPUTED_VALUE"""),"")</f>
        <v/>
      </c>
      <c r="F70" s="134" t="str">
        <f ca="1">IFERROR(__xludf.DUMMYFUNCTION("""COMPUTED_VALUE"""),"")</f>
        <v/>
      </c>
      <c r="G70" s="134" t="str">
        <f ca="1">IFERROR(__xludf.DUMMYFUNCTION("""COMPUTED_VALUE"""),"")</f>
        <v/>
      </c>
      <c r="H70" s="134" t="str">
        <f ca="1">IFERROR(__xludf.DUMMYFUNCTION("""COMPUTED_VALUE"""),"")</f>
        <v/>
      </c>
      <c r="I70" s="134" t="str">
        <f ca="1">IFERROR(__xludf.DUMMYFUNCTION("""COMPUTED_VALUE"""),"")</f>
        <v/>
      </c>
      <c r="J70" s="134" t="str">
        <f ca="1">IFERROR(__xludf.DUMMYFUNCTION("""COMPUTED_VALUE"""),"")</f>
        <v/>
      </c>
      <c r="N70" s="31"/>
    </row>
    <row r="71" spans="1:14" customFormat="1">
      <c r="A71" s="134" t="str">
        <f ca="1">IFERROR(__xludf.DUMMYFUNCTION("""COMPUTED_VALUE"""),"")</f>
        <v/>
      </c>
      <c r="B71" s="134" t="str">
        <f ca="1">IFERROR(__xludf.DUMMYFUNCTION("""COMPUTED_VALUE"""),"")</f>
        <v/>
      </c>
      <c r="C71" s="134" t="str">
        <f ca="1">IFERROR(__xludf.DUMMYFUNCTION("""COMPUTED_VALUE"""),"")</f>
        <v/>
      </c>
      <c r="D71" s="134" t="str">
        <f ca="1">IFERROR(__xludf.DUMMYFUNCTION("""COMPUTED_VALUE"""),"")</f>
        <v/>
      </c>
      <c r="E71" s="134" t="str">
        <f ca="1">IFERROR(__xludf.DUMMYFUNCTION("""COMPUTED_VALUE"""),"")</f>
        <v/>
      </c>
      <c r="F71" s="134" t="str">
        <f ca="1">IFERROR(__xludf.DUMMYFUNCTION("""COMPUTED_VALUE"""),"")</f>
        <v/>
      </c>
      <c r="G71" s="134" t="str">
        <f ca="1">IFERROR(__xludf.DUMMYFUNCTION("""COMPUTED_VALUE"""),"")</f>
        <v/>
      </c>
      <c r="H71" s="134" t="str">
        <f ca="1">IFERROR(__xludf.DUMMYFUNCTION("""COMPUTED_VALUE"""),"")</f>
        <v/>
      </c>
      <c r="I71" s="134" t="str">
        <f ca="1">IFERROR(__xludf.DUMMYFUNCTION("""COMPUTED_VALUE"""),"")</f>
        <v/>
      </c>
      <c r="J71" s="134" t="str">
        <f ca="1">IFERROR(__xludf.DUMMYFUNCTION("""COMPUTED_VALUE"""),"")</f>
        <v/>
      </c>
      <c r="N71" s="31"/>
    </row>
    <row r="72" spans="1:14" customFormat="1">
      <c r="A72" s="134" t="str">
        <f ca="1">IFERROR(__xludf.DUMMYFUNCTION("""COMPUTED_VALUE"""),"")</f>
        <v/>
      </c>
      <c r="B72" s="134" t="str">
        <f ca="1">IFERROR(__xludf.DUMMYFUNCTION("""COMPUTED_VALUE"""),"")</f>
        <v/>
      </c>
      <c r="C72" s="134" t="str">
        <f ca="1">IFERROR(__xludf.DUMMYFUNCTION("""COMPUTED_VALUE"""),"")</f>
        <v/>
      </c>
      <c r="D72" s="134" t="str">
        <f ca="1">IFERROR(__xludf.DUMMYFUNCTION("""COMPUTED_VALUE"""),"")</f>
        <v/>
      </c>
      <c r="E72" s="134" t="str">
        <f ca="1">IFERROR(__xludf.DUMMYFUNCTION("""COMPUTED_VALUE"""),"")</f>
        <v/>
      </c>
      <c r="F72" s="134" t="str">
        <f ca="1">IFERROR(__xludf.DUMMYFUNCTION("""COMPUTED_VALUE"""),"")</f>
        <v/>
      </c>
      <c r="G72" s="134" t="str">
        <f ca="1">IFERROR(__xludf.DUMMYFUNCTION("""COMPUTED_VALUE"""),"")</f>
        <v/>
      </c>
      <c r="H72" s="134" t="str">
        <f ca="1">IFERROR(__xludf.DUMMYFUNCTION("""COMPUTED_VALUE"""),"")</f>
        <v/>
      </c>
      <c r="I72" s="134" t="str">
        <f ca="1">IFERROR(__xludf.DUMMYFUNCTION("""COMPUTED_VALUE"""),"")</f>
        <v/>
      </c>
      <c r="J72" s="134" t="str">
        <f ca="1">IFERROR(__xludf.DUMMYFUNCTION("""COMPUTED_VALUE"""),"")</f>
        <v/>
      </c>
      <c r="N72" s="31"/>
    </row>
    <row r="73" spans="1:14" customFormat="1">
      <c r="A73" s="134" t="str">
        <f ca="1">IFERROR(__xludf.DUMMYFUNCTION("""COMPUTED_VALUE"""),"")</f>
        <v/>
      </c>
      <c r="B73" s="134" t="str">
        <f ca="1">IFERROR(__xludf.DUMMYFUNCTION("""COMPUTED_VALUE"""),"")</f>
        <v/>
      </c>
      <c r="C73" s="134" t="str">
        <f ca="1">IFERROR(__xludf.DUMMYFUNCTION("""COMPUTED_VALUE"""),"")</f>
        <v/>
      </c>
      <c r="D73" s="134" t="str">
        <f ca="1">IFERROR(__xludf.DUMMYFUNCTION("""COMPUTED_VALUE"""),"")</f>
        <v/>
      </c>
      <c r="E73" s="134" t="str">
        <f ca="1">IFERROR(__xludf.DUMMYFUNCTION("""COMPUTED_VALUE"""),"")</f>
        <v/>
      </c>
      <c r="F73" s="134" t="str">
        <f ca="1">IFERROR(__xludf.DUMMYFUNCTION("""COMPUTED_VALUE"""),"")</f>
        <v/>
      </c>
      <c r="G73" s="134" t="str">
        <f ca="1">IFERROR(__xludf.DUMMYFUNCTION("""COMPUTED_VALUE"""),"")</f>
        <v/>
      </c>
      <c r="H73" s="134" t="str">
        <f ca="1">IFERROR(__xludf.DUMMYFUNCTION("""COMPUTED_VALUE"""),"")</f>
        <v/>
      </c>
      <c r="I73" s="134" t="str">
        <f ca="1">IFERROR(__xludf.DUMMYFUNCTION("""COMPUTED_VALUE"""),"")</f>
        <v/>
      </c>
      <c r="J73" s="134" t="str">
        <f ca="1">IFERROR(__xludf.DUMMYFUNCTION("""COMPUTED_VALUE"""),"")</f>
        <v/>
      </c>
      <c r="N73" s="31"/>
    </row>
    <row r="74" spans="1:14" customFormat="1">
      <c r="A74" s="134" t="str">
        <f ca="1">IFERROR(__xludf.DUMMYFUNCTION("""COMPUTED_VALUE"""),"")</f>
        <v/>
      </c>
      <c r="B74" s="134" t="str">
        <f ca="1">IFERROR(__xludf.DUMMYFUNCTION("""COMPUTED_VALUE"""),"")</f>
        <v/>
      </c>
      <c r="C74" s="134" t="str">
        <f ca="1">IFERROR(__xludf.DUMMYFUNCTION("""COMPUTED_VALUE"""),"")</f>
        <v/>
      </c>
      <c r="D74" s="134" t="str">
        <f ca="1">IFERROR(__xludf.DUMMYFUNCTION("""COMPUTED_VALUE"""),"")</f>
        <v/>
      </c>
      <c r="E74" s="134" t="str">
        <f ca="1">IFERROR(__xludf.DUMMYFUNCTION("""COMPUTED_VALUE"""),"")</f>
        <v/>
      </c>
      <c r="F74" s="134" t="str">
        <f ca="1">IFERROR(__xludf.DUMMYFUNCTION("""COMPUTED_VALUE"""),"")</f>
        <v/>
      </c>
      <c r="G74" s="134" t="str">
        <f ca="1">IFERROR(__xludf.DUMMYFUNCTION("""COMPUTED_VALUE"""),"")</f>
        <v/>
      </c>
      <c r="H74" s="134" t="str">
        <f ca="1">IFERROR(__xludf.DUMMYFUNCTION("""COMPUTED_VALUE"""),"")</f>
        <v/>
      </c>
      <c r="I74" s="134" t="str">
        <f ca="1">IFERROR(__xludf.DUMMYFUNCTION("""COMPUTED_VALUE"""),"")</f>
        <v/>
      </c>
      <c r="J74" s="134" t="str">
        <f ca="1">IFERROR(__xludf.DUMMYFUNCTION("""COMPUTED_VALUE"""),"")</f>
        <v/>
      </c>
      <c r="N74" s="31"/>
    </row>
    <row r="75" spans="1:14" customFormat="1">
      <c r="A75" s="134" t="str">
        <f ca="1">IFERROR(__xludf.DUMMYFUNCTION("""COMPUTED_VALUE"""),"")</f>
        <v/>
      </c>
      <c r="B75" s="134" t="str">
        <f ca="1">IFERROR(__xludf.DUMMYFUNCTION("""COMPUTED_VALUE"""),"")</f>
        <v/>
      </c>
      <c r="C75" s="134" t="str">
        <f ca="1">IFERROR(__xludf.DUMMYFUNCTION("""COMPUTED_VALUE"""),"")</f>
        <v/>
      </c>
      <c r="D75" s="134" t="str">
        <f ca="1">IFERROR(__xludf.DUMMYFUNCTION("""COMPUTED_VALUE"""),"")</f>
        <v/>
      </c>
      <c r="E75" s="134" t="str">
        <f ca="1">IFERROR(__xludf.DUMMYFUNCTION("""COMPUTED_VALUE"""),"")</f>
        <v/>
      </c>
      <c r="F75" s="134" t="str">
        <f ca="1">IFERROR(__xludf.DUMMYFUNCTION("""COMPUTED_VALUE"""),"")</f>
        <v/>
      </c>
      <c r="G75" s="134" t="str">
        <f ca="1">IFERROR(__xludf.DUMMYFUNCTION("""COMPUTED_VALUE"""),"")</f>
        <v/>
      </c>
      <c r="H75" s="134" t="str">
        <f ca="1">IFERROR(__xludf.DUMMYFUNCTION("""COMPUTED_VALUE"""),"")</f>
        <v/>
      </c>
      <c r="I75" s="134" t="str">
        <f ca="1">IFERROR(__xludf.DUMMYFUNCTION("""COMPUTED_VALUE"""),"")</f>
        <v/>
      </c>
      <c r="J75" s="134" t="str">
        <f ca="1">IFERROR(__xludf.DUMMYFUNCTION("""COMPUTED_VALUE"""),"")</f>
        <v/>
      </c>
      <c r="N75" s="31"/>
    </row>
    <row r="76" spans="1:14" customFormat="1">
      <c r="A76" s="134" t="str">
        <f ca="1">IFERROR(__xludf.DUMMYFUNCTION("""COMPUTED_VALUE"""),"")</f>
        <v/>
      </c>
      <c r="B76" s="134" t="str">
        <f ca="1">IFERROR(__xludf.DUMMYFUNCTION("""COMPUTED_VALUE"""),"")</f>
        <v/>
      </c>
      <c r="C76" s="134" t="str">
        <f ca="1">IFERROR(__xludf.DUMMYFUNCTION("""COMPUTED_VALUE"""),"")</f>
        <v/>
      </c>
      <c r="D76" s="134" t="str">
        <f ca="1">IFERROR(__xludf.DUMMYFUNCTION("""COMPUTED_VALUE"""),"")</f>
        <v/>
      </c>
      <c r="E76" s="134" t="str">
        <f ca="1">IFERROR(__xludf.DUMMYFUNCTION("""COMPUTED_VALUE"""),"")</f>
        <v/>
      </c>
      <c r="F76" s="134" t="str">
        <f ca="1">IFERROR(__xludf.DUMMYFUNCTION("""COMPUTED_VALUE"""),"")</f>
        <v/>
      </c>
      <c r="G76" s="134" t="str">
        <f ca="1">IFERROR(__xludf.DUMMYFUNCTION("""COMPUTED_VALUE"""),"")</f>
        <v/>
      </c>
      <c r="H76" s="134" t="str">
        <f ca="1">IFERROR(__xludf.DUMMYFUNCTION("""COMPUTED_VALUE"""),"")</f>
        <v/>
      </c>
      <c r="I76" s="134" t="str">
        <f ca="1">IFERROR(__xludf.DUMMYFUNCTION("""COMPUTED_VALUE"""),"")</f>
        <v/>
      </c>
      <c r="J76" s="134" t="str">
        <f ca="1">IFERROR(__xludf.DUMMYFUNCTION("""COMPUTED_VALUE"""),"")</f>
        <v/>
      </c>
      <c r="N76" s="31"/>
    </row>
    <row r="77" spans="1:14" customFormat="1">
      <c r="A77" s="134" t="str">
        <f ca="1">IFERROR(__xludf.DUMMYFUNCTION("""COMPUTED_VALUE"""),"")</f>
        <v/>
      </c>
      <c r="B77" s="134" t="str">
        <f ca="1">IFERROR(__xludf.DUMMYFUNCTION("""COMPUTED_VALUE"""),"")</f>
        <v/>
      </c>
      <c r="C77" s="134" t="str">
        <f ca="1">IFERROR(__xludf.DUMMYFUNCTION("""COMPUTED_VALUE"""),"")</f>
        <v/>
      </c>
      <c r="D77" s="134" t="str">
        <f ca="1">IFERROR(__xludf.DUMMYFUNCTION("""COMPUTED_VALUE"""),"")</f>
        <v/>
      </c>
      <c r="E77" s="134" t="str">
        <f ca="1">IFERROR(__xludf.DUMMYFUNCTION("""COMPUTED_VALUE"""),"")</f>
        <v/>
      </c>
      <c r="F77" s="134" t="str">
        <f ca="1">IFERROR(__xludf.DUMMYFUNCTION("""COMPUTED_VALUE"""),"")</f>
        <v/>
      </c>
      <c r="G77" s="134" t="str">
        <f ca="1">IFERROR(__xludf.DUMMYFUNCTION("""COMPUTED_VALUE"""),"")</f>
        <v/>
      </c>
      <c r="H77" s="134" t="str">
        <f ca="1">IFERROR(__xludf.DUMMYFUNCTION("""COMPUTED_VALUE"""),"")</f>
        <v/>
      </c>
      <c r="I77" s="134" t="str">
        <f ca="1">IFERROR(__xludf.DUMMYFUNCTION("""COMPUTED_VALUE"""),"")</f>
        <v/>
      </c>
      <c r="J77" s="134" t="str">
        <f ca="1">IFERROR(__xludf.DUMMYFUNCTION("""COMPUTED_VALUE"""),"")</f>
        <v/>
      </c>
      <c r="N77" s="31"/>
    </row>
    <row r="78" spans="1:14" customFormat="1">
      <c r="A78" s="134" t="str">
        <f ca="1">IFERROR(__xludf.DUMMYFUNCTION("""COMPUTED_VALUE"""),"")</f>
        <v/>
      </c>
      <c r="B78" s="134" t="str">
        <f ca="1">IFERROR(__xludf.DUMMYFUNCTION("""COMPUTED_VALUE"""),"")</f>
        <v/>
      </c>
      <c r="C78" s="134" t="str">
        <f ca="1">IFERROR(__xludf.DUMMYFUNCTION("""COMPUTED_VALUE"""),"")</f>
        <v/>
      </c>
      <c r="D78" s="134" t="str">
        <f ca="1">IFERROR(__xludf.DUMMYFUNCTION("""COMPUTED_VALUE"""),"")</f>
        <v/>
      </c>
      <c r="E78" s="134" t="str">
        <f ca="1">IFERROR(__xludf.DUMMYFUNCTION("""COMPUTED_VALUE"""),"")</f>
        <v/>
      </c>
      <c r="F78" s="134" t="str">
        <f ca="1">IFERROR(__xludf.DUMMYFUNCTION("""COMPUTED_VALUE"""),"")</f>
        <v/>
      </c>
      <c r="G78" s="134" t="str">
        <f ca="1">IFERROR(__xludf.DUMMYFUNCTION("""COMPUTED_VALUE"""),"")</f>
        <v/>
      </c>
      <c r="H78" s="134" t="str">
        <f ca="1">IFERROR(__xludf.DUMMYFUNCTION("""COMPUTED_VALUE"""),"")</f>
        <v/>
      </c>
      <c r="I78" s="134" t="str">
        <f ca="1">IFERROR(__xludf.DUMMYFUNCTION("""COMPUTED_VALUE"""),"")</f>
        <v/>
      </c>
      <c r="J78" s="134" t="str">
        <f ca="1">IFERROR(__xludf.DUMMYFUNCTION("""COMPUTED_VALUE"""),"")</f>
        <v/>
      </c>
      <c r="N78" s="31"/>
    </row>
    <row r="79" spans="1:14" customFormat="1">
      <c r="A79" s="134" t="str">
        <f ca="1">IFERROR(__xludf.DUMMYFUNCTION("""COMPUTED_VALUE"""),"")</f>
        <v/>
      </c>
      <c r="B79" s="134" t="str">
        <f ca="1">IFERROR(__xludf.DUMMYFUNCTION("""COMPUTED_VALUE"""),"")</f>
        <v/>
      </c>
      <c r="C79" s="134" t="str">
        <f ca="1">IFERROR(__xludf.DUMMYFUNCTION("""COMPUTED_VALUE"""),"")</f>
        <v/>
      </c>
      <c r="D79" s="134" t="str">
        <f ca="1">IFERROR(__xludf.DUMMYFUNCTION("""COMPUTED_VALUE"""),"")</f>
        <v/>
      </c>
      <c r="E79" s="134" t="str">
        <f ca="1">IFERROR(__xludf.DUMMYFUNCTION("""COMPUTED_VALUE"""),"")</f>
        <v/>
      </c>
      <c r="F79" s="134" t="str">
        <f ca="1">IFERROR(__xludf.DUMMYFUNCTION("""COMPUTED_VALUE"""),"")</f>
        <v/>
      </c>
      <c r="G79" s="134" t="str">
        <f ca="1">IFERROR(__xludf.DUMMYFUNCTION("""COMPUTED_VALUE"""),"")</f>
        <v/>
      </c>
      <c r="H79" s="134" t="str">
        <f ca="1">IFERROR(__xludf.DUMMYFUNCTION("""COMPUTED_VALUE"""),"")</f>
        <v/>
      </c>
      <c r="I79" s="134" t="str">
        <f ca="1">IFERROR(__xludf.DUMMYFUNCTION("""COMPUTED_VALUE"""),"")</f>
        <v/>
      </c>
      <c r="J79" s="134" t="str">
        <f ca="1">IFERROR(__xludf.DUMMYFUNCTION("""COMPUTED_VALUE"""),"")</f>
        <v/>
      </c>
      <c r="N79" s="31"/>
    </row>
    <row r="80" spans="1:14" customFormat="1">
      <c r="A80" s="134" t="str">
        <f ca="1">IFERROR(__xludf.DUMMYFUNCTION("""COMPUTED_VALUE"""),"")</f>
        <v/>
      </c>
      <c r="B80" s="134" t="str">
        <f ca="1">IFERROR(__xludf.DUMMYFUNCTION("""COMPUTED_VALUE"""),"")</f>
        <v/>
      </c>
      <c r="C80" s="134" t="str">
        <f ca="1">IFERROR(__xludf.DUMMYFUNCTION("""COMPUTED_VALUE"""),"")</f>
        <v/>
      </c>
      <c r="D80" s="134" t="str">
        <f ca="1">IFERROR(__xludf.DUMMYFUNCTION("""COMPUTED_VALUE"""),"")</f>
        <v/>
      </c>
      <c r="E80" s="134" t="str">
        <f ca="1">IFERROR(__xludf.DUMMYFUNCTION("""COMPUTED_VALUE"""),"")</f>
        <v/>
      </c>
      <c r="F80" s="134" t="str">
        <f ca="1">IFERROR(__xludf.DUMMYFUNCTION("""COMPUTED_VALUE"""),"")</f>
        <v/>
      </c>
      <c r="G80" s="134" t="str">
        <f ca="1">IFERROR(__xludf.DUMMYFUNCTION("""COMPUTED_VALUE"""),"")</f>
        <v/>
      </c>
      <c r="H80" s="134" t="str">
        <f ca="1">IFERROR(__xludf.DUMMYFUNCTION("""COMPUTED_VALUE"""),"")</f>
        <v/>
      </c>
      <c r="I80" s="134" t="str">
        <f ca="1">IFERROR(__xludf.DUMMYFUNCTION("""COMPUTED_VALUE"""),"")</f>
        <v/>
      </c>
      <c r="J80" s="134" t="str">
        <f ca="1">IFERROR(__xludf.DUMMYFUNCTION("""COMPUTED_VALUE"""),"")</f>
        <v/>
      </c>
      <c r="N80" s="31"/>
    </row>
    <row r="81" spans="1:14" customFormat="1">
      <c r="A81" s="134" t="str">
        <f ca="1">IFERROR(__xludf.DUMMYFUNCTION("""COMPUTED_VALUE"""),"")</f>
        <v/>
      </c>
      <c r="B81" s="134" t="str">
        <f ca="1">IFERROR(__xludf.DUMMYFUNCTION("""COMPUTED_VALUE"""),"")</f>
        <v/>
      </c>
      <c r="C81" s="134" t="str">
        <f ca="1">IFERROR(__xludf.DUMMYFUNCTION("""COMPUTED_VALUE"""),"")</f>
        <v/>
      </c>
      <c r="D81" s="134" t="str">
        <f ca="1">IFERROR(__xludf.DUMMYFUNCTION("""COMPUTED_VALUE"""),"")</f>
        <v/>
      </c>
      <c r="E81" s="134" t="str">
        <f ca="1">IFERROR(__xludf.DUMMYFUNCTION("""COMPUTED_VALUE"""),"")</f>
        <v/>
      </c>
      <c r="F81" s="134" t="str">
        <f ca="1">IFERROR(__xludf.DUMMYFUNCTION("""COMPUTED_VALUE"""),"")</f>
        <v/>
      </c>
      <c r="G81" s="134" t="str">
        <f ca="1">IFERROR(__xludf.DUMMYFUNCTION("""COMPUTED_VALUE"""),"")</f>
        <v/>
      </c>
      <c r="H81" s="134" t="str">
        <f ca="1">IFERROR(__xludf.DUMMYFUNCTION("""COMPUTED_VALUE"""),"")</f>
        <v/>
      </c>
      <c r="I81" s="134" t="str">
        <f ca="1">IFERROR(__xludf.DUMMYFUNCTION("""COMPUTED_VALUE"""),"")</f>
        <v/>
      </c>
      <c r="J81" s="134" t="str">
        <f ca="1">IFERROR(__xludf.DUMMYFUNCTION("""COMPUTED_VALUE"""),"")</f>
        <v/>
      </c>
      <c r="N81" s="31"/>
    </row>
    <row r="82" spans="1:14" customFormat="1">
      <c r="A82" s="134" t="str">
        <f ca="1">IFERROR(__xludf.DUMMYFUNCTION("""COMPUTED_VALUE"""),"")</f>
        <v/>
      </c>
      <c r="B82" s="134" t="str">
        <f ca="1">IFERROR(__xludf.DUMMYFUNCTION("""COMPUTED_VALUE"""),"")</f>
        <v/>
      </c>
      <c r="C82" s="134" t="str">
        <f ca="1">IFERROR(__xludf.DUMMYFUNCTION("""COMPUTED_VALUE"""),"")</f>
        <v/>
      </c>
      <c r="D82" s="134" t="str">
        <f ca="1">IFERROR(__xludf.DUMMYFUNCTION("""COMPUTED_VALUE"""),"")</f>
        <v/>
      </c>
      <c r="E82" s="134" t="str">
        <f ca="1">IFERROR(__xludf.DUMMYFUNCTION("""COMPUTED_VALUE"""),"")</f>
        <v/>
      </c>
      <c r="F82" s="134" t="str">
        <f ca="1">IFERROR(__xludf.DUMMYFUNCTION("""COMPUTED_VALUE"""),"")</f>
        <v/>
      </c>
      <c r="G82" s="134" t="str">
        <f ca="1">IFERROR(__xludf.DUMMYFUNCTION("""COMPUTED_VALUE"""),"")</f>
        <v/>
      </c>
      <c r="H82" s="134" t="str">
        <f ca="1">IFERROR(__xludf.DUMMYFUNCTION("""COMPUTED_VALUE"""),"")</f>
        <v/>
      </c>
      <c r="I82" s="134" t="str">
        <f ca="1">IFERROR(__xludf.DUMMYFUNCTION("""COMPUTED_VALUE"""),"")</f>
        <v/>
      </c>
      <c r="J82" s="134" t="str">
        <f ca="1">IFERROR(__xludf.DUMMYFUNCTION("""COMPUTED_VALUE"""),"")</f>
        <v/>
      </c>
      <c r="N82" s="31"/>
    </row>
    <row r="83" spans="1:14" customFormat="1">
      <c r="A83" s="134" t="str">
        <f ca="1">IFERROR(__xludf.DUMMYFUNCTION("""COMPUTED_VALUE"""),"")</f>
        <v/>
      </c>
      <c r="B83" s="134" t="str">
        <f ca="1">IFERROR(__xludf.DUMMYFUNCTION("""COMPUTED_VALUE"""),"")</f>
        <v/>
      </c>
      <c r="C83" s="134" t="str">
        <f ca="1">IFERROR(__xludf.DUMMYFUNCTION("""COMPUTED_VALUE"""),"")</f>
        <v/>
      </c>
      <c r="D83" s="134" t="str">
        <f ca="1">IFERROR(__xludf.DUMMYFUNCTION("""COMPUTED_VALUE"""),"")</f>
        <v/>
      </c>
      <c r="E83" s="134" t="str">
        <f ca="1">IFERROR(__xludf.DUMMYFUNCTION("""COMPUTED_VALUE"""),"")</f>
        <v/>
      </c>
      <c r="F83" s="134" t="str">
        <f ca="1">IFERROR(__xludf.DUMMYFUNCTION("""COMPUTED_VALUE"""),"")</f>
        <v/>
      </c>
      <c r="G83" s="134" t="str">
        <f ca="1">IFERROR(__xludf.DUMMYFUNCTION("""COMPUTED_VALUE"""),"")</f>
        <v/>
      </c>
      <c r="H83" s="134" t="str">
        <f ca="1">IFERROR(__xludf.DUMMYFUNCTION("""COMPUTED_VALUE"""),"")</f>
        <v/>
      </c>
      <c r="I83" s="134" t="str">
        <f ca="1">IFERROR(__xludf.DUMMYFUNCTION("""COMPUTED_VALUE"""),"")</f>
        <v/>
      </c>
      <c r="J83" s="134" t="str">
        <f ca="1">IFERROR(__xludf.DUMMYFUNCTION("""COMPUTED_VALUE"""),"")</f>
        <v/>
      </c>
      <c r="N83" s="31"/>
    </row>
    <row r="84" spans="1:14" customFormat="1">
      <c r="A84" s="134" t="str">
        <f ca="1">IFERROR(__xludf.DUMMYFUNCTION("""COMPUTED_VALUE"""),"")</f>
        <v/>
      </c>
      <c r="B84" s="134" t="str">
        <f ca="1">IFERROR(__xludf.DUMMYFUNCTION("""COMPUTED_VALUE"""),"")</f>
        <v/>
      </c>
      <c r="C84" s="134" t="str">
        <f ca="1">IFERROR(__xludf.DUMMYFUNCTION("""COMPUTED_VALUE"""),"")</f>
        <v/>
      </c>
      <c r="D84" s="134" t="str">
        <f ca="1">IFERROR(__xludf.DUMMYFUNCTION("""COMPUTED_VALUE"""),"")</f>
        <v/>
      </c>
      <c r="E84" s="134" t="str">
        <f ca="1">IFERROR(__xludf.DUMMYFUNCTION("""COMPUTED_VALUE"""),"")</f>
        <v/>
      </c>
      <c r="F84" s="134" t="str">
        <f ca="1">IFERROR(__xludf.DUMMYFUNCTION("""COMPUTED_VALUE"""),"")</f>
        <v/>
      </c>
      <c r="G84" s="134" t="str">
        <f ca="1">IFERROR(__xludf.DUMMYFUNCTION("""COMPUTED_VALUE"""),"")</f>
        <v/>
      </c>
      <c r="H84" s="134" t="str">
        <f ca="1">IFERROR(__xludf.DUMMYFUNCTION("""COMPUTED_VALUE"""),"")</f>
        <v/>
      </c>
      <c r="I84" s="134" t="str">
        <f ca="1">IFERROR(__xludf.DUMMYFUNCTION("""COMPUTED_VALUE"""),"")</f>
        <v/>
      </c>
      <c r="J84" s="134" t="str">
        <f ca="1">IFERROR(__xludf.DUMMYFUNCTION("""COMPUTED_VALUE"""),"")</f>
        <v/>
      </c>
      <c r="N84" s="31"/>
    </row>
    <row r="85" spans="1:14" customFormat="1">
      <c r="A85" s="134" t="str">
        <f ca="1">IFERROR(__xludf.DUMMYFUNCTION("""COMPUTED_VALUE"""),"")</f>
        <v/>
      </c>
      <c r="B85" s="134" t="str">
        <f ca="1">IFERROR(__xludf.DUMMYFUNCTION("""COMPUTED_VALUE"""),"")</f>
        <v/>
      </c>
      <c r="C85" s="134" t="str">
        <f ca="1">IFERROR(__xludf.DUMMYFUNCTION("""COMPUTED_VALUE"""),"")</f>
        <v/>
      </c>
      <c r="D85" s="134" t="str">
        <f ca="1">IFERROR(__xludf.DUMMYFUNCTION("""COMPUTED_VALUE"""),"")</f>
        <v/>
      </c>
      <c r="E85" s="134" t="str">
        <f ca="1">IFERROR(__xludf.DUMMYFUNCTION("""COMPUTED_VALUE"""),"")</f>
        <v/>
      </c>
      <c r="F85" s="134" t="str">
        <f ca="1">IFERROR(__xludf.DUMMYFUNCTION("""COMPUTED_VALUE"""),"")</f>
        <v/>
      </c>
      <c r="G85" s="134" t="str">
        <f ca="1">IFERROR(__xludf.DUMMYFUNCTION("""COMPUTED_VALUE"""),"")</f>
        <v/>
      </c>
      <c r="H85" s="134" t="str">
        <f ca="1">IFERROR(__xludf.DUMMYFUNCTION("""COMPUTED_VALUE"""),"")</f>
        <v/>
      </c>
      <c r="I85" s="134" t="str">
        <f ca="1">IFERROR(__xludf.DUMMYFUNCTION("""COMPUTED_VALUE"""),"")</f>
        <v/>
      </c>
      <c r="J85" s="134" t="str">
        <f ca="1">IFERROR(__xludf.DUMMYFUNCTION("""COMPUTED_VALUE"""),"")</f>
        <v/>
      </c>
      <c r="N85" s="31"/>
    </row>
    <row r="86" spans="1:14" customFormat="1">
      <c r="A86" s="134" t="str">
        <f ca="1">IFERROR(__xludf.DUMMYFUNCTION("""COMPUTED_VALUE"""),"")</f>
        <v/>
      </c>
      <c r="B86" s="134" t="str">
        <f ca="1">IFERROR(__xludf.DUMMYFUNCTION("""COMPUTED_VALUE"""),"")</f>
        <v/>
      </c>
      <c r="C86" s="134" t="str">
        <f ca="1">IFERROR(__xludf.DUMMYFUNCTION("""COMPUTED_VALUE"""),"")</f>
        <v/>
      </c>
      <c r="D86" s="134" t="str">
        <f ca="1">IFERROR(__xludf.DUMMYFUNCTION("""COMPUTED_VALUE"""),"")</f>
        <v/>
      </c>
      <c r="E86" s="134" t="str">
        <f ca="1">IFERROR(__xludf.DUMMYFUNCTION("""COMPUTED_VALUE"""),"")</f>
        <v/>
      </c>
      <c r="F86" s="134" t="str">
        <f ca="1">IFERROR(__xludf.DUMMYFUNCTION("""COMPUTED_VALUE"""),"")</f>
        <v/>
      </c>
      <c r="G86" s="134" t="str">
        <f ca="1">IFERROR(__xludf.DUMMYFUNCTION("""COMPUTED_VALUE"""),"")</f>
        <v/>
      </c>
      <c r="H86" s="134" t="str">
        <f ca="1">IFERROR(__xludf.DUMMYFUNCTION("""COMPUTED_VALUE"""),"")</f>
        <v/>
      </c>
      <c r="I86" s="134" t="str">
        <f ca="1">IFERROR(__xludf.DUMMYFUNCTION("""COMPUTED_VALUE"""),"")</f>
        <v/>
      </c>
      <c r="J86" s="134" t="str">
        <f ca="1">IFERROR(__xludf.DUMMYFUNCTION("""COMPUTED_VALUE"""),"")</f>
        <v/>
      </c>
      <c r="N86" s="31"/>
    </row>
    <row r="87" spans="1:14" customFormat="1">
      <c r="A87" s="134" t="str">
        <f ca="1">IFERROR(__xludf.DUMMYFUNCTION("""COMPUTED_VALUE"""),"")</f>
        <v/>
      </c>
      <c r="B87" s="134" t="str">
        <f ca="1">IFERROR(__xludf.DUMMYFUNCTION("""COMPUTED_VALUE"""),"")</f>
        <v/>
      </c>
      <c r="C87" s="134" t="str">
        <f ca="1">IFERROR(__xludf.DUMMYFUNCTION("""COMPUTED_VALUE"""),"")</f>
        <v/>
      </c>
      <c r="D87" s="134" t="str">
        <f ca="1">IFERROR(__xludf.DUMMYFUNCTION("""COMPUTED_VALUE"""),"")</f>
        <v/>
      </c>
      <c r="E87" s="134" t="str">
        <f ca="1">IFERROR(__xludf.DUMMYFUNCTION("""COMPUTED_VALUE"""),"")</f>
        <v/>
      </c>
      <c r="F87" s="134" t="str">
        <f ca="1">IFERROR(__xludf.DUMMYFUNCTION("""COMPUTED_VALUE"""),"")</f>
        <v/>
      </c>
      <c r="G87" s="134" t="str">
        <f ca="1">IFERROR(__xludf.DUMMYFUNCTION("""COMPUTED_VALUE"""),"")</f>
        <v/>
      </c>
      <c r="H87" s="134" t="str">
        <f ca="1">IFERROR(__xludf.DUMMYFUNCTION("""COMPUTED_VALUE"""),"")</f>
        <v/>
      </c>
      <c r="I87" s="134" t="str">
        <f ca="1">IFERROR(__xludf.DUMMYFUNCTION("""COMPUTED_VALUE"""),"")</f>
        <v/>
      </c>
      <c r="J87" s="134" t="str">
        <f ca="1">IFERROR(__xludf.DUMMYFUNCTION("""COMPUTED_VALUE"""),"")</f>
        <v/>
      </c>
      <c r="N87" s="31"/>
    </row>
    <row r="88" spans="1:14" customFormat="1">
      <c r="A88" s="134" t="str">
        <f ca="1">IFERROR(__xludf.DUMMYFUNCTION("""COMPUTED_VALUE"""),"")</f>
        <v/>
      </c>
      <c r="B88" s="134" t="str">
        <f ca="1">IFERROR(__xludf.DUMMYFUNCTION("""COMPUTED_VALUE"""),"")</f>
        <v/>
      </c>
      <c r="C88" s="134" t="str">
        <f ca="1">IFERROR(__xludf.DUMMYFUNCTION("""COMPUTED_VALUE"""),"")</f>
        <v/>
      </c>
      <c r="D88" s="134" t="str">
        <f ca="1">IFERROR(__xludf.DUMMYFUNCTION("""COMPUTED_VALUE"""),"")</f>
        <v/>
      </c>
      <c r="E88" s="134" t="str">
        <f ca="1">IFERROR(__xludf.DUMMYFUNCTION("""COMPUTED_VALUE"""),"")</f>
        <v/>
      </c>
      <c r="F88" s="134" t="str">
        <f ca="1">IFERROR(__xludf.DUMMYFUNCTION("""COMPUTED_VALUE"""),"")</f>
        <v/>
      </c>
      <c r="G88" s="134" t="str">
        <f ca="1">IFERROR(__xludf.DUMMYFUNCTION("""COMPUTED_VALUE"""),"")</f>
        <v/>
      </c>
      <c r="H88" s="134" t="str">
        <f ca="1">IFERROR(__xludf.DUMMYFUNCTION("""COMPUTED_VALUE"""),"")</f>
        <v/>
      </c>
      <c r="I88" s="134" t="str">
        <f ca="1">IFERROR(__xludf.DUMMYFUNCTION("""COMPUTED_VALUE"""),"")</f>
        <v/>
      </c>
      <c r="J88" s="134" t="str">
        <f ca="1">IFERROR(__xludf.DUMMYFUNCTION("""COMPUTED_VALUE"""),"")</f>
        <v/>
      </c>
      <c r="N88" s="31"/>
    </row>
    <row r="89" spans="1:14" customFormat="1">
      <c r="A89" s="134" t="str">
        <f ca="1">IFERROR(__xludf.DUMMYFUNCTION("""COMPUTED_VALUE"""),"")</f>
        <v/>
      </c>
      <c r="B89" s="134" t="str">
        <f ca="1">IFERROR(__xludf.DUMMYFUNCTION("""COMPUTED_VALUE"""),"")</f>
        <v/>
      </c>
      <c r="C89" s="134" t="str">
        <f ca="1">IFERROR(__xludf.DUMMYFUNCTION("""COMPUTED_VALUE"""),"")</f>
        <v/>
      </c>
      <c r="D89" s="134" t="str">
        <f ca="1">IFERROR(__xludf.DUMMYFUNCTION("""COMPUTED_VALUE"""),"")</f>
        <v/>
      </c>
      <c r="E89" s="134" t="str">
        <f ca="1">IFERROR(__xludf.DUMMYFUNCTION("""COMPUTED_VALUE"""),"")</f>
        <v/>
      </c>
      <c r="F89" s="134" t="str">
        <f ca="1">IFERROR(__xludf.DUMMYFUNCTION("""COMPUTED_VALUE"""),"")</f>
        <v/>
      </c>
      <c r="G89" s="134" t="str">
        <f ca="1">IFERROR(__xludf.DUMMYFUNCTION("""COMPUTED_VALUE"""),"")</f>
        <v/>
      </c>
      <c r="H89" s="134" t="str">
        <f ca="1">IFERROR(__xludf.DUMMYFUNCTION("""COMPUTED_VALUE"""),"")</f>
        <v/>
      </c>
      <c r="I89" s="134" t="str">
        <f ca="1">IFERROR(__xludf.DUMMYFUNCTION("""COMPUTED_VALUE"""),"")</f>
        <v/>
      </c>
      <c r="J89" s="134" t="str">
        <f ca="1">IFERROR(__xludf.DUMMYFUNCTION("""COMPUTED_VALUE"""),"")</f>
        <v/>
      </c>
      <c r="N89" s="31"/>
    </row>
    <row r="90" spans="1:14" customFormat="1">
      <c r="A90" s="134" t="str">
        <f ca="1">IFERROR(__xludf.DUMMYFUNCTION("""COMPUTED_VALUE"""),"")</f>
        <v/>
      </c>
      <c r="B90" s="134" t="str">
        <f ca="1">IFERROR(__xludf.DUMMYFUNCTION("""COMPUTED_VALUE"""),"")</f>
        <v/>
      </c>
      <c r="C90" s="134" t="str">
        <f ca="1">IFERROR(__xludf.DUMMYFUNCTION("""COMPUTED_VALUE"""),"")</f>
        <v/>
      </c>
      <c r="D90" s="134" t="str">
        <f ca="1">IFERROR(__xludf.DUMMYFUNCTION("""COMPUTED_VALUE"""),"")</f>
        <v/>
      </c>
      <c r="E90" s="134" t="str">
        <f ca="1">IFERROR(__xludf.DUMMYFUNCTION("""COMPUTED_VALUE"""),"")</f>
        <v/>
      </c>
      <c r="F90" s="134" t="str">
        <f ca="1">IFERROR(__xludf.DUMMYFUNCTION("""COMPUTED_VALUE"""),"")</f>
        <v/>
      </c>
      <c r="G90" s="134" t="str">
        <f ca="1">IFERROR(__xludf.DUMMYFUNCTION("""COMPUTED_VALUE"""),"")</f>
        <v/>
      </c>
      <c r="H90" s="134" t="str">
        <f ca="1">IFERROR(__xludf.DUMMYFUNCTION("""COMPUTED_VALUE"""),"")</f>
        <v/>
      </c>
      <c r="I90" s="134" t="str">
        <f ca="1">IFERROR(__xludf.DUMMYFUNCTION("""COMPUTED_VALUE"""),"")</f>
        <v/>
      </c>
      <c r="J90" s="134" t="str">
        <f ca="1">IFERROR(__xludf.DUMMYFUNCTION("""COMPUTED_VALUE"""),"")</f>
        <v/>
      </c>
      <c r="N90" s="31"/>
    </row>
    <row r="91" spans="1:14" customFormat="1">
      <c r="A91" s="134" t="str">
        <f ca="1">IFERROR(__xludf.DUMMYFUNCTION("""COMPUTED_VALUE"""),"")</f>
        <v/>
      </c>
      <c r="B91" s="134" t="str">
        <f ca="1">IFERROR(__xludf.DUMMYFUNCTION("""COMPUTED_VALUE"""),"")</f>
        <v/>
      </c>
      <c r="C91" s="134" t="str">
        <f ca="1">IFERROR(__xludf.DUMMYFUNCTION("""COMPUTED_VALUE"""),"")</f>
        <v/>
      </c>
      <c r="D91" s="134" t="str">
        <f ca="1">IFERROR(__xludf.DUMMYFUNCTION("""COMPUTED_VALUE"""),"")</f>
        <v/>
      </c>
      <c r="E91" s="134" t="str">
        <f ca="1">IFERROR(__xludf.DUMMYFUNCTION("""COMPUTED_VALUE"""),"")</f>
        <v/>
      </c>
      <c r="F91" s="134" t="str">
        <f ca="1">IFERROR(__xludf.DUMMYFUNCTION("""COMPUTED_VALUE"""),"")</f>
        <v/>
      </c>
      <c r="G91" s="134" t="str">
        <f ca="1">IFERROR(__xludf.DUMMYFUNCTION("""COMPUTED_VALUE"""),"")</f>
        <v/>
      </c>
      <c r="H91" s="134" t="str">
        <f ca="1">IFERROR(__xludf.DUMMYFUNCTION("""COMPUTED_VALUE"""),"")</f>
        <v/>
      </c>
      <c r="I91" s="134" t="str">
        <f ca="1">IFERROR(__xludf.DUMMYFUNCTION("""COMPUTED_VALUE"""),"")</f>
        <v/>
      </c>
      <c r="J91" s="134" t="str">
        <f ca="1">IFERROR(__xludf.DUMMYFUNCTION("""COMPUTED_VALUE"""),"")</f>
        <v/>
      </c>
      <c r="N91" s="31"/>
    </row>
    <row r="92" spans="1:14" customFormat="1">
      <c r="A92" s="134" t="str">
        <f ca="1">IFERROR(__xludf.DUMMYFUNCTION("""COMPUTED_VALUE"""),"")</f>
        <v/>
      </c>
      <c r="B92" s="134" t="str">
        <f ca="1">IFERROR(__xludf.DUMMYFUNCTION("""COMPUTED_VALUE"""),"")</f>
        <v/>
      </c>
      <c r="C92" s="134" t="str">
        <f ca="1">IFERROR(__xludf.DUMMYFUNCTION("""COMPUTED_VALUE"""),"")</f>
        <v/>
      </c>
      <c r="D92" s="134" t="str">
        <f ca="1">IFERROR(__xludf.DUMMYFUNCTION("""COMPUTED_VALUE"""),"")</f>
        <v/>
      </c>
      <c r="E92" s="134" t="str">
        <f ca="1">IFERROR(__xludf.DUMMYFUNCTION("""COMPUTED_VALUE"""),"")</f>
        <v/>
      </c>
      <c r="F92" s="134" t="str">
        <f ca="1">IFERROR(__xludf.DUMMYFUNCTION("""COMPUTED_VALUE"""),"")</f>
        <v/>
      </c>
      <c r="G92" s="134" t="str">
        <f ca="1">IFERROR(__xludf.DUMMYFUNCTION("""COMPUTED_VALUE"""),"")</f>
        <v/>
      </c>
      <c r="H92" s="134" t="str">
        <f ca="1">IFERROR(__xludf.DUMMYFUNCTION("""COMPUTED_VALUE"""),"")</f>
        <v/>
      </c>
      <c r="I92" s="134" t="str">
        <f ca="1">IFERROR(__xludf.DUMMYFUNCTION("""COMPUTED_VALUE"""),"")</f>
        <v/>
      </c>
      <c r="J92" s="134" t="str">
        <f ca="1">IFERROR(__xludf.DUMMYFUNCTION("""COMPUTED_VALUE"""),"")</f>
        <v/>
      </c>
      <c r="N92" s="31"/>
    </row>
    <row r="93" spans="1:14" customFormat="1">
      <c r="A93" s="134" t="str">
        <f ca="1">IFERROR(__xludf.DUMMYFUNCTION("""COMPUTED_VALUE"""),"")</f>
        <v/>
      </c>
      <c r="B93" s="134" t="str">
        <f ca="1">IFERROR(__xludf.DUMMYFUNCTION("""COMPUTED_VALUE"""),"")</f>
        <v/>
      </c>
      <c r="C93" s="134" t="str">
        <f ca="1">IFERROR(__xludf.DUMMYFUNCTION("""COMPUTED_VALUE"""),"")</f>
        <v/>
      </c>
      <c r="D93" s="134" t="str">
        <f ca="1">IFERROR(__xludf.DUMMYFUNCTION("""COMPUTED_VALUE"""),"")</f>
        <v/>
      </c>
      <c r="E93" s="134" t="str">
        <f ca="1">IFERROR(__xludf.DUMMYFUNCTION("""COMPUTED_VALUE"""),"")</f>
        <v/>
      </c>
      <c r="F93" s="134" t="str">
        <f ca="1">IFERROR(__xludf.DUMMYFUNCTION("""COMPUTED_VALUE"""),"")</f>
        <v/>
      </c>
      <c r="G93" s="134" t="str">
        <f ca="1">IFERROR(__xludf.DUMMYFUNCTION("""COMPUTED_VALUE"""),"")</f>
        <v/>
      </c>
      <c r="H93" s="134" t="str">
        <f ca="1">IFERROR(__xludf.DUMMYFUNCTION("""COMPUTED_VALUE"""),"")</f>
        <v/>
      </c>
      <c r="I93" s="134" t="str">
        <f ca="1">IFERROR(__xludf.DUMMYFUNCTION("""COMPUTED_VALUE"""),"")</f>
        <v/>
      </c>
      <c r="J93" s="134" t="str">
        <f ca="1">IFERROR(__xludf.DUMMYFUNCTION("""COMPUTED_VALUE"""),"")</f>
        <v/>
      </c>
      <c r="N93" s="31"/>
    </row>
    <row r="94" spans="1:14" customFormat="1">
      <c r="A94" s="134" t="str">
        <f ca="1">IFERROR(__xludf.DUMMYFUNCTION("""COMPUTED_VALUE"""),"")</f>
        <v/>
      </c>
      <c r="B94" s="134" t="str">
        <f ca="1">IFERROR(__xludf.DUMMYFUNCTION("""COMPUTED_VALUE"""),"")</f>
        <v/>
      </c>
      <c r="C94" s="134" t="str">
        <f ca="1">IFERROR(__xludf.DUMMYFUNCTION("""COMPUTED_VALUE"""),"")</f>
        <v/>
      </c>
      <c r="D94" s="134" t="str">
        <f ca="1">IFERROR(__xludf.DUMMYFUNCTION("""COMPUTED_VALUE"""),"")</f>
        <v/>
      </c>
      <c r="E94" s="134" t="str">
        <f ca="1">IFERROR(__xludf.DUMMYFUNCTION("""COMPUTED_VALUE"""),"")</f>
        <v/>
      </c>
      <c r="F94" s="134" t="str">
        <f ca="1">IFERROR(__xludf.DUMMYFUNCTION("""COMPUTED_VALUE"""),"")</f>
        <v/>
      </c>
      <c r="G94" s="134" t="str">
        <f ca="1">IFERROR(__xludf.DUMMYFUNCTION("""COMPUTED_VALUE"""),"")</f>
        <v/>
      </c>
      <c r="H94" s="134" t="str">
        <f ca="1">IFERROR(__xludf.DUMMYFUNCTION("""COMPUTED_VALUE"""),"")</f>
        <v/>
      </c>
      <c r="I94" s="134" t="str">
        <f ca="1">IFERROR(__xludf.DUMMYFUNCTION("""COMPUTED_VALUE"""),"")</f>
        <v/>
      </c>
      <c r="J94" s="134" t="str">
        <f ca="1">IFERROR(__xludf.DUMMYFUNCTION("""COMPUTED_VALUE"""),"")</f>
        <v/>
      </c>
      <c r="N94" s="31"/>
    </row>
    <row r="95" spans="1:14" customFormat="1">
      <c r="A95" s="134" t="str">
        <f ca="1">IFERROR(__xludf.DUMMYFUNCTION("""COMPUTED_VALUE"""),"")</f>
        <v/>
      </c>
      <c r="B95" s="134" t="str">
        <f ca="1">IFERROR(__xludf.DUMMYFUNCTION("""COMPUTED_VALUE"""),"")</f>
        <v/>
      </c>
      <c r="C95" s="134" t="str">
        <f ca="1">IFERROR(__xludf.DUMMYFUNCTION("""COMPUTED_VALUE"""),"")</f>
        <v/>
      </c>
      <c r="D95" s="134" t="str">
        <f ca="1">IFERROR(__xludf.DUMMYFUNCTION("""COMPUTED_VALUE"""),"")</f>
        <v/>
      </c>
      <c r="E95" s="134" t="str">
        <f ca="1">IFERROR(__xludf.DUMMYFUNCTION("""COMPUTED_VALUE"""),"")</f>
        <v/>
      </c>
      <c r="F95" s="134" t="str">
        <f ca="1">IFERROR(__xludf.DUMMYFUNCTION("""COMPUTED_VALUE"""),"")</f>
        <v/>
      </c>
      <c r="G95" s="134" t="str">
        <f ca="1">IFERROR(__xludf.DUMMYFUNCTION("""COMPUTED_VALUE"""),"")</f>
        <v/>
      </c>
      <c r="H95" s="134" t="str">
        <f ca="1">IFERROR(__xludf.DUMMYFUNCTION("""COMPUTED_VALUE"""),"")</f>
        <v/>
      </c>
      <c r="I95" s="134" t="str">
        <f ca="1">IFERROR(__xludf.DUMMYFUNCTION("""COMPUTED_VALUE"""),"")</f>
        <v/>
      </c>
      <c r="J95" s="134" t="str">
        <f ca="1">IFERROR(__xludf.DUMMYFUNCTION("""COMPUTED_VALUE"""),"")</f>
        <v/>
      </c>
      <c r="N95" s="31"/>
    </row>
    <row r="96" spans="1:14" customFormat="1">
      <c r="A96" s="134" t="str">
        <f ca="1">IFERROR(__xludf.DUMMYFUNCTION("""COMPUTED_VALUE"""),"")</f>
        <v/>
      </c>
      <c r="B96" s="134" t="str">
        <f ca="1">IFERROR(__xludf.DUMMYFUNCTION("""COMPUTED_VALUE"""),"")</f>
        <v/>
      </c>
      <c r="C96" s="134" t="str">
        <f ca="1">IFERROR(__xludf.DUMMYFUNCTION("""COMPUTED_VALUE"""),"")</f>
        <v/>
      </c>
      <c r="D96" s="134" t="str">
        <f ca="1">IFERROR(__xludf.DUMMYFUNCTION("""COMPUTED_VALUE"""),"")</f>
        <v/>
      </c>
      <c r="E96" s="134" t="str">
        <f ca="1">IFERROR(__xludf.DUMMYFUNCTION("""COMPUTED_VALUE"""),"")</f>
        <v/>
      </c>
      <c r="F96" s="134" t="str">
        <f ca="1">IFERROR(__xludf.DUMMYFUNCTION("""COMPUTED_VALUE"""),"")</f>
        <v/>
      </c>
      <c r="G96" s="134" t="str">
        <f ca="1">IFERROR(__xludf.DUMMYFUNCTION("""COMPUTED_VALUE"""),"")</f>
        <v/>
      </c>
      <c r="H96" s="134" t="str">
        <f ca="1">IFERROR(__xludf.DUMMYFUNCTION("""COMPUTED_VALUE"""),"")</f>
        <v/>
      </c>
      <c r="I96" s="134" t="str">
        <f ca="1">IFERROR(__xludf.DUMMYFUNCTION("""COMPUTED_VALUE"""),"")</f>
        <v/>
      </c>
      <c r="J96" s="134" t="str">
        <f ca="1">IFERROR(__xludf.DUMMYFUNCTION("""COMPUTED_VALUE"""),"")</f>
        <v/>
      </c>
      <c r="N96" s="31"/>
    </row>
    <row r="97" spans="1:14" customFormat="1">
      <c r="A97" s="134" t="str">
        <f ca="1">IFERROR(__xludf.DUMMYFUNCTION("""COMPUTED_VALUE"""),"")</f>
        <v/>
      </c>
      <c r="B97" s="134" t="str">
        <f ca="1">IFERROR(__xludf.DUMMYFUNCTION("""COMPUTED_VALUE"""),"")</f>
        <v/>
      </c>
      <c r="C97" s="134" t="str">
        <f ca="1">IFERROR(__xludf.DUMMYFUNCTION("""COMPUTED_VALUE"""),"")</f>
        <v/>
      </c>
      <c r="D97" s="134" t="str">
        <f ca="1">IFERROR(__xludf.DUMMYFUNCTION("""COMPUTED_VALUE"""),"")</f>
        <v/>
      </c>
      <c r="E97" s="134" t="str">
        <f ca="1">IFERROR(__xludf.DUMMYFUNCTION("""COMPUTED_VALUE"""),"")</f>
        <v/>
      </c>
      <c r="F97" s="134" t="str">
        <f ca="1">IFERROR(__xludf.DUMMYFUNCTION("""COMPUTED_VALUE"""),"")</f>
        <v/>
      </c>
      <c r="G97" s="134" t="str">
        <f ca="1">IFERROR(__xludf.DUMMYFUNCTION("""COMPUTED_VALUE"""),"")</f>
        <v/>
      </c>
      <c r="H97" s="134" t="str">
        <f ca="1">IFERROR(__xludf.DUMMYFUNCTION("""COMPUTED_VALUE"""),"")</f>
        <v/>
      </c>
      <c r="I97" s="134" t="str">
        <f ca="1">IFERROR(__xludf.DUMMYFUNCTION("""COMPUTED_VALUE"""),"")</f>
        <v/>
      </c>
      <c r="J97" s="134" t="str">
        <f ca="1">IFERROR(__xludf.DUMMYFUNCTION("""COMPUTED_VALUE"""),"")</f>
        <v/>
      </c>
      <c r="N97" s="31"/>
    </row>
    <row r="98" spans="1:14" customFormat="1">
      <c r="A98" s="134" t="str">
        <f ca="1">IFERROR(__xludf.DUMMYFUNCTION("""COMPUTED_VALUE"""),"")</f>
        <v/>
      </c>
      <c r="B98" s="134" t="str">
        <f ca="1">IFERROR(__xludf.DUMMYFUNCTION("""COMPUTED_VALUE"""),"")</f>
        <v/>
      </c>
      <c r="C98" s="134" t="str">
        <f ca="1">IFERROR(__xludf.DUMMYFUNCTION("""COMPUTED_VALUE"""),"")</f>
        <v/>
      </c>
      <c r="D98" s="134" t="str">
        <f ca="1">IFERROR(__xludf.DUMMYFUNCTION("""COMPUTED_VALUE"""),"")</f>
        <v/>
      </c>
      <c r="E98" s="134" t="str">
        <f ca="1">IFERROR(__xludf.DUMMYFUNCTION("""COMPUTED_VALUE"""),"")</f>
        <v/>
      </c>
      <c r="F98" s="134" t="str">
        <f ca="1">IFERROR(__xludf.DUMMYFUNCTION("""COMPUTED_VALUE"""),"")</f>
        <v/>
      </c>
      <c r="G98" s="134" t="str">
        <f ca="1">IFERROR(__xludf.DUMMYFUNCTION("""COMPUTED_VALUE"""),"")</f>
        <v/>
      </c>
      <c r="H98" s="134" t="str">
        <f ca="1">IFERROR(__xludf.DUMMYFUNCTION("""COMPUTED_VALUE"""),"")</f>
        <v/>
      </c>
      <c r="I98" s="134" t="str">
        <f ca="1">IFERROR(__xludf.DUMMYFUNCTION("""COMPUTED_VALUE"""),"")</f>
        <v/>
      </c>
      <c r="J98" s="134" t="str">
        <f ca="1">IFERROR(__xludf.DUMMYFUNCTION("""COMPUTED_VALUE"""),"")</f>
        <v/>
      </c>
      <c r="N98" s="31"/>
    </row>
    <row r="99" spans="1:14" customFormat="1">
      <c r="A99" s="134" t="str">
        <f ca="1">IFERROR(__xludf.DUMMYFUNCTION("""COMPUTED_VALUE"""),"")</f>
        <v/>
      </c>
      <c r="B99" s="134" t="str">
        <f ca="1">IFERROR(__xludf.DUMMYFUNCTION("""COMPUTED_VALUE"""),"")</f>
        <v/>
      </c>
      <c r="C99" s="134" t="str">
        <f ca="1">IFERROR(__xludf.DUMMYFUNCTION("""COMPUTED_VALUE"""),"")</f>
        <v/>
      </c>
      <c r="D99" s="134" t="str">
        <f ca="1">IFERROR(__xludf.DUMMYFUNCTION("""COMPUTED_VALUE"""),"")</f>
        <v/>
      </c>
      <c r="E99" s="134" t="str">
        <f ca="1">IFERROR(__xludf.DUMMYFUNCTION("""COMPUTED_VALUE"""),"")</f>
        <v/>
      </c>
      <c r="F99" s="134" t="str">
        <f ca="1">IFERROR(__xludf.DUMMYFUNCTION("""COMPUTED_VALUE"""),"")</f>
        <v/>
      </c>
      <c r="G99" s="134" t="str">
        <f ca="1">IFERROR(__xludf.DUMMYFUNCTION("""COMPUTED_VALUE"""),"")</f>
        <v/>
      </c>
      <c r="H99" s="134" t="str">
        <f ca="1">IFERROR(__xludf.DUMMYFUNCTION("""COMPUTED_VALUE"""),"")</f>
        <v/>
      </c>
      <c r="I99" s="134" t="str">
        <f ca="1">IFERROR(__xludf.DUMMYFUNCTION("""COMPUTED_VALUE"""),"")</f>
        <v/>
      </c>
      <c r="J99" s="134" t="str">
        <f ca="1">IFERROR(__xludf.DUMMYFUNCTION("""COMPUTED_VALUE"""),"")</f>
        <v/>
      </c>
      <c r="N99" s="31"/>
    </row>
    <row r="100" spans="1:14" customFormat="1">
      <c r="A100" s="134" t="str">
        <f ca="1">IFERROR(__xludf.DUMMYFUNCTION("""COMPUTED_VALUE"""),"")</f>
        <v/>
      </c>
      <c r="B100" s="134" t="str">
        <f ca="1">IFERROR(__xludf.DUMMYFUNCTION("""COMPUTED_VALUE"""),"")</f>
        <v/>
      </c>
      <c r="C100" s="134" t="str">
        <f ca="1">IFERROR(__xludf.DUMMYFUNCTION("""COMPUTED_VALUE"""),"")</f>
        <v/>
      </c>
      <c r="D100" s="134" t="str">
        <f ca="1">IFERROR(__xludf.DUMMYFUNCTION("""COMPUTED_VALUE"""),"")</f>
        <v/>
      </c>
      <c r="E100" s="134" t="str">
        <f ca="1">IFERROR(__xludf.DUMMYFUNCTION("""COMPUTED_VALUE"""),"")</f>
        <v/>
      </c>
      <c r="F100" s="134" t="str">
        <f ca="1">IFERROR(__xludf.DUMMYFUNCTION("""COMPUTED_VALUE"""),"")</f>
        <v/>
      </c>
      <c r="G100" s="134" t="str">
        <f ca="1">IFERROR(__xludf.DUMMYFUNCTION("""COMPUTED_VALUE"""),"")</f>
        <v/>
      </c>
      <c r="H100" s="134" t="str">
        <f ca="1">IFERROR(__xludf.DUMMYFUNCTION("""COMPUTED_VALUE"""),"")</f>
        <v/>
      </c>
      <c r="I100" s="134" t="str">
        <f ca="1">IFERROR(__xludf.DUMMYFUNCTION("""COMPUTED_VALUE"""),"")</f>
        <v/>
      </c>
      <c r="J100" s="134" t="str">
        <f ca="1">IFERROR(__xludf.DUMMYFUNCTION("""COMPUTED_VALUE"""),"")</f>
        <v/>
      </c>
      <c r="N100" s="31"/>
    </row>
    <row r="101" spans="1:14" customFormat="1">
      <c r="A101" s="134" t="str">
        <f ca="1">IFERROR(__xludf.DUMMYFUNCTION("""COMPUTED_VALUE"""),"")</f>
        <v/>
      </c>
      <c r="B101" s="134" t="str">
        <f ca="1">IFERROR(__xludf.DUMMYFUNCTION("""COMPUTED_VALUE"""),"")</f>
        <v/>
      </c>
      <c r="C101" s="134" t="str">
        <f ca="1">IFERROR(__xludf.DUMMYFUNCTION("""COMPUTED_VALUE"""),"")</f>
        <v/>
      </c>
      <c r="D101" s="134" t="str">
        <f ca="1">IFERROR(__xludf.DUMMYFUNCTION("""COMPUTED_VALUE"""),"")</f>
        <v/>
      </c>
      <c r="E101" s="134" t="str">
        <f ca="1">IFERROR(__xludf.DUMMYFUNCTION("""COMPUTED_VALUE"""),"")</f>
        <v/>
      </c>
      <c r="F101" s="134" t="str">
        <f ca="1">IFERROR(__xludf.DUMMYFUNCTION("""COMPUTED_VALUE"""),"")</f>
        <v/>
      </c>
      <c r="G101" s="134" t="str">
        <f ca="1">IFERROR(__xludf.DUMMYFUNCTION("""COMPUTED_VALUE"""),"")</f>
        <v/>
      </c>
      <c r="H101" s="134" t="str">
        <f ca="1">IFERROR(__xludf.DUMMYFUNCTION("""COMPUTED_VALUE"""),"")</f>
        <v/>
      </c>
      <c r="I101" s="134" t="str">
        <f ca="1">IFERROR(__xludf.DUMMYFUNCTION("""COMPUTED_VALUE"""),"")</f>
        <v/>
      </c>
      <c r="J101" s="134" t="str">
        <f ca="1">IFERROR(__xludf.DUMMYFUNCTION("""COMPUTED_VALUE"""),"")</f>
        <v/>
      </c>
      <c r="N101" s="31"/>
    </row>
    <row r="102" spans="1:14" customFormat="1">
      <c r="A102" s="134" t="str">
        <f ca="1">IFERROR(__xludf.DUMMYFUNCTION("""COMPUTED_VALUE"""),"")</f>
        <v/>
      </c>
      <c r="B102" s="134" t="str">
        <f ca="1">IFERROR(__xludf.DUMMYFUNCTION("""COMPUTED_VALUE"""),"")</f>
        <v/>
      </c>
      <c r="C102" s="134" t="str">
        <f ca="1">IFERROR(__xludf.DUMMYFUNCTION("""COMPUTED_VALUE"""),"")</f>
        <v/>
      </c>
      <c r="D102" s="134" t="str">
        <f ca="1">IFERROR(__xludf.DUMMYFUNCTION("""COMPUTED_VALUE"""),"")</f>
        <v/>
      </c>
      <c r="E102" s="134" t="str">
        <f ca="1">IFERROR(__xludf.DUMMYFUNCTION("""COMPUTED_VALUE"""),"")</f>
        <v/>
      </c>
      <c r="F102" s="134" t="str">
        <f ca="1">IFERROR(__xludf.DUMMYFUNCTION("""COMPUTED_VALUE"""),"")</f>
        <v/>
      </c>
      <c r="G102" s="134" t="str">
        <f ca="1">IFERROR(__xludf.DUMMYFUNCTION("""COMPUTED_VALUE"""),"")</f>
        <v/>
      </c>
      <c r="H102" s="134" t="str">
        <f ca="1">IFERROR(__xludf.DUMMYFUNCTION("""COMPUTED_VALUE"""),"")</f>
        <v/>
      </c>
      <c r="I102" s="134" t="str">
        <f ca="1">IFERROR(__xludf.DUMMYFUNCTION("""COMPUTED_VALUE"""),"")</f>
        <v/>
      </c>
      <c r="J102" s="134" t="str">
        <f ca="1">IFERROR(__xludf.DUMMYFUNCTION("""COMPUTED_VALUE"""),"")</f>
        <v/>
      </c>
      <c r="N102" s="31"/>
    </row>
    <row r="103" spans="1:14" customFormat="1">
      <c r="A103" s="134" t="str">
        <f ca="1">IFERROR(__xludf.DUMMYFUNCTION("""COMPUTED_VALUE"""),"")</f>
        <v/>
      </c>
      <c r="B103" s="134" t="str">
        <f ca="1">IFERROR(__xludf.DUMMYFUNCTION("""COMPUTED_VALUE"""),"")</f>
        <v/>
      </c>
      <c r="C103" s="134" t="str">
        <f ca="1">IFERROR(__xludf.DUMMYFUNCTION("""COMPUTED_VALUE"""),"")</f>
        <v/>
      </c>
      <c r="D103" s="134" t="str">
        <f ca="1">IFERROR(__xludf.DUMMYFUNCTION("""COMPUTED_VALUE"""),"")</f>
        <v/>
      </c>
      <c r="E103" s="134" t="str">
        <f ca="1">IFERROR(__xludf.DUMMYFUNCTION("""COMPUTED_VALUE"""),"")</f>
        <v/>
      </c>
      <c r="F103" s="134" t="str">
        <f ca="1">IFERROR(__xludf.DUMMYFUNCTION("""COMPUTED_VALUE"""),"")</f>
        <v/>
      </c>
      <c r="G103" s="134" t="str">
        <f ca="1">IFERROR(__xludf.DUMMYFUNCTION("""COMPUTED_VALUE"""),"")</f>
        <v/>
      </c>
      <c r="H103" s="134" t="str">
        <f ca="1">IFERROR(__xludf.DUMMYFUNCTION("""COMPUTED_VALUE"""),"")</f>
        <v/>
      </c>
      <c r="I103" s="134" t="str">
        <f ca="1">IFERROR(__xludf.DUMMYFUNCTION("""COMPUTED_VALUE"""),"")</f>
        <v/>
      </c>
      <c r="J103" s="134" t="str">
        <f ca="1">IFERROR(__xludf.DUMMYFUNCTION("""COMPUTED_VALUE"""),"")</f>
        <v/>
      </c>
      <c r="N103" s="31"/>
    </row>
    <row r="104" spans="1:14" customFormat="1">
      <c r="A104" s="134" t="str">
        <f ca="1">IFERROR(__xludf.DUMMYFUNCTION("""COMPUTED_VALUE"""),"")</f>
        <v/>
      </c>
      <c r="B104" s="134" t="str">
        <f ca="1">IFERROR(__xludf.DUMMYFUNCTION("""COMPUTED_VALUE"""),"")</f>
        <v/>
      </c>
      <c r="C104" s="134" t="str">
        <f ca="1">IFERROR(__xludf.DUMMYFUNCTION("""COMPUTED_VALUE"""),"")</f>
        <v/>
      </c>
      <c r="D104" s="134" t="str">
        <f ca="1">IFERROR(__xludf.DUMMYFUNCTION("""COMPUTED_VALUE"""),"")</f>
        <v/>
      </c>
      <c r="E104" s="134" t="str">
        <f ca="1">IFERROR(__xludf.DUMMYFUNCTION("""COMPUTED_VALUE"""),"")</f>
        <v/>
      </c>
      <c r="F104" s="134" t="str">
        <f ca="1">IFERROR(__xludf.DUMMYFUNCTION("""COMPUTED_VALUE"""),"")</f>
        <v/>
      </c>
      <c r="G104" s="134" t="str">
        <f ca="1">IFERROR(__xludf.DUMMYFUNCTION("""COMPUTED_VALUE"""),"")</f>
        <v/>
      </c>
      <c r="H104" s="134" t="str">
        <f ca="1">IFERROR(__xludf.DUMMYFUNCTION("""COMPUTED_VALUE"""),"")</f>
        <v/>
      </c>
      <c r="I104" s="134" t="str">
        <f ca="1">IFERROR(__xludf.DUMMYFUNCTION("""COMPUTED_VALUE"""),"")</f>
        <v/>
      </c>
      <c r="J104" s="134" t="str">
        <f ca="1">IFERROR(__xludf.DUMMYFUNCTION("""COMPUTED_VALUE"""),"")</f>
        <v/>
      </c>
      <c r="N104" s="31"/>
    </row>
    <row r="105" spans="1:14" customFormat="1">
      <c r="A105" s="134" t="str">
        <f ca="1">IFERROR(__xludf.DUMMYFUNCTION("""COMPUTED_VALUE"""),"")</f>
        <v/>
      </c>
      <c r="B105" s="134" t="str">
        <f ca="1">IFERROR(__xludf.DUMMYFUNCTION("""COMPUTED_VALUE"""),"")</f>
        <v/>
      </c>
      <c r="C105" s="134" t="str">
        <f ca="1">IFERROR(__xludf.DUMMYFUNCTION("""COMPUTED_VALUE"""),"")</f>
        <v/>
      </c>
      <c r="D105" s="134" t="str">
        <f ca="1">IFERROR(__xludf.DUMMYFUNCTION("""COMPUTED_VALUE"""),"")</f>
        <v/>
      </c>
      <c r="E105" s="134" t="str">
        <f ca="1">IFERROR(__xludf.DUMMYFUNCTION("""COMPUTED_VALUE"""),"")</f>
        <v/>
      </c>
      <c r="F105" s="134" t="str">
        <f ca="1">IFERROR(__xludf.DUMMYFUNCTION("""COMPUTED_VALUE"""),"")</f>
        <v/>
      </c>
      <c r="G105" s="134" t="str">
        <f ca="1">IFERROR(__xludf.DUMMYFUNCTION("""COMPUTED_VALUE"""),"")</f>
        <v/>
      </c>
      <c r="H105" s="134" t="str">
        <f ca="1">IFERROR(__xludf.DUMMYFUNCTION("""COMPUTED_VALUE"""),"")</f>
        <v/>
      </c>
      <c r="I105" s="134" t="str">
        <f ca="1">IFERROR(__xludf.DUMMYFUNCTION("""COMPUTED_VALUE"""),"")</f>
        <v/>
      </c>
      <c r="J105" s="134" t="str">
        <f ca="1">IFERROR(__xludf.DUMMYFUNCTION("""COMPUTED_VALUE"""),"")</f>
        <v/>
      </c>
      <c r="N105" s="31"/>
    </row>
    <row r="106" spans="1:14" customFormat="1">
      <c r="A106" s="134" t="str">
        <f ca="1">IFERROR(__xludf.DUMMYFUNCTION("""COMPUTED_VALUE"""),"")</f>
        <v/>
      </c>
      <c r="B106" s="134" t="str">
        <f ca="1">IFERROR(__xludf.DUMMYFUNCTION("""COMPUTED_VALUE"""),"")</f>
        <v/>
      </c>
      <c r="C106" s="134" t="str">
        <f ca="1">IFERROR(__xludf.DUMMYFUNCTION("""COMPUTED_VALUE"""),"")</f>
        <v/>
      </c>
      <c r="D106" s="134" t="str">
        <f ca="1">IFERROR(__xludf.DUMMYFUNCTION("""COMPUTED_VALUE"""),"")</f>
        <v/>
      </c>
      <c r="E106" s="134" t="str">
        <f ca="1">IFERROR(__xludf.DUMMYFUNCTION("""COMPUTED_VALUE"""),"")</f>
        <v/>
      </c>
      <c r="F106" s="134" t="str">
        <f ca="1">IFERROR(__xludf.DUMMYFUNCTION("""COMPUTED_VALUE"""),"")</f>
        <v/>
      </c>
      <c r="G106" s="134" t="str">
        <f ca="1">IFERROR(__xludf.DUMMYFUNCTION("""COMPUTED_VALUE"""),"")</f>
        <v/>
      </c>
      <c r="H106" s="134" t="str">
        <f ca="1">IFERROR(__xludf.DUMMYFUNCTION("""COMPUTED_VALUE"""),"")</f>
        <v/>
      </c>
      <c r="I106" s="134" t="str">
        <f ca="1">IFERROR(__xludf.DUMMYFUNCTION("""COMPUTED_VALUE"""),"")</f>
        <v/>
      </c>
      <c r="J106" s="134" t="str">
        <f ca="1">IFERROR(__xludf.DUMMYFUNCTION("""COMPUTED_VALUE"""),"")</f>
        <v/>
      </c>
      <c r="N106" s="31"/>
    </row>
    <row r="107" spans="1:14" customFormat="1">
      <c r="A107" s="134" t="str">
        <f ca="1">IFERROR(__xludf.DUMMYFUNCTION("""COMPUTED_VALUE"""),"")</f>
        <v/>
      </c>
      <c r="B107" s="134" t="str">
        <f ca="1">IFERROR(__xludf.DUMMYFUNCTION("""COMPUTED_VALUE"""),"")</f>
        <v/>
      </c>
      <c r="C107" s="134" t="str">
        <f ca="1">IFERROR(__xludf.DUMMYFUNCTION("""COMPUTED_VALUE"""),"")</f>
        <v/>
      </c>
      <c r="D107" s="134" t="str">
        <f ca="1">IFERROR(__xludf.DUMMYFUNCTION("""COMPUTED_VALUE"""),"")</f>
        <v/>
      </c>
      <c r="E107" s="134" t="str">
        <f ca="1">IFERROR(__xludf.DUMMYFUNCTION("""COMPUTED_VALUE"""),"")</f>
        <v/>
      </c>
      <c r="F107" s="134" t="str">
        <f ca="1">IFERROR(__xludf.DUMMYFUNCTION("""COMPUTED_VALUE"""),"")</f>
        <v/>
      </c>
      <c r="G107" s="134" t="str">
        <f ca="1">IFERROR(__xludf.DUMMYFUNCTION("""COMPUTED_VALUE"""),"")</f>
        <v/>
      </c>
      <c r="H107" s="134" t="str">
        <f ca="1">IFERROR(__xludf.DUMMYFUNCTION("""COMPUTED_VALUE"""),"")</f>
        <v/>
      </c>
      <c r="I107" s="134" t="str">
        <f ca="1">IFERROR(__xludf.DUMMYFUNCTION("""COMPUTED_VALUE"""),"")</f>
        <v/>
      </c>
      <c r="J107" s="134" t="str">
        <f ca="1">IFERROR(__xludf.DUMMYFUNCTION("""COMPUTED_VALUE"""),"")</f>
        <v/>
      </c>
      <c r="N107" s="31"/>
    </row>
    <row r="108" spans="1:14" customFormat="1">
      <c r="A108" s="134" t="str">
        <f ca="1">IFERROR(__xludf.DUMMYFUNCTION("""COMPUTED_VALUE"""),"")</f>
        <v/>
      </c>
      <c r="B108" s="134" t="str">
        <f ca="1">IFERROR(__xludf.DUMMYFUNCTION("""COMPUTED_VALUE"""),"")</f>
        <v/>
      </c>
      <c r="C108" s="134" t="str">
        <f ca="1">IFERROR(__xludf.DUMMYFUNCTION("""COMPUTED_VALUE"""),"")</f>
        <v/>
      </c>
      <c r="D108" s="134" t="str">
        <f ca="1">IFERROR(__xludf.DUMMYFUNCTION("""COMPUTED_VALUE"""),"")</f>
        <v/>
      </c>
      <c r="E108" s="134" t="str">
        <f ca="1">IFERROR(__xludf.DUMMYFUNCTION("""COMPUTED_VALUE"""),"")</f>
        <v/>
      </c>
      <c r="F108" s="134" t="str">
        <f ca="1">IFERROR(__xludf.DUMMYFUNCTION("""COMPUTED_VALUE"""),"")</f>
        <v/>
      </c>
      <c r="G108" s="134" t="str">
        <f ca="1">IFERROR(__xludf.DUMMYFUNCTION("""COMPUTED_VALUE"""),"")</f>
        <v/>
      </c>
      <c r="H108" s="134" t="str">
        <f ca="1">IFERROR(__xludf.DUMMYFUNCTION("""COMPUTED_VALUE"""),"")</f>
        <v/>
      </c>
      <c r="I108" s="134" t="str">
        <f ca="1">IFERROR(__xludf.DUMMYFUNCTION("""COMPUTED_VALUE"""),"")</f>
        <v/>
      </c>
      <c r="J108" s="134" t="str">
        <f ca="1">IFERROR(__xludf.DUMMYFUNCTION("""COMPUTED_VALUE"""),"")</f>
        <v/>
      </c>
      <c r="N108" s="31"/>
    </row>
    <row r="109" spans="1:14" customFormat="1">
      <c r="A109" s="134" t="str">
        <f ca="1">IFERROR(__xludf.DUMMYFUNCTION("""COMPUTED_VALUE"""),"")</f>
        <v/>
      </c>
      <c r="B109" s="134" t="str">
        <f ca="1">IFERROR(__xludf.DUMMYFUNCTION("""COMPUTED_VALUE"""),"")</f>
        <v/>
      </c>
      <c r="C109" s="134" t="str">
        <f ca="1">IFERROR(__xludf.DUMMYFUNCTION("""COMPUTED_VALUE"""),"")</f>
        <v/>
      </c>
      <c r="D109" s="134" t="str">
        <f ca="1">IFERROR(__xludf.DUMMYFUNCTION("""COMPUTED_VALUE"""),"")</f>
        <v/>
      </c>
      <c r="E109" s="134" t="str">
        <f ca="1">IFERROR(__xludf.DUMMYFUNCTION("""COMPUTED_VALUE"""),"")</f>
        <v/>
      </c>
      <c r="F109" s="134" t="str">
        <f ca="1">IFERROR(__xludf.DUMMYFUNCTION("""COMPUTED_VALUE"""),"")</f>
        <v/>
      </c>
      <c r="G109" s="134" t="str">
        <f ca="1">IFERROR(__xludf.DUMMYFUNCTION("""COMPUTED_VALUE"""),"")</f>
        <v/>
      </c>
      <c r="H109" s="134" t="str">
        <f ca="1">IFERROR(__xludf.DUMMYFUNCTION("""COMPUTED_VALUE"""),"")</f>
        <v/>
      </c>
      <c r="I109" s="134" t="str">
        <f ca="1">IFERROR(__xludf.DUMMYFUNCTION("""COMPUTED_VALUE"""),"")</f>
        <v/>
      </c>
      <c r="J109" s="134" t="str">
        <f ca="1">IFERROR(__xludf.DUMMYFUNCTION("""COMPUTED_VALUE"""),"")</f>
        <v/>
      </c>
      <c r="N109" s="31"/>
    </row>
    <row r="110" spans="1:14" customFormat="1">
      <c r="A110" s="134" t="str">
        <f ca="1">IFERROR(__xludf.DUMMYFUNCTION("""COMPUTED_VALUE"""),"")</f>
        <v/>
      </c>
      <c r="B110" s="134" t="str">
        <f ca="1">IFERROR(__xludf.DUMMYFUNCTION("""COMPUTED_VALUE"""),"")</f>
        <v/>
      </c>
      <c r="C110" s="134" t="str">
        <f ca="1">IFERROR(__xludf.DUMMYFUNCTION("""COMPUTED_VALUE"""),"")</f>
        <v/>
      </c>
      <c r="D110" s="134" t="str">
        <f ca="1">IFERROR(__xludf.DUMMYFUNCTION("""COMPUTED_VALUE"""),"")</f>
        <v/>
      </c>
      <c r="E110" s="134" t="str">
        <f ca="1">IFERROR(__xludf.DUMMYFUNCTION("""COMPUTED_VALUE"""),"")</f>
        <v/>
      </c>
      <c r="F110" s="134" t="str">
        <f ca="1">IFERROR(__xludf.DUMMYFUNCTION("""COMPUTED_VALUE"""),"")</f>
        <v/>
      </c>
      <c r="G110" s="134" t="str">
        <f ca="1">IFERROR(__xludf.DUMMYFUNCTION("""COMPUTED_VALUE"""),"")</f>
        <v/>
      </c>
      <c r="H110" s="134" t="str">
        <f ca="1">IFERROR(__xludf.DUMMYFUNCTION("""COMPUTED_VALUE"""),"")</f>
        <v/>
      </c>
      <c r="I110" s="134" t="str">
        <f ca="1">IFERROR(__xludf.DUMMYFUNCTION("""COMPUTED_VALUE"""),"")</f>
        <v/>
      </c>
      <c r="J110" s="134" t="str">
        <f ca="1">IFERROR(__xludf.DUMMYFUNCTION("""COMPUTED_VALUE"""),"")</f>
        <v/>
      </c>
      <c r="N110" s="31"/>
    </row>
    <row r="111" spans="1:14" customFormat="1">
      <c r="A111" s="134" t="str">
        <f ca="1">IFERROR(__xludf.DUMMYFUNCTION("""COMPUTED_VALUE"""),"")</f>
        <v/>
      </c>
      <c r="B111" s="134" t="str">
        <f ca="1">IFERROR(__xludf.DUMMYFUNCTION("""COMPUTED_VALUE"""),"")</f>
        <v/>
      </c>
      <c r="C111" s="134" t="str">
        <f ca="1">IFERROR(__xludf.DUMMYFUNCTION("""COMPUTED_VALUE"""),"")</f>
        <v/>
      </c>
      <c r="D111" s="134" t="str">
        <f ca="1">IFERROR(__xludf.DUMMYFUNCTION("""COMPUTED_VALUE"""),"")</f>
        <v/>
      </c>
      <c r="E111" s="134" t="str">
        <f ca="1">IFERROR(__xludf.DUMMYFUNCTION("""COMPUTED_VALUE"""),"")</f>
        <v/>
      </c>
      <c r="F111" s="134" t="str">
        <f ca="1">IFERROR(__xludf.DUMMYFUNCTION("""COMPUTED_VALUE"""),"")</f>
        <v/>
      </c>
      <c r="G111" s="134" t="str">
        <f ca="1">IFERROR(__xludf.DUMMYFUNCTION("""COMPUTED_VALUE"""),"")</f>
        <v/>
      </c>
      <c r="H111" s="134" t="str">
        <f ca="1">IFERROR(__xludf.DUMMYFUNCTION("""COMPUTED_VALUE"""),"")</f>
        <v/>
      </c>
      <c r="I111" s="134" t="str">
        <f ca="1">IFERROR(__xludf.DUMMYFUNCTION("""COMPUTED_VALUE"""),"")</f>
        <v/>
      </c>
      <c r="J111" s="134" t="str">
        <f ca="1">IFERROR(__xludf.DUMMYFUNCTION("""COMPUTED_VALUE"""),"")</f>
        <v/>
      </c>
      <c r="N111" s="31"/>
    </row>
    <row r="112" spans="1:14" customFormat="1">
      <c r="A112" s="134" t="str">
        <f ca="1">IFERROR(__xludf.DUMMYFUNCTION("""COMPUTED_VALUE"""),"")</f>
        <v/>
      </c>
      <c r="B112" s="134" t="str">
        <f ca="1">IFERROR(__xludf.DUMMYFUNCTION("""COMPUTED_VALUE"""),"")</f>
        <v/>
      </c>
      <c r="C112" s="134" t="str">
        <f ca="1">IFERROR(__xludf.DUMMYFUNCTION("""COMPUTED_VALUE"""),"")</f>
        <v/>
      </c>
      <c r="D112" s="134" t="str">
        <f ca="1">IFERROR(__xludf.DUMMYFUNCTION("""COMPUTED_VALUE"""),"")</f>
        <v/>
      </c>
      <c r="E112" s="134" t="str">
        <f ca="1">IFERROR(__xludf.DUMMYFUNCTION("""COMPUTED_VALUE"""),"")</f>
        <v/>
      </c>
      <c r="F112" s="134" t="str">
        <f ca="1">IFERROR(__xludf.DUMMYFUNCTION("""COMPUTED_VALUE"""),"")</f>
        <v/>
      </c>
      <c r="G112" s="134" t="str">
        <f ca="1">IFERROR(__xludf.DUMMYFUNCTION("""COMPUTED_VALUE"""),"")</f>
        <v/>
      </c>
      <c r="H112" s="134" t="str">
        <f ca="1">IFERROR(__xludf.DUMMYFUNCTION("""COMPUTED_VALUE"""),"")</f>
        <v/>
      </c>
      <c r="I112" s="134" t="str">
        <f ca="1">IFERROR(__xludf.DUMMYFUNCTION("""COMPUTED_VALUE"""),"")</f>
        <v/>
      </c>
      <c r="J112" s="134" t="str">
        <f ca="1">IFERROR(__xludf.DUMMYFUNCTION("""COMPUTED_VALUE"""),"")</f>
        <v/>
      </c>
      <c r="N112" s="31"/>
    </row>
    <row r="113" spans="1:14" customFormat="1">
      <c r="A113" s="134" t="str">
        <f ca="1">IFERROR(__xludf.DUMMYFUNCTION("""COMPUTED_VALUE"""),"")</f>
        <v/>
      </c>
      <c r="B113" s="134" t="str">
        <f ca="1">IFERROR(__xludf.DUMMYFUNCTION("""COMPUTED_VALUE"""),"")</f>
        <v/>
      </c>
      <c r="C113" s="134" t="str">
        <f ca="1">IFERROR(__xludf.DUMMYFUNCTION("""COMPUTED_VALUE"""),"")</f>
        <v/>
      </c>
      <c r="D113" s="134" t="str">
        <f ca="1">IFERROR(__xludf.DUMMYFUNCTION("""COMPUTED_VALUE"""),"")</f>
        <v/>
      </c>
      <c r="E113" s="134" t="str">
        <f ca="1">IFERROR(__xludf.DUMMYFUNCTION("""COMPUTED_VALUE"""),"")</f>
        <v/>
      </c>
      <c r="F113" s="134" t="str">
        <f ca="1">IFERROR(__xludf.DUMMYFUNCTION("""COMPUTED_VALUE"""),"")</f>
        <v/>
      </c>
      <c r="G113" s="134" t="str">
        <f ca="1">IFERROR(__xludf.DUMMYFUNCTION("""COMPUTED_VALUE"""),"")</f>
        <v/>
      </c>
      <c r="H113" s="134" t="str">
        <f ca="1">IFERROR(__xludf.DUMMYFUNCTION("""COMPUTED_VALUE"""),"")</f>
        <v/>
      </c>
      <c r="I113" s="134" t="str">
        <f ca="1">IFERROR(__xludf.DUMMYFUNCTION("""COMPUTED_VALUE"""),"")</f>
        <v/>
      </c>
      <c r="J113" s="134" t="str">
        <f ca="1">IFERROR(__xludf.DUMMYFUNCTION("""COMPUTED_VALUE"""),"")</f>
        <v/>
      </c>
      <c r="N113" s="31"/>
    </row>
    <row r="114" spans="1:14" customFormat="1">
      <c r="A114" s="134" t="str">
        <f ca="1">IFERROR(__xludf.DUMMYFUNCTION("""COMPUTED_VALUE"""),"")</f>
        <v/>
      </c>
      <c r="B114" s="134" t="str">
        <f ca="1">IFERROR(__xludf.DUMMYFUNCTION("""COMPUTED_VALUE"""),"")</f>
        <v/>
      </c>
      <c r="C114" s="134" t="str">
        <f ca="1">IFERROR(__xludf.DUMMYFUNCTION("""COMPUTED_VALUE"""),"")</f>
        <v/>
      </c>
      <c r="D114" s="134" t="str">
        <f ca="1">IFERROR(__xludf.DUMMYFUNCTION("""COMPUTED_VALUE"""),"")</f>
        <v/>
      </c>
      <c r="E114" s="134" t="str">
        <f ca="1">IFERROR(__xludf.DUMMYFUNCTION("""COMPUTED_VALUE"""),"")</f>
        <v/>
      </c>
      <c r="F114" s="134" t="str">
        <f ca="1">IFERROR(__xludf.DUMMYFUNCTION("""COMPUTED_VALUE"""),"")</f>
        <v/>
      </c>
      <c r="G114" s="134" t="str">
        <f ca="1">IFERROR(__xludf.DUMMYFUNCTION("""COMPUTED_VALUE"""),"")</f>
        <v/>
      </c>
      <c r="H114" s="134" t="str">
        <f ca="1">IFERROR(__xludf.DUMMYFUNCTION("""COMPUTED_VALUE"""),"")</f>
        <v/>
      </c>
      <c r="I114" s="134" t="str">
        <f ca="1">IFERROR(__xludf.DUMMYFUNCTION("""COMPUTED_VALUE"""),"")</f>
        <v/>
      </c>
      <c r="J114" s="134" t="str">
        <f ca="1">IFERROR(__xludf.DUMMYFUNCTION("""COMPUTED_VALUE"""),"")</f>
        <v/>
      </c>
      <c r="N114" s="31"/>
    </row>
    <row r="115" spans="1:14" customFormat="1">
      <c r="A115" s="134" t="str">
        <f ca="1">IFERROR(__xludf.DUMMYFUNCTION("""COMPUTED_VALUE"""),"")</f>
        <v/>
      </c>
      <c r="B115" s="134" t="str">
        <f ca="1">IFERROR(__xludf.DUMMYFUNCTION("""COMPUTED_VALUE"""),"")</f>
        <v/>
      </c>
      <c r="C115" s="134" t="str">
        <f ca="1">IFERROR(__xludf.DUMMYFUNCTION("""COMPUTED_VALUE"""),"")</f>
        <v/>
      </c>
      <c r="D115" s="134" t="str">
        <f ca="1">IFERROR(__xludf.DUMMYFUNCTION("""COMPUTED_VALUE"""),"")</f>
        <v/>
      </c>
      <c r="E115" s="134" t="str">
        <f ca="1">IFERROR(__xludf.DUMMYFUNCTION("""COMPUTED_VALUE"""),"")</f>
        <v/>
      </c>
      <c r="F115" s="134" t="str">
        <f ca="1">IFERROR(__xludf.DUMMYFUNCTION("""COMPUTED_VALUE"""),"")</f>
        <v/>
      </c>
      <c r="G115" s="134" t="str">
        <f ca="1">IFERROR(__xludf.DUMMYFUNCTION("""COMPUTED_VALUE"""),"")</f>
        <v/>
      </c>
      <c r="H115" s="134" t="str">
        <f ca="1">IFERROR(__xludf.DUMMYFUNCTION("""COMPUTED_VALUE"""),"")</f>
        <v/>
      </c>
      <c r="I115" s="134" t="str">
        <f ca="1">IFERROR(__xludf.DUMMYFUNCTION("""COMPUTED_VALUE"""),"")</f>
        <v/>
      </c>
      <c r="J115" s="134" t="str">
        <f ca="1">IFERROR(__xludf.DUMMYFUNCTION("""COMPUTED_VALUE"""),"")</f>
        <v/>
      </c>
      <c r="N115" s="31"/>
    </row>
    <row r="116" spans="1:14" customFormat="1">
      <c r="A116" s="134" t="str">
        <f ca="1">IFERROR(__xludf.DUMMYFUNCTION("""COMPUTED_VALUE"""),"")</f>
        <v/>
      </c>
      <c r="B116" s="134" t="str">
        <f ca="1">IFERROR(__xludf.DUMMYFUNCTION("""COMPUTED_VALUE"""),"")</f>
        <v/>
      </c>
      <c r="C116" s="134" t="str">
        <f ca="1">IFERROR(__xludf.DUMMYFUNCTION("""COMPUTED_VALUE"""),"")</f>
        <v/>
      </c>
      <c r="D116" s="134" t="str">
        <f ca="1">IFERROR(__xludf.DUMMYFUNCTION("""COMPUTED_VALUE"""),"")</f>
        <v/>
      </c>
      <c r="E116" s="134" t="str">
        <f ca="1">IFERROR(__xludf.DUMMYFUNCTION("""COMPUTED_VALUE"""),"")</f>
        <v/>
      </c>
      <c r="F116" s="134" t="str">
        <f ca="1">IFERROR(__xludf.DUMMYFUNCTION("""COMPUTED_VALUE"""),"")</f>
        <v/>
      </c>
      <c r="G116" s="134" t="str">
        <f ca="1">IFERROR(__xludf.DUMMYFUNCTION("""COMPUTED_VALUE"""),"")</f>
        <v/>
      </c>
      <c r="H116" s="134" t="str">
        <f ca="1">IFERROR(__xludf.DUMMYFUNCTION("""COMPUTED_VALUE"""),"")</f>
        <v/>
      </c>
      <c r="I116" s="134" t="str">
        <f ca="1">IFERROR(__xludf.DUMMYFUNCTION("""COMPUTED_VALUE"""),"")</f>
        <v/>
      </c>
      <c r="J116" s="134" t="str">
        <f ca="1">IFERROR(__xludf.DUMMYFUNCTION("""COMPUTED_VALUE"""),"")</f>
        <v/>
      </c>
      <c r="N116" s="31"/>
    </row>
    <row r="117" spans="1:14" customFormat="1">
      <c r="A117" s="134" t="str">
        <f ca="1">IFERROR(__xludf.DUMMYFUNCTION("""COMPUTED_VALUE"""),"")</f>
        <v/>
      </c>
      <c r="B117" s="134" t="str">
        <f ca="1">IFERROR(__xludf.DUMMYFUNCTION("""COMPUTED_VALUE"""),"")</f>
        <v/>
      </c>
      <c r="C117" s="134" t="str">
        <f ca="1">IFERROR(__xludf.DUMMYFUNCTION("""COMPUTED_VALUE"""),"")</f>
        <v/>
      </c>
      <c r="D117" s="134" t="str">
        <f ca="1">IFERROR(__xludf.DUMMYFUNCTION("""COMPUTED_VALUE"""),"")</f>
        <v/>
      </c>
      <c r="E117" s="134" t="str">
        <f ca="1">IFERROR(__xludf.DUMMYFUNCTION("""COMPUTED_VALUE"""),"")</f>
        <v/>
      </c>
      <c r="F117" s="134" t="str">
        <f ca="1">IFERROR(__xludf.DUMMYFUNCTION("""COMPUTED_VALUE"""),"")</f>
        <v/>
      </c>
      <c r="G117" s="134" t="str">
        <f ca="1">IFERROR(__xludf.DUMMYFUNCTION("""COMPUTED_VALUE"""),"")</f>
        <v/>
      </c>
      <c r="H117" s="134" t="str">
        <f ca="1">IFERROR(__xludf.DUMMYFUNCTION("""COMPUTED_VALUE"""),"")</f>
        <v/>
      </c>
      <c r="I117" s="134" t="str">
        <f ca="1">IFERROR(__xludf.DUMMYFUNCTION("""COMPUTED_VALUE"""),"")</f>
        <v/>
      </c>
      <c r="J117" s="134" t="str">
        <f ca="1">IFERROR(__xludf.DUMMYFUNCTION("""COMPUTED_VALUE"""),"")</f>
        <v/>
      </c>
      <c r="N117" s="31"/>
    </row>
    <row r="118" spans="1:14" customFormat="1">
      <c r="A118" s="134" t="str">
        <f ca="1">IFERROR(__xludf.DUMMYFUNCTION("""COMPUTED_VALUE"""),"")</f>
        <v/>
      </c>
      <c r="B118" s="134" t="str">
        <f ca="1">IFERROR(__xludf.DUMMYFUNCTION("""COMPUTED_VALUE"""),"")</f>
        <v/>
      </c>
      <c r="C118" s="134" t="str">
        <f ca="1">IFERROR(__xludf.DUMMYFUNCTION("""COMPUTED_VALUE"""),"")</f>
        <v/>
      </c>
      <c r="D118" s="134" t="str">
        <f ca="1">IFERROR(__xludf.DUMMYFUNCTION("""COMPUTED_VALUE"""),"")</f>
        <v/>
      </c>
      <c r="E118" s="134" t="str">
        <f ca="1">IFERROR(__xludf.DUMMYFUNCTION("""COMPUTED_VALUE"""),"")</f>
        <v/>
      </c>
      <c r="F118" s="134" t="str">
        <f ca="1">IFERROR(__xludf.DUMMYFUNCTION("""COMPUTED_VALUE"""),"")</f>
        <v/>
      </c>
      <c r="G118" s="134" t="str">
        <f ca="1">IFERROR(__xludf.DUMMYFUNCTION("""COMPUTED_VALUE"""),"")</f>
        <v/>
      </c>
      <c r="H118" s="134" t="str">
        <f ca="1">IFERROR(__xludf.DUMMYFUNCTION("""COMPUTED_VALUE"""),"")</f>
        <v/>
      </c>
      <c r="I118" s="134" t="str">
        <f ca="1">IFERROR(__xludf.DUMMYFUNCTION("""COMPUTED_VALUE"""),"")</f>
        <v/>
      </c>
      <c r="J118" s="134" t="str">
        <f ca="1">IFERROR(__xludf.DUMMYFUNCTION("""COMPUTED_VALUE"""),"")</f>
        <v/>
      </c>
      <c r="N118" s="31"/>
    </row>
    <row r="119" spans="1:14" customFormat="1">
      <c r="A119" s="134" t="str">
        <f ca="1">IFERROR(__xludf.DUMMYFUNCTION("""COMPUTED_VALUE"""),"")</f>
        <v/>
      </c>
      <c r="B119" s="134" t="str">
        <f ca="1">IFERROR(__xludf.DUMMYFUNCTION("""COMPUTED_VALUE"""),"")</f>
        <v/>
      </c>
      <c r="C119" s="134" t="str">
        <f ca="1">IFERROR(__xludf.DUMMYFUNCTION("""COMPUTED_VALUE"""),"")</f>
        <v/>
      </c>
      <c r="D119" s="134" t="str">
        <f ca="1">IFERROR(__xludf.DUMMYFUNCTION("""COMPUTED_VALUE"""),"")</f>
        <v/>
      </c>
      <c r="E119" s="134" t="str">
        <f ca="1">IFERROR(__xludf.DUMMYFUNCTION("""COMPUTED_VALUE"""),"")</f>
        <v/>
      </c>
      <c r="F119" s="134" t="str">
        <f ca="1">IFERROR(__xludf.DUMMYFUNCTION("""COMPUTED_VALUE"""),"")</f>
        <v/>
      </c>
      <c r="G119" s="134" t="str">
        <f ca="1">IFERROR(__xludf.DUMMYFUNCTION("""COMPUTED_VALUE"""),"")</f>
        <v/>
      </c>
      <c r="H119" s="134" t="str">
        <f ca="1">IFERROR(__xludf.DUMMYFUNCTION("""COMPUTED_VALUE"""),"")</f>
        <v/>
      </c>
      <c r="I119" s="134" t="str">
        <f ca="1">IFERROR(__xludf.DUMMYFUNCTION("""COMPUTED_VALUE"""),"")</f>
        <v/>
      </c>
      <c r="J119" s="134" t="str">
        <f ca="1">IFERROR(__xludf.DUMMYFUNCTION("""COMPUTED_VALUE"""),"")</f>
        <v/>
      </c>
      <c r="N119" s="31"/>
    </row>
    <row r="120" spans="1:14" customFormat="1">
      <c r="A120" s="134" t="str">
        <f ca="1">IFERROR(__xludf.DUMMYFUNCTION("""COMPUTED_VALUE"""),"")</f>
        <v/>
      </c>
      <c r="B120" s="134" t="str">
        <f ca="1">IFERROR(__xludf.DUMMYFUNCTION("""COMPUTED_VALUE"""),"")</f>
        <v/>
      </c>
      <c r="C120" s="134" t="str">
        <f ca="1">IFERROR(__xludf.DUMMYFUNCTION("""COMPUTED_VALUE"""),"")</f>
        <v/>
      </c>
      <c r="D120" s="134" t="str">
        <f ca="1">IFERROR(__xludf.DUMMYFUNCTION("""COMPUTED_VALUE"""),"")</f>
        <v/>
      </c>
      <c r="E120" s="134" t="str">
        <f ca="1">IFERROR(__xludf.DUMMYFUNCTION("""COMPUTED_VALUE"""),"")</f>
        <v/>
      </c>
      <c r="F120" s="134" t="str">
        <f ca="1">IFERROR(__xludf.DUMMYFUNCTION("""COMPUTED_VALUE"""),"")</f>
        <v/>
      </c>
      <c r="G120" s="134" t="str">
        <f ca="1">IFERROR(__xludf.DUMMYFUNCTION("""COMPUTED_VALUE"""),"")</f>
        <v/>
      </c>
      <c r="H120" s="134" t="str">
        <f ca="1">IFERROR(__xludf.DUMMYFUNCTION("""COMPUTED_VALUE"""),"")</f>
        <v/>
      </c>
      <c r="I120" s="134" t="str">
        <f ca="1">IFERROR(__xludf.DUMMYFUNCTION("""COMPUTED_VALUE"""),"")</f>
        <v/>
      </c>
      <c r="J120" s="134" t="str">
        <f ca="1">IFERROR(__xludf.DUMMYFUNCTION("""COMPUTED_VALUE"""),"")</f>
        <v/>
      </c>
      <c r="N120" s="31"/>
    </row>
    <row r="121" spans="1:14" customFormat="1">
      <c r="A121" s="134" t="str">
        <f ca="1">IFERROR(__xludf.DUMMYFUNCTION("""COMPUTED_VALUE"""),"")</f>
        <v/>
      </c>
      <c r="B121" s="134" t="str">
        <f ca="1">IFERROR(__xludf.DUMMYFUNCTION("""COMPUTED_VALUE"""),"")</f>
        <v/>
      </c>
      <c r="C121" s="134" t="str">
        <f ca="1">IFERROR(__xludf.DUMMYFUNCTION("""COMPUTED_VALUE"""),"")</f>
        <v/>
      </c>
      <c r="D121" s="134" t="str">
        <f ca="1">IFERROR(__xludf.DUMMYFUNCTION("""COMPUTED_VALUE"""),"")</f>
        <v/>
      </c>
      <c r="E121" s="134" t="str">
        <f ca="1">IFERROR(__xludf.DUMMYFUNCTION("""COMPUTED_VALUE"""),"")</f>
        <v/>
      </c>
      <c r="F121" s="134" t="str">
        <f ca="1">IFERROR(__xludf.DUMMYFUNCTION("""COMPUTED_VALUE"""),"")</f>
        <v/>
      </c>
      <c r="G121" s="134" t="str">
        <f ca="1">IFERROR(__xludf.DUMMYFUNCTION("""COMPUTED_VALUE"""),"")</f>
        <v/>
      </c>
      <c r="H121" s="134" t="str">
        <f ca="1">IFERROR(__xludf.DUMMYFUNCTION("""COMPUTED_VALUE"""),"")</f>
        <v/>
      </c>
      <c r="I121" s="134" t="str">
        <f ca="1">IFERROR(__xludf.DUMMYFUNCTION("""COMPUTED_VALUE"""),"")</f>
        <v/>
      </c>
      <c r="J121" s="134" t="str">
        <f ca="1">IFERROR(__xludf.DUMMYFUNCTION("""COMPUTED_VALUE"""),"")</f>
        <v/>
      </c>
      <c r="N121" s="31"/>
    </row>
    <row r="122" spans="1:14" customFormat="1">
      <c r="A122" s="134" t="str">
        <f ca="1">IFERROR(__xludf.DUMMYFUNCTION("""COMPUTED_VALUE"""),"")</f>
        <v/>
      </c>
      <c r="B122" s="134" t="str">
        <f ca="1">IFERROR(__xludf.DUMMYFUNCTION("""COMPUTED_VALUE"""),"")</f>
        <v/>
      </c>
      <c r="C122" s="134" t="str">
        <f ca="1">IFERROR(__xludf.DUMMYFUNCTION("""COMPUTED_VALUE"""),"")</f>
        <v/>
      </c>
      <c r="D122" s="134" t="str">
        <f ca="1">IFERROR(__xludf.DUMMYFUNCTION("""COMPUTED_VALUE"""),"")</f>
        <v/>
      </c>
      <c r="E122" s="134" t="str">
        <f ca="1">IFERROR(__xludf.DUMMYFUNCTION("""COMPUTED_VALUE"""),"")</f>
        <v/>
      </c>
      <c r="F122" s="134" t="str">
        <f ca="1">IFERROR(__xludf.DUMMYFUNCTION("""COMPUTED_VALUE"""),"")</f>
        <v/>
      </c>
      <c r="G122" s="134" t="str">
        <f ca="1">IFERROR(__xludf.DUMMYFUNCTION("""COMPUTED_VALUE"""),"")</f>
        <v/>
      </c>
      <c r="H122" s="134" t="str">
        <f ca="1">IFERROR(__xludf.DUMMYFUNCTION("""COMPUTED_VALUE"""),"")</f>
        <v/>
      </c>
      <c r="I122" s="134" t="str">
        <f ca="1">IFERROR(__xludf.DUMMYFUNCTION("""COMPUTED_VALUE"""),"")</f>
        <v/>
      </c>
      <c r="J122" s="134" t="str">
        <f ca="1">IFERROR(__xludf.DUMMYFUNCTION("""COMPUTED_VALUE"""),"")</f>
        <v/>
      </c>
      <c r="N122" s="31"/>
    </row>
    <row r="123" spans="1:14" customFormat="1">
      <c r="A123" s="134" t="str">
        <f ca="1">IFERROR(__xludf.DUMMYFUNCTION("""COMPUTED_VALUE"""),"")</f>
        <v/>
      </c>
      <c r="B123" s="134" t="str">
        <f ca="1">IFERROR(__xludf.DUMMYFUNCTION("""COMPUTED_VALUE"""),"")</f>
        <v/>
      </c>
      <c r="C123" s="134" t="str">
        <f ca="1">IFERROR(__xludf.DUMMYFUNCTION("""COMPUTED_VALUE"""),"")</f>
        <v/>
      </c>
      <c r="D123" s="134" t="str">
        <f ca="1">IFERROR(__xludf.DUMMYFUNCTION("""COMPUTED_VALUE"""),"")</f>
        <v/>
      </c>
      <c r="E123" s="134" t="str">
        <f ca="1">IFERROR(__xludf.DUMMYFUNCTION("""COMPUTED_VALUE"""),"")</f>
        <v/>
      </c>
      <c r="F123" s="134" t="str">
        <f ca="1">IFERROR(__xludf.DUMMYFUNCTION("""COMPUTED_VALUE"""),"")</f>
        <v/>
      </c>
      <c r="G123" s="134" t="str">
        <f ca="1">IFERROR(__xludf.DUMMYFUNCTION("""COMPUTED_VALUE"""),"")</f>
        <v/>
      </c>
      <c r="H123" s="134" t="str">
        <f ca="1">IFERROR(__xludf.DUMMYFUNCTION("""COMPUTED_VALUE"""),"")</f>
        <v/>
      </c>
      <c r="I123" s="134" t="str">
        <f ca="1">IFERROR(__xludf.DUMMYFUNCTION("""COMPUTED_VALUE"""),"")</f>
        <v/>
      </c>
      <c r="J123" s="134" t="str">
        <f ca="1">IFERROR(__xludf.DUMMYFUNCTION("""COMPUTED_VALUE"""),"")</f>
        <v/>
      </c>
      <c r="N123" s="31"/>
    </row>
    <row r="124" spans="1:14" customFormat="1">
      <c r="A124" s="134" t="str">
        <f ca="1">IFERROR(__xludf.DUMMYFUNCTION("""COMPUTED_VALUE"""),"")</f>
        <v/>
      </c>
      <c r="B124" s="134" t="str">
        <f ca="1">IFERROR(__xludf.DUMMYFUNCTION("""COMPUTED_VALUE"""),"")</f>
        <v/>
      </c>
      <c r="C124" s="134" t="str">
        <f ca="1">IFERROR(__xludf.DUMMYFUNCTION("""COMPUTED_VALUE"""),"")</f>
        <v/>
      </c>
      <c r="D124" s="134" t="str">
        <f ca="1">IFERROR(__xludf.DUMMYFUNCTION("""COMPUTED_VALUE"""),"")</f>
        <v/>
      </c>
      <c r="E124" s="134" t="str">
        <f ca="1">IFERROR(__xludf.DUMMYFUNCTION("""COMPUTED_VALUE"""),"")</f>
        <v/>
      </c>
      <c r="F124" s="134" t="str">
        <f ca="1">IFERROR(__xludf.DUMMYFUNCTION("""COMPUTED_VALUE"""),"")</f>
        <v/>
      </c>
      <c r="G124" s="134" t="str">
        <f ca="1">IFERROR(__xludf.DUMMYFUNCTION("""COMPUTED_VALUE"""),"")</f>
        <v/>
      </c>
      <c r="H124" s="134" t="str">
        <f ca="1">IFERROR(__xludf.DUMMYFUNCTION("""COMPUTED_VALUE"""),"")</f>
        <v/>
      </c>
      <c r="I124" s="134" t="str">
        <f ca="1">IFERROR(__xludf.DUMMYFUNCTION("""COMPUTED_VALUE"""),"")</f>
        <v/>
      </c>
      <c r="J124" s="134" t="str">
        <f ca="1">IFERROR(__xludf.DUMMYFUNCTION("""COMPUTED_VALUE"""),"")</f>
        <v/>
      </c>
      <c r="N124" s="31"/>
    </row>
    <row r="125" spans="1:14" customFormat="1">
      <c r="A125" s="134" t="str">
        <f ca="1">IFERROR(__xludf.DUMMYFUNCTION("""COMPUTED_VALUE"""),"")</f>
        <v/>
      </c>
      <c r="B125" s="134" t="str">
        <f ca="1">IFERROR(__xludf.DUMMYFUNCTION("""COMPUTED_VALUE"""),"")</f>
        <v/>
      </c>
      <c r="C125" s="134" t="str">
        <f ca="1">IFERROR(__xludf.DUMMYFUNCTION("""COMPUTED_VALUE"""),"")</f>
        <v/>
      </c>
      <c r="D125" s="134" t="str">
        <f ca="1">IFERROR(__xludf.DUMMYFUNCTION("""COMPUTED_VALUE"""),"")</f>
        <v/>
      </c>
      <c r="E125" s="134" t="str">
        <f ca="1">IFERROR(__xludf.DUMMYFUNCTION("""COMPUTED_VALUE"""),"")</f>
        <v/>
      </c>
      <c r="F125" s="134" t="str">
        <f ca="1">IFERROR(__xludf.DUMMYFUNCTION("""COMPUTED_VALUE"""),"")</f>
        <v/>
      </c>
      <c r="G125" s="134" t="str">
        <f ca="1">IFERROR(__xludf.DUMMYFUNCTION("""COMPUTED_VALUE"""),"")</f>
        <v/>
      </c>
      <c r="H125" s="134" t="str">
        <f ca="1">IFERROR(__xludf.DUMMYFUNCTION("""COMPUTED_VALUE"""),"")</f>
        <v/>
      </c>
      <c r="I125" s="134" t="str">
        <f ca="1">IFERROR(__xludf.DUMMYFUNCTION("""COMPUTED_VALUE"""),"")</f>
        <v/>
      </c>
      <c r="J125" s="134" t="str">
        <f ca="1">IFERROR(__xludf.DUMMYFUNCTION("""COMPUTED_VALUE"""),"")</f>
        <v/>
      </c>
      <c r="N125" s="31"/>
    </row>
    <row r="126" spans="1:14" customFormat="1">
      <c r="A126" s="134" t="str">
        <f ca="1">IFERROR(__xludf.DUMMYFUNCTION("""COMPUTED_VALUE"""),"")</f>
        <v/>
      </c>
      <c r="B126" s="134" t="str">
        <f ca="1">IFERROR(__xludf.DUMMYFUNCTION("""COMPUTED_VALUE"""),"")</f>
        <v/>
      </c>
      <c r="C126" s="134" t="str">
        <f ca="1">IFERROR(__xludf.DUMMYFUNCTION("""COMPUTED_VALUE"""),"")</f>
        <v/>
      </c>
      <c r="D126" s="134" t="str">
        <f ca="1">IFERROR(__xludf.DUMMYFUNCTION("""COMPUTED_VALUE"""),"")</f>
        <v/>
      </c>
      <c r="E126" s="134" t="str">
        <f ca="1">IFERROR(__xludf.DUMMYFUNCTION("""COMPUTED_VALUE"""),"")</f>
        <v/>
      </c>
      <c r="F126" s="134" t="str">
        <f ca="1">IFERROR(__xludf.DUMMYFUNCTION("""COMPUTED_VALUE"""),"")</f>
        <v/>
      </c>
      <c r="G126" s="134" t="str">
        <f ca="1">IFERROR(__xludf.DUMMYFUNCTION("""COMPUTED_VALUE"""),"")</f>
        <v/>
      </c>
      <c r="H126" s="134" t="str">
        <f ca="1">IFERROR(__xludf.DUMMYFUNCTION("""COMPUTED_VALUE"""),"")</f>
        <v/>
      </c>
      <c r="I126" s="134" t="str">
        <f ca="1">IFERROR(__xludf.DUMMYFUNCTION("""COMPUTED_VALUE"""),"")</f>
        <v/>
      </c>
      <c r="J126" s="134" t="str">
        <f ca="1">IFERROR(__xludf.DUMMYFUNCTION("""COMPUTED_VALUE"""),"")</f>
        <v/>
      </c>
      <c r="N126" s="31"/>
    </row>
    <row r="127" spans="1:14" customFormat="1">
      <c r="A127" s="134" t="str">
        <f ca="1">IFERROR(__xludf.DUMMYFUNCTION("""COMPUTED_VALUE"""),"")</f>
        <v/>
      </c>
      <c r="B127" s="134" t="str">
        <f ca="1">IFERROR(__xludf.DUMMYFUNCTION("""COMPUTED_VALUE"""),"")</f>
        <v/>
      </c>
      <c r="C127" s="134" t="str">
        <f ca="1">IFERROR(__xludf.DUMMYFUNCTION("""COMPUTED_VALUE"""),"")</f>
        <v/>
      </c>
      <c r="D127" s="134" t="str">
        <f ca="1">IFERROR(__xludf.DUMMYFUNCTION("""COMPUTED_VALUE"""),"")</f>
        <v/>
      </c>
      <c r="E127" s="134" t="str">
        <f ca="1">IFERROR(__xludf.DUMMYFUNCTION("""COMPUTED_VALUE"""),"")</f>
        <v/>
      </c>
      <c r="F127" s="134" t="str">
        <f ca="1">IFERROR(__xludf.DUMMYFUNCTION("""COMPUTED_VALUE"""),"")</f>
        <v/>
      </c>
      <c r="G127" s="134" t="str">
        <f ca="1">IFERROR(__xludf.DUMMYFUNCTION("""COMPUTED_VALUE"""),"")</f>
        <v/>
      </c>
      <c r="H127" s="134" t="str">
        <f ca="1">IFERROR(__xludf.DUMMYFUNCTION("""COMPUTED_VALUE"""),"")</f>
        <v/>
      </c>
      <c r="I127" s="134" t="str">
        <f ca="1">IFERROR(__xludf.DUMMYFUNCTION("""COMPUTED_VALUE"""),"")</f>
        <v/>
      </c>
      <c r="J127" s="134" t="str">
        <f ca="1">IFERROR(__xludf.DUMMYFUNCTION("""COMPUTED_VALUE"""),"")</f>
        <v/>
      </c>
      <c r="N127" s="31"/>
    </row>
    <row r="128" spans="1:14" customFormat="1">
      <c r="A128" s="134" t="str">
        <f ca="1">IFERROR(__xludf.DUMMYFUNCTION("""COMPUTED_VALUE"""),"")</f>
        <v/>
      </c>
      <c r="B128" s="134" t="str">
        <f ca="1">IFERROR(__xludf.DUMMYFUNCTION("""COMPUTED_VALUE"""),"")</f>
        <v/>
      </c>
      <c r="C128" s="134" t="str">
        <f ca="1">IFERROR(__xludf.DUMMYFUNCTION("""COMPUTED_VALUE"""),"")</f>
        <v/>
      </c>
      <c r="D128" s="134" t="str">
        <f ca="1">IFERROR(__xludf.DUMMYFUNCTION("""COMPUTED_VALUE"""),"")</f>
        <v/>
      </c>
      <c r="E128" s="134" t="str">
        <f ca="1">IFERROR(__xludf.DUMMYFUNCTION("""COMPUTED_VALUE"""),"")</f>
        <v/>
      </c>
      <c r="F128" s="134" t="str">
        <f ca="1">IFERROR(__xludf.DUMMYFUNCTION("""COMPUTED_VALUE"""),"")</f>
        <v/>
      </c>
      <c r="G128" s="134" t="str">
        <f ca="1">IFERROR(__xludf.DUMMYFUNCTION("""COMPUTED_VALUE"""),"")</f>
        <v/>
      </c>
      <c r="H128" s="134" t="str">
        <f ca="1">IFERROR(__xludf.DUMMYFUNCTION("""COMPUTED_VALUE"""),"")</f>
        <v/>
      </c>
      <c r="I128" s="134" t="str">
        <f ca="1">IFERROR(__xludf.DUMMYFUNCTION("""COMPUTED_VALUE"""),"")</f>
        <v/>
      </c>
      <c r="J128" s="134" t="str">
        <f ca="1">IFERROR(__xludf.DUMMYFUNCTION("""COMPUTED_VALUE"""),"")</f>
        <v/>
      </c>
      <c r="N128" s="31"/>
    </row>
    <row r="129" spans="1:14" customFormat="1">
      <c r="A129" s="134" t="str">
        <f ca="1">IFERROR(__xludf.DUMMYFUNCTION("""COMPUTED_VALUE"""),"")</f>
        <v/>
      </c>
      <c r="B129" s="134" t="str">
        <f ca="1">IFERROR(__xludf.DUMMYFUNCTION("""COMPUTED_VALUE"""),"")</f>
        <v/>
      </c>
      <c r="C129" s="134" t="str">
        <f ca="1">IFERROR(__xludf.DUMMYFUNCTION("""COMPUTED_VALUE"""),"")</f>
        <v/>
      </c>
      <c r="D129" s="134" t="str">
        <f ca="1">IFERROR(__xludf.DUMMYFUNCTION("""COMPUTED_VALUE"""),"")</f>
        <v/>
      </c>
      <c r="E129" s="134" t="str">
        <f ca="1">IFERROR(__xludf.DUMMYFUNCTION("""COMPUTED_VALUE"""),"")</f>
        <v/>
      </c>
      <c r="F129" s="134" t="str">
        <f ca="1">IFERROR(__xludf.DUMMYFUNCTION("""COMPUTED_VALUE"""),"")</f>
        <v/>
      </c>
      <c r="G129" s="134" t="str">
        <f ca="1">IFERROR(__xludf.DUMMYFUNCTION("""COMPUTED_VALUE"""),"")</f>
        <v/>
      </c>
      <c r="H129" s="134" t="str">
        <f ca="1">IFERROR(__xludf.DUMMYFUNCTION("""COMPUTED_VALUE"""),"")</f>
        <v/>
      </c>
      <c r="I129" s="134" t="str">
        <f ca="1">IFERROR(__xludf.DUMMYFUNCTION("""COMPUTED_VALUE"""),"")</f>
        <v/>
      </c>
      <c r="J129" s="134" t="str">
        <f ca="1">IFERROR(__xludf.DUMMYFUNCTION("""COMPUTED_VALUE"""),"")</f>
        <v/>
      </c>
      <c r="N129" s="31"/>
    </row>
    <row r="130" spans="1:14" customFormat="1">
      <c r="A130" s="134" t="str">
        <f ca="1">IFERROR(__xludf.DUMMYFUNCTION("""COMPUTED_VALUE"""),"")</f>
        <v/>
      </c>
      <c r="B130" s="134" t="str">
        <f ca="1">IFERROR(__xludf.DUMMYFUNCTION("""COMPUTED_VALUE"""),"")</f>
        <v/>
      </c>
      <c r="C130" s="134" t="str">
        <f ca="1">IFERROR(__xludf.DUMMYFUNCTION("""COMPUTED_VALUE"""),"")</f>
        <v/>
      </c>
      <c r="D130" s="134" t="str">
        <f ca="1">IFERROR(__xludf.DUMMYFUNCTION("""COMPUTED_VALUE"""),"")</f>
        <v/>
      </c>
      <c r="E130" s="134" t="str">
        <f ca="1">IFERROR(__xludf.DUMMYFUNCTION("""COMPUTED_VALUE"""),"")</f>
        <v/>
      </c>
      <c r="F130" s="134" t="str">
        <f ca="1">IFERROR(__xludf.DUMMYFUNCTION("""COMPUTED_VALUE"""),"")</f>
        <v/>
      </c>
      <c r="G130" s="134" t="str">
        <f ca="1">IFERROR(__xludf.DUMMYFUNCTION("""COMPUTED_VALUE"""),"")</f>
        <v/>
      </c>
      <c r="H130" s="134" t="str">
        <f ca="1">IFERROR(__xludf.DUMMYFUNCTION("""COMPUTED_VALUE"""),"")</f>
        <v/>
      </c>
      <c r="I130" s="134" t="str">
        <f ca="1">IFERROR(__xludf.DUMMYFUNCTION("""COMPUTED_VALUE"""),"")</f>
        <v/>
      </c>
      <c r="J130" s="134" t="str">
        <f ca="1">IFERROR(__xludf.DUMMYFUNCTION("""COMPUTED_VALUE"""),"")</f>
        <v/>
      </c>
      <c r="N130" s="31"/>
    </row>
    <row r="131" spans="1:14" customFormat="1">
      <c r="A131" s="134" t="str">
        <f ca="1">IFERROR(__xludf.DUMMYFUNCTION("""COMPUTED_VALUE"""),"")</f>
        <v/>
      </c>
      <c r="B131" s="134" t="str">
        <f ca="1">IFERROR(__xludf.DUMMYFUNCTION("""COMPUTED_VALUE"""),"")</f>
        <v/>
      </c>
      <c r="C131" s="134" t="str">
        <f ca="1">IFERROR(__xludf.DUMMYFUNCTION("""COMPUTED_VALUE"""),"")</f>
        <v/>
      </c>
      <c r="D131" s="134" t="str">
        <f ca="1">IFERROR(__xludf.DUMMYFUNCTION("""COMPUTED_VALUE"""),"")</f>
        <v/>
      </c>
      <c r="E131" s="134" t="str">
        <f ca="1">IFERROR(__xludf.DUMMYFUNCTION("""COMPUTED_VALUE"""),"")</f>
        <v/>
      </c>
      <c r="F131" s="134" t="str">
        <f ca="1">IFERROR(__xludf.DUMMYFUNCTION("""COMPUTED_VALUE"""),"")</f>
        <v/>
      </c>
      <c r="G131" s="134" t="str">
        <f ca="1">IFERROR(__xludf.DUMMYFUNCTION("""COMPUTED_VALUE"""),"")</f>
        <v/>
      </c>
      <c r="H131" s="134" t="str">
        <f ca="1">IFERROR(__xludf.DUMMYFUNCTION("""COMPUTED_VALUE"""),"")</f>
        <v/>
      </c>
      <c r="I131" s="134" t="str">
        <f ca="1">IFERROR(__xludf.DUMMYFUNCTION("""COMPUTED_VALUE"""),"")</f>
        <v/>
      </c>
      <c r="J131" s="134" t="str">
        <f ca="1">IFERROR(__xludf.DUMMYFUNCTION("""COMPUTED_VALUE"""),"")</f>
        <v/>
      </c>
      <c r="N131" s="31"/>
    </row>
    <row r="132" spans="1:14" customFormat="1">
      <c r="A132" s="134" t="str">
        <f ca="1">IFERROR(__xludf.DUMMYFUNCTION("""COMPUTED_VALUE"""),"")</f>
        <v/>
      </c>
      <c r="B132" s="134" t="str">
        <f ca="1">IFERROR(__xludf.DUMMYFUNCTION("""COMPUTED_VALUE"""),"")</f>
        <v/>
      </c>
      <c r="C132" s="134" t="str">
        <f ca="1">IFERROR(__xludf.DUMMYFUNCTION("""COMPUTED_VALUE"""),"")</f>
        <v/>
      </c>
      <c r="D132" s="134" t="str">
        <f ca="1">IFERROR(__xludf.DUMMYFUNCTION("""COMPUTED_VALUE"""),"")</f>
        <v/>
      </c>
      <c r="E132" s="134" t="str">
        <f ca="1">IFERROR(__xludf.DUMMYFUNCTION("""COMPUTED_VALUE"""),"")</f>
        <v/>
      </c>
      <c r="F132" s="134" t="str">
        <f ca="1">IFERROR(__xludf.DUMMYFUNCTION("""COMPUTED_VALUE"""),"")</f>
        <v/>
      </c>
      <c r="G132" s="134" t="str">
        <f ca="1">IFERROR(__xludf.DUMMYFUNCTION("""COMPUTED_VALUE"""),"")</f>
        <v/>
      </c>
      <c r="H132" s="134" t="str">
        <f ca="1">IFERROR(__xludf.DUMMYFUNCTION("""COMPUTED_VALUE"""),"")</f>
        <v/>
      </c>
      <c r="I132" s="134" t="str">
        <f ca="1">IFERROR(__xludf.DUMMYFUNCTION("""COMPUTED_VALUE"""),"")</f>
        <v/>
      </c>
      <c r="J132" s="134" t="str">
        <f ca="1">IFERROR(__xludf.DUMMYFUNCTION("""COMPUTED_VALUE"""),"")</f>
        <v/>
      </c>
      <c r="N132" s="31"/>
    </row>
    <row r="133" spans="1:14" customFormat="1">
      <c r="A133" s="134" t="str">
        <f ca="1">IFERROR(__xludf.DUMMYFUNCTION("""COMPUTED_VALUE"""),"")</f>
        <v/>
      </c>
      <c r="B133" s="134" t="str">
        <f ca="1">IFERROR(__xludf.DUMMYFUNCTION("""COMPUTED_VALUE"""),"")</f>
        <v/>
      </c>
      <c r="C133" s="134" t="str">
        <f ca="1">IFERROR(__xludf.DUMMYFUNCTION("""COMPUTED_VALUE"""),"")</f>
        <v/>
      </c>
      <c r="D133" s="134" t="str">
        <f ca="1">IFERROR(__xludf.DUMMYFUNCTION("""COMPUTED_VALUE"""),"")</f>
        <v/>
      </c>
      <c r="E133" s="134" t="str">
        <f ca="1">IFERROR(__xludf.DUMMYFUNCTION("""COMPUTED_VALUE"""),"")</f>
        <v/>
      </c>
      <c r="F133" s="134" t="str">
        <f ca="1">IFERROR(__xludf.DUMMYFUNCTION("""COMPUTED_VALUE"""),"")</f>
        <v/>
      </c>
      <c r="G133" s="134" t="str">
        <f ca="1">IFERROR(__xludf.DUMMYFUNCTION("""COMPUTED_VALUE"""),"")</f>
        <v/>
      </c>
      <c r="H133" s="134" t="str">
        <f ca="1">IFERROR(__xludf.DUMMYFUNCTION("""COMPUTED_VALUE"""),"")</f>
        <v/>
      </c>
      <c r="I133" s="134" t="str">
        <f ca="1">IFERROR(__xludf.DUMMYFUNCTION("""COMPUTED_VALUE"""),"")</f>
        <v/>
      </c>
      <c r="J133" s="134" t="str">
        <f ca="1">IFERROR(__xludf.DUMMYFUNCTION("""COMPUTED_VALUE"""),"")</f>
        <v/>
      </c>
      <c r="N133" s="31"/>
    </row>
    <row r="134" spans="1:14" customFormat="1">
      <c r="A134" s="134" t="str">
        <f ca="1">IFERROR(__xludf.DUMMYFUNCTION("""COMPUTED_VALUE"""),"")</f>
        <v/>
      </c>
      <c r="B134" s="134" t="str">
        <f ca="1">IFERROR(__xludf.DUMMYFUNCTION("""COMPUTED_VALUE"""),"")</f>
        <v/>
      </c>
      <c r="C134" s="134" t="str">
        <f ca="1">IFERROR(__xludf.DUMMYFUNCTION("""COMPUTED_VALUE"""),"")</f>
        <v/>
      </c>
      <c r="D134" s="134" t="str">
        <f ca="1">IFERROR(__xludf.DUMMYFUNCTION("""COMPUTED_VALUE"""),"")</f>
        <v/>
      </c>
      <c r="E134" s="134" t="str">
        <f ca="1">IFERROR(__xludf.DUMMYFUNCTION("""COMPUTED_VALUE"""),"")</f>
        <v/>
      </c>
      <c r="F134" s="134" t="str">
        <f ca="1">IFERROR(__xludf.DUMMYFUNCTION("""COMPUTED_VALUE"""),"")</f>
        <v/>
      </c>
      <c r="G134" s="134" t="str">
        <f ca="1">IFERROR(__xludf.DUMMYFUNCTION("""COMPUTED_VALUE"""),"")</f>
        <v/>
      </c>
      <c r="H134" s="134" t="str">
        <f ca="1">IFERROR(__xludf.DUMMYFUNCTION("""COMPUTED_VALUE"""),"")</f>
        <v/>
      </c>
      <c r="I134" s="134" t="str">
        <f ca="1">IFERROR(__xludf.DUMMYFUNCTION("""COMPUTED_VALUE"""),"")</f>
        <v/>
      </c>
      <c r="J134" s="134" t="str">
        <f ca="1">IFERROR(__xludf.DUMMYFUNCTION("""COMPUTED_VALUE"""),"")</f>
        <v/>
      </c>
      <c r="N134" s="31"/>
    </row>
    <row r="135" spans="1:14" customFormat="1">
      <c r="A135" s="134" t="str">
        <f ca="1">IFERROR(__xludf.DUMMYFUNCTION("""COMPUTED_VALUE"""),"")</f>
        <v/>
      </c>
      <c r="B135" s="134" t="str">
        <f ca="1">IFERROR(__xludf.DUMMYFUNCTION("""COMPUTED_VALUE"""),"")</f>
        <v/>
      </c>
      <c r="C135" s="134" t="str">
        <f ca="1">IFERROR(__xludf.DUMMYFUNCTION("""COMPUTED_VALUE"""),"")</f>
        <v/>
      </c>
      <c r="D135" s="134" t="str">
        <f ca="1">IFERROR(__xludf.DUMMYFUNCTION("""COMPUTED_VALUE"""),"")</f>
        <v/>
      </c>
      <c r="E135" s="134" t="str">
        <f ca="1">IFERROR(__xludf.DUMMYFUNCTION("""COMPUTED_VALUE"""),"")</f>
        <v/>
      </c>
      <c r="F135" s="134" t="str">
        <f ca="1">IFERROR(__xludf.DUMMYFUNCTION("""COMPUTED_VALUE"""),"")</f>
        <v/>
      </c>
      <c r="G135" s="134" t="str">
        <f ca="1">IFERROR(__xludf.DUMMYFUNCTION("""COMPUTED_VALUE"""),"")</f>
        <v/>
      </c>
      <c r="H135" s="134" t="str">
        <f ca="1">IFERROR(__xludf.DUMMYFUNCTION("""COMPUTED_VALUE"""),"")</f>
        <v/>
      </c>
      <c r="I135" s="134" t="str">
        <f ca="1">IFERROR(__xludf.DUMMYFUNCTION("""COMPUTED_VALUE"""),"")</f>
        <v/>
      </c>
      <c r="J135" s="134" t="str">
        <f ca="1">IFERROR(__xludf.DUMMYFUNCTION("""COMPUTED_VALUE"""),"")</f>
        <v/>
      </c>
      <c r="N135" s="31"/>
    </row>
    <row r="136" spans="1:14" customFormat="1">
      <c r="A136" s="134" t="str">
        <f ca="1">IFERROR(__xludf.DUMMYFUNCTION("""COMPUTED_VALUE"""),"")</f>
        <v/>
      </c>
      <c r="B136" s="134" t="str">
        <f ca="1">IFERROR(__xludf.DUMMYFUNCTION("""COMPUTED_VALUE"""),"")</f>
        <v/>
      </c>
      <c r="C136" s="134" t="str">
        <f ca="1">IFERROR(__xludf.DUMMYFUNCTION("""COMPUTED_VALUE"""),"")</f>
        <v/>
      </c>
      <c r="D136" s="134" t="str">
        <f ca="1">IFERROR(__xludf.DUMMYFUNCTION("""COMPUTED_VALUE"""),"")</f>
        <v/>
      </c>
      <c r="E136" s="134" t="str">
        <f ca="1">IFERROR(__xludf.DUMMYFUNCTION("""COMPUTED_VALUE"""),"")</f>
        <v/>
      </c>
      <c r="F136" s="134" t="str">
        <f ca="1">IFERROR(__xludf.DUMMYFUNCTION("""COMPUTED_VALUE"""),"")</f>
        <v/>
      </c>
      <c r="G136" s="134" t="str">
        <f ca="1">IFERROR(__xludf.DUMMYFUNCTION("""COMPUTED_VALUE"""),"")</f>
        <v/>
      </c>
      <c r="H136" s="134" t="str">
        <f ca="1">IFERROR(__xludf.DUMMYFUNCTION("""COMPUTED_VALUE"""),"")</f>
        <v/>
      </c>
      <c r="I136" s="134" t="str">
        <f ca="1">IFERROR(__xludf.DUMMYFUNCTION("""COMPUTED_VALUE"""),"")</f>
        <v/>
      </c>
      <c r="J136" s="134" t="str">
        <f ca="1">IFERROR(__xludf.DUMMYFUNCTION("""COMPUTED_VALUE"""),"")</f>
        <v/>
      </c>
      <c r="N136" s="31"/>
    </row>
    <row r="137" spans="1:14" customFormat="1">
      <c r="A137" s="134" t="str">
        <f ca="1">IFERROR(__xludf.DUMMYFUNCTION("""COMPUTED_VALUE"""),"")</f>
        <v/>
      </c>
      <c r="B137" s="134" t="str">
        <f ca="1">IFERROR(__xludf.DUMMYFUNCTION("""COMPUTED_VALUE"""),"")</f>
        <v/>
      </c>
      <c r="C137" s="134" t="str">
        <f ca="1">IFERROR(__xludf.DUMMYFUNCTION("""COMPUTED_VALUE"""),"")</f>
        <v/>
      </c>
      <c r="D137" s="134" t="str">
        <f ca="1">IFERROR(__xludf.DUMMYFUNCTION("""COMPUTED_VALUE"""),"")</f>
        <v/>
      </c>
      <c r="E137" s="134" t="str">
        <f ca="1">IFERROR(__xludf.DUMMYFUNCTION("""COMPUTED_VALUE"""),"")</f>
        <v/>
      </c>
      <c r="F137" s="134" t="str">
        <f ca="1">IFERROR(__xludf.DUMMYFUNCTION("""COMPUTED_VALUE"""),"")</f>
        <v/>
      </c>
      <c r="G137" s="134" t="str">
        <f ca="1">IFERROR(__xludf.DUMMYFUNCTION("""COMPUTED_VALUE"""),"")</f>
        <v/>
      </c>
      <c r="H137" s="134" t="str">
        <f ca="1">IFERROR(__xludf.DUMMYFUNCTION("""COMPUTED_VALUE"""),"")</f>
        <v/>
      </c>
      <c r="I137" s="134" t="str">
        <f ca="1">IFERROR(__xludf.DUMMYFUNCTION("""COMPUTED_VALUE"""),"")</f>
        <v/>
      </c>
      <c r="J137" s="134" t="str">
        <f ca="1">IFERROR(__xludf.DUMMYFUNCTION("""COMPUTED_VALUE"""),"")</f>
        <v/>
      </c>
      <c r="N137" s="31"/>
    </row>
    <row r="138" spans="1:14" customFormat="1">
      <c r="A138" s="134" t="str">
        <f ca="1">IFERROR(__xludf.DUMMYFUNCTION("""COMPUTED_VALUE"""),"")</f>
        <v/>
      </c>
      <c r="B138" s="134" t="str">
        <f ca="1">IFERROR(__xludf.DUMMYFUNCTION("""COMPUTED_VALUE"""),"")</f>
        <v/>
      </c>
      <c r="C138" s="134" t="str">
        <f ca="1">IFERROR(__xludf.DUMMYFUNCTION("""COMPUTED_VALUE"""),"")</f>
        <v/>
      </c>
      <c r="D138" s="134" t="str">
        <f ca="1">IFERROR(__xludf.DUMMYFUNCTION("""COMPUTED_VALUE"""),"")</f>
        <v/>
      </c>
      <c r="E138" s="134" t="str">
        <f ca="1">IFERROR(__xludf.DUMMYFUNCTION("""COMPUTED_VALUE"""),"")</f>
        <v/>
      </c>
      <c r="F138" s="134" t="str">
        <f ca="1">IFERROR(__xludf.DUMMYFUNCTION("""COMPUTED_VALUE"""),"")</f>
        <v/>
      </c>
      <c r="G138" s="134" t="str">
        <f ca="1">IFERROR(__xludf.DUMMYFUNCTION("""COMPUTED_VALUE"""),"")</f>
        <v/>
      </c>
      <c r="H138" s="134" t="str">
        <f ca="1">IFERROR(__xludf.DUMMYFUNCTION("""COMPUTED_VALUE"""),"")</f>
        <v/>
      </c>
      <c r="I138" s="134" t="str">
        <f ca="1">IFERROR(__xludf.DUMMYFUNCTION("""COMPUTED_VALUE"""),"")</f>
        <v/>
      </c>
      <c r="J138" s="134" t="str">
        <f ca="1">IFERROR(__xludf.DUMMYFUNCTION("""COMPUTED_VALUE"""),"")</f>
        <v/>
      </c>
      <c r="N138" s="31"/>
    </row>
    <row r="139" spans="1:14" customFormat="1">
      <c r="A139" s="134" t="str">
        <f ca="1">IFERROR(__xludf.DUMMYFUNCTION("""COMPUTED_VALUE"""),"")</f>
        <v/>
      </c>
      <c r="B139" s="134" t="str">
        <f ca="1">IFERROR(__xludf.DUMMYFUNCTION("""COMPUTED_VALUE"""),"")</f>
        <v/>
      </c>
      <c r="C139" s="134" t="str">
        <f ca="1">IFERROR(__xludf.DUMMYFUNCTION("""COMPUTED_VALUE"""),"")</f>
        <v/>
      </c>
      <c r="D139" s="134" t="str">
        <f ca="1">IFERROR(__xludf.DUMMYFUNCTION("""COMPUTED_VALUE"""),"")</f>
        <v/>
      </c>
      <c r="E139" s="134" t="str">
        <f ca="1">IFERROR(__xludf.DUMMYFUNCTION("""COMPUTED_VALUE"""),"")</f>
        <v/>
      </c>
      <c r="F139" s="134" t="str">
        <f ca="1">IFERROR(__xludf.DUMMYFUNCTION("""COMPUTED_VALUE"""),"")</f>
        <v/>
      </c>
      <c r="G139" s="134" t="str">
        <f ca="1">IFERROR(__xludf.DUMMYFUNCTION("""COMPUTED_VALUE"""),"")</f>
        <v/>
      </c>
      <c r="H139" s="134" t="str">
        <f ca="1">IFERROR(__xludf.DUMMYFUNCTION("""COMPUTED_VALUE"""),"")</f>
        <v/>
      </c>
      <c r="I139" s="134" t="str">
        <f ca="1">IFERROR(__xludf.DUMMYFUNCTION("""COMPUTED_VALUE"""),"")</f>
        <v/>
      </c>
      <c r="J139" s="134" t="str">
        <f ca="1">IFERROR(__xludf.DUMMYFUNCTION("""COMPUTED_VALUE"""),"")</f>
        <v/>
      </c>
      <c r="N139" s="31"/>
    </row>
    <row r="140" spans="1:14" customFormat="1">
      <c r="A140" s="134" t="str">
        <f ca="1">IFERROR(__xludf.DUMMYFUNCTION("""COMPUTED_VALUE"""),"")</f>
        <v/>
      </c>
      <c r="B140" s="134" t="str">
        <f ca="1">IFERROR(__xludf.DUMMYFUNCTION("""COMPUTED_VALUE"""),"")</f>
        <v/>
      </c>
      <c r="C140" s="134" t="str">
        <f ca="1">IFERROR(__xludf.DUMMYFUNCTION("""COMPUTED_VALUE"""),"")</f>
        <v/>
      </c>
      <c r="D140" s="134" t="str">
        <f ca="1">IFERROR(__xludf.DUMMYFUNCTION("""COMPUTED_VALUE"""),"")</f>
        <v/>
      </c>
      <c r="E140" s="134" t="str">
        <f ca="1">IFERROR(__xludf.DUMMYFUNCTION("""COMPUTED_VALUE"""),"")</f>
        <v/>
      </c>
      <c r="F140" s="134" t="str">
        <f ca="1">IFERROR(__xludf.DUMMYFUNCTION("""COMPUTED_VALUE"""),"")</f>
        <v/>
      </c>
      <c r="G140" s="134" t="str">
        <f ca="1">IFERROR(__xludf.DUMMYFUNCTION("""COMPUTED_VALUE"""),"")</f>
        <v/>
      </c>
      <c r="H140" s="134" t="str">
        <f ca="1">IFERROR(__xludf.DUMMYFUNCTION("""COMPUTED_VALUE"""),"")</f>
        <v/>
      </c>
      <c r="I140" s="134" t="str">
        <f ca="1">IFERROR(__xludf.DUMMYFUNCTION("""COMPUTED_VALUE"""),"")</f>
        <v/>
      </c>
      <c r="J140" s="134" t="str">
        <f ca="1">IFERROR(__xludf.DUMMYFUNCTION("""COMPUTED_VALUE"""),"")</f>
        <v/>
      </c>
      <c r="N140" s="31"/>
    </row>
    <row r="141" spans="1:14" customFormat="1">
      <c r="A141" s="134" t="str">
        <f ca="1">IFERROR(__xludf.DUMMYFUNCTION("""COMPUTED_VALUE"""),"")</f>
        <v/>
      </c>
      <c r="B141" s="134" t="str">
        <f ca="1">IFERROR(__xludf.DUMMYFUNCTION("""COMPUTED_VALUE"""),"")</f>
        <v/>
      </c>
      <c r="C141" s="134" t="str">
        <f ca="1">IFERROR(__xludf.DUMMYFUNCTION("""COMPUTED_VALUE"""),"")</f>
        <v/>
      </c>
      <c r="D141" s="134" t="str">
        <f ca="1">IFERROR(__xludf.DUMMYFUNCTION("""COMPUTED_VALUE"""),"")</f>
        <v/>
      </c>
      <c r="E141" s="134" t="str">
        <f ca="1">IFERROR(__xludf.DUMMYFUNCTION("""COMPUTED_VALUE"""),"")</f>
        <v/>
      </c>
      <c r="F141" s="134" t="str">
        <f ca="1">IFERROR(__xludf.DUMMYFUNCTION("""COMPUTED_VALUE"""),"")</f>
        <v/>
      </c>
      <c r="G141" s="134" t="str">
        <f ca="1">IFERROR(__xludf.DUMMYFUNCTION("""COMPUTED_VALUE"""),"")</f>
        <v/>
      </c>
      <c r="H141" s="134" t="str">
        <f ca="1">IFERROR(__xludf.DUMMYFUNCTION("""COMPUTED_VALUE"""),"")</f>
        <v/>
      </c>
      <c r="I141" s="134" t="str">
        <f ca="1">IFERROR(__xludf.DUMMYFUNCTION("""COMPUTED_VALUE"""),"")</f>
        <v/>
      </c>
      <c r="J141" s="134" t="str">
        <f ca="1">IFERROR(__xludf.DUMMYFUNCTION("""COMPUTED_VALUE"""),"")</f>
        <v/>
      </c>
      <c r="N141" s="31"/>
    </row>
    <row r="142" spans="1:14" customFormat="1">
      <c r="A142" s="134" t="str">
        <f ca="1">IFERROR(__xludf.DUMMYFUNCTION("""COMPUTED_VALUE"""),"")</f>
        <v/>
      </c>
      <c r="B142" s="134" t="str">
        <f ca="1">IFERROR(__xludf.DUMMYFUNCTION("""COMPUTED_VALUE"""),"")</f>
        <v/>
      </c>
      <c r="C142" s="134" t="str">
        <f ca="1">IFERROR(__xludf.DUMMYFUNCTION("""COMPUTED_VALUE"""),"")</f>
        <v/>
      </c>
      <c r="D142" s="134" t="str">
        <f ca="1">IFERROR(__xludf.DUMMYFUNCTION("""COMPUTED_VALUE"""),"")</f>
        <v/>
      </c>
      <c r="E142" s="134" t="str">
        <f ca="1">IFERROR(__xludf.DUMMYFUNCTION("""COMPUTED_VALUE"""),"")</f>
        <v/>
      </c>
      <c r="F142" s="134" t="str">
        <f ca="1">IFERROR(__xludf.DUMMYFUNCTION("""COMPUTED_VALUE"""),"")</f>
        <v/>
      </c>
      <c r="G142" s="134" t="str">
        <f ca="1">IFERROR(__xludf.DUMMYFUNCTION("""COMPUTED_VALUE"""),"")</f>
        <v/>
      </c>
      <c r="H142" s="134" t="str">
        <f ca="1">IFERROR(__xludf.DUMMYFUNCTION("""COMPUTED_VALUE"""),"")</f>
        <v/>
      </c>
      <c r="I142" s="134" t="str">
        <f ca="1">IFERROR(__xludf.DUMMYFUNCTION("""COMPUTED_VALUE"""),"")</f>
        <v/>
      </c>
      <c r="J142" s="134" t="str">
        <f ca="1">IFERROR(__xludf.DUMMYFUNCTION("""COMPUTED_VALUE"""),"")</f>
        <v/>
      </c>
      <c r="N142" s="31"/>
    </row>
    <row r="143" spans="1:14" customFormat="1">
      <c r="A143" s="134" t="str">
        <f ca="1">IFERROR(__xludf.DUMMYFUNCTION("""COMPUTED_VALUE"""),"")</f>
        <v/>
      </c>
      <c r="B143" s="134" t="str">
        <f ca="1">IFERROR(__xludf.DUMMYFUNCTION("""COMPUTED_VALUE"""),"")</f>
        <v/>
      </c>
      <c r="C143" s="134" t="str">
        <f ca="1">IFERROR(__xludf.DUMMYFUNCTION("""COMPUTED_VALUE"""),"")</f>
        <v/>
      </c>
      <c r="D143" s="134" t="str">
        <f ca="1">IFERROR(__xludf.DUMMYFUNCTION("""COMPUTED_VALUE"""),"")</f>
        <v/>
      </c>
      <c r="E143" s="134" t="str">
        <f ca="1">IFERROR(__xludf.DUMMYFUNCTION("""COMPUTED_VALUE"""),"")</f>
        <v/>
      </c>
      <c r="F143" s="134" t="str">
        <f ca="1">IFERROR(__xludf.DUMMYFUNCTION("""COMPUTED_VALUE"""),"")</f>
        <v/>
      </c>
      <c r="G143" s="134" t="str">
        <f ca="1">IFERROR(__xludf.DUMMYFUNCTION("""COMPUTED_VALUE"""),"")</f>
        <v/>
      </c>
      <c r="H143" s="134" t="str">
        <f ca="1">IFERROR(__xludf.DUMMYFUNCTION("""COMPUTED_VALUE"""),"")</f>
        <v/>
      </c>
      <c r="I143" s="134" t="str">
        <f ca="1">IFERROR(__xludf.DUMMYFUNCTION("""COMPUTED_VALUE"""),"")</f>
        <v/>
      </c>
      <c r="J143" s="134" t="str">
        <f ca="1">IFERROR(__xludf.DUMMYFUNCTION("""COMPUTED_VALUE"""),"")</f>
        <v/>
      </c>
      <c r="N143" s="31"/>
    </row>
    <row r="144" spans="1:14" customFormat="1">
      <c r="A144" s="134" t="str">
        <f ca="1">IFERROR(__xludf.DUMMYFUNCTION("""COMPUTED_VALUE"""),"")</f>
        <v/>
      </c>
      <c r="B144" s="134" t="str">
        <f ca="1">IFERROR(__xludf.DUMMYFUNCTION("""COMPUTED_VALUE"""),"")</f>
        <v/>
      </c>
      <c r="C144" s="134" t="str">
        <f ca="1">IFERROR(__xludf.DUMMYFUNCTION("""COMPUTED_VALUE"""),"")</f>
        <v/>
      </c>
      <c r="D144" s="134" t="str">
        <f ca="1">IFERROR(__xludf.DUMMYFUNCTION("""COMPUTED_VALUE"""),"")</f>
        <v/>
      </c>
      <c r="E144" s="134" t="str">
        <f ca="1">IFERROR(__xludf.DUMMYFUNCTION("""COMPUTED_VALUE"""),"")</f>
        <v/>
      </c>
      <c r="F144" s="134" t="str">
        <f ca="1">IFERROR(__xludf.DUMMYFUNCTION("""COMPUTED_VALUE"""),"")</f>
        <v/>
      </c>
      <c r="G144" s="134" t="str">
        <f ca="1">IFERROR(__xludf.DUMMYFUNCTION("""COMPUTED_VALUE"""),"")</f>
        <v/>
      </c>
      <c r="H144" s="134" t="str">
        <f ca="1">IFERROR(__xludf.DUMMYFUNCTION("""COMPUTED_VALUE"""),"")</f>
        <v/>
      </c>
      <c r="I144" s="134" t="str">
        <f ca="1">IFERROR(__xludf.DUMMYFUNCTION("""COMPUTED_VALUE"""),"")</f>
        <v/>
      </c>
      <c r="J144" s="134" t="str">
        <f ca="1">IFERROR(__xludf.DUMMYFUNCTION("""COMPUTED_VALUE"""),"")</f>
        <v/>
      </c>
      <c r="N144" s="31"/>
    </row>
    <row r="145" spans="1:14" customFormat="1">
      <c r="A145" s="134" t="str">
        <f ca="1">IFERROR(__xludf.DUMMYFUNCTION("""COMPUTED_VALUE"""),"")</f>
        <v/>
      </c>
      <c r="B145" s="134" t="str">
        <f ca="1">IFERROR(__xludf.DUMMYFUNCTION("""COMPUTED_VALUE"""),"")</f>
        <v/>
      </c>
      <c r="C145" s="134" t="str">
        <f ca="1">IFERROR(__xludf.DUMMYFUNCTION("""COMPUTED_VALUE"""),"")</f>
        <v/>
      </c>
      <c r="D145" s="134" t="str">
        <f ca="1">IFERROR(__xludf.DUMMYFUNCTION("""COMPUTED_VALUE"""),"")</f>
        <v/>
      </c>
      <c r="E145" s="134" t="str">
        <f ca="1">IFERROR(__xludf.DUMMYFUNCTION("""COMPUTED_VALUE"""),"")</f>
        <v/>
      </c>
      <c r="F145" s="134" t="str">
        <f ca="1">IFERROR(__xludf.DUMMYFUNCTION("""COMPUTED_VALUE"""),"")</f>
        <v/>
      </c>
      <c r="G145" s="134" t="str">
        <f ca="1">IFERROR(__xludf.DUMMYFUNCTION("""COMPUTED_VALUE"""),"")</f>
        <v/>
      </c>
      <c r="H145" s="134" t="str">
        <f ca="1">IFERROR(__xludf.DUMMYFUNCTION("""COMPUTED_VALUE"""),"")</f>
        <v/>
      </c>
      <c r="I145" s="134" t="str">
        <f ca="1">IFERROR(__xludf.DUMMYFUNCTION("""COMPUTED_VALUE"""),"")</f>
        <v/>
      </c>
      <c r="J145" s="134" t="str">
        <f ca="1">IFERROR(__xludf.DUMMYFUNCTION("""COMPUTED_VALUE"""),"")</f>
        <v/>
      </c>
      <c r="N145" s="31"/>
    </row>
    <row r="146" spans="1:14" customFormat="1">
      <c r="A146" s="134" t="str">
        <f ca="1">IFERROR(__xludf.DUMMYFUNCTION("""COMPUTED_VALUE"""),"")</f>
        <v/>
      </c>
      <c r="B146" s="134" t="str">
        <f ca="1">IFERROR(__xludf.DUMMYFUNCTION("""COMPUTED_VALUE"""),"")</f>
        <v/>
      </c>
      <c r="C146" s="134" t="str">
        <f ca="1">IFERROR(__xludf.DUMMYFUNCTION("""COMPUTED_VALUE"""),"")</f>
        <v/>
      </c>
      <c r="D146" s="134" t="str">
        <f ca="1">IFERROR(__xludf.DUMMYFUNCTION("""COMPUTED_VALUE"""),"")</f>
        <v/>
      </c>
      <c r="E146" s="134" t="str">
        <f ca="1">IFERROR(__xludf.DUMMYFUNCTION("""COMPUTED_VALUE"""),"")</f>
        <v/>
      </c>
      <c r="F146" s="134" t="str">
        <f ca="1">IFERROR(__xludf.DUMMYFUNCTION("""COMPUTED_VALUE"""),"")</f>
        <v/>
      </c>
      <c r="G146" s="134" t="str">
        <f ca="1">IFERROR(__xludf.DUMMYFUNCTION("""COMPUTED_VALUE"""),"")</f>
        <v/>
      </c>
      <c r="H146" s="134" t="str">
        <f ca="1">IFERROR(__xludf.DUMMYFUNCTION("""COMPUTED_VALUE"""),"")</f>
        <v/>
      </c>
      <c r="I146" s="134" t="str">
        <f ca="1">IFERROR(__xludf.DUMMYFUNCTION("""COMPUTED_VALUE"""),"")</f>
        <v/>
      </c>
      <c r="J146" s="134" t="str">
        <f ca="1">IFERROR(__xludf.DUMMYFUNCTION("""COMPUTED_VALUE"""),"")</f>
        <v/>
      </c>
      <c r="N146" s="31"/>
    </row>
    <row r="147" spans="1:14" customFormat="1">
      <c r="A147" s="134" t="str">
        <f ca="1">IFERROR(__xludf.DUMMYFUNCTION("""COMPUTED_VALUE"""),"")</f>
        <v/>
      </c>
      <c r="B147" s="134" t="str">
        <f ca="1">IFERROR(__xludf.DUMMYFUNCTION("""COMPUTED_VALUE"""),"")</f>
        <v/>
      </c>
      <c r="C147" s="134" t="str">
        <f ca="1">IFERROR(__xludf.DUMMYFUNCTION("""COMPUTED_VALUE"""),"")</f>
        <v/>
      </c>
      <c r="D147" s="134" t="str">
        <f ca="1">IFERROR(__xludf.DUMMYFUNCTION("""COMPUTED_VALUE"""),"")</f>
        <v/>
      </c>
      <c r="E147" s="134" t="str">
        <f ca="1">IFERROR(__xludf.DUMMYFUNCTION("""COMPUTED_VALUE"""),"")</f>
        <v/>
      </c>
      <c r="F147" s="134" t="str">
        <f ca="1">IFERROR(__xludf.DUMMYFUNCTION("""COMPUTED_VALUE"""),"")</f>
        <v/>
      </c>
      <c r="G147" s="134" t="str">
        <f ca="1">IFERROR(__xludf.DUMMYFUNCTION("""COMPUTED_VALUE"""),"")</f>
        <v/>
      </c>
      <c r="H147" s="134" t="str">
        <f ca="1">IFERROR(__xludf.DUMMYFUNCTION("""COMPUTED_VALUE"""),"")</f>
        <v/>
      </c>
      <c r="I147" s="134" t="str">
        <f ca="1">IFERROR(__xludf.DUMMYFUNCTION("""COMPUTED_VALUE"""),"")</f>
        <v/>
      </c>
      <c r="J147" s="134" t="str">
        <f ca="1">IFERROR(__xludf.DUMMYFUNCTION("""COMPUTED_VALUE"""),"")</f>
        <v/>
      </c>
      <c r="N147" s="31"/>
    </row>
    <row r="148" spans="1:14" customFormat="1">
      <c r="A148" s="134" t="str">
        <f ca="1">IFERROR(__xludf.DUMMYFUNCTION("""COMPUTED_VALUE"""),"")</f>
        <v/>
      </c>
      <c r="B148" s="134" t="str">
        <f ca="1">IFERROR(__xludf.DUMMYFUNCTION("""COMPUTED_VALUE"""),"")</f>
        <v/>
      </c>
      <c r="C148" s="134" t="str">
        <f ca="1">IFERROR(__xludf.DUMMYFUNCTION("""COMPUTED_VALUE"""),"")</f>
        <v/>
      </c>
      <c r="D148" s="134" t="str">
        <f ca="1">IFERROR(__xludf.DUMMYFUNCTION("""COMPUTED_VALUE"""),"")</f>
        <v/>
      </c>
      <c r="E148" s="134" t="str">
        <f ca="1">IFERROR(__xludf.DUMMYFUNCTION("""COMPUTED_VALUE"""),"")</f>
        <v/>
      </c>
      <c r="F148" s="134" t="str">
        <f ca="1">IFERROR(__xludf.DUMMYFUNCTION("""COMPUTED_VALUE"""),"")</f>
        <v/>
      </c>
      <c r="G148" s="134" t="str">
        <f ca="1">IFERROR(__xludf.DUMMYFUNCTION("""COMPUTED_VALUE"""),"")</f>
        <v/>
      </c>
      <c r="H148" s="134" t="str">
        <f ca="1">IFERROR(__xludf.DUMMYFUNCTION("""COMPUTED_VALUE"""),"")</f>
        <v/>
      </c>
      <c r="I148" s="134" t="str">
        <f ca="1">IFERROR(__xludf.DUMMYFUNCTION("""COMPUTED_VALUE"""),"")</f>
        <v/>
      </c>
      <c r="J148" s="134" t="str">
        <f ca="1">IFERROR(__xludf.DUMMYFUNCTION("""COMPUTED_VALUE"""),"")</f>
        <v/>
      </c>
      <c r="N148" s="31"/>
    </row>
    <row r="149" spans="1:14" customFormat="1">
      <c r="A149" s="134" t="str">
        <f ca="1">IFERROR(__xludf.DUMMYFUNCTION("""COMPUTED_VALUE"""),"")</f>
        <v/>
      </c>
      <c r="B149" s="134" t="str">
        <f ca="1">IFERROR(__xludf.DUMMYFUNCTION("""COMPUTED_VALUE"""),"")</f>
        <v/>
      </c>
      <c r="C149" s="134" t="str">
        <f ca="1">IFERROR(__xludf.DUMMYFUNCTION("""COMPUTED_VALUE"""),"")</f>
        <v/>
      </c>
      <c r="D149" s="134" t="str">
        <f ca="1">IFERROR(__xludf.DUMMYFUNCTION("""COMPUTED_VALUE"""),"")</f>
        <v/>
      </c>
      <c r="E149" s="134" t="str">
        <f ca="1">IFERROR(__xludf.DUMMYFUNCTION("""COMPUTED_VALUE"""),"")</f>
        <v/>
      </c>
      <c r="F149" s="134" t="str">
        <f ca="1">IFERROR(__xludf.DUMMYFUNCTION("""COMPUTED_VALUE"""),"")</f>
        <v/>
      </c>
      <c r="G149" s="134" t="str">
        <f ca="1">IFERROR(__xludf.DUMMYFUNCTION("""COMPUTED_VALUE"""),"")</f>
        <v/>
      </c>
      <c r="H149" s="134" t="str">
        <f ca="1">IFERROR(__xludf.DUMMYFUNCTION("""COMPUTED_VALUE"""),"")</f>
        <v/>
      </c>
      <c r="I149" s="134" t="str">
        <f ca="1">IFERROR(__xludf.DUMMYFUNCTION("""COMPUTED_VALUE"""),"")</f>
        <v/>
      </c>
      <c r="J149" s="134" t="str">
        <f ca="1">IFERROR(__xludf.DUMMYFUNCTION("""COMPUTED_VALUE"""),"")</f>
        <v/>
      </c>
      <c r="N149" s="31"/>
    </row>
    <row r="150" spans="1:14" customFormat="1">
      <c r="A150" s="134" t="str">
        <f ca="1">IFERROR(__xludf.DUMMYFUNCTION("""COMPUTED_VALUE"""),"")</f>
        <v/>
      </c>
      <c r="B150" s="134" t="str">
        <f ca="1">IFERROR(__xludf.DUMMYFUNCTION("""COMPUTED_VALUE"""),"")</f>
        <v/>
      </c>
      <c r="C150" s="134" t="str">
        <f ca="1">IFERROR(__xludf.DUMMYFUNCTION("""COMPUTED_VALUE"""),"")</f>
        <v/>
      </c>
      <c r="D150" s="134" t="str">
        <f ca="1">IFERROR(__xludf.DUMMYFUNCTION("""COMPUTED_VALUE"""),"")</f>
        <v/>
      </c>
      <c r="E150" s="134" t="str">
        <f ca="1">IFERROR(__xludf.DUMMYFUNCTION("""COMPUTED_VALUE"""),"")</f>
        <v/>
      </c>
      <c r="F150" s="134" t="str">
        <f ca="1">IFERROR(__xludf.DUMMYFUNCTION("""COMPUTED_VALUE"""),"")</f>
        <v/>
      </c>
      <c r="G150" s="134" t="str">
        <f ca="1">IFERROR(__xludf.DUMMYFUNCTION("""COMPUTED_VALUE"""),"")</f>
        <v/>
      </c>
      <c r="H150" s="134" t="str">
        <f ca="1">IFERROR(__xludf.DUMMYFUNCTION("""COMPUTED_VALUE"""),"")</f>
        <v/>
      </c>
      <c r="I150" s="134" t="str">
        <f ca="1">IFERROR(__xludf.DUMMYFUNCTION("""COMPUTED_VALUE"""),"")</f>
        <v/>
      </c>
      <c r="J150" s="134" t="str">
        <f ca="1">IFERROR(__xludf.DUMMYFUNCTION("""COMPUTED_VALUE"""),"")</f>
        <v/>
      </c>
      <c r="N150" s="31"/>
    </row>
    <row r="151" spans="1:14" customFormat="1">
      <c r="A151" s="134" t="str">
        <f ca="1">IFERROR(__xludf.DUMMYFUNCTION("""COMPUTED_VALUE"""),"")</f>
        <v/>
      </c>
      <c r="B151" s="134" t="str">
        <f ca="1">IFERROR(__xludf.DUMMYFUNCTION("""COMPUTED_VALUE"""),"")</f>
        <v/>
      </c>
      <c r="C151" s="134" t="str">
        <f ca="1">IFERROR(__xludf.DUMMYFUNCTION("""COMPUTED_VALUE"""),"")</f>
        <v/>
      </c>
      <c r="D151" s="134" t="str">
        <f ca="1">IFERROR(__xludf.DUMMYFUNCTION("""COMPUTED_VALUE"""),"")</f>
        <v/>
      </c>
      <c r="E151" s="134" t="str">
        <f ca="1">IFERROR(__xludf.DUMMYFUNCTION("""COMPUTED_VALUE"""),"")</f>
        <v/>
      </c>
      <c r="F151" s="134" t="str">
        <f ca="1">IFERROR(__xludf.DUMMYFUNCTION("""COMPUTED_VALUE"""),"")</f>
        <v/>
      </c>
      <c r="G151" s="134" t="str">
        <f ca="1">IFERROR(__xludf.DUMMYFUNCTION("""COMPUTED_VALUE"""),"")</f>
        <v/>
      </c>
      <c r="H151" s="134" t="str">
        <f ca="1">IFERROR(__xludf.DUMMYFUNCTION("""COMPUTED_VALUE"""),"")</f>
        <v/>
      </c>
      <c r="I151" s="134" t="str">
        <f ca="1">IFERROR(__xludf.DUMMYFUNCTION("""COMPUTED_VALUE"""),"")</f>
        <v/>
      </c>
      <c r="J151" s="134" t="str">
        <f ca="1">IFERROR(__xludf.DUMMYFUNCTION("""COMPUTED_VALUE"""),"")</f>
        <v/>
      </c>
      <c r="N151" s="31"/>
    </row>
    <row r="152" spans="1:14" customFormat="1">
      <c r="A152" s="134" t="str">
        <f ca="1">IFERROR(__xludf.DUMMYFUNCTION("""COMPUTED_VALUE"""),"")</f>
        <v/>
      </c>
      <c r="B152" s="134" t="str">
        <f ca="1">IFERROR(__xludf.DUMMYFUNCTION("""COMPUTED_VALUE"""),"")</f>
        <v/>
      </c>
      <c r="C152" s="134" t="str">
        <f ca="1">IFERROR(__xludf.DUMMYFUNCTION("""COMPUTED_VALUE"""),"")</f>
        <v/>
      </c>
      <c r="D152" s="134" t="str">
        <f ca="1">IFERROR(__xludf.DUMMYFUNCTION("""COMPUTED_VALUE"""),"")</f>
        <v/>
      </c>
      <c r="E152" s="134" t="str">
        <f ca="1">IFERROR(__xludf.DUMMYFUNCTION("""COMPUTED_VALUE"""),"")</f>
        <v/>
      </c>
      <c r="F152" s="134" t="str">
        <f ca="1">IFERROR(__xludf.DUMMYFUNCTION("""COMPUTED_VALUE"""),"")</f>
        <v/>
      </c>
      <c r="G152" s="134" t="str">
        <f ca="1">IFERROR(__xludf.DUMMYFUNCTION("""COMPUTED_VALUE"""),"")</f>
        <v/>
      </c>
      <c r="H152" s="134" t="str">
        <f ca="1">IFERROR(__xludf.DUMMYFUNCTION("""COMPUTED_VALUE"""),"")</f>
        <v/>
      </c>
      <c r="I152" s="134" t="str">
        <f ca="1">IFERROR(__xludf.DUMMYFUNCTION("""COMPUTED_VALUE"""),"")</f>
        <v/>
      </c>
      <c r="J152" s="134" t="str">
        <f ca="1">IFERROR(__xludf.DUMMYFUNCTION("""COMPUTED_VALUE"""),"")</f>
        <v/>
      </c>
      <c r="N152" s="31"/>
    </row>
    <row r="153" spans="1:14" customFormat="1">
      <c r="A153" s="134" t="str">
        <f ca="1">IFERROR(__xludf.DUMMYFUNCTION("""COMPUTED_VALUE"""),"")</f>
        <v/>
      </c>
      <c r="B153" s="134" t="str">
        <f ca="1">IFERROR(__xludf.DUMMYFUNCTION("""COMPUTED_VALUE"""),"")</f>
        <v/>
      </c>
      <c r="C153" s="134" t="str">
        <f ca="1">IFERROR(__xludf.DUMMYFUNCTION("""COMPUTED_VALUE"""),"")</f>
        <v/>
      </c>
      <c r="D153" s="134" t="str">
        <f ca="1">IFERROR(__xludf.DUMMYFUNCTION("""COMPUTED_VALUE"""),"")</f>
        <v/>
      </c>
      <c r="E153" s="134" t="str">
        <f ca="1">IFERROR(__xludf.DUMMYFUNCTION("""COMPUTED_VALUE"""),"")</f>
        <v/>
      </c>
      <c r="F153" s="134" t="str">
        <f ca="1">IFERROR(__xludf.DUMMYFUNCTION("""COMPUTED_VALUE"""),"")</f>
        <v/>
      </c>
      <c r="G153" s="134" t="str">
        <f ca="1">IFERROR(__xludf.DUMMYFUNCTION("""COMPUTED_VALUE"""),"")</f>
        <v/>
      </c>
      <c r="H153" s="134" t="str">
        <f ca="1">IFERROR(__xludf.DUMMYFUNCTION("""COMPUTED_VALUE"""),"")</f>
        <v/>
      </c>
      <c r="I153" s="134" t="str">
        <f ca="1">IFERROR(__xludf.DUMMYFUNCTION("""COMPUTED_VALUE"""),"")</f>
        <v/>
      </c>
      <c r="J153" s="134" t="str">
        <f ca="1">IFERROR(__xludf.DUMMYFUNCTION("""COMPUTED_VALUE"""),"")</f>
        <v/>
      </c>
      <c r="N153" s="31"/>
    </row>
    <row r="154" spans="1:14" customFormat="1">
      <c r="A154" s="134" t="str">
        <f ca="1">IFERROR(__xludf.DUMMYFUNCTION("""COMPUTED_VALUE"""),"")</f>
        <v/>
      </c>
      <c r="B154" s="134" t="str">
        <f ca="1">IFERROR(__xludf.DUMMYFUNCTION("""COMPUTED_VALUE"""),"")</f>
        <v/>
      </c>
      <c r="C154" s="134" t="str">
        <f ca="1">IFERROR(__xludf.DUMMYFUNCTION("""COMPUTED_VALUE"""),"")</f>
        <v/>
      </c>
      <c r="D154" s="134" t="str">
        <f ca="1">IFERROR(__xludf.DUMMYFUNCTION("""COMPUTED_VALUE"""),"")</f>
        <v/>
      </c>
      <c r="E154" s="134" t="str">
        <f ca="1">IFERROR(__xludf.DUMMYFUNCTION("""COMPUTED_VALUE"""),"")</f>
        <v/>
      </c>
      <c r="F154" s="134" t="str">
        <f ca="1">IFERROR(__xludf.DUMMYFUNCTION("""COMPUTED_VALUE"""),"")</f>
        <v/>
      </c>
      <c r="G154" s="134" t="str">
        <f ca="1">IFERROR(__xludf.DUMMYFUNCTION("""COMPUTED_VALUE"""),"")</f>
        <v/>
      </c>
      <c r="H154" s="134" t="str">
        <f ca="1">IFERROR(__xludf.DUMMYFUNCTION("""COMPUTED_VALUE"""),"")</f>
        <v/>
      </c>
      <c r="I154" s="134" t="str">
        <f ca="1">IFERROR(__xludf.DUMMYFUNCTION("""COMPUTED_VALUE"""),"")</f>
        <v/>
      </c>
      <c r="J154" s="134" t="str">
        <f ca="1">IFERROR(__xludf.DUMMYFUNCTION("""COMPUTED_VALUE"""),"")</f>
        <v/>
      </c>
      <c r="N154" s="31"/>
    </row>
    <row r="155" spans="1:14" customFormat="1">
      <c r="A155" s="134" t="str">
        <f ca="1">IFERROR(__xludf.DUMMYFUNCTION("""COMPUTED_VALUE"""),"")</f>
        <v/>
      </c>
      <c r="B155" s="134" t="str">
        <f ca="1">IFERROR(__xludf.DUMMYFUNCTION("""COMPUTED_VALUE"""),"")</f>
        <v/>
      </c>
      <c r="C155" s="134" t="str">
        <f ca="1">IFERROR(__xludf.DUMMYFUNCTION("""COMPUTED_VALUE"""),"")</f>
        <v/>
      </c>
      <c r="D155" s="134" t="str">
        <f ca="1">IFERROR(__xludf.DUMMYFUNCTION("""COMPUTED_VALUE"""),"")</f>
        <v/>
      </c>
      <c r="E155" s="134" t="str">
        <f ca="1">IFERROR(__xludf.DUMMYFUNCTION("""COMPUTED_VALUE"""),"")</f>
        <v/>
      </c>
      <c r="F155" s="134" t="str">
        <f ca="1">IFERROR(__xludf.DUMMYFUNCTION("""COMPUTED_VALUE"""),"")</f>
        <v/>
      </c>
      <c r="G155" s="134" t="str">
        <f ca="1">IFERROR(__xludf.DUMMYFUNCTION("""COMPUTED_VALUE"""),"")</f>
        <v/>
      </c>
      <c r="H155" s="134" t="str">
        <f ca="1">IFERROR(__xludf.DUMMYFUNCTION("""COMPUTED_VALUE"""),"")</f>
        <v/>
      </c>
      <c r="I155" s="134" t="str">
        <f ca="1">IFERROR(__xludf.DUMMYFUNCTION("""COMPUTED_VALUE"""),"")</f>
        <v/>
      </c>
      <c r="J155" s="134" t="str">
        <f ca="1">IFERROR(__xludf.DUMMYFUNCTION("""COMPUTED_VALUE"""),"")</f>
        <v/>
      </c>
      <c r="N155" s="31"/>
    </row>
    <row r="156" spans="1:14" customFormat="1">
      <c r="A156" s="134" t="str">
        <f ca="1">IFERROR(__xludf.DUMMYFUNCTION("""COMPUTED_VALUE"""),"")</f>
        <v/>
      </c>
      <c r="B156" s="134" t="str">
        <f ca="1">IFERROR(__xludf.DUMMYFUNCTION("""COMPUTED_VALUE"""),"")</f>
        <v/>
      </c>
      <c r="C156" s="134" t="str">
        <f ca="1">IFERROR(__xludf.DUMMYFUNCTION("""COMPUTED_VALUE"""),"")</f>
        <v/>
      </c>
      <c r="D156" s="134" t="str">
        <f ca="1">IFERROR(__xludf.DUMMYFUNCTION("""COMPUTED_VALUE"""),"")</f>
        <v/>
      </c>
      <c r="E156" s="134" t="str">
        <f ca="1">IFERROR(__xludf.DUMMYFUNCTION("""COMPUTED_VALUE"""),"")</f>
        <v/>
      </c>
      <c r="F156" s="134" t="str">
        <f ca="1">IFERROR(__xludf.DUMMYFUNCTION("""COMPUTED_VALUE"""),"")</f>
        <v/>
      </c>
      <c r="G156" s="134" t="str">
        <f ca="1">IFERROR(__xludf.DUMMYFUNCTION("""COMPUTED_VALUE"""),"")</f>
        <v/>
      </c>
      <c r="H156" s="134" t="str">
        <f ca="1">IFERROR(__xludf.DUMMYFUNCTION("""COMPUTED_VALUE"""),"")</f>
        <v/>
      </c>
      <c r="I156" s="134" t="str">
        <f ca="1">IFERROR(__xludf.DUMMYFUNCTION("""COMPUTED_VALUE"""),"")</f>
        <v/>
      </c>
      <c r="J156" s="134" t="str">
        <f ca="1">IFERROR(__xludf.DUMMYFUNCTION("""COMPUTED_VALUE"""),"")</f>
        <v/>
      </c>
      <c r="N156" s="31"/>
    </row>
    <row r="157" spans="1:14" customFormat="1">
      <c r="A157" s="134" t="str">
        <f ca="1">IFERROR(__xludf.DUMMYFUNCTION("""COMPUTED_VALUE"""),"")</f>
        <v/>
      </c>
      <c r="B157" s="134" t="str">
        <f ca="1">IFERROR(__xludf.DUMMYFUNCTION("""COMPUTED_VALUE"""),"")</f>
        <v/>
      </c>
      <c r="C157" s="134" t="str">
        <f ca="1">IFERROR(__xludf.DUMMYFUNCTION("""COMPUTED_VALUE"""),"")</f>
        <v/>
      </c>
      <c r="D157" s="134" t="str">
        <f ca="1">IFERROR(__xludf.DUMMYFUNCTION("""COMPUTED_VALUE"""),"")</f>
        <v/>
      </c>
      <c r="E157" s="134" t="str">
        <f ca="1">IFERROR(__xludf.DUMMYFUNCTION("""COMPUTED_VALUE"""),"")</f>
        <v/>
      </c>
      <c r="F157" s="134" t="str">
        <f ca="1">IFERROR(__xludf.DUMMYFUNCTION("""COMPUTED_VALUE"""),"")</f>
        <v/>
      </c>
      <c r="G157" s="134" t="str">
        <f ca="1">IFERROR(__xludf.DUMMYFUNCTION("""COMPUTED_VALUE"""),"")</f>
        <v/>
      </c>
      <c r="H157" s="134" t="str">
        <f ca="1">IFERROR(__xludf.DUMMYFUNCTION("""COMPUTED_VALUE"""),"")</f>
        <v/>
      </c>
      <c r="I157" s="134" t="str">
        <f ca="1">IFERROR(__xludf.DUMMYFUNCTION("""COMPUTED_VALUE"""),"")</f>
        <v/>
      </c>
      <c r="J157" s="134" t="str">
        <f ca="1">IFERROR(__xludf.DUMMYFUNCTION("""COMPUTED_VALUE"""),"")</f>
        <v/>
      </c>
      <c r="N157" s="31"/>
    </row>
    <row r="158" spans="1:14" customFormat="1">
      <c r="A158" s="134" t="str">
        <f ca="1">IFERROR(__xludf.DUMMYFUNCTION("""COMPUTED_VALUE"""),"")</f>
        <v/>
      </c>
      <c r="B158" s="134" t="str">
        <f ca="1">IFERROR(__xludf.DUMMYFUNCTION("""COMPUTED_VALUE"""),"")</f>
        <v/>
      </c>
      <c r="C158" s="134" t="str">
        <f ca="1">IFERROR(__xludf.DUMMYFUNCTION("""COMPUTED_VALUE"""),"")</f>
        <v/>
      </c>
      <c r="D158" s="134" t="str">
        <f ca="1">IFERROR(__xludf.DUMMYFUNCTION("""COMPUTED_VALUE"""),"")</f>
        <v/>
      </c>
      <c r="E158" s="134" t="str">
        <f ca="1">IFERROR(__xludf.DUMMYFUNCTION("""COMPUTED_VALUE"""),"")</f>
        <v/>
      </c>
      <c r="F158" s="134" t="str">
        <f ca="1">IFERROR(__xludf.DUMMYFUNCTION("""COMPUTED_VALUE"""),"")</f>
        <v/>
      </c>
      <c r="G158" s="134" t="str">
        <f ca="1">IFERROR(__xludf.DUMMYFUNCTION("""COMPUTED_VALUE"""),"")</f>
        <v/>
      </c>
      <c r="H158" s="134" t="str">
        <f ca="1">IFERROR(__xludf.DUMMYFUNCTION("""COMPUTED_VALUE"""),"")</f>
        <v/>
      </c>
      <c r="I158" s="134" t="str">
        <f ca="1">IFERROR(__xludf.DUMMYFUNCTION("""COMPUTED_VALUE"""),"")</f>
        <v/>
      </c>
      <c r="J158" s="134" t="str">
        <f ca="1">IFERROR(__xludf.DUMMYFUNCTION("""COMPUTED_VALUE"""),"")</f>
        <v/>
      </c>
      <c r="N158" s="31"/>
    </row>
    <row r="159" spans="1:14" customFormat="1">
      <c r="A159" s="134" t="str">
        <f ca="1">IFERROR(__xludf.DUMMYFUNCTION("""COMPUTED_VALUE"""),"")</f>
        <v/>
      </c>
      <c r="B159" s="134" t="str">
        <f ca="1">IFERROR(__xludf.DUMMYFUNCTION("""COMPUTED_VALUE"""),"")</f>
        <v/>
      </c>
      <c r="C159" s="134" t="str">
        <f ca="1">IFERROR(__xludf.DUMMYFUNCTION("""COMPUTED_VALUE"""),"")</f>
        <v/>
      </c>
      <c r="D159" s="134" t="str">
        <f ca="1">IFERROR(__xludf.DUMMYFUNCTION("""COMPUTED_VALUE"""),"")</f>
        <v/>
      </c>
      <c r="E159" s="134" t="str">
        <f ca="1">IFERROR(__xludf.DUMMYFUNCTION("""COMPUTED_VALUE"""),"")</f>
        <v/>
      </c>
      <c r="F159" s="134" t="str">
        <f ca="1">IFERROR(__xludf.DUMMYFUNCTION("""COMPUTED_VALUE"""),"")</f>
        <v/>
      </c>
      <c r="G159" s="134" t="str">
        <f ca="1">IFERROR(__xludf.DUMMYFUNCTION("""COMPUTED_VALUE"""),"")</f>
        <v/>
      </c>
      <c r="H159" s="134" t="str">
        <f ca="1">IFERROR(__xludf.DUMMYFUNCTION("""COMPUTED_VALUE"""),"")</f>
        <v/>
      </c>
      <c r="I159" s="134" t="str">
        <f ca="1">IFERROR(__xludf.DUMMYFUNCTION("""COMPUTED_VALUE"""),"")</f>
        <v/>
      </c>
      <c r="J159" s="134" t="str">
        <f ca="1">IFERROR(__xludf.DUMMYFUNCTION("""COMPUTED_VALUE"""),"")</f>
        <v/>
      </c>
      <c r="N159" s="31"/>
    </row>
    <row r="160" spans="1:14" customFormat="1">
      <c r="A160" s="134" t="str">
        <f ca="1">IFERROR(__xludf.DUMMYFUNCTION("""COMPUTED_VALUE"""),"")</f>
        <v/>
      </c>
      <c r="B160" s="134" t="str">
        <f ca="1">IFERROR(__xludf.DUMMYFUNCTION("""COMPUTED_VALUE"""),"")</f>
        <v/>
      </c>
      <c r="C160" s="134" t="str">
        <f ca="1">IFERROR(__xludf.DUMMYFUNCTION("""COMPUTED_VALUE"""),"")</f>
        <v/>
      </c>
      <c r="D160" s="134" t="str">
        <f ca="1">IFERROR(__xludf.DUMMYFUNCTION("""COMPUTED_VALUE"""),"")</f>
        <v/>
      </c>
      <c r="E160" s="134" t="str">
        <f ca="1">IFERROR(__xludf.DUMMYFUNCTION("""COMPUTED_VALUE"""),"")</f>
        <v/>
      </c>
      <c r="F160" s="134" t="str">
        <f ca="1">IFERROR(__xludf.DUMMYFUNCTION("""COMPUTED_VALUE"""),"")</f>
        <v/>
      </c>
      <c r="G160" s="134" t="str">
        <f ca="1">IFERROR(__xludf.DUMMYFUNCTION("""COMPUTED_VALUE"""),"")</f>
        <v/>
      </c>
      <c r="H160" s="134" t="str">
        <f ca="1">IFERROR(__xludf.DUMMYFUNCTION("""COMPUTED_VALUE"""),"")</f>
        <v/>
      </c>
      <c r="I160" s="134" t="str">
        <f ca="1">IFERROR(__xludf.DUMMYFUNCTION("""COMPUTED_VALUE"""),"")</f>
        <v/>
      </c>
      <c r="J160" s="134" t="str">
        <f ca="1">IFERROR(__xludf.DUMMYFUNCTION("""COMPUTED_VALUE"""),"")</f>
        <v/>
      </c>
      <c r="N160" s="31"/>
    </row>
    <row r="161" spans="1:14" customFormat="1">
      <c r="A161" s="134" t="str">
        <f ca="1">IFERROR(__xludf.DUMMYFUNCTION("""COMPUTED_VALUE"""),"")</f>
        <v/>
      </c>
      <c r="B161" s="134" t="str">
        <f ca="1">IFERROR(__xludf.DUMMYFUNCTION("""COMPUTED_VALUE"""),"")</f>
        <v/>
      </c>
      <c r="C161" s="134" t="str">
        <f ca="1">IFERROR(__xludf.DUMMYFUNCTION("""COMPUTED_VALUE"""),"")</f>
        <v/>
      </c>
      <c r="D161" s="134" t="str">
        <f ca="1">IFERROR(__xludf.DUMMYFUNCTION("""COMPUTED_VALUE"""),"")</f>
        <v/>
      </c>
      <c r="E161" s="134" t="str">
        <f ca="1">IFERROR(__xludf.DUMMYFUNCTION("""COMPUTED_VALUE"""),"")</f>
        <v/>
      </c>
      <c r="F161" s="134" t="str">
        <f ca="1">IFERROR(__xludf.DUMMYFUNCTION("""COMPUTED_VALUE"""),"")</f>
        <v/>
      </c>
      <c r="G161" s="134" t="str">
        <f ca="1">IFERROR(__xludf.DUMMYFUNCTION("""COMPUTED_VALUE"""),"")</f>
        <v/>
      </c>
      <c r="H161" s="134" t="str">
        <f ca="1">IFERROR(__xludf.DUMMYFUNCTION("""COMPUTED_VALUE"""),"")</f>
        <v/>
      </c>
      <c r="I161" s="134" t="str">
        <f ca="1">IFERROR(__xludf.DUMMYFUNCTION("""COMPUTED_VALUE"""),"")</f>
        <v/>
      </c>
      <c r="J161" s="134" t="str">
        <f ca="1">IFERROR(__xludf.DUMMYFUNCTION("""COMPUTED_VALUE"""),"")</f>
        <v/>
      </c>
      <c r="N161" s="31"/>
    </row>
    <row r="162" spans="1:14" customFormat="1">
      <c r="A162" s="134" t="str">
        <f ca="1">IFERROR(__xludf.DUMMYFUNCTION("""COMPUTED_VALUE"""),"")</f>
        <v/>
      </c>
      <c r="B162" s="134" t="str">
        <f ca="1">IFERROR(__xludf.DUMMYFUNCTION("""COMPUTED_VALUE"""),"")</f>
        <v/>
      </c>
      <c r="C162" s="134" t="str">
        <f ca="1">IFERROR(__xludf.DUMMYFUNCTION("""COMPUTED_VALUE"""),"")</f>
        <v/>
      </c>
      <c r="D162" s="134" t="str">
        <f ca="1">IFERROR(__xludf.DUMMYFUNCTION("""COMPUTED_VALUE"""),"")</f>
        <v/>
      </c>
      <c r="E162" s="134" t="str">
        <f ca="1">IFERROR(__xludf.DUMMYFUNCTION("""COMPUTED_VALUE"""),"")</f>
        <v/>
      </c>
      <c r="F162" s="134" t="str">
        <f ca="1">IFERROR(__xludf.DUMMYFUNCTION("""COMPUTED_VALUE"""),"")</f>
        <v/>
      </c>
      <c r="G162" s="134" t="str">
        <f ca="1">IFERROR(__xludf.DUMMYFUNCTION("""COMPUTED_VALUE"""),"")</f>
        <v/>
      </c>
      <c r="H162" s="134" t="str">
        <f ca="1">IFERROR(__xludf.DUMMYFUNCTION("""COMPUTED_VALUE"""),"")</f>
        <v/>
      </c>
      <c r="I162" s="134" t="str">
        <f ca="1">IFERROR(__xludf.DUMMYFUNCTION("""COMPUTED_VALUE"""),"")</f>
        <v/>
      </c>
      <c r="J162" s="134" t="str">
        <f ca="1">IFERROR(__xludf.DUMMYFUNCTION("""COMPUTED_VALUE"""),"")</f>
        <v/>
      </c>
      <c r="N162" s="31"/>
    </row>
    <row r="163" spans="1:14" customFormat="1">
      <c r="A163" s="134" t="str">
        <f ca="1">IFERROR(__xludf.DUMMYFUNCTION("""COMPUTED_VALUE"""),"")</f>
        <v/>
      </c>
      <c r="B163" s="134" t="str">
        <f ca="1">IFERROR(__xludf.DUMMYFUNCTION("""COMPUTED_VALUE"""),"")</f>
        <v/>
      </c>
      <c r="C163" s="134" t="str">
        <f ca="1">IFERROR(__xludf.DUMMYFUNCTION("""COMPUTED_VALUE"""),"")</f>
        <v/>
      </c>
      <c r="D163" s="134" t="str">
        <f ca="1">IFERROR(__xludf.DUMMYFUNCTION("""COMPUTED_VALUE"""),"")</f>
        <v/>
      </c>
      <c r="E163" s="134" t="str">
        <f ca="1">IFERROR(__xludf.DUMMYFUNCTION("""COMPUTED_VALUE"""),"")</f>
        <v/>
      </c>
      <c r="F163" s="134" t="str">
        <f ca="1">IFERROR(__xludf.DUMMYFUNCTION("""COMPUTED_VALUE"""),"")</f>
        <v/>
      </c>
      <c r="G163" s="134" t="str">
        <f ca="1">IFERROR(__xludf.DUMMYFUNCTION("""COMPUTED_VALUE"""),"")</f>
        <v/>
      </c>
      <c r="H163" s="134" t="str">
        <f ca="1">IFERROR(__xludf.DUMMYFUNCTION("""COMPUTED_VALUE"""),"")</f>
        <v/>
      </c>
      <c r="I163" s="134" t="str">
        <f ca="1">IFERROR(__xludf.DUMMYFUNCTION("""COMPUTED_VALUE"""),"")</f>
        <v/>
      </c>
      <c r="J163" s="134" t="str">
        <f ca="1">IFERROR(__xludf.DUMMYFUNCTION("""COMPUTED_VALUE"""),"")</f>
        <v/>
      </c>
      <c r="N163" s="31"/>
    </row>
    <row r="164" spans="1:14" customFormat="1">
      <c r="A164" s="134" t="str">
        <f ca="1">IFERROR(__xludf.DUMMYFUNCTION("""COMPUTED_VALUE"""),"")</f>
        <v/>
      </c>
      <c r="B164" s="134" t="str">
        <f ca="1">IFERROR(__xludf.DUMMYFUNCTION("""COMPUTED_VALUE"""),"")</f>
        <v/>
      </c>
      <c r="C164" s="134" t="str">
        <f ca="1">IFERROR(__xludf.DUMMYFUNCTION("""COMPUTED_VALUE"""),"")</f>
        <v/>
      </c>
      <c r="D164" s="134" t="str">
        <f ca="1">IFERROR(__xludf.DUMMYFUNCTION("""COMPUTED_VALUE"""),"")</f>
        <v/>
      </c>
      <c r="E164" s="134" t="str">
        <f ca="1">IFERROR(__xludf.DUMMYFUNCTION("""COMPUTED_VALUE"""),"")</f>
        <v/>
      </c>
      <c r="F164" s="134" t="str">
        <f ca="1">IFERROR(__xludf.DUMMYFUNCTION("""COMPUTED_VALUE"""),"")</f>
        <v/>
      </c>
      <c r="G164" s="134" t="str">
        <f ca="1">IFERROR(__xludf.DUMMYFUNCTION("""COMPUTED_VALUE"""),"")</f>
        <v/>
      </c>
      <c r="H164" s="134" t="str">
        <f ca="1">IFERROR(__xludf.DUMMYFUNCTION("""COMPUTED_VALUE"""),"")</f>
        <v/>
      </c>
      <c r="I164" s="134" t="str">
        <f ca="1">IFERROR(__xludf.DUMMYFUNCTION("""COMPUTED_VALUE"""),"")</f>
        <v/>
      </c>
      <c r="J164" s="134" t="str">
        <f ca="1">IFERROR(__xludf.DUMMYFUNCTION("""COMPUTED_VALUE"""),"")</f>
        <v/>
      </c>
      <c r="N164" s="31"/>
    </row>
    <row r="165" spans="1:14" customFormat="1">
      <c r="A165" s="134" t="str">
        <f ca="1">IFERROR(__xludf.DUMMYFUNCTION("""COMPUTED_VALUE"""),"")</f>
        <v/>
      </c>
      <c r="B165" s="134" t="str">
        <f ca="1">IFERROR(__xludf.DUMMYFUNCTION("""COMPUTED_VALUE"""),"")</f>
        <v/>
      </c>
      <c r="C165" s="134" t="str">
        <f ca="1">IFERROR(__xludf.DUMMYFUNCTION("""COMPUTED_VALUE"""),"")</f>
        <v/>
      </c>
      <c r="D165" s="134" t="str">
        <f ca="1">IFERROR(__xludf.DUMMYFUNCTION("""COMPUTED_VALUE"""),"")</f>
        <v/>
      </c>
      <c r="E165" s="134" t="str">
        <f ca="1">IFERROR(__xludf.DUMMYFUNCTION("""COMPUTED_VALUE"""),"")</f>
        <v/>
      </c>
      <c r="F165" s="134" t="str">
        <f ca="1">IFERROR(__xludf.DUMMYFUNCTION("""COMPUTED_VALUE"""),"")</f>
        <v/>
      </c>
      <c r="G165" s="134" t="str">
        <f ca="1">IFERROR(__xludf.DUMMYFUNCTION("""COMPUTED_VALUE"""),"")</f>
        <v/>
      </c>
      <c r="H165" s="134" t="str">
        <f ca="1">IFERROR(__xludf.DUMMYFUNCTION("""COMPUTED_VALUE"""),"")</f>
        <v/>
      </c>
      <c r="I165" s="134" t="str">
        <f ca="1">IFERROR(__xludf.DUMMYFUNCTION("""COMPUTED_VALUE"""),"")</f>
        <v/>
      </c>
      <c r="J165" s="134" t="str">
        <f ca="1">IFERROR(__xludf.DUMMYFUNCTION("""COMPUTED_VALUE"""),"")</f>
        <v/>
      </c>
      <c r="N165" s="31"/>
    </row>
    <row r="166" spans="1:14" customFormat="1">
      <c r="A166" s="134" t="str">
        <f ca="1">IFERROR(__xludf.DUMMYFUNCTION("""COMPUTED_VALUE"""),"")</f>
        <v/>
      </c>
      <c r="B166" s="134" t="str">
        <f ca="1">IFERROR(__xludf.DUMMYFUNCTION("""COMPUTED_VALUE"""),"")</f>
        <v/>
      </c>
      <c r="C166" s="134" t="str">
        <f ca="1">IFERROR(__xludf.DUMMYFUNCTION("""COMPUTED_VALUE"""),"")</f>
        <v/>
      </c>
      <c r="D166" s="134" t="str">
        <f ca="1">IFERROR(__xludf.DUMMYFUNCTION("""COMPUTED_VALUE"""),"")</f>
        <v/>
      </c>
      <c r="E166" s="134" t="str">
        <f ca="1">IFERROR(__xludf.DUMMYFUNCTION("""COMPUTED_VALUE"""),"")</f>
        <v/>
      </c>
      <c r="F166" s="134" t="str">
        <f ca="1">IFERROR(__xludf.DUMMYFUNCTION("""COMPUTED_VALUE"""),"")</f>
        <v/>
      </c>
      <c r="G166" s="134" t="str">
        <f ca="1">IFERROR(__xludf.DUMMYFUNCTION("""COMPUTED_VALUE"""),"")</f>
        <v/>
      </c>
      <c r="H166" s="134" t="str">
        <f ca="1">IFERROR(__xludf.DUMMYFUNCTION("""COMPUTED_VALUE"""),"")</f>
        <v/>
      </c>
      <c r="I166" s="134" t="str">
        <f ca="1">IFERROR(__xludf.DUMMYFUNCTION("""COMPUTED_VALUE"""),"")</f>
        <v/>
      </c>
      <c r="J166" s="134" t="str">
        <f ca="1">IFERROR(__xludf.DUMMYFUNCTION("""COMPUTED_VALUE"""),"")</f>
        <v/>
      </c>
      <c r="N166" s="31"/>
    </row>
    <row r="167" spans="1:14" customFormat="1">
      <c r="A167" s="134" t="str">
        <f ca="1">IFERROR(__xludf.DUMMYFUNCTION("""COMPUTED_VALUE"""),"")</f>
        <v/>
      </c>
      <c r="B167" s="134" t="str">
        <f ca="1">IFERROR(__xludf.DUMMYFUNCTION("""COMPUTED_VALUE"""),"")</f>
        <v/>
      </c>
      <c r="C167" s="134" t="str">
        <f ca="1">IFERROR(__xludf.DUMMYFUNCTION("""COMPUTED_VALUE"""),"")</f>
        <v/>
      </c>
      <c r="D167" s="134" t="str">
        <f ca="1">IFERROR(__xludf.DUMMYFUNCTION("""COMPUTED_VALUE"""),"")</f>
        <v/>
      </c>
      <c r="E167" s="134" t="str">
        <f ca="1">IFERROR(__xludf.DUMMYFUNCTION("""COMPUTED_VALUE"""),"")</f>
        <v/>
      </c>
      <c r="F167" s="134" t="str">
        <f ca="1">IFERROR(__xludf.DUMMYFUNCTION("""COMPUTED_VALUE"""),"")</f>
        <v/>
      </c>
      <c r="G167" s="134" t="str">
        <f ca="1">IFERROR(__xludf.DUMMYFUNCTION("""COMPUTED_VALUE"""),"")</f>
        <v/>
      </c>
      <c r="H167" s="134" t="str">
        <f ca="1">IFERROR(__xludf.DUMMYFUNCTION("""COMPUTED_VALUE"""),"")</f>
        <v/>
      </c>
      <c r="I167" s="134" t="str">
        <f ca="1">IFERROR(__xludf.DUMMYFUNCTION("""COMPUTED_VALUE"""),"")</f>
        <v/>
      </c>
      <c r="J167" s="134" t="str">
        <f ca="1">IFERROR(__xludf.DUMMYFUNCTION("""COMPUTED_VALUE"""),"")</f>
        <v/>
      </c>
      <c r="N167" s="31"/>
    </row>
    <row r="168" spans="1:14" customFormat="1">
      <c r="A168" s="134" t="str">
        <f ca="1">IFERROR(__xludf.DUMMYFUNCTION("""COMPUTED_VALUE"""),"")</f>
        <v/>
      </c>
      <c r="B168" s="134" t="str">
        <f ca="1">IFERROR(__xludf.DUMMYFUNCTION("""COMPUTED_VALUE"""),"")</f>
        <v/>
      </c>
      <c r="C168" s="134" t="str">
        <f ca="1">IFERROR(__xludf.DUMMYFUNCTION("""COMPUTED_VALUE"""),"")</f>
        <v/>
      </c>
      <c r="D168" s="134" t="str">
        <f ca="1">IFERROR(__xludf.DUMMYFUNCTION("""COMPUTED_VALUE"""),"")</f>
        <v/>
      </c>
      <c r="E168" s="134" t="str">
        <f ca="1">IFERROR(__xludf.DUMMYFUNCTION("""COMPUTED_VALUE"""),"")</f>
        <v/>
      </c>
      <c r="F168" s="134" t="str">
        <f ca="1">IFERROR(__xludf.DUMMYFUNCTION("""COMPUTED_VALUE"""),"")</f>
        <v/>
      </c>
      <c r="G168" s="134" t="str">
        <f ca="1">IFERROR(__xludf.DUMMYFUNCTION("""COMPUTED_VALUE"""),"")</f>
        <v/>
      </c>
      <c r="H168" s="134" t="str">
        <f ca="1">IFERROR(__xludf.DUMMYFUNCTION("""COMPUTED_VALUE"""),"")</f>
        <v/>
      </c>
      <c r="I168" s="134" t="str">
        <f ca="1">IFERROR(__xludf.DUMMYFUNCTION("""COMPUTED_VALUE"""),"")</f>
        <v/>
      </c>
      <c r="J168" s="134" t="str">
        <f ca="1">IFERROR(__xludf.DUMMYFUNCTION("""COMPUTED_VALUE"""),"")</f>
        <v/>
      </c>
      <c r="N168" s="31"/>
    </row>
    <row r="169" spans="1:14" customFormat="1">
      <c r="A169" s="134" t="str">
        <f ca="1">IFERROR(__xludf.DUMMYFUNCTION("""COMPUTED_VALUE"""),"")</f>
        <v/>
      </c>
      <c r="B169" s="134" t="str">
        <f ca="1">IFERROR(__xludf.DUMMYFUNCTION("""COMPUTED_VALUE"""),"")</f>
        <v/>
      </c>
      <c r="C169" s="134" t="str">
        <f ca="1">IFERROR(__xludf.DUMMYFUNCTION("""COMPUTED_VALUE"""),"")</f>
        <v/>
      </c>
      <c r="D169" s="134" t="str">
        <f ca="1">IFERROR(__xludf.DUMMYFUNCTION("""COMPUTED_VALUE"""),"")</f>
        <v/>
      </c>
      <c r="E169" s="134" t="str">
        <f ca="1">IFERROR(__xludf.DUMMYFUNCTION("""COMPUTED_VALUE"""),"")</f>
        <v/>
      </c>
      <c r="F169" s="134" t="str">
        <f ca="1">IFERROR(__xludf.DUMMYFUNCTION("""COMPUTED_VALUE"""),"")</f>
        <v/>
      </c>
      <c r="G169" s="134" t="str">
        <f ca="1">IFERROR(__xludf.DUMMYFUNCTION("""COMPUTED_VALUE"""),"")</f>
        <v/>
      </c>
      <c r="H169" s="134" t="str">
        <f ca="1">IFERROR(__xludf.DUMMYFUNCTION("""COMPUTED_VALUE"""),"")</f>
        <v/>
      </c>
      <c r="I169" s="134" t="str">
        <f ca="1">IFERROR(__xludf.DUMMYFUNCTION("""COMPUTED_VALUE"""),"")</f>
        <v/>
      </c>
      <c r="J169" s="134" t="str">
        <f ca="1">IFERROR(__xludf.DUMMYFUNCTION("""COMPUTED_VALUE"""),"")</f>
        <v/>
      </c>
      <c r="N169" s="31"/>
    </row>
    <row r="170" spans="1:14" customFormat="1">
      <c r="A170" s="134" t="str">
        <f ca="1">IFERROR(__xludf.DUMMYFUNCTION("""COMPUTED_VALUE"""),"")</f>
        <v/>
      </c>
      <c r="B170" s="134" t="str">
        <f ca="1">IFERROR(__xludf.DUMMYFUNCTION("""COMPUTED_VALUE"""),"")</f>
        <v/>
      </c>
      <c r="C170" s="134" t="str">
        <f ca="1">IFERROR(__xludf.DUMMYFUNCTION("""COMPUTED_VALUE"""),"")</f>
        <v/>
      </c>
      <c r="D170" s="134" t="str">
        <f ca="1">IFERROR(__xludf.DUMMYFUNCTION("""COMPUTED_VALUE"""),"")</f>
        <v/>
      </c>
      <c r="E170" s="134" t="str">
        <f ca="1">IFERROR(__xludf.DUMMYFUNCTION("""COMPUTED_VALUE"""),"")</f>
        <v/>
      </c>
      <c r="F170" s="134" t="str">
        <f ca="1">IFERROR(__xludf.DUMMYFUNCTION("""COMPUTED_VALUE"""),"")</f>
        <v/>
      </c>
      <c r="G170" s="134" t="str">
        <f ca="1">IFERROR(__xludf.DUMMYFUNCTION("""COMPUTED_VALUE"""),"")</f>
        <v/>
      </c>
      <c r="H170" s="134" t="str">
        <f ca="1">IFERROR(__xludf.DUMMYFUNCTION("""COMPUTED_VALUE"""),"")</f>
        <v/>
      </c>
      <c r="I170" s="134" t="str">
        <f ca="1">IFERROR(__xludf.DUMMYFUNCTION("""COMPUTED_VALUE"""),"")</f>
        <v/>
      </c>
      <c r="J170" s="134" t="str">
        <f ca="1">IFERROR(__xludf.DUMMYFUNCTION("""COMPUTED_VALUE"""),"")</f>
        <v/>
      </c>
      <c r="N170" s="31"/>
    </row>
    <row r="171" spans="1:14" customFormat="1">
      <c r="A171" s="134" t="str">
        <f ca="1">IFERROR(__xludf.DUMMYFUNCTION("""COMPUTED_VALUE"""),"")</f>
        <v/>
      </c>
      <c r="B171" s="134" t="str">
        <f ca="1">IFERROR(__xludf.DUMMYFUNCTION("""COMPUTED_VALUE"""),"")</f>
        <v/>
      </c>
      <c r="C171" s="134" t="str">
        <f ca="1">IFERROR(__xludf.DUMMYFUNCTION("""COMPUTED_VALUE"""),"")</f>
        <v/>
      </c>
      <c r="D171" s="134" t="str">
        <f ca="1">IFERROR(__xludf.DUMMYFUNCTION("""COMPUTED_VALUE"""),"")</f>
        <v/>
      </c>
      <c r="E171" s="134" t="str">
        <f ca="1">IFERROR(__xludf.DUMMYFUNCTION("""COMPUTED_VALUE"""),"")</f>
        <v/>
      </c>
      <c r="F171" s="134" t="str">
        <f ca="1">IFERROR(__xludf.DUMMYFUNCTION("""COMPUTED_VALUE"""),"")</f>
        <v/>
      </c>
      <c r="G171" s="134" t="str">
        <f ca="1">IFERROR(__xludf.DUMMYFUNCTION("""COMPUTED_VALUE"""),"")</f>
        <v/>
      </c>
      <c r="H171" s="134" t="str">
        <f ca="1">IFERROR(__xludf.DUMMYFUNCTION("""COMPUTED_VALUE"""),"")</f>
        <v/>
      </c>
      <c r="I171" s="134" t="str">
        <f ca="1">IFERROR(__xludf.DUMMYFUNCTION("""COMPUTED_VALUE"""),"")</f>
        <v/>
      </c>
      <c r="J171" s="134" t="str">
        <f ca="1">IFERROR(__xludf.DUMMYFUNCTION("""COMPUTED_VALUE"""),"")</f>
        <v/>
      </c>
      <c r="N171" s="31"/>
    </row>
    <row r="172" spans="1:14" customFormat="1">
      <c r="A172" s="134" t="str">
        <f ca="1">IFERROR(__xludf.DUMMYFUNCTION("""COMPUTED_VALUE"""),"")</f>
        <v/>
      </c>
      <c r="B172" s="134" t="str">
        <f ca="1">IFERROR(__xludf.DUMMYFUNCTION("""COMPUTED_VALUE"""),"")</f>
        <v/>
      </c>
      <c r="C172" s="134" t="str">
        <f ca="1">IFERROR(__xludf.DUMMYFUNCTION("""COMPUTED_VALUE"""),"")</f>
        <v/>
      </c>
      <c r="D172" s="134" t="str">
        <f ca="1">IFERROR(__xludf.DUMMYFUNCTION("""COMPUTED_VALUE"""),"")</f>
        <v/>
      </c>
      <c r="E172" s="134" t="str">
        <f ca="1">IFERROR(__xludf.DUMMYFUNCTION("""COMPUTED_VALUE"""),"")</f>
        <v/>
      </c>
      <c r="F172" s="134" t="str">
        <f ca="1">IFERROR(__xludf.DUMMYFUNCTION("""COMPUTED_VALUE"""),"")</f>
        <v/>
      </c>
      <c r="G172" s="134" t="str">
        <f ca="1">IFERROR(__xludf.DUMMYFUNCTION("""COMPUTED_VALUE"""),"")</f>
        <v/>
      </c>
      <c r="H172" s="134" t="str">
        <f ca="1">IFERROR(__xludf.DUMMYFUNCTION("""COMPUTED_VALUE"""),"")</f>
        <v/>
      </c>
      <c r="I172" s="134" t="str">
        <f ca="1">IFERROR(__xludf.DUMMYFUNCTION("""COMPUTED_VALUE"""),"")</f>
        <v/>
      </c>
      <c r="J172" s="134" t="str">
        <f ca="1">IFERROR(__xludf.DUMMYFUNCTION("""COMPUTED_VALUE"""),"")</f>
        <v/>
      </c>
      <c r="N172" s="31"/>
    </row>
    <row r="173" spans="1:14" customFormat="1">
      <c r="A173" s="134" t="str">
        <f ca="1">IFERROR(__xludf.DUMMYFUNCTION("""COMPUTED_VALUE"""),"")</f>
        <v/>
      </c>
      <c r="B173" s="134" t="str">
        <f ca="1">IFERROR(__xludf.DUMMYFUNCTION("""COMPUTED_VALUE"""),"")</f>
        <v/>
      </c>
      <c r="C173" s="134" t="str">
        <f ca="1">IFERROR(__xludf.DUMMYFUNCTION("""COMPUTED_VALUE"""),"")</f>
        <v/>
      </c>
      <c r="D173" s="134" t="str">
        <f ca="1">IFERROR(__xludf.DUMMYFUNCTION("""COMPUTED_VALUE"""),"")</f>
        <v/>
      </c>
      <c r="E173" s="134" t="str">
        <f ca="1">IFERROR(__xludf.DUMMYFUNCTION("""COMPUTED_VALUE"""),"")</f>
        <v/>
      </c>
      <c r="F173" s="134" t="str">
        <f ca="1">IFERROR(__xludf.DUMMYFUNCTION("""COMPUTED_VALUE"""),"")</f>
        <v/>
      </c>
      <c r="G173" s="134" t="str">
        <f ca="1">IFERROR(__xludf.DUMMYFUNCTION("""COMPUTED_VALUE"""),"")</f>
        <v/>
      </c>
      <c r="H173" s="134" t="str">
        <f ca="1">IFERROR(__xludf.DUMMYFUNCTION("""COMPUTED_VALUE"""),"")</f>
        <v/>
      </c>
      <c r="I173" s="134" t="str">
        <f ca="1">IFERROR(__xludf.DUMMYFUNCTION("""COMPUTED_VALUE"""),"")</f>
        <v/>
      </c>
      <c r="J173" s="134" t="str">
        <f ca="1">IFERROR(__xludf.DUMMYFUNCTION("""COMPUTED_VALUE"""),"")</f>
        <v/>
      </c>
      <c r="N173" s="31"/>
    </row>
    <row r="174" spans="1:14" customFormat="1">
      <c r="A174" s="134" t="str">
        <f ca="1">IFERROR(__xludf.DUMMYFUNCTION("""COMPUTED_VALUE"""),"")</f>
        <v/>
      </c>
      <c r="B174" s="134" t="str">
        <f ca="1">IFERROR(__xludf.DUMMYFUNCTION("""COMPUTED_VALUE"""),"")</f>
        <v/>
      </c>
      <c r="C174" s="134" t="str">
        <f ca="1">IFERROR(__xludf.DUMMYFUNCTION("""COMPUTED_VALUE"""),"")</f>
        <v/>
      </c>
      <c r="D174" s="134" t="str">
        <f ca="1">IFERROR(__xludf.DUMMYFUNCTION("""COMPUTED_VALUE"""),"")</f>
        <v/>
      </c>
      <c r="E174" s="134" t="str">
        <f ca="1">IFERROR(__xludf.DUMMYFUNCTION("""COMPUTED_VALUE"""),"")</f>
        <v/>
      </c>
      <c r="F174" s="134" t="str">
        <f ca="1">IFERROR(__xludf.DUMMYFUNCTION("""COMPUTED_VALUE"""),"")</f>
        <v/>
      </c>
      <c r="G174" s="134" t="str">
        <f ca="1">IFERROR(__xludf.DUMMYFUNCTION("""COMPUTED_VALUE"""),"")</f>
        <v/>
      </c>
      <c r="H174" s="134" t="str">
        <f ca="1">IFERROR(__xludf.DUMMYFUNCTION("""COMPUTED_VALUE"""),"")</f>
        <v/>
      </c>
      <c r="I174" s="134" t="str">
        <f ca="1">IFERROR(__xludf.DUMMYFUNCTION("""COMPUTED_VALUE"""),"")</f>
        <v/>
      </c>
      <c r="J174" s="134" t="str">
        <f ca="1">IFERROR(__xludf.DUMMYFUNCTION("""COMPUTED_VALUE"""),"")</f>
        <v/>
      </c>
      <c r="N174" s="31"/>
    </row>
    <row r="175" spans="1:14" customFormat="1">
      <c r="A175" s="134" t="str">
        <f ca="1">IFERROR(__xludf.DUMMYFUNCTION("""COMPUTED_VALUE"""),"")</f>
        <v/>
      </c>
      <c r="B175" s="134" t="str">
        <f ca="1">IFERROR(__xludf.DUMMYFUNCTION("""COMPUTED_VALUE"""),"")</f>
        <v/>
      </c>
      <c r="C175" s="134" t="str">
        <f ca="1">IFERROR(__xludf.DUMMYFUNCTION("""COMPUTED_VALUE"""),"")</f>
        <v/>
      </c>
      <c r="D175" s="134" t="str">
        <f ca="1">IFERROR(__xludf.DUMMYFUNCTION("""COMPUTED_VALUE"""),"")</f>
        <v/>
      </c>
      <c r="E175" s="134" t="str">
        <f ca="1">IFERROR(__xludf.DUMMYFUNCTION("""COMPUTED_VALUE"""),"")</f>
        <v/>
      </c>
      <c r="F175" s="134" t="str">
        <f ca="1">IFERROR(__xludf.DUMMYFUNCTION("""COMPUTED_VALUE"""),"")</f>
        <v/>
      </c>
      <c r="G175" s="134" t="str">
        <f ca="1">IFERROR(__xludf.DUMMYFUNCTION("""COMPUTED_VALUE"""),"")</f>
        <v/>
      </c>
      <c r="H175" s="134" t="str">
        <f ca="1">IFERROR(__xludf.DUMMYFUNCTION("""COMPUTED_VALUE"""),"")</f>
        <v/>
      </c>
      <c r="I175" s="134" t="str">
        <f ca="1">IFERROR(__xludf.DUMMYFUNCTION("""COMPUTED_VALUE"""),"")</f>
        <v/>
      </c>
      <c r="J175" s="134" t="str">
        <f ca="1">IFERROR(__xludf.DUMMYFUNCTION("""COMPUTED_VALUE"""),"")</f>
        <v/>
      </c>
      <c r="N175" s="31"/>
    </row>
    <row r="176" spans="1:14" customFormat="1">
      <c r="A176" s="134" t="str">
        <f ca="1">IFERROR(__xludf.DUMMYFUNCTION("""COMPUTED_VALUE"""),"")</f>
        <v/>
      </c>
      <c r="B176" s="134" t="str">
        <f ca="1">IFERROR(__xludf.DUMMYFUNCTION("""COMPUTED_VALUE"""),"")</f>
        <v/>
      </c>
      <c r="C176" s="134" t="str">
        <f ca="1">IFERROR(__xludf.DUMMYFUNCTION("""COMPUTED_VALUE"""),"")</f>
        <v/>
      </c>
      <c r="D176" s="134" t="str">
        <f ca="1">IFERROR(__xludf.DUMMYFUNCTION("""COMPUTED_VALUE"""),"")</f>
        <v/>
      </c>
      <c r="E176" s="134" t="str">
        <f ca="1">IFERROR(__xludf.DUMMYFUNCTION("""COMPUTED_VALUE"""),"")</f>
        <v/>
      </c>
      <c r="F176" s="134" t="str">
        <f ca="1">IFERROR(__xludf.DUMMYFUNCTION("""COMPUTED_VALUE"""),"")</f>
        <v/>
      </c>
      <c r="G176" s="134" t="str">
        <f ca="1">IFERROR(__xludf.DUMMYFUNCTION("""COMPUTED_VALUE"""),"")</f>
        <v/>
      </c>
      <c r="H176" s="134" t="str">
        <f ca="1">IFERROR(__xludf.DUMMYFUNCTION("""COMPUTED_VALUE"""),"")</f>
        <v/>
      </c>
      <c r="I176" s="134" t="str">
        <f ca="1">IFERROR(__xludf.DUMMYFUNCTION("""COMPUTED_VALUE"""),"")</f>
        <v/>
      </c>
      <c r="J176" s="134" t="str">
        <f ca="1">IFERROR(__xludf.DUMMYFUNCTION("""COMPUTED_VALUE"""),"")</f>
        <v/>
      </c>
      <c r="N176" s="31"/>
    </row>
    <row r="177" spans="1:14" customFormat="1">
      <c r="A177" s="134" t="str">
        <f ca="1">IFERROR(__xludf.DUMMYFUNCTION("""COMPUTED_VALUE"""),"")</f>
        <v/>
      </c>
      <c r="B177" s="134" t="str">
        <f ca="1">IFERROR(__xludf.DUMMYFUNCTION("""COMPUTED_VALUE"""),"")</f>
        <v/>
      </c>
      <c r="C177" s="134" t="str">
        <f ca="1">IFERROR(__xludf.DUMMYFUNCTION("""COMPUTED_VALUE"""),"")</f>
        <v/>
      </c>
      <c r="D177" s="134" t="str">
        <f ca="1">IFERROR(__xludf.DUMMYFUNCTION("""COMPUTED_VALUE"""),"")</f>
        <v/>
      </c>
      <c r="E177" s="134" t="str">
        <f ca="1">IFERROR(__xludf.DUMMYFUNCTION("""COMPUTED_VALUE"""),"")</f>
        <v/>
      </c>
      <c r="F177" s="134" t="str">
        <f ca="1">IFERROR(__xludf.DUMMYFUNCTION("""COMPUTED_VALUE"""),"")</f>
        <v/>
      </c>
      <c r="G177" s="134" t="str">
        <f ca="1">IFERROR(__xludf.DUMMYFUNCTION("""COMPUTED_VALUE"""),"")</f>
        <v/>
      </c>
      <c r="H177" s="134" t="str">
        <f ca="1">IFERROR(__xludf.DUMMYFUNCTION("""COMPUTED_VALUE"""),"")</f>
        <v/>
      </c>
      <c r="I177" s="134" t="str">
        <f ca="1">IFERROR(__xludf.DUMMYFUNCTION("""COMPUTED_VALUE"""),"")</f>
        <v/>
      </c>
      <c r="J177" s="134" t="str">
        <f ca="1">IFERROR(__xludf.DUMMYFUNCTION("""COMPUTED_VALUE"""),"")</f>
        <v/>
      </c>
      <c r="N177" s="31"/>
    </row>
    <row r="178" spans="1:14" customFormat="1">
      <c r="A178" s="134" t="str">
        <f ca="1">IFERROR(__xludf.DUMMYFUNCTION("""COMPUTED_VALUE"""),"")</f>
        <v/>
      </c>
      <c r="B178" s="134" t="str">
        <f ca="1">IFERROR(__xludf.DUMMYFUNCTION("""COMPUTED_VALUE"""),"")</f>
        <v/>
      </c>
      <c r="C178" s="134" t="str">
        <f ca="1">IFERROR(__xludf.DUMMYFUNCTION("""COMPUTED_VALUE"""),"")</f>
        <v/>
      </c>
      <c r="D178" s="134" t="str">
        <f ca="1">IFERROR(__xludf.DUMMYFUNCTION("""COMPUTED_VALUE"""),"")</f>
        <v/>
      </c>
      <c r="E178" s="134" t="str">
        <f ca="1">IFERROR(__xludf.DUMMYFUNCTION("""COMPUTED_VALUE"""),"")</f>
        <v/>
      </c>
      <c r="F178" s="134" t="str">
        <f ca="1">IFERROR(__xludf.DUMMYFUNCTION("""COMPUTED_VALUE"""),"")</f>
        <v/>
      </c>
      <c r="G178" s="134" t="str">
        <f ca="1">IFERROR(__xludf.DUMMYFUNCTION("""COMPUTED_VALUE"""),"")</f>
        <v/>
      </c>
      <c r="H178" s="134" t="str">
        <f ca="1">IFERROR(__xludf.DUMMYFUNCTION("""COMPUTED_VALUE"""),"")</f>
        <v/>
      </c>
      <c r="I178" s="134" t="str">
        <f ca="1">IFERROR(__xludf.DUMMYFUNCTION("""COMPUTED_VALUE"""),"")</f>
        <v/>
      </c>
      <c r="J178" s="134" t="str">
        <f ca="1">IFERROR(__xludf.DUMMYFUNCTION("""COMPUTED_VALUE"""),"")</f>
        <v/>
      </c>
      <c r="N178" s="31"/>
    </row>
    <row r="179" spans="1:14" customFormat="1">
      <c r="A179" s="134" t="str">
        <f ca="1">IFERROR(__xludf.DUMMYFUNCTION("""COMPUTED_VALUE"""),"")</f>
        <v/>
      </c>
      <c r="B179" s="134" t="str">
        <f ca="1">IFERROR(__xludf.DUMMYFUNCTION("""COMPUTED_VALUE"""),"")</f>
        <v/>
      </c>
      <c r="C179" s="134" t="str">
        <f ca="1">IFERROR(__xludf.DUMMYFUNCTION("""COMPUTED_VALUE"""),"")</f>
        <v/>
      </c>
      <c r="D179" s="134" t="str">
        <f ca="1">IFERROR(__xludf.DUMMYFUNCTION("""COMPUTED_VALUE"""),"")</f>
        <v/>
      </c>
      <c r="E179" s="134" t="str">
        <f ca="1">IFERROR(__xludf.DUMMYFUNCTION("""COMPUTED_VALUE"""),"")</f>
        <v/>
      </c>
      <c r="F179" s="134" t="str">
        <f ca="1">IFERROR(__xludf.DUMMYFUNCTION("""COMPUTED_VALUE"""),"")</f>
        <v/>
      </c>
      <c r="G179" s="134" t="str">
        <f ca="1">IFERROR(__xludf.DUMMYFUNCTION("""COMPUTED_VALUE"""),"")</f>
        <v/>
      </c>
      <c r="H179" s="134" t="str">
        <f ca="1">IFERROR(__xludf.DUMMYFUNCTION("""COMPUTED_VALUE"""),"")</f>
        <v/>
      </c>
      <c r="I179" s="134" t="str">
        <f ca="1">IFERROR(__xludf.DUMMYFUNCTION("""COMPUTED_VALUE"""),"")</f>
        <v/>
      </c>
      <c r="J179" s="134" t="str">
        <f ca="1">IFERROR(__xludf.DUMMYFUNCTION("""COMPUTED_VALUE"""),"")</f>
        <v/>
      </c>
      <c r="N179" s="31"/>
    </row>
    <row r="180" spans="1:14" customFormat="1">
      <c r="A180" s="134" t="str">
        <f ca="1">IFERROR(__xludf.DUMMYFUNCTION("""COMPUTED_VALUE"""),"")</f>
        <v/>
      </c>
      <c r="B180" s="134" t="str">
        <f ca="1">IFERROR(__xludf.DUMMYFUNCTION("""COMPUTED_VALUE"""),"")</f>
        <v/>
      </c>
      <c r="C180" s="134" t="str">
        <f ca="1">IFERROR(__xludf.DUMMYFUNCTION("""COMPUTED_VALUE"""),"")</f>
        <v/>
      </c>
      <c r="D180" s="134" t="str">
        <f ca="1">IFERROR(__xludf.DUMMYFUNCTION("""COMPUTED_VALUE"""),"")</f>
        <v/>
      </c>
      <c r="E180" s="134" t="str">
        <f ca="1">IFERROR(__xludf.DUMMYFUNCTION("""COMPUTED_VALUE"""),"")</f>
        <v/>
      </c>
      <c r="F180" s="134" t="str">
        <f ca="1">IFERROR(__xludf.DUMMYFUNCTION("""COMPUTED_VALUE"""),"")</f>
        <v/>
      </c>
      <c r="G180" s="134" t="str">
        <f ca="1">IFERROR(__xludf.DUMMYFUNCTION("""COMPUTED_VALUE"""),"")</f>
        <v/>
      </c>
      <c r="H180" s="134" t="str">
        <f ca="1">IFERROR(__xludf.DUMMYFUNCTION("""COMPUTED_VALUE"""),"")</f>
        <v/>
      </c>
      <c r="I180" s="134" t="str">
        <f ca="1">IFERROR(__xludf.DUMMYFUNCTION("""COMPUTED_VALUE"""),"")</f>
        <v/>
      </c>
      <c r="J180" s="134" t="str">
        <f ca="1">IFERROR(__xludf.DUMMYFUNCTION("""COMPUTED_VALUE"""),"")</f>
        <v/>
      </c>
      <c r="N180" s="31"/>
    </row>
    <row r="181" spans="1:14" customFormat="1">
      <c r="A181" s="134" t="str">
        <f ca="1">IFERROR(__xludf.DUMMYFUNCTION("""COMPUTED_VALUE"""),"")</f>
        <v/>
      </c>
      <c r="B181" s="134" t="str">
        <f ca="1">IFERROR(__xludf.DUMMYFUNCTION("""COMPUTED_VALUE"""),"")</f>
        <v/>
      </c>
      <c r="C181" s="134" t="str">
        <f ca="1">IFERROR(__xludf.DUMMYFUNCTION("""COMPUTED_VALUE"""),"")</f>
        <v/>
      </c>
      <c r="D181" s="134" t="str">
        <f ca="1">IFERROR(__xludf.DUMMYFUNCTION("""COMPUTED_VALUE"""),"")</f>
        <v/>
      </c>
      <c r="E181" s="134" t="str">
        <f ca="1">IFERROR(__xludf.DUMMYFUNCTION("""COMPUTED_VALUE"""),"")</f>
        <v/>
      </c>
      <c r="F181" s="134" t="str">
        <f ca="1">IFERROR(__xludf.DUMMYFUNCTION("""COMPUTED_VALUE"""),"")</f>
        <v/>
      </c>
      <c r="G181" s="134" t="str">
        <f ca="1">IFERROR(__xludf.DUMMYFUNCTION("""COMPUTED_VALUE"""),"")</f>
        <v/>
      </c>
      <c r="H181" s="134" t="str">
        <f ca="1">IFERROR(__xludf.DUMMYFUNCTION("""COMPUTED_VALUE"""),"")</f>
        <v/>
      </c>
      <c r="I181" s="134" t="str">
        <f ca="1">IFERROR(__xludf.DUMMYFUNCTION("""COMPUTED_VALUE"""),"")</f>
        <v/>
      </c>
      <c r="J181" s="134" t="str">
        <f ca="1">IFERROR(__xludf.DUMMYFUNCTION("""COMPUTED_VALUE"""),"")</f>
        <v/>
      </c>
      <c r="N181" s="31"/>
    </row>
    <row r="182" spans="1:14" customFormat="1">
      <c r="A182" s="134" t="str">
        <f ca="1">IFERROR(__xludf.DUMMYFUNCTION("""COMPUTED_VALUE"""),"")</f>
        <v/>
      </c>
      <c r="B182" s="134" t="str">
        <f ca="1">IFERROR(__xludf.DUMMYFUNCTION("""COMPUTED_VALUE"""),"")</f>
        <v/>
      </c>
      <c r="C182" s="134" t="str">
        <f ca="1">IFERROR(__xludf.DUMMYFUNCTION("""COMPUTED_VALUE"""),"")</f>
        <v/>
      </c>
      <c r="D182" s="134" t="str">
        <f ca="1">IFERROR(__xludf.DUMMYFUNCTION("""COMPUTED_VALUE"""),"")</f>
        <v/>
      </c>
      <c r="E182" s="134" t="str">
        <f ca="1">IFERROR(__xludf.DUMMYFUNCTION("""COMPUTED_VALUE"""),"")</f>
        <v/>
      </c>
      <c r="F182" s="134" t="str">
        <f ca="1">IFERROR(__xludf.DUMMYFUNCTION("""COMPUTED_VALUE"""),"")</f>
        <v/>
      </c>
      <c r="G182" s="134" t="str">
        <f ca="1">IFERROR(__xludf.DUMMYFUNCTION("""COMPUTED_VALUE"""),"")</f>
        <v/>
      </c>
      <c r="H182" s="134" t="str">
        <f ca="1">IFERROR(__xludf.DUMMYFUNCTION("""COMPUTED_VALUE"""),"")</f>
        <v/>
      </c>
      <c r="I182" s="134" t="str">
        <f ca="1">IFERROR(__xludf.DUMMYFUNCTION("""COMPUTED_VALUE"""),"")</f>
        <v/>
      </c>
      <c r="J182" s="134" t="str">
        <f ca="1">IFERROR(__xludf.DUMMYFUNCTION("""COMPUTED_VALUE"""),"")</f>
        <v/>
      </c>
      <c r="N182" s="31"/>
    </row>
    <row r="183" spans="1:14" customFormat="1">
      <c r="A183" s="134" t="str">
        <f ca="1">IFERROR(__xludf.DUMMYFUNCTION("""COMPUTED_VALUE"""),"")</f>
        <v/>
      </c>
      <c r="B183" s="134" t="str">
        <f ca="1">IFERROR(__xludf.DUMMYFUNCTION("""COMPUTED_VALUE"""),"")</f>
        <v/>
      </c>
      <c r="C183" s="134" t="str">
        <f ca="1">IFERROR(__xludf.DUMMYFUNCTION("""COMPUTED_VALUE"""),"")</f>
        <v/>
      </c>
      <c r="D183" s="134" t="str">
        <f ca="1">IFERROR(__xludf.DUMMYFUNCTION("""COMPUTED_VALUE"""),"")</f>
        <v/>
      </c>
      <c r="E183" s="134" t="str">
        <f ca="1">IFERROR(__xludf.DUMMYFUNCTION("""COMPUTED_VALUE"""),"")</f>
        <v/>
      </c>
      <c r="F183" s="134" t="str">
        <f ca="1">IFERROR(__xludf.DUMMYFUNCTION("""COMPUTED_VALUE"""),"")</f>
        <v/>
      </c>
      <c r="G183" s="134" t="str">
        <f ca="1">IFERROR(__xludf.DUMMYFUNCTION("""COMPUTED_VALUE"""),"")</f>
        <v/>
      </c>
      <c r="H183" s="134" t="str">
        <f ca="1">IFERROR(__xludf.DUMMYFUNCTION("""COMPUTED_VALUE"""),"")</f>
        <v/>
      </c>
      <c r="I183" s="134" t="str">
        <f ca="1">IFERROR(__xludf.DUMMYFUNCTION("""COMPUTED_VALUE"""),"")</f>
        <v/>
      </c>
      <c r="J183" s="134" t="str">
        <f ca="1">IFERROR(__xludf.DUMMYFUNCTION("""COMPUTED_VALUE"""),"")</f>
        <v/>
      </c>
      <c r="N183" s="31"/>
    </row>
    <row r="184" spans="1:14" customFormat="1">
      <c r="A184" s="134" t="str">
        <f ca="1">IFERROR(__xludf.DUMMYFUNCTION("""COMPUTED_VALUE"""),"")</f>
        <v/>
      </c>
      <c r="B184" s="134" t="str">
        <f ca="1">IFERROR(__xludf.DUMMYFUNCTION("""COMPUTED_VALUE"""),"")</f>
        <v/>
      </c>
      <c r="C184" s="134" t="str">
        <f ca="1">IFERROR(__xludf.DUMMYFUNCTION("""COMPUTED_VALUE"""),"")</f>
        <v/>
      </c>
      <c r="D184" s="134" t="str">
        <f ca="1">IFERROR(__xludf.DUMMYFUNCTION("""COMPUTED_VALUE"""),"")</f>
        <v/>
      </c>
      <c r="E184" s="134" t="str">
        <f ca="1">IFERROR(__xludf.DUMMYFUNCTION("""COMPUTED_VALUE"""),"")</f>
        <v/>
      </c>
      <c r="F184" s="134" t="str">
        <f ca="1">IFERROR(__xludf.DUMMYFUNCTION("""COMPUTED_VALUE"""),"")</f>
        <v/>
      </c>
      <c r="G184" s="134" t="str">
        <f ca="1">IFERROR(__xludf.DUMMYFUNCTION("""COMPUTED_VALUE"""),"")</f>
        <v/>
      </c>
      <c r="H184" s="134" t="str">
        <f ca="1">IFERROR(__xludf.DUMMYFUNCTION("""COMPUTED_VALUE"""),"")</f>
        <v/>
      </c>
      <c r="I184" s="134" t="str">
        <f ca="1">IFERROR(__xludf.DUMMYFUNCTION("""COMPUTED_VALUE"""),"")</f>
        <v/>
      </c>
      <c r="J184" s="134" t="str">
        <f ca="1">IFERROR(__xludf.DUMMYFUNCTION("""COMPUTED_VALUE"""),"")</f>
        <v/>
      </c>
      <c r="N184" s="31"/>
    </row>
    <row r="185" spans="1:14" customFormat="1">
      <c r="A185" s="134" t="str">
        <f ca="1">IFERROR(__xludf.DUMMYFUNCTION("""COMPUTED_VALUE"""),"")</f>
        <v/>
      </c>
      <c r="B185" s="134" t="str">
        <f ca="1">IFERROR(__xludf.DUMMYFUNCTION("""COMPUTED_VALUE"""),"")</f>
        <v/>
      </c>
      <c r="C185" s="134" t="str">
        <f ca="1">IFERROR(__xludf.DUMMYFUNCTION("""COMPUTED_VALUE"""),"")</f>
        <v/>
      </c>
      <c r="D185" s="134" t="str">
        <f ca="1">IFERROR(__xludf.DUMMYFUNCTION("""COMPUTED_VALUE"""),"")</f>
        <v/>
      </c>
      <c r="E185" s="134" t="str">
        <f ca="1">IFERROR(__xludf.DUMMYFUNCTION("""COMPUTED_VALUE"""),"")</f>
        <v/>
      </c>
      <c r="F185" s="134" t="str">
        <f ca="1">IFERROR(__xludf.DUMMYFUNCTION("""COMPUTED_VALUE"""),"")</f>
        <v/>
      </c>
      <c r="G185" s="134" t="str">
        <f ca="1">IFERROR(__xludf.DUMMYFUNCTION("""COMPUTED_VALUE"""),"")</f>
        <v/>
      </c>
      <c r="H185" s="134" t="str">
        <f ca="1">IFERROR(__xludf.DUMMYFUNCTION("""COMPUTED_VALUE"""),"")</f>
        <v/>
      </c>
      <c r="I185" s="134" t="str">
        <f ca="1">IFERROR(__xludf.DUMMYFUNCTION("""COMPUTED_VALUE"""),"")</f>
        <v/>
      </c>
      <c r="J185" s="134" t="str">
        <f ca="1">IFERROR(__xludf.DUMMYFUNCTION("""COMPUTED_VALUE"""),"")</f>
        <v/>
      </c>
      <c r="N185" s="31"/>
    </row>
    <row r="186" spans="1:14" customFormat="1">
      <c r="A186" s="134" t="str">
        <f ca="1">IFERROR(__xludf.DUMMYFUNCTION("""COMPUTED_VALUE"""),"")</f>
        <v/>
      </c>
      <c r="B186" s="134" t="str">
        <f ca="1">IFERROR(__xludf.DUMMYFUNCTION("""COMPUTED_VALUE"""),"")</f>
        <v/>
      </c>
      <c r="C186" s="134" t="str">
        <f ca="1">IFERROR(__xludf.DUMMYFUNCTION("""COMPUTED_VALUE"""),"")</f>
        <v/>
      </c>
      <c r="D186" s="134" t="str">
        <f ca="1">IFERROR(__xludf.DUMMYFUNCTION("""COMPUTED_VALUE"""),"")</f>
        <v/>
      </c>
      <c r="E186" s="134" t="str">
        <f ca="1">IFERROR(__xludf.DUMMYFUNCTION("""COMPUTED_VALUE"""),"")</f>
        <v/>
      </c>
      <c r="F186" s="134" t="str">
        <f ca="1">IFERROR(__xludf.DUMMYFUNCTION("""COMPUTED_VALUE"""),"")</f>
        <v/>
      </c>
      <c r="G186" s="134" t="str">
        <f ca="1">IFERROR(__xludf.DUMMYFUNCTION("""COMPUTED_VALUE"""),"")</f>
        <v/>
      </c>
      <c r="H186" s="134" t="str">
        <f ca="1">IFERROR(__xludf.DUMMYFUNCTION("""COMPUTED_VALUE"""),"")</f>
        <v/>
      </c>
      <c r="I186" s="134" t="str">
        <f ca="1">IFERROR(__xludf.DUMMYFUNCTION("""COMPUTED_VALUE"""),"")</f>
        <v/>
      </c>
      <c r="J186" s="134" t="str">
        <f ca="1">IFERROR(__xludf.DUMMYFUNCTION("""COMPUTED_VALUE"""),"")</f>
        <v/>
      </c>
      <c r="N186" s="31"/>
    </row>
    <row r="187" spans="1:14" customFormat="1">
      <c r="A187" s="134" t="str">
        <f ca="1">IFERROR(__xludf.DUMMYFUNCTION("""COMPUTED_VALUE"""),"")</f>
        <v/>
      </c>
      <c r="B187" s="134" t="str">
        <f ca="1">IFERROR(__xludf.DUMMYFUNCTION("""COMPUTED_VALUE"""),"")</f>
        <v/>
      </c>
      <c r="C187" s="134" t="str">
        <f ca="1">IFERROR(__xludf.DUMMYFUNCTION("""COMPUTED_VALUE"""),"")</f>
        <v/>
      </c>
      <c r="D187" s="134" t="str">
        <f ca="1">IFERROR(__xludf.DUMMYFUNCTION("""COMPUTED_VALUE"""),"")</f>
        <v/>
      </c>
      <c r="E187" s="134" t="str">
        <f ca="1">IFERROR(__xludf.DUMMYFUNCTION("""COMPUTED_VALUE"""),"")</f>
        <v/>
      </c>
      <c r="F187" s="134" t="str">
        <f ca="1">IFERROR(__xludf.DUMMYFUNCTION("""COMPUTED_VALUE"""),"")</f>
        <v/>
      </c>
      <c r="G187" s="134" t="str">
        <f ca="1">IFERROR(__xludf.DUMMYFUNCTION("""COMPUTED_VALUE"""),"")</f>
        <v/>
      </c>
      <c r="H187" s="134" t="str">
        <f ca="1">IFERROR(__xludf.DUMMYFUNCTION("""COMPUTED_VALUE"""),"")</f>
        <v/>
      </c>
      <c r="I187" s="134" t="str">
        <f ca="1">IFERROR(__xludf.DUMMYFUNCTION("""COMPUTED_VALUE"""),"")</f>
        <v/>
      </c>
      <c r="J187" s="134" t="str">
        <f ca="1">IFERROR(__xludf.DUMMYFUNCTION("""COMPUTED_VALUE"""),"")</f>
        <v/>
      </c>
      <c r="N187" s="31"/>
    </row>
    <row r="188" spans="1:14" customFormat="1">
      <c r="A188" s="134" t="str">
        <f ca="1">IFERROR(__xludf.DUMMYFUNCTION("""COMPUTED_VALUE"""),"")</f>
        <v/>
      </c>
      <c r="B188" s="134" t="str">
        <f ca="1">IFERROR(__xludf.DUMMYFUNCTION("""COMPUTED_VALUE"""),"")</f>
        <v/>
      </c>
      <c r="C188" s="134" t="str">
        <f ca="1">IFERROR(__xludf.DUMMYFUNCTION("""COMPUTED_VALUE"""),"")</f>
        <v/>
      </c>
      <c r="D188" s="134" t="str">
        <f ca="1">IFERROR(__xludf.DUMMYFUNCTION("""COMPUTED_VALUE"""),"")</f>
        <v/>
      </c>
      <c r="E188" s="134" t="str">
        <f ca="1">IFERROR(__xludf.DUMMYFUNCTION("""COMPUTED_VALUE"""),"")</f>
        <v/>
      </c>
      <c r="F188" s="134" t="str">
        <f ca="1">IFERROR(__xludf.DUMMYFUNCTION("""COMPUTED_VALUE"""),"")</f>
        <v/>
      </c>
      <c r="G188" s="134" t="str">
        <f ca="1">IFERROR(__xludf.DUMMYFUNCTION("""COMPUTED_VALUE"""),"")</f>
        <v/>
      </c>
      <c r="H188" s="134" t="str">
        <f ca="1">IFERROR(__xludf.DUMMYFUNCTION("""COMPUTED_VALUE"""),"")</f>
        <v/>
      </c>
      <c r="I188" s="134" t="str">
        <f ca="1">IFERROR(__xludf.DUMMYFUNCTION("""COMPUTED_VALUE"""),"")</f>
        <v/>
      </c>
      <c r="J188" s="134" t="str">
        <f ca="1">IFERROR(__xludf.DUMMYFUNCTION("""COMPUTED_VALUE"""),"")</f>
        <v/>
      </c>
      <c r="N188" s="31"/>
    </row>
    <row r="189" spans="1:14" customFormat="1">
      <c r="A189" s="134" t="str">
        <f ca="1">IFERROR(__xludf.DUMMYFUNCTION("""COMPUTED_VALUE"""),"")</f>
        <v/>
      </c>
      <c r="B189" s="134" t="str">
        <f ca="1">IFERROR(__xludf.DUMMYFUNCTION("""COMPUTED_VALUE"""),"")</f>
        <v/>
      </c>
      <c r="C189" s="134" t="str">
        <f ca="1">IFERROR(__xludf.DUMMYFUNCTION("""COMPUTED_VALUE"""),"")</f>
        <v/>
      </c>
      <c r="D189" s="134" t="str">
        <f ca="1">IFERROR(__xludf.DUMMYFUNCTION("""COMPUTED_VALUE"""),"")</f>
        <v/>
      </c>
      <c r="E189" s="134" t="str">
        <f ca="1">IFERROR(__xludf.DUMMYFUNCTION("""COMPUTED_VALUE"""),"")</f>
        <v/>
      </c>
      <c r="F189" s="134" t="str">
        <f ca="1">IFERROR(__xludf.DUMMYFUNCTION("""COMPUTED_VALUE"""),"")</f>
        <v/>
      </c>
      <c r="G189" s="134" t="str">
        <f ca="1">IFERROR(__xludf.DUMMYFUNCTION("""COMPUTED_VALUE"""),"")</f>
        <v/>
      </c>
      <c r="H189" s="134" t="str">
        <f ca="1">IFERROR(__xludf.DUMMYFUNCTION("""COMPUTED_VALUE"""),"")</f>
        <v/>
      </c>
      <c r="I189" s="134" t="str">
        <f ca="1">IFERROR(__xludf.DUMMYFUNCTION("""COMPUTED_VALUE"""),"")</f>
        <v/>
      </c>
      <c r="J189" s="134" t="str">
        <f ca="1">IFERROR(__xludf.DUMMYFUNCTION("""COMPUTED_VALUE"""),"")</f>
        <v/>
      </c>
      <c r="N189" s="31"/>
    </row>
    <row r="190" spans="1:14" customFormat="1">
      <c r="A190" s="134" t="str">
        <f ca="1">IFERROR(__xludf.DUMMYFUNCTION("""COMPUTED_VALUE"""),"")</f>
        <v/>
      </c>
      <c r="B190" s="134" t="str">
        <f ca="1">IFERROR(__xludf.DUMMYFUNCTION("""COMPUTED_VALUE"""),"")</f>
        <v/>
      </c>
      <c r="C190" s="134" t="str">
        <f ca="1">IFERROR(__xludf.DUMMYFUNCTION("""COMPUTED_VALUE"""),"")</f>
        <v/>
      </c>
      <c r="D190" s="134" t="str">
        <f ca="1">IFERROR(__xludf.DUMMYFUNCTION("""COMPUTED_VALUE"""),"")</f>
        <v/>
      </c>
      <c r="E190" s="134" t="str">
        <f ca="1">IFERROR(__xludf.DUMMYFUNCTION("""COMPUTED_VALUE"""),"")</f>
        <v/>
      </c>
      <c r="F190" s="134" t="str">
        <f ca="1">IFERROR(__xludf.DUMMYFUNCTION("""COMPUTED_VALUE"""),"")</f>
        <v/>
      </c>
      <c r="G190" s="134" t="str">
        <f ca="1">IFERROR(__xludf.DUMMYFUNCTION("""COMPUTED_VALUE"""),"")</f>
        <v/>
      </c>
      <c r="H190" s="134" t="str">
        <f ca="1">IFERROR(__xludf.DUMMYFUNCTION("""COMPUTED_VALUE"""),"")</f>
        <v/>
      </c>
      <c r="I190" s="134" t="str">
        <f ca="1">IFERROR(__xludf.DUMMYFUNCTION("""COMPUTED_VALUE"""),"")</f>
        <v/>
      </c>
      <c r="J190" s="134" t="str">
        <f ca="1">IFERROR(__xludf.DUMMYFUNCTION("""COMPUTED_VALUE"""),"")</f>
        <v/>
      </c>
      <c r="N190" s="31"/>
    </row>
    <row r="191" spans="1:14" customFormat="1">
      <c r="A191" s="134" t="str">
        <f ca="1">IFERROR(__xludf.DUMMYFUNCTION("""COMPUTED_VALUE"""),"")</f>
        <v/>
      </c>
      <c r="B191" s="134" t="str">
        <f ca="1">IFERROR(__xludf.DUMMYFUNCTION("""COMPUTED_VALUE"""),"")</f>
        <v/>
      </c>
      <c r="C191" s="134" t="str">
        <f ca="1">IFERROR(__xludf.DUMMYFUNCTION("""COMPUTED_VALUE"""),"")</f>
        <v/>
      </c>
      <c r="D191" s="134" t="str">
        <f ca="1">IFERROR(__xludf.DUMMYFUNCTION("""COMPUTED_VALUE"""),"")</f>
        <v/>
      </c>
      <c r="E191" s="134" t="str">
        <f ca="1">IFERROR(__xludf.DUMMYFUNCTION("""COMPUTED_VALUE"""),"")</f>
        <v/>
      </c>
      <c r="F191" s="134" t="str">
        <f ca="1">IFERROR(__xludf.DUMMYFUNCTION("""COMPUTED_VALUE"""),"")</f>
        <v/>
      </c>
      <c r="G191" s="134" t="str">
        <f ca="1">IFERROR(__xludf.DUMMYFUNCTION("""COMPUTED_VALUE"""),"")</f>
        <v/>
      </c>
      <c r="H191" s="134" t="str">
        <f ca="1">IFERROR(__xludf.DUMMYFUNCTION("""COMPUTED_VALUE"""),"")</f>
        <v/>
      </c>
      <c r="I191" s="134" t="str">
        <f ca="1">IFERROR(__xludf.DUMMYFUNCTION("""COMPUTED_VALUE"""),"")</f>
        <v/>
      </c>
      <c r="J191" s="134" t="str">
        <f ca="1">IFERROR(__xludf.DUMMYFUNCTION("""COMPUTED_VALUE"""),"")</f>
        <v/>
      </c>
      <c r="N191" s="31"/>
    </row>
    <row r="192" spans="1:14" customFormat="1">
      <c r="A192" s="134" t="str">
        <f ca="1">IFERROR(__xludf.DUMMYFUNCTION("""COMPUTED_VALUE"""),"")</f>
        <v/>
      </c>
      <c r="B192" s="134" t="str">
        <f ca="1">IFERROR(__xludf.DUMMYFUNCTION("""COMPUTED_VALUE"""),"")</f>
        <v/>
      </c>
      <c r="C192" s="134" t="str">
        <f ca="1">IFERROR(__xludf.DUMMYFUNCTION("""COMPUTED_VALUE"""),"")</f>
        <v/>
      </c>
      <c r="D192" s="134" t="str">
        <f ca="1">IFERROR(__xludf.DUMMYFUNCTION("""COMPUTED_VALUE"""),"")</f>
        <v/>
      </c>
      <c r="E192" s="134" t="str">
        <f ca="1">IFERROR(__xludf.DUMMYFUNCTION("""COMPUTED_VALUE"""),"")</f>
        <v/>
      </c>
      <c r="F192" s="134" t="str">
        <f ca="1">IFERROR(__xludf.DUMMYFUNCTION("""COMPUTED_VALUE"""),"")</f>
        <v/>
      </c>
      <c r="G192" s="134" t="str">
        <f ca="1">IFERROR(__xludf.DUMMYFUNCTION("""COMPUTED_VALUE"""),"")</f>
        <v/>
      </c>
      <c r="H192" s="134" t="str">
        <f ca="1">IFERROR(__xludf.DUMMYFUNCTION("""COMPUTED_VALUE"""),"")</f>
        <v/>
      </c>
      <c r="I192" s="134" t="str">
        <f ca="1">IFERROR(__xludf.DUMMYFUNCTION("""COMPUTED_VALUE"""),"")</f>
        <v/>
      </c>
      <c r="J192" s="134" t="str">
        <f ca="1">IFERROR(__xludf.DUMMYFUNCTION("""COMPUTED_VALUE"""),"")</f>
        <v/>
      </c>
      <c r="N192" s="31"/>
    </row>
    <row r="193" spans="1:14" customFormat="1">
      <c r="A193" s="134" t="str">
        <f ca="1">IFERROR(__xludf.DUMMYFUNCTION("""COMPUTED_VALUE"""),"")</f>
        <v/>
      </c>
      <c r="B193" s="134" t="str">
        <f ca="1">IFERROR(__xludf.DUMMYFUNCTION("""COMPUTED_VALUE"""),"")</f>
        <v/>
      </c>
      <c r="C193" s="134" t="str">
        <f ca="1">IFERROR(__xludf.DUMMYFUNCTION("""COMPUTED_VALUE"""),"")</f>
        <v/>
      </c>
      <c r="D193" s="134" t="str">
        <f ca="1">IFERROR(__xludf.DUMMYFUNCTION("""COMPUTED_VALUE"""),"")</f>
        <v/>
      </c>
      <c r="E193" s="134" t="str">
        <f ca="1">IFERROR(__xludf.DUMMYFUNCTION("""COMPUTED_VALUE"""),"")</f>
        <v/>
      </c>
      <c r="F193" s="134" t="str">
        <f ca="1">IFERROR(__xludf.DUMMYFUNCTION("""COMPUTED_VALUE"""),"")</f>
        <v/>
      </c>
      <c r="G193" s="134" t="str">
        <f ca="1">IFERROR(__xludf.DUMMYFUNCTION("""COMPUTED_VALUE"""),"")</f>
        <v/>
      </c>
      <c r="H193" s="134" t="str">
        <f ca="1">IFERROR(__xludf.DUMMYFUNCTION("""COMPUTED_VALUE"""),"")</f>
        <v/>
      </c>
      <c r="I193" s="134" t="str">
        <f ca="1">IFERROR(__xludf.DUMMYFUNCTION("""COMPUTED_VALUE"""),"")</f>
        <v/>
      </c>
      <c r="J193" s="134" t="str">
        <f ca="1">IFERROR(__xludf.DUMMYFUNCTION("""COMPUTED_VALUE"""),"")</f>
        <v/>
      </c>
      <c r="N193" s="31"/>
    </row>
    <row r="194" spans="1:14" customFormat="1">
      <c r="A194" s="134" t="str">
        <f ca="1">IFERROR(__xludf.DUMMYFUNCTION("""COMPUTED_VALUE"""),"")</f>
        <v/>
      </c>
      <c r="B194" s="134" t="str">
        <f ca="1">IFERROR(__xludf.DUMMYFUNCTION("""COMPUTED_VALUE"""),"")</f>
        <v/>
      </c>
      <c r="C194" s="134" t="str">
        <f ca="1">IFERROR(__xludf.DUMMYFUNCTION("""COMPUTED_VALUE"""),"")</f>
        <v/>
      </c>
      <c r="D194" s="134" t="str">
        <f ca="1">IFERROR(__xludf.DUMMYFUNCTION("""COMPUTED_VALUE"""),"")</f>
        <v/>
      </c>
      <c r="E194" s="134" t="str">
        <f ca="1">IFERROR(__xludf.DUMMYFUNCTION("""COMPUTED_VALUE"""),"")</f>
        <v/>
      </c>
      <c r="F194" s="134" t="str">
        <f ca="1">IFERROR(__xludf.DUMMYFUNCTION("""COMPUTED_VALUE"""),"")</f>
        <v/>
      </c>
      <c r="G194" s="134" t="str">
        <f ca="1">IFERROR(__xludf.DUMMYFUNCTION("""COMPUTED_VALUE"""),"")</f>
        <v/>
      </c>
      <c r="H194" s="134" t="str">
        <f ca="1">IFERROR(__xludf.DUMMYFUNCTION("""COMPUTED_VALUE"""),"")</f>
        <v/>
      </c>
      <c r="I194" s="134" t="str">
        <f ca="1">IFERROR(__xludf.DUMMYFUNCTION("""COMPUTED_VALUE"""),"")</f>
        <v/>
      </c>
      <c r="J194" s="134" t="str">
        <f ca="1">IFERROR(__xludf.DUMMYFUNCTION("""COMPUTED_VALUE"""),"")</f>
        <v/>
      </c>
      <c r="N194" s="31"/>
    </row>
    <row r="195" spans="1:14" customFormat="1">
      <c r="A195" s="134" t="str">
        <f ca="1">IFERROR(__xludf.DUMMYFUNCTION("""COMPUTED_VALUE"""),"")</f>
        <v/>
      </c>
      <c r="B195" s="134" t="str">
        <f ca="1">IFERROR(__xludf.DUMMYFUNCTION("""COMPUTED_VALUE"""),"")</f>
        <v/>
      </c>
      <c r="C195" s="134" t="str">
        <f ca="1">IFERROR(__xludf.DUMMYFUNCTION("""COMPUTED_VALUE"""),"")</f>
        <v/>
      </c>
      <c r="D195" s="134" t="str">
        <f ca="1">IFERROR(__xludf.DUMMYFUNCTION("""COMPUTED_VALUE"""),"")</f>
        <v/>
      </c>
      <c r="E195" s="134" t="str">
        <f ca="1">IFERROR(__xludf.DUMMYFUNCTION("""COMPUTED_VALUE"""),"")</f>
        <v/>
      </c>
      <c r="F195" s="134" t="str">
        <f ca="1">IFERROR(__xludf.DUMMYFUNCTION("""COMPUTED_VALUE"""),"")</f>
        <v/>
      </c>
      <c r="G195" s="134" t="str">
        <f ca="1">IFERROR(__xludf.DUMMYFUNCTION("""COMPUTED_VALUE"""),"")</f>
        <v/>
      </c>
      <c r="H195" s="134" t="str">
        <f ca="1">IFERROR(__xludf.DUMMYFUNCTION("""COMPUTED_VALUE"""),"")</f>
        <v/>
      </c>
      <c r="I195" s="134" t="str">
        <f ca="1">IFERROR(__xludf.DUMMYFUNCTION("""COMPUTED_VALUE"""),"")</f>
        <v/>
      </c>
      <c r="J195" s="134" t="str">
        <f ca="1">IFERROR(__xludf.DUMMYFUNCTION("""COMPUTED_VALUE"""),"")</f>
        <v/>
      </c>
      <c r="N195" s="31"/>
    </row>
    <row r="196" spans="1:14" customFormat="1">
      <c r="A196" s="134" t="str">
        <f ca="1">IFERROR(__xludf.DUMMYFUNCTION("""COMPUTED_VALUE"""),"")</f>
        <v/>
      </c>
      <c r="B196" s="134" t="str">
        <f ca="1">IFERROR(__xludf.DUMMYFUNCTION("""COMPUTED_VALUE"""),"")</f>
        <v/>
      </c>
      <c r="C196" s="134" t="str">
        <f ca="1">IFERROR(__xludf.DUMMYFUNCTION("""COMPUTED_VALUE"""),"")</f>
        <v/>
      </c>
      <c r="D196" s="134" t="str">
        <f ca="1">IFERROR(__xludf.DUMMYFUNCTION("""COMPUTED_VALUE"""),"")</f>
        <v/>
      </c>
      <c r="E196" s="134" t="str">
        <f ca="1">IFERROR(__xludf.DUMMYFUNCTION("""COMPUTED_VALUE"""),"")</f>
        <v/>
      </c>
      <c r="F196" s="134" t="str">
        <f ca="1">IFERROR(__xludf.DUMMYFUNCTION("""COMPUTED_VALUE"""),"")</f>
        <v/>
      </c>
      <c r="G196" s="134" t="str">
        <f ca="1">IFERROR(__xludf.DUMMYFUNCTION("""COMPUTED_VALUE"""),"")</f>
        <v/>
      </c>
      <c r="H196" s="134" t="str">
        <f ca="1">IFERROR(__xludf.DUMMYFUNCTION("""COMPUTED_VALUE"""),"")</f>
        <v/>
      </c>
      <c r="I196" s="134" t="str">
        <f ca="1">IFERROR(__xludf.DUMMYFUNCTION("""COMPUTED_VALUE"""),"")</f>
        <v/>
      </c>
      <c r="J196" s="134" t="str">
        <f ca="1">IFERROR(__xludf.DUMMYFUNCTION("""COMPUTED_VALUE"""),"")</f>
        <v/>
      </c>
      <c r="N196" s="31"/>
    </row>
    <row r="197" spans="1:14" customFormat="1">
      <c r="A197" s="134" t="str">
        <f ca="1">IFERROR(__xludf.DUMMYFUNCTION("""COMPUTED_VALUE"""),"")</f>
        <v/>
      </c>
      <c r="B197" s="134" t="str">
        <f ca="1">IFERROR(__xludf.DUMMYFUNCTION("""COMPUTED_VALUE"""),"")</f>
        <v/>
      </c>
      <c r="C197" s="134" t="str">
        <f ca="1">IFERROR(__xludf.DUMMYFUNCTION("""COMPUTED_VALUE"""),"")</f>
        <v/>
      </c>
      <c r="D197" s="134" t="str">
        <f ca="1">IFERROR(__xludf.DUMMYFUNCTION("""COMPUTED_VALUE"""),"")</f>
        <v/>
      </c>
      <c r="E197" s="134" t="str">
        <f ca="1">IFERROR(__xludf.DUMMYFUNCTION("""COMPUTED_VALUE"""),"")</f>
        <v/>
      </c>
      <c r="F197" s="134" t="str">
        <f ca="1">IFERROR(__xludf.DUMMYFUNCTION("""COMPUTED_VALUE"""),"")</f>
        <v/>
      </c>
      <c r="G197" s="134" t="str">
        <f ca="1">IFERROR(__xludf.DUMMYFUNCTION("""COMPUTED_VALUE"""),"")</f>
        <v/>
      </c>
      <c r="H197" s="134" t="str">
        <f ca="1">IFERROR(__xludf.DUMMYFUNCTION("""COMPUTED_VALUE"""),"")</f>
        <v/>
      </c>
      <c r="I197" s="134" t="str">
        <f ca="1">IFERROR(__xludf.DUMMYFUNCTION("""COMPUTED_VALUE"""),"")</f>
        <v/>
      </c>
      <c r="J197" s="134" t="str">
        <f ca="1">IFERROR(__xludf.DUMMYFUNCTION("""COMPUTED_VALUE"""),"")</f>
        <v/>
      </c>
      <c r="N197" s="31"/>
    </row>
    <row r="198" spans="1:14" customFormat="1">
      <c r="A198" s="134" t="str">
        <f ca="1">IFERROR(__xludf.DUMMYFUNCTION("""COMPUTED_VALUE"""),"")</f>
        <v/>
      </c>
      <c r="B198" s="134" t="str">
        <f ca="1">IFERROR(__xludf.DUMMYFUNCTION("""COMPUTED_VALUE"""),"")</f>
        <v/>
      </c>
      <c r="C198" s="134" t="str">
        <f ca="1">IFERROR(__xludf.DUMMYFUNCTION("""COMPUTED_VALUE"""),"")</f>
        <v/>
      </c>
      <c r="D198" s="134" t="str">
        <f ca="1">IFERROR(__xludf.DUMMYFUNCTION("""COMPUTED_VALUE"""),"")</f>
        <v/>
      </c>
      <c r="E198" s="134" t="str">
        <f ca="1">IFERROR(__xludf.DUMMYFUNCTION("""COMPUTED_VALUE"""),"")</f>
        <v/>
      </c>
      <c r="F198" s="134" t="str">
        <f ca="1">IFERROR(__xludf.DUMMYFUNCTION("""COMPUTED_VALUE"""),"")</f>
        <v/>
      </c>
      <c r="G198" s="134" t="str">
        <f ca="1">IFERROR(__xludf.DUMMYFUNCTION("""COMPUTED_VALUE"""),"")</f>
        <v/>
      </c>
      <c r="H198" s="134" t="str">
        <f ca="1">IFERROR(__xludf.DUMMYFUNCTION("""COMPUTED_VALUE"""),"")</f>
        <v/>
      </c>
      <c r="I198" s="134" t="str">
        <f ca="1">IFERROR(__xludf.DUMMYFUNCTION("""COMPUTED_VALUE"""),"")</f>
        <v/>
      </c>
      <c r="J198" s="134" t="str">
        <f ca="1">IFERROR(__xludf.DUMMYFUNCTION("""COMPUTED_VALUE"""),"")</f>
        <v/>
      </c>
      <c r="N198" s="31"/>
    </row>
    <row r="199" spans="1:14" customFormat="1">
      <c r="A199" s="134" t="str">
        <f ca="1">IFERROR(__xludf.DUMMYFUNCTION("""COMPUTED_VALUE"""),"")</f>
        <v/>
      </c>
      <c r="B199" s="134" t="str">
        <f ca="1">IFERROR(__xludf.DUMMYFUNCTION("""COMPUTED_VALUE"""),"")</f>
        <v/>
      </c>
      <c r="C199" s="134" t="str">
        <f ca="1">IFERROR(__xludf.DUMMYFUNCTION("""COMPUTED_VALUE"""),"")</f>
        <v/>
      </c>
      <c r="D199" s="134" t="str">
        <f ca="1">IFERROR(__xludf.DUMMYFUNCTION("""COMPUTED_VALUE"""),"")</f>
        <v/>
      </c>
      <c r="E199" s="134" t="str">
        <f ca="1">IFERROR(__xludf.DUMMYFUNCTION("""COMPUTED_VALUE"""),"")</f>
        <v/>
      </c>
      <c r="F199" s="134" t="str">
        <f ca="1">IFERROR(__xludf.DUMMYFUNCTION("""COMPUTED_VALUE"""),"")</f>
        <v/>
      </c>
      <c r="G199" s="134" t="str">
        <f ca="1">IFERROR(__xludf.DUMMYFUNCTION("""COMPUTED_VALUE"""),"")</f>
        <v/>
      </c>
      <c r="H199" s="134" t="str">
        <f ca="1">IFERROR(__xludf.DUMMYFUNCTION("""COMPUTED_VALUE"""),"")</f>
        <v/>
      </c>
      <c r="I199" s="134" t="str">
        <f ca="1">IFERROR(__xludf.DUMMYFUNCTION("""COMPUTED_VALUE"""),"")</f>
        <v/>
      </c>
      <c r="J199" s="134" t="str">
        <f ca="1">IFERROR(__xludf.DUMMYFUNCTION("""COMPUTED_VALUE"""),"")</f>
        <v/>
      </c>
      <c r="N199" s="31"/>
    </row>
    <row r="200" spans="1:14" customFormat="1">
      <c r="A200" s="134" t="str">
        <f ca="1">IFERROR(__xludf.DUMMYFUNCTION("""COMPUTED_VALUE"""),"")</f>
        <v/>
      </c>
      <c r="B200" s="134" t="str">
        <f ca="1">IFERROR(__xludf.DUMMYFUNCTION("""COMPUTED_VALUE"""),"")</f>
        <v/>
      </c>
      <c r="C200" s="134" t="str">
        <f ca="1">IFERROR(__xludf.DUMMYFUNCTION("""COMPUTED_VALUE"""),"")</f>
        <v/>
      </c>
      <c r="D200" s="134" t="str">
        <f ca="1">IFERROR(__xludf.DUMMYFUNCTION("""COMPUTED_VALUE"""),"")</f>
        <v/>
      </c>
      <c r="E200" s="134" t="str">
        <f ca="1">IFERROR(__xludf.DUMMYFUNCTION("""COMPUTED_VALUE"""),"")</f>
        <v/>
      </c>
      <c r="F200" s="134" t="str">
        <f ca="1">IFERROR(__xludf.DUMMYFUNCTION("""COMPUTED_VALUE"""),"")</f>
        <v/>
      </c>
      <c r="G200" s="134" t="str">
        <f ca="1">IFERROR(__xludf.DUMMYFUNCTION("""COMPUTED_VALUE"""),"")</f>
        <v/>
      </c>
      <c r="H200" s="134" t="str">
        <f ca="1">IFERROR(__xludf.DUMMYFUNCTION("""COMPUTED_VALUE"""),"")</f>
        <v/>
      </c>
      <c r="I200" s="134" t="str">
        <f ca="1">IFERROR(__xludf.DUMMYFUNCTION("""COMPUTED_VALUE"""),"")</f>
        <v/>
      </c>
      <c r="J200" s="134" t="str">
        <f ca="1">IFERROR(__xludf.DUMMYFUNCTION("""COMPUTED_VALUE"""),"")</f>
        <v/>
      </c>
      <c r="N200" s="31"/>
    </row>
    <row r="201" spans="1:14" customFormat="1">
      <c r="A201" s="134" t="str">
        <f ca="1">IFERROR(__xludf.DUMMYFUNCTION("""COMPUTED_VALUE"""),"")</f>
        <v/>
      </c>
      <c r="B201" s="134" t="str">
        <f ca="1">IFERROR(__xludf.DUMMYFUNCTION("""COMPUTED_VALUE"""),"")</f>
        <v/>
      </c>
      <c r="C201" s="134" t="str">
        <f ca="1">IFERROR(__xludf.DUMMYFUNCTION("""COMPUTED_VALUE"""),"")</f>
        <v/>
      </c>
      <c r="D201" s="134" t="str">
        <f ca="1">IFERROR(__xludf.DUMMYFUNCTION("""COMPUTED_VALUE"""),"")</f>
        <v/>
      </c>
      <c r="E201" s="134" t="str">
        <f ca="1">IFERROR(__xludf.DUMMYFUNCTION("""COMPUTED_VALUE"""),"")</f>
        <v/>
      </c>
      <c r="F201" s="134" t="str">
        <f ca="1">IFERROR(__xludf.DUMMYFUNCTION("""COMPUTED_VALUE"""),"")</f>
        <v/>
      </c>
      <c r="G201" s="134" t="str">
        <f ca="1">IFERROR(__xludf.DUMMYFUNCTION("""COMPUTED_VALUE"""),"")</f>
        <v/>
      </c>
      <c r="H201" s="134" t="str">
        <f ca="1">IFERROR(__xludf.DUMMYFUNCTION("""COMPUTED_VALUE"""),"")</f>
        <v/>
      </c>
      <c r="I201" s="134" t="str">
        <f ca="1">IFERROR(__xludf.DUMMYFUNCTION("""COMPUTED_VALUE"""),"")</f>
        <v/>
      </c>
      <c r="J201" s="134" t="str">
        <f ca="1">IFERROR(__xludf.DUMMYFUNCTION("""COMPUTED_VALUE"""),"")</f>
        <v/>
      </c>
      <c r="N201" s="31"/>
    </row>
    <row r="202" spans="1:14" customFormat="1">
      <c r="A202" s="134" t="str">
        <f ca="1">IFERROR(__xludf.DUMMYFUNCTION("""COMPUTED_VALUE"""),"")</f>
        <v/>
      </c>
      <c r="B202" s="134" t="str">
        <f ca="1">IFERROR(__xludf.DUMMYFUNCTION("""COMPUTED_VALUE"""),"")</f>
        <v/>
      </c>
      <c r="C202" s="134" t="str">
        <f ca="1">IFERROR(__xludf.DUMMYFUNCTION("""COMPUTED_VALUE"""),"")</f>
        <v/>
      </c>
      <c r="D202" s="134" t="str">
        <f ca="1">IFERROR(__xludf.DUMMYFUNCTION("""COMPUTED_VALUE"""),"")</f>
        <v/>
      </c>
      <c r="E202" s="134" t="str">
        <f ca="1">IFERROR(__xludf.DUMMYFUNCTION("""COMPUTED_VALUE"""),"")</f>
        <v/>
      </c>
      <c r="F202" s="134" t="str">
        <f ca="1">IFERROR(__xludf.DUMMYFUNCTION("""COMPUTED_VALUE"""),"")</f>
        <v/>
      </c>
      <c r="G202" s="134" t="str">
        <f ca="1">IFERROR(__xludf.DUMMYFUNCTION("""COMPUTED_VALUE"""),"")</f>
        <v/>
      </c>
      <c r="H202" s="134" t="str">
        <f ca="1">IFERROR(__xludf.DUMMYFUNCTION("""COMPUTED_VALUE"""),"")</f>
        <v/>
      </c>
      <c r="I202" s="134" t="str">
        <f ca="1">IFERROR(__xludf.DUMMYFUNCTION("""COMPUTED_VALUE"""),"")</f>
        <v/>
      </c>
      <c r="J202" s="134" t="str">
        <f ca="1">IFERROR(__xludf.DUMMYFUNCTION("""COMPUTED_VALUE"""),"")</f>
        <v/>
      </c>
      <c r="N202" s="31"/>
    </row>
    <row r="203" spans="1:14" customFormat="1">
      <c r="A203" s="134" t="str">
        <f ca="1">IFERROR(__xludf.DUMMYFUNCTION("""COMPUTED_VALUE"""),"")</f>
        <v/>
      </c>
      <c r="B203" s="134" t="str">
        <f ca="1">IFERROR(__xludf.DUMMYFUNCTION("""COMPUTED_VALUE"""),"")</f>
        <v/>
      </c>
      <c r="C203" s="134" t="str">
        <f ca="1">IFERROR(__xludf.DUMMYFUNCTION("""COMPUTED_VALUE"""),"")</f>
        <v/>
      </c>
      <c r="D203" s="134" t="str">
        <f ca="1">IFERROR(__xludf.DUMMYFUNCTION("""COMPUTED_VALUE"""),"")</f>
        <v/>
      </c>
      <c r="E203" s="134" t="str">
        <f ca="1">IFERROR(__xludf.DUMMYFUNCTION("""COMPUTED_VALUE"""),"")</f>
        <v/>
      </c>
      <c r="F203" s="134" t="str">
        <f ca="1">IFERROR(__xludf.DUMMYFUNCTION("""COMPUTED_VALUE"""),"")</f>
        <v/>
      </c>
      <c r="G203" s="134" t="str">
        <f ca="1">IFERROR(__xludf.DUMMYFUNCTION("""COMPUTED_VALUE"""),"")</f>
        <v/>
      </c>
      <c r="H203" s="134" t="str">
        <f ca="1">IFERROR(__xludf.DUMMYFUNCTION("""COMPUTED_VALUE"""),"")</f>
        <v/>
      </c>
      <c r="I203" s="134" t="str">
        <f ca="1">IFERROR(__xludf.DUMMYFUNCTION("""COMPUTED_VALUE"""),"")</f>
        <v/>
      </c>
      <c r="J203" s="134" t="str">
        <f ca="1">IFERROR(__xludf.DUMMYFUNCTION("""COMPUTED_VALUE"""),"")</f>
        <v/>
      </c>
      <c r="N203" s="31"/>
    </row>
    <row r="204" spans="1:14" customFormat="1">
      <c r="A204" s="134" t="str">
        <f ca="1">IFERROR(__xludf.DUMMYFUNCTION("""COMPUTED_VALUE"""),"")</f>
        <v/>
      </c>
      <c r="B204" s="134" t="str">
        <f ca="1">IFERROR(__xludf.DUMMYFUNCTION("""COMPUTED_VALUE"""),"")</f>
        <v/>
      </c>
      <c r="C204" s="134" t="str">
        <f ca="1">IFERROR(__xludf.DUMMYFUNCTION("""COMPUTED_VALUE"""),"")</f>
        <v/>
      </c>
      <c r="D204" s="134" t="str">
        <f ca="1">IFERROR(__xludf.DUMMYFUNCTION("""COMPUTED_VALUE"""),"")</f>
        <v/>
      </c>
      <c r="E204" s="134" t="str">
        <f ca="1">IFERROR(__xludf.DUMMYFUNCTION("""COMPUTED_VALUE"""),"")</f>
        <v/>
      </c>
      <c r="F204" s="134" t="str">
        <f ca="1">IFERROR(__xludf.DUMMYFUNCTION("""COMPUTED_VALUE"""),"")</f>
        <v/>
      </c>
      <c r="G204" s="134" t="str">
        <f ca="1">IFERROR(__xludf.DUMMYFUNCTION("""COMPUTED_VALUE"""),"")</f>
        <v/>
      </c>
      <c r="H204" s="134" t="str">
        <f ca="1">IFERROR(__xludf.DUMMYFUNCTION("""COMPUTED_VALUE"""),"")</f>
        <v/>
      </c>
      <c r="I204" s="134" t="str">
        <f ca="1">IFERROR(__xludf.DUMMYFUNCTION("""COMPUTED_VALUE"""),"")</f>
        <v/>
      </c>
      <c r="J204" s="134" t="str">
        <f ca="1">IFERROR(__xludf.DUMMYFUNCTION("""COMPUTED_VALUE"""),"")</f>
        <v/>
      </c>
      <c r="N204" s="31"/>
    </row>
    <row r="205" spans="1:14" customFormat="1">
      <c r="A205" s="134" t="str">
        <f ca="1">IFERROR(__xludf.DUMMYFUNCTION("""COMPUTED_VALUE"""),"")</f>
        <v/>
      </c>
      <c r="B205" s="134" t="str">
        <f ca="1">IFERROR(__xludf.DUMMYFUNCTION("""COMPUTED_VALUE"""),"")</f>
        <v/>
      </c>
      <c r="C205" s="134" t="str">
        <f ca="1">IFERROR(__xludf.DUMMYFUNCTION("""COMPUTED_VALUE"""),"")</f>
        <v/>
      </c>
      <c r="D205" s="134" t="str">
        <f ca="1">IFERROR(__xludf.DUMMYFUNCTION("""COMPUTED_VALUE"""),"")</f>
        <v/>
      </c>
      <c r="E205" s="134" t="str">
        <f ca="1">IFERROR(__xludf.DUMMYFUNCTION("""COMPUTED_VALUE"""),"")</f>
        <v/>
      </c>
      <c r="F205" s="134" t="str">
        <f ca="1">IFERROR(__xludf.DUMMYFUNCTION("""COMPUTED_VALUE"""),"")</f>
        <v/>
      </c>
      <c r="G205" s="134" t="str">
        <f ca="1">IFERROR(__xludf.DUMMYFUNCTION("""COMPUTED_VALUE"""),"")</f>
        <v/>
      </c>
      <c r="H205" s="134" t="str">
        <f ca="1">IFERROR(__xludf.DUMMYFUNCTION("""COMPUTED_VALUE"""),"")</f>
        <v/>
      </c>
      <c r="I205" s="134" t="str">
        <f ca="1">IFERROR(__xludf.DUMMYFUNCTION("""COMPUTED_VALUE"""),"")</f>
        <v/>
      </c>
      <c r="J205" s="134" t="str">
        <f ca="1">IFERROR(__xludf.DUMMYFUNCTION("""COMPUTED_VALUE"""),"")</f>
        <v/>
      </c>
      <c r="N205" s="31"/>
    </row>
    <row r="206" spans="1:14" customFormat="1">
      <c r="A206" s="134" t="str">
        <f ca="1">IFERROR(__xludf.DUMMYFUNCTION("""COMPUTED_VALUE"""),"")</f>
        <v/>
      </c>
      <c r="B206" s="134" t="str">
        <f ca="1">IFERROR(__xludf.DUMMYFUNCTION("""COMPUTED_VALUE"""),"")</f>
        <v/>
      </c>
      <c r="C206" s="134" t="str">
        <f ca="1">IFERROR(__xludf.DUMMYFUNCTION("""COMPUTED_VALUE"""),"")</f>
        <v/>
      </c>
      <c r="D206" s="134" t="str">
        <f ca="1">IFERROR(__xludf.DUMMYFUNCTION("""COMPUTED_VALUE"""),"")</f>
        <v/>
      </c>
      <c r="E206" s="134" t="str">
        <f ca="1">IFERROR(__xludf.DUMMYFUNCTION("""COMPUTED_VALUE"""),"")</f>
        <v/>
      </c>
      <c r="F206" s="134" t="str">
        <f ca="1">IFERROR(__xludf.DUMMYFUNCTION("""COMPUTED_VALUE"""),"")</f>
        <v/>
      </c>
      <c r="G206" s="134" t="str">
        <f ca="1">IFERROR(__xludf.DUMMYFUNCTION("""COMPUTED_VALUE"""),"")</f>
        <v/>
      </c>
      <c r="H206" s="134" t="str">
        <f ca="1">IFERROR(__xludf.DUMMYFUNCTION("""COMPUTED_VALUE"""),"")</f>
        <v/>
      </c>
      <c r="I206" s="134" t="str">
        <f ca="1">IFERROR(__xludf.DUMMYFUNCTION("""COMPUTED_VALUE"""),"")</f>
        <v/>
      </c>
      <c r="J206" s="134" t="str">
        <f ca="1">IFERROR(__xludf.DUMMYFUNCTION("""COMPUTED_VALUE"""),"")</f>
        <v/>
      </c>
      <c r="N206" s="31"/>
    </row>
    <row r="207" spans="1:14" customFormat="1">
      <c r="A207" s="134" t="str">
        <f ca="1">IFERROR(__xludf.DUMMYFUNCTION("""COMPUTED_VALUE"""),"")</f>
        <v/>
      </c>
      <c r="B207" s="134" t="str">
        <f ca="1">IFERROR(__xludf.DUMMYFUNCTION("""COMPUTED_VALUE"""),"")</f>
        <v/>
      </c>
      <c r="C207" s="134" t="str">
        <f ca="1">IFERROR(__xludf.DUMMYFUNCTION("""COMPUTED_VALUE"""),"")</f>
        <v/>
      </c>
      <c r="D207" s="134" t="str">
        <f ca="1">IFERROR(__xludf.DUMMYFUNCTION("""COMPUTED_VALUE"""),"")</f>
        <v/>
      </c>
      <c r="E207" s="134" t="str">
        <f ca="1">IFERROR(__xludf.DUMMYFUNCTION("""COMPUTED_VALUE"""),"")</f>
        <v/>
      </c>
      <c r="F207" s="134" t="str">
        <f ca="1">IFERROR(__xludf.DUMMYFUNCTION("""COMPUTED_VALUE"""),"")</f>
        <v/>
      </c>
      <c r="G207" s="134" t="str">
        <f ca="1">IFERROR(__xludf.DUMMYFUNCTION("""COMPUTED_VALUE"""),"")</f>
        <v/>
      </c>
      <c r="H207" s="134" t="str">
        <f ca="1">IFERROR(__xludf.DUMMYFUNCTION("""COMPUTED_VALUE"""),"")</f>
        <v/>
      </c>
      <c r="I207" s="134" t="str">
        <f ca="1">IFERROR(__xludf.DUMMYFUNCTION("""COMPUTED_VALUE"""),"")</f>
        <v/>
      </c>
      <c r="J207" s="134" t="str">
        <f ca="1">IFERROR(__xludf.DUMMYFUNCTION("""COMPUTED_VALUE"""),"")</f>
        <v/>
      </c>
      <c r="N207" s="31"/>
    </row>
    <row r="208" spans="1:14" customFormat="1">
      <c r="A208" s="134" t="str">
        <f ca="1">IFERROR(__xludf.DUMMYFUNCTION("""COMPUTED_VALUE"""),"")</f>
        <v/>
      </c>
      <c r="B208" s="134" t="str">
        <f ca="1">IFERROR(__xludf.DUMMYFUNCTION("""COMPUTED_VALUE"""),"")</f>
        <v/>
      </c>
      <c r="C208" s="134" t="str">
        <f ca="1">IFERROR(__xludf.DUMMYFUNCTION("""COMPUTED_VALUE"""),"")</f>
        <v/>
      </c>
      <c r="D208" s="134" t="str">
        <f ca="1">IFERROR(__xludf.DUMMYFUNCTION("""COMPUTED_VALUE"""),"")</f>
        <v/>
      </c>
      <c r="E208" s="134" t="str">
        <f ca="1">IFERROR(__xludf.DUMMYFUNCTION("""COMPUTED_VALUE"""),"")</f>
        <v/>
      </c>
      <c r="F208" s="134" t="str">
        <f ca="1">IFERROR(__xludf.DUMMYFUNCTION("""COMPUTED_VALUE"""),"")</f>
        <v/>
      </c>
      <c r="G208" s="134" t="str">
        <f ca="1">IFERROR(__xludf.DUMMYFUNCTION("""COMPUTED_VALUE"""),"")</f>
        <v/>
      </c>
      <c r="H208" s="134" t="str">
        <f ca="1">IFERROR(__xludf.DUMMYFUNCTION("""COMPUTED_VALUE"""),"")</f>
        <v/>
      </c>
      <c r="I208" s="134" t="str">
        <f ca="1">IFERROR(__xludf.DUMMYFUNCTION("""COMPUTED_VALUE"""),"")</f>
        <v/>
      </c>
      <c r="J208" s="134" t="str">
        <f ca="1">IFERROR(__xludf.DUMMYFUNCTION("""COMPUTED_VALUE"""),"")</f>
        <v/>
      </c>
      <c r="N208" s="31"/>
    </row>
    <row r="209" spans="1:14" customFormat="1">
      <c r="A209" s="134" t="str">
        <f ca="1">IFERROR(__xludf.DUMMYFUNCTION("""COMPUTED_VALUE"""),"")</f>
        <v/>
      </c>
      <c r="B209" s="134" t="str">
        <f ca="1">IFERROR(__xludf.DUMMYFUNCTION("""COMPUTED_VALUE"""),"")</f>
        <v/>
      </c>
      <c r="C209" s="134" t="str">
        <f ca="1">IFERROR(__xludf.DUMMYFUNCTION("""COMPUTED_VALUE"""),"")</f>
        <v/>
      </c>
      <c r="D209" s="134" t="str">
        <f ca="1">IFERROR(__xludf.DUMMYFUNCTION("""COMPUTED_VALUE"""),"")</f>
        <v/>
      </c>
      <c r="E209" s="134" t="str">
        <f ca="1">IFERROR(__xludf.DUMMYFUNCTION("""COMPUTED_VALUE"""),"")</f>
        <v/>
      </c>
      <c r="F209" s="134" t="str">
        <f ca="1">IFERROR(__xludf.DUMMYFUNCTION("""COMPUTED_VALUE"""),"")</f>
        <v/>
      </c>
      <c r="G209" s="134" t="str">
        <f ca="1">IFERROR(__xludf.DUMMYFUNCTION("""COMPUTED_VALUE"""),"")</f>
        <v/>
      </c>
      <c r="H209" s="134" t="str">
        <f ca="1">IFERROR(__xludf.DUMMYFUNCTION("""COMPUTED_VALUE"""),"")</f>
        <v/>
      </c>
      <c r="I209" s="134" t="str">
        <f ca="1">IFERROR(__xludf.DUMMYFUNCTION("""COMPUTED_VALUE"""),"")</f>
        <v/>
      </c>
      <c r="J209" s="134" t="str">
        <f ca="1">IFERROR(__xludf.DUMMYFUNCTION("""COMPUTED_VALUE"""),"")</f>
        <v/>
      </c>
      <c r="N209" s="31"/>
    </row>
    <row r="210" spans="1:14" customFormat="1">
      <c r="A210" s="134" t="str">
        <f ca="1">IFERROR(__xludf.DUMMYFUNCTION("""COMPUTED_VALUE"""),"")</f>
        <v/>
      </c>
      <c r="B210" s="134" t="str">
        <f ca="1">IFERROR(__xludf.DUMMYFUNCTION("""COMPUTED_VALUE"""),"")</f>
        <v/>
      </c>
      <c r="C210" s="134" t="str">
        <f ca="1">IFERROR(__xludf.DUMMYFUNCTION("""COMPUTED_VALUE"""),"")</f>
        <v/>
      </c>
      <c r="D210" s="134" t="str">
        <f ca="1">IFERROR(__xludf.DUMMYFUNCTION("""COMPUTED_VALUE"""),"")</f>
        <v/>
      </c>
      <c r="E210" s="134" t="str">
        <f ca="1">IFERROR(__xludf.DUMMYFUNCTION("""COMPUTED_VALUE"""),"")</f>
        <v/>
      </c>
      <c r="F210" s="134" t="str">
        <f ca="1">IFERROR(__xludf.DUMMYFUNCTION("""COMPUTED_VALUE"""),"")</f>
        <v/>
      </c>
      <c r="G210" s="134" t="str">
        <f ca="1">IFERROR(__xludf.DUMMYFUNCTION("""COMPUTED_VALUE"""),"")</f>
        <v/>
      </c>
      <c r="H210" s="134" t="str">
        <f ca="1">IFERROR(__xludf.DUMMYFUNCTION("""COMPUTED_VALUE"""),"")</f>
        <v/>
      </c>
      <c r="I210" s="134" t="str">
        <f ca="1">IFERROR(__xludf.DUMMYFUNCTION("""COMPUTED_VALUE"""),"")</f>
        <v/>
      </c>
      <c r="J210" s="134" t="str">
        <f ca="1">IFERROR(__xludf.DUMMYFUNCTION("""COMPUTED_VALUE"""),"")</f>
        <v/>
      </c>
      <c r="N210" s="31"/>
    </row>
    <row r="211" spans="1:14" customFormat="1">
      <c r="A211" s="134" t="str">
        <f ca="1">IFERROR(__xludf.DUMMYFUNCTION("""COMPUTED_VALUE"""),"")</f>
        <v/>
      </c>
      <c r="B211" s="134" t="str">
        <f ca="1">IFERROR(__xludf.DUMMYFUNCTION("""COMPUTED_VALUE"""),"")</f>
        <v/>
      </c>
      <c r="C211" s="134" t="str">
        <f ca="1">IFERROR(__xludf.DUMMYFUNCTION("""COMPUTED_VALUE"""),"")</f>
        <v/>
      </c>
      <c r="D211" s="134" t="str">
        <f ca="1">IFERROR(__xludf.DUMMYFUNCTION("""COMPUTED_VALUE"""),"")</f>
        <v/>
      </c>
      <c r="E211" s="134" t="str">
        <f ca="1">IFERROR(__xludf.DUMMYFUNCTION("""COMPUTED_VALUE"""),"")</f>
        <v/>
      </c>
      <c r="F211" s="134" t="str">
        <f ca="1">IFERROR(__xludf.DUMMYFUNCTION("""COMPUTED_VALUE"""),"")</f>
        <v/>
      </c>
      <c r="G211" s="134" t="str">
        <f ca="1">IFERROR(__xludf.DUMMYFUNCTION("""COMPUTED_VALUE"""),"")</f>
        <v/>
      </c>
      <c r="H211" s="134" t="str">
        <f ca="1">IFERROR(__xludf.DUMMYFUNCTION("""COMPUTED_VALUE"""),"")</f>
        <v/>
      </c>
      <c r="I211" s="134" t="str">
        <f ca="1">IFERROR(__xludf.DUMMYFUNCTION("""COMPUTED_VALUE"""),"")</f>
        <v/>
      </c>
      <c r="J211" s="134" t="str">
        <f ca="1">IFERROR(__xludf.DUMMYFUNCTION("""COMPUTED_VALUE"""),"")</f>
        <v/>
      </c>
      <c r="N211" s="31"/>
    </row>
    <row r="212" spans="1:14" customFormat="1">
      <c r="A212" s="134" t="str">
        <f ca="1">IFERROR(__xludf.DUMMYFUNCTION("""COMPUTED_VALUE"""),"")</f>
        <v/>
      </c>
      <c r="B212" s="134" t="str">
        <f ca="1">IFERROR(__xludf.DUMMYFUNCTION("""COMPUTED_VALUE"""),"")</f>
        <v/>
      </c>
      <c r="C212" s="134" t="str">
        <f ca="1">IFERROR(__xludf.DUMMYFUNCTION("""COMPUTED_VALUE"""),"")</f>
        <v/>
      </c>
      <c r="D212" s="134" t="str">
        <f ca="1">IFERROR(__xludf.DUMMYFUNCTION("""COMPUTED_VALUE"""),"")</f>
        <v/>
      </c>
      <c r="E212" s="134" t="str">
        <f ca="1">IFERROR(__xludf.DUMMYFUNCTION("""COMPUTED_VALUE"""),"")</f>
        <v/>
      </c>
      <c r="F212" s="134" t="str">
        <f ca="1">IFERROR(__xludf.DUMMYFUNCTION("""COMPUTED_VALUE"""),"")</f>
        <v/>
      </c>
      <c r="G212" s="134" t="str">
        <f ca="1">IFERROR(__xludf.DUMMYFUNCTION("""COMPUTED_VALUE"""),"")</f>
        <v/>
      </c>
      <c r="H212" s="134" t="str">
        <f ca="1">IFERROR(__xludf.DUMMYFUNCTION("""COMPUTED_VALUE"""),"")</f>
        <v/>
      </c>
      <c r="I212" s="134" t="str">
        <f ca="1">IFERROR(__xludf.DUMMYFUNCTION("""COMPUTED_VALUE"""),"")</f>
        <v/>
      </c>
      <c r="J212" s="134" t="str">
        <f ca="1">IFERROR(__xludf.DUMMYFUNCTION("""COMPUTED_VALUE"""),"")</f>
        <v/>
      </c>
      <c r="N212" s="31"/>
    </row>
    <row r="213" spans="1:14" customFormat="1">
      <c r="A213" s="134" t="str">
        <f ca="1">IFERROR(__xludf.DUMMYFUNCTION("""COMPUTED_VALUE"""),"")</f>
        <v/>
      </c>
      <c r="B213" s="134" t="str">
        <f ca="1">IFERROR(__xludf.DUMMYFUNCTION("""COMPUTED_VALUE"""),"")</f>
        <v/>
      </c>
      <c r="C213" s="134" t="str">
        <f ca="1">IFERROR(__xludf.DUMMYFUNCTION("""COMPUTED_VALUE"""),"")</f>
        <v/>
      </c>
      <c r="D213" s="134" t="str">
        <f ca="1">IFERROR(__xludf.DUMMYFUNCTION("""COMPUTED_VALUE"""),"")</f>
        <v/>
      </c>
      <c r="E213" s="134" t="str">
        <f ca="1">IFERROR(__xludf.DUMMYFUNCTION("""COMPUTED_VALUE"""),"")</f>
        <v/>
      </c>
      <c r="F213" s="134" t="str">
        <f ca="1">IFERROR(__xludf.DUMMYFUNCTION("""COMPUTED_VALUE"""),"")</f>
        <v/>
      </c>
      <c r="G213" s="134" t="str">
        <f ca="1">IFERROR(__xludf.DUMMYFUNCTION("""COMPUTED_VALUE"""),"")</f>
        <v/>
      </c>
      <c r="H213" s="134" t="str">
        <f ca="1">IFERROR(__xludf.DUMMYFUNCTION("""COMPUTED_VALUE"""),"")</f>
        <v/>
      </c>
      <c r="I213" s="134" t="str">
        <f ca="1">IFERROR(__xludf.DUMMYFUNCTION("""COMPUTED_VALUE"""),"")</f>
        <v/>
      </c>
      <c r="J213" s="134" t="str">
        <f ca="1">IFERROR(__xludf.DUMMYFUNCTION("""COMPUTED_VALUE"""),"")</f>
        <v/>
      </c>
      <c r="N213" s="31"/>
    </row>
    <row r="214" spans="1:14" customFormat="1">
      <c r="A214" s="134" t="str">
        <f ca="1">IFERROR(__xludf.DUMMYFUNCTION("""COMPUTED_VALUE"""),"")</f>
        <v/>
      </c>
      <c r="B214" s="134" t="str">
        <f ca="1">IFERROR(__xludf.DUMMYFUNCTION("""COMPUTED_VALUE"""),"")</f>
        <v/>
      </c>
      <c r="C214" s="134" t="str">
        <f ca="1">IFERROR(__xludf.DUMMYFUNCTION("""COMPUTED_VALUE"""),"")</f>
        <v/>
      </c>
      <c r="D214" s="134" t="str">
        <f ca="1">IFERROR(__xludf.DUMMYFUNCTION("""COMPUTED_VALUE"""),"")</f>
        <v/>
      </c>
      <c r="E214" s="134" t="str">
        <f ca="1">IFERROR(__xludf.DUMMYFUNCTION("""COMPUTED_VALUE"""),"")</f>
        <v/>
      </c>
      <c r="F214" s="134" t="str">
        <f ca="1">IFERROR(__xludf.DUMMYFUNCTION("""COMPUTED_VALUE"""),"")</f>
        <v/>
      </c>
      <c r="G214" s="134" t="str">
        <f ca="1">IFERROR(__xludf.DUMMYFUNCTION("""COMPUTED_VALUE"""),"")</f>
        <v/>
      </c>
      <c r="H214" s="134" t="str">
        <f ca="1">IFERROR(__xludf.DUMMYFUNCTION("""COMPUTED_VALUE"""),"")</f>
        <v/>
      </c>
      <c r="I214" s="134" t="str">
        <f ca="1">IFERROR(__xludf.DUMMYFUNCTION("""COMPUTED_VALUE"""),"")</f>
        <v/>
      </c>
      <c r="J214" s="134" t="str">
        <f ca="1">IFERROR(__xludf.DUMMYFUNCTION("""COMPUTED_VALUE"""),"")</f>
        <v/>
      </c>
      <c r="N214" s="31"/>
    </row>
    <row r="215" spans="1:14" customFormat="1">
      <c r="A215" s="134" t="str">
        <f ca="1">IFERROR(__xludf.DUMMYFUNCTION("""COMPUTED_VALUE"""),"")</f>
        <v/>
      </c>
      <c r="B215" s="134" t="str">
        <f ca="1">IFERROR(__xludf.DUMMYFUNCTION("""COMPUTED_VALUE"""),"")</f>
        <v/>
      </c>
      <c r="C215" s="134" t="str">
        <f ca="1">IFERROR(__xludf.DUMMYFUNCTION("""COMPUTED_VALUE"""),"")</f>
        <v/>
      </c>
      <c r="D215" s="134" t="str">
        <f ca="1">IFERROR(__xludf.DUMMYFUNCTION("""COMPUTED_VALUE"""),"")</f>
        <v/>
      </c>
      <c r="E215" s="134" t="str">
        <f ca="1">IFERROR(__xludf.DUMMYFUNCTION("""COMPUTED_VALUE"""),"")</f>
        <v/>
      </c>
      <c r="F215" s="134" t="str">
        <f ca="1">IFERROR(__xludf.DUMMYFUNCTION("""COMPUTED_VALUE"""),"")</f>
        <v/>
      </c>
      <c r="G215" s="134" t="str">
        <f ca="1">IFERROR(__xludf.DUMMYFUNCTION("""COMPUTED_VALUE"""),"")</f>
        <v/>
      </c>
      <c r="H215" s="134" t="str">
        <f ca="1">IFERROR(__xludf.DUMMYFUNCTION("""COMPUTED_VALUE"""),"")</f>
        <v/>
      </c>
      <c r="I215" s="134" t="str">
        <f ca="1">IFERROR(__xludf.DUMMYFUNCTION("""COMPUTED_VALUE"""),"")</f>
        <v/>
      </c>
      <c r="J215" s="134" t="str">
        <f ca="1">IFERROR(__xludf.DUMMYFUNCTION("""COMPUTED_VALUE"""),"")</f>
        <v/>
      </c>
      <c r="N215" s="31"/>
    </row>
    <row r="216" spans="1:14" customFormat="1">
      <c r="A216" s="134" t="str">
        <f ca="1">IFERROR(__xludf.DUMMYFUNCTION("""COMPUTED_VALUE"""),"")</f>
        <v/>
      </c>
      <c r="B216" s="134" t="str">
        <f ca="1">IFERROR(__xludf.DUMMYFUNCTION("""COMPUTED_VALUE"""),"")</f>
        <v/>
      </c>
      <c r="C216" s="134" t="str">
        <f ca="1">IFERROR(__xludf.DUMMYFUNCTION("""COMPUTED_VALUE"""),"")</f>
        <v/>
      </c>
      <c r="D216" s="134" t="str">
        <f ca="1">IFERROR(__xludf.DUMMYFUNCTION("""COMPUTED_VALUE"""),"")</f>
        <v/>
      </c>
      <c r="E216" s="134" t="str">
        <f ca="1">IFERROR(__xludf.DUMMYFUNCTION("""COMPUTED_VALUE"""),"")</f>
        <v/>
      </c>
      <c r="F216" s="134" t="str">
        <f ca="1">IFERROR(__xludf.DUMMYFUNCTION("""COMPUTED_VALUE"""),"")</f>
        <v/>
      </c>
      <c r="G216" s="134" t="str">
        <f ca="1">IFERROR(__xludf.DUMMYFUNCTION("""COMPUTED_VALUE"""),"")</f>
        <v/>
      </c>
      <c r="H216" s="134" t="str">
        <f ca="1">IFERROR(__xludf.DUMMYFUNCTION("""COMPUTED_VALUE"""),"")</f>
        <v/>
      </c>
      <c r="I216" s="134" t="str">
        <f ca="1">IFERROR(__xludf.DUMMYFUNCTION("""COMPUTED_VALUE"""),"")</f>
        <v/>
      </c>
      <c r="J216" s="134" t="str">
        <f ca="1">IFERROR(__xludf.DUMMYFUNCTION("""COMPUTED_VALUE"""),"")</f>
        <v/>
      </c>
      <c r="N216" s="31"/>
    </row>
    <row r="217" spans="1:14" customFormat="1">
      <c r="A217" s="134" t="str">
        <f ca="1">IFERROR(__xludf.DUMMYFUNCTION("""COMPUTED_VALUE"""),"")</f>
        <v/>
      </c>
      <c r="B217" s="134" t="str">
        <f ca="1">IFERROR(__xludf.DUMMYFUNCTION("""COMPUTED_VALUE"""),"")</f>
        <v/>
      </c>
      <c r="C217" s="134" t="str">
        <f ca="1">IFERROR(__xludf.DUMMYFUNCTION("""COMPUTED_VALUE"""),"")</f>
        <v/>
      </c>
      <c r="D217" s="134" t="str">
        <f ca="1">IFERROR(__xludf.DUMMYFUNCTION("""COMPUTED_VALUE"""),"")</f>
        <v/>
      </c>
      <c r="E217" s="134" t="str">
        <f ca="1">IFERROR(__xludf.DUMMYFUNCTION("""COMPUTED_VALUE"""),"")</f>
        <v/>
      </c>
      <c r="F217" s="134" t="str">
        <f ca="1">IFERROR(__xludf.DUMMYFUNCTION("""COMPUTED_VALUE"""),"")</f>
        <v/>
      </c>
      <c r="G217" s="134" t="str">
        <f ca="1">IFERROR(__xludf.DUMMYFUNCTION("""COMPUTED_VALUE"""),"")</f>
        <v/>
      </c>
      <c r="H217" s="134" t="str">
        <f ca="1">IFERROR(__xludf.DUMMYFUNCTION("""COMPUTED_VALUE"""),"")</f>
        <v/>
      </c>
      <c r="I217" s="134" t="str">
        <f ca="1">IFERROR(__xludf.DUMMYFUNCTION("""COMPUTED_VALUE"""),"")</f>
        <v/>
      </c>
      <c r="J217" s="134" t="str">
        <f ca="1">IFERROR(__xludf.DUMMYFUNCTION("""COMPUTED_VALUE"""),"")</f>
        <v/>
      </c>
      <c r="N217" s="31"/>
    </row>
    <row r="218" spans="1:14" customFormat="1">
      <c r="A218" s="134" t="str">
        <f ca="1">IFERROR(__xludf.DUMMYFUNCTION("""COMPUTED_VALUE"""),"")</f>
        <v/>
      </c>
      <c r="B218" s="134" t="str">
        <f ca="1">IFERROR(__xludf.DUMMYFUNCTION("""COMPUTED_VALUE"""),"")</f>
        <v/>
      </c>
      <c r="C218" s="134" t="str">
        <f ca="1">IFERROR(__xludf.DUMMYFUNCTION("""COMPUTED_VALUE"""),"")</f>
        <v/>
      </c>
      <c r="D218" s="134" t="str">
        <f ca="1">IFERROR(__xludf.DUMMYFUNCTION("""COMPUTED_VALUE"""),"")</f>
        <v/>
      </c>
      <c r="E218" s="134" t="str">
        <f ca="1">IFERROR(__xludf.DUMMYFUNCTION("""COMPUTED_VALUE"""),"")</f>
        <v/>
      </c>
      <c r="F218" s="134" t="str">
        <f ca="1">IFERROR(__xludf.DUMMYFUNCTION("""COMPUTED_VALUE"""),"")</f>
        <v/>
      </c>
      <c r="G218" s="134" t="str">
        <f ca="1">IFERROR(__xludf.DUMMYFUNCTION("""COMPUTED_VALUE"""),"")</f>
        <v/>
      </c>
      <c r="H218" s="134" t="str">
        <f ca="1">IFERROR(__xludf.DUMMYFUNCTION("""COMPUTED_VALUE"""),"")</f>
        <v/>
      </c>
      <c r="I218" s="134" t="str">
        <f ca="1">IFERROR(__xludf.DUMMYFUNCTION("""COMPUTED_VALUE"""),"")</f>
        <v/>
      </c>
      <c r="J218" s="134" t="str">
        <f ca="1">IFERROR(__xludf.DUMMYFUNCTION("""COMPUTED_VALUE"""),"")</f>
        <v/>
      </c>
      <c r="N218" s="31"/>
    </row>
    <row r="219" spans="1:14" customFormat="1">
      <c r="A219" s="134" t="str">
        <f ca="1">IFERROR(__xludf.DUMMYFUNCTION("""COMPUTED_VALUE"""),"")</f>
        <v/>
      </c>
      <c r="B219" s="134" t="str">
        <f ca="1">IFERROR(__xludf.DUMMYFUNCTION("""COMPUTED_VALUE"""),"")</f>
        <v/>
      </c>
      <c r="C219" s="134" t="str">
        <f ca="1">IFERROR(__xludf.DUMMYFUNCTION("""COMPUTED_VALUE"""),"")</f>
        <v/>
      </c>
      <c r="D219" s="134" t="str">
        <f ca="1">IFERROR(__xludf.DUMMYFUNCTION("""COMPUTED_VALUE"""),"")</f>
        <v/>
      </c>
      <c r="E219" s="134" t="str">
        <f ca="1">IFERROR(__xludf.DUMMYFUNCTION("""COMPUTED_VALUE"""),"")</f>
        <v/>
      </c>
      <c r="F219" s="134" t="str">
        <f ca="1">IFERROR(__xludf.DUMMYFUNCTION("""COMPUTED_VALUE"""),"")</f>
        <v/>
      </c>
      <c r="G219" s="134" t="str">
        <f ca="1">IFERROR(__xludf.DUMMYFUNCTION("""COMPUTED_VALUE"""),"")</f>
        <v/>
      </c>
      <c r="H219" s="134" t="str">
        <f ca="1">IFERROR(__xludf.DUMMYFUNCTION("""COMPUTED_VALUE"""),"")</f>
        <v/>
      </c>
      <c r="I219" s="134" t="str">
        <f ca="1">IFERROR(__xludf.DUMMYFUNCTION("""COMPUTED_VALUE"""),"")</f>
        <v/>
      </c>
      <c r="J219" s="134" t="str">
        <f ca="1">IFERROR(__xludf.DUMMYFUNCTION("""COMPUTED_VALUE"""),"")</f>
        <v/>
      </c>
      <c r="N219" s="31"/>
    </row>
    <row r="220" spans="1:14" customFormat="1">
      <c r="A220" s="134" t="str">
        <f ca="1">IFERROR(__xludf.DUMMYFUNCTION("""COMPUTED_VALUE"""),"")</f>
        <v/>
      </c>
      <c r="B220" s="134" t="str">
        <f ca="1">IFERROR(__xludf.DUMMYFUNCTION("""COMPUTED_VALUE"""),"")</f>
        <v/>
      </c>
      <c r="C220" s="134" t="str">
        <f ca="1">IFERROR(__xludf.DUMMYFUNCTION("""COMPUTED_VALUE"""),"")</f>
        <v/>
      </c>
      <c r="D220" s="134" t="str">
        <f ca="1">IFERROR(__xludf.DUMMYFUNCTION("""COMPUTED_VALUE"""),"")</f>
        <v/>
      </c>
      <c r="E220" s="134" t="str">
        <f ca="1">IFERROR(__xludf.DUMMYFUNCTION("""COMPUTED_VALUE"""),"")</f>
        <v/>
      </c>
      <c r="F220" s="134" t="str">
        <f ca="1">IFERROR(__xludf.DUMMYFUNCTION("""COMPUTED_VALUE"""),"")</f>
        <v/>
      </c>
      <c r="G220" s="134" t="str">
        <f ca="1">IFERROR(__xludf.DUMMYFUNCTION("""COMPUTED_VALUE"""),"")</f>
        <v/>
      </c>
      <c r="H220" s="134" t="str">
        <f ca="1">IFERROR(__xludf.DUMMYFUNCTION("""COMPUTED_VALUE"""),"")</f>
        <v/>
      </c>
      <c r="I220" s="134" t="str">
        <f ca="1">IFERROR(__xludf.DUMMYFUNCTION("""COMPUTED_VALUE"""),"")</f>
        <v/>
      </c>
      <c r="J220" s="134" t="str">
        <f ca="1">IFERROR(__xludf.DUMMYFUNCTION("""COMPUTED_VALUE"""),"")</f>
        <v/>
      </c>
      <c r="N220" s="31"/>
    </row>
    <row r="221" spans="1:14" customFormat="1">
      <c r="A221" s="134" t="str">
        <f ca="1">IFERROR(__xludf.DUMMYFUNCTION("""COMPUTED_VALUE"""),"")</f>
        <v/>
      </c>
      <c r="B221" s="134" t="str">
        <f ca="1">IFERROR(__xludf.DUMMYFUNCTION("""COMPUTED_VALUE"""),"")</f>
        <v/>
      </c>
      <c r="C221" s="134" t="str">
        <f ca="1">IFERROR(__xludf.DUMMYFUNCTION("""COMPUTED_VALUE"""),"")</f>
        <v/>
      </c>
      <c r="D221" s="134" t="str">
        <f ca="1">IFERROR(__xludf.DUMMYFUNCTION("""COMPUTED_VALUE"""),"")</f>
        <v/>
      </c>
      <c r="E221" s="134" t="str">
        <f ca="1">IFERROR(__xludf.DUMMYFUNCTION("""COMPUTED_VALUE"""),"")</f>
        <v/>
      </c>
      <c r="F221" s="134" t="str">
        <f ca="1">IFERROR(__xludf.DUMMYFUNCTION("""COMPUTED_VALUE"""),"")</f>
        <v/>
      </c>
      <c r="G221" s="134" t="str">
        <f ca="1">IFERROR(__xludf.DUMMYFUNCTION("""COMPUTED_VALUE"""),"")</f>
        <v/>
      </c>
      <c r="H221" s="134" t="str">
        <f ca="1">IFERROR(__xludf.DUMMYFUNCTION("""COMPUTED_VALUE"""),"")</f>
        <v/>
      </c>
      <c r="I221" s="134" t="str">
        <f ca="1">IFERROR(__xludf.DUMMYFUNCTION("""COMPUTED_VALUE"""),"")</f>
        <v/>
      </c>
      <c r="J221" s="134" t="str">
        <f ca="1">IFERROR(__xludf.DUMMYFUNCTION("""COMPUTED_VALUE"""),"")</f>
        <v/>
      </c>
      <c r="N221" s="31"/>
    </row>
    <row r="222" spans="1:14" customFormat="1">
      <c r="A222" s="134" t="str">
        <f ca="1">IFERROR(__xludf.DUMMYFUNCTION("""COMPUTED_VALUE"""),"")</f>
        <v/>
      </c>
      <c r="B222" s="134" t="str">
        <f ca="1">IFERROR(__xludf.DUMMYFUNCTION("""COMPUTED_VALUE"""),"")</f>
        <v/>
      </c>
      <c r="C222" s="134" t="str">
        <f ca="1">IFERROR(__xludf.DUMMYFUNCTION("""COMPUTED_VALUE"""),"")</f>
        <v/>
      </c>
      <c r="D222" s="134" t="str">
        <f ca="1">IFERROR(__xludf.DUMMYFUNCTION("""COMPUTED_VALUE"""),"")</f>
        <v/>
      </c>
      <c r="E222" s="134" t="str">
        <f ca="1">IFERROR(__xludf.DUMMYFUNCTION("""COMPUTED_VALUE"""),"")</f>
        <v/>
      </c>
      <c r="F222" s="134" t="str">
        <f ca="1">IFERROR(__xludf.DUMMYFUNCTION("""COMPUTED_VALUE"""),"")</f>
        <v/>
      </c>
      <c r="G222" s="134" t="str">
        <f ca="1">IFERROR(__xludf.DUMMYFUNCTION("""COMPUTED_VALUE"""),"")</f>
        <v/>
      </c>
      <c r="H222" s="134" t="str">
        <f ca="1">IFERROR(__xludf.DUMMYFUNCTION("""COMPUTED_VALUE"""),"")</f>
        <v/>
      </c>
      <c r="I222" s="134" t="str">
        <f ca="1">IFERROR(__xludf.DUMMYFUNCTION("""COMPUTED_VALUE"""),"")</f>
        <v/>
      </c>
      <c r="J222" s="134" t="str">
        <f ca="1">IFERROR(__xludf.DUMMYFUNCTION("""COMPUTED_VALUE"""),"")</f>
        <v/>
      </c>
      <c r="N222" s="31"/>
    </row>
    <row r="223" spans="1:14" customFormat="1">
      <c r="A223" s="134" t="str">
        <f ca="1">IFERROR(__xludf.DUMMYFUNCTION("""COMPUTED_VALUE"""),"")</f>
        <v/>
      </c>
      <c r="B223" s="134" t="str">
        <f ca="1">IFERROR(__xludf.DUMMYFUNCTION("""COMPUTED_VALUE"""),"")</f>
        <v/>
      </c>
      <c r="C223" s="134" t="str">
        <f ca="1">IFERROR(__xludf.DUMMYFUNCTION("""COMPUTED_VALUE"""),"")</f>
        <v/>
      </c>
      <c r="D223" s="134" t="str">
        <f ca="1">IFERROR(__xludf.DUMMYFUNCTION("""COMPUTED_VALUE"""),"")</f>
        <v/>
      </c>
      <c r="E223" s="134" t="str">
        <f ca="1">IFERROR(__xludf.DUMMYFUNCTION("""COMPUTED_VALUE"""),"")</f>
        <v/>
      </c>
      <c r="F223" s="134" t="str">
        <f ca="1">IFERROR(__xludf.DUMMYFUNCTION("""COMPUTED_VALUE"""),"")</f>
        <v/>
      </c>
      <c r="G223" s="134" t="str">
        <f ca="1">IFERROR(__xludf.DUMMYFUNCTION("""COMPUTED_VALUE"""),"")</f>
        <v/>
      </c>
      <c r="H223" s="134" t="str">
        <f ca="1">IFERROR(__xludf.DUMMYFUNCTION("""COMPUTED_VALUE"""),"")</f>
        <v/>
      </c>
      <c r="I223" s="134" t="str">
        <f ca="1">IFERROR(__xludf.DUMMYFUNCTION("""COMPUTED_VALUE"""),"")</f>
        <v/>
      </c>
      <c r="J223" s="134" t="str">
        <f ca="1">IFERROR(__xludf.DUMMYFUNCTION("""COMPUTED_VALUE"""),"")</f>
        <v/>
      </c>
      <c r="N223" s="31"/>
    </row>
    <row r="224" spans="1:14" customFormat="1">
      <c r="A224" s="134" t="str">
        <f ca="1">IFERROR(__xludf.DUMMYFUNCTION("""COMPUTED_VALUE"""),"")</f>
        <v/>
      </c>
      <c r="B224" s="134" t="str">
        <f ca="1">IFERROR(__xludf.DUMMYFUNCTION("""COMPUTED_VALUE"""),"")</f>
        <v/>
      </c>
      <c r="C224" s="134" t="str">
        <f ca="1">IFERROR(__xludf.DUMMYFUNCTION("""COMPUTED_VALUE"""),"")</f>
        <v/>
      </c>
      <c r="D224" s="134" t="str">
        <f ca="1">IFERROR(__xludf.DUMMYFUNCTION("""COMPUTED_VALUE"""),"")</f>
        <v/>
      </c>
      <c r="E224" s="134" t="str">
        <f ca="1">IFERROR(__xludf.DUMMYFUNCTION("""COMPUTED_VALUE"""),"")</f>
        <v/>
      </c>
      <c r="F224" s="134" t="str">
        <f ca="1">IFERROR(__xludf.DUMMYFUNCTION("""COMPUTED_VALUE"""),"")</f>
        <v/>
      </c>
      <c r="G224" s="134" t="str">
        <f ca="1">IFERROR(__xludf.DUMMYFUNCTION("""COMPUTED_VALUE"""),"")</f>
        <v/>
      </c>
      <c r="H224" s="134" t="str">
        <f ca="1">IFERROR(__xludf.DUMMYFUNCTION("""COMPUTED_VALUE"""),"")</f>
        <v/>
      </c>
      <c r="I224" s="134" t="str">
        <f ca="1">IFERROR(__xludf.DUMMYFUNCTION("""COMPUTED_VALUE"""),"")</f>
        <v/>
      </c>
      <c r="J224" s="134" t="str">
        <f ca="1">IFERROR(__xludf.DUMMYFUNCTION("""COMPUTED_VALUE"""),"")</f>
        <v/>
      </c>
      <c r="N224" s="31"/>
    </row>
    <row r="225" spans="1:14" customFormat="1">
      <c r="A225" s="134" t="str">
        <f ca="1">IFERROR(__xludf.DUMMYFUNCTION("""COMPUTED_VALUE"""),"")</f>
        <v/>
      </c>
      <c r="B225" s="134" t="str">
        <f ca="1">IFERROR(__xludf.DUMMYFUNCTION("""COMPUTED_VALUE"""),"")</f>
        <v/>
      </c>
      <c r="C225" s="134" t="str">
        <f ca="1">IFERROR(__xludf.DUMMYFUNCTION("""COMPUTED_VALUE"""),"")</f>
        <v/>
      </c>
      <c r="D225" s="134" t="str">
        <f ca="1">IFERROR(__xludf.DUMMYFUNCTION("""COMPUTED_VALUE"""),"")</f>
        <v/>
      </c>
      <c r="E225" s="134" t="str">
        <f ca="1">IFERROR(__xludf.DUMMYFUNCTION("""COMPUTED_VALUE"""),"")</f>
        <v/>
      </c>
      <c r="F225" s="134" t="str">
        <f ca="1">IFERROR(__xludf.DUMMYFUNCTION("""COMPUTED_VALUE"""),"")</f>
        <v/>
      </c>
      <c r="G225" s="134" t="str">
        <f ca="1">IFERROR(__xludf.DUMMYFUNCTION("""COMPUTED_VALUE"""),"")</f>
        <v/>
      </c>
      <c r="H225" s="134" t="str">
        <f ca="1">IFERROR(__xludf.DUMMYFUNCTION("""COMPUTED_VALUE"""),"")</f>
        <v/>
      </c>
      <c r="I225" s="134" t="str">
        <f ca="1">IFERROR(__xludf.DUMMYFUNCTION("""COMPUTED_VALUE"""),"")</f>
        <v/>
      </c>
      <c r="J225" s="134" t="str">
        <f ca="1">IFERROR(__xludf.DUMMYFUNCTION("""COMPUTED_VALUE"""),"")</f>
        <v/>
      </c>
      <c r="N225" s="31"/>
    </row>
    <row r="226" spans="1:14" customFormat="1">
      <c r="A226" s="134" t="str">
        <f ca="1">IFERROR(__xludf.DUMMYFUNCTION("""COMPUTED_VALUE"""),"")</f>
        <v/>
      </c>
      <c r="B226" s="134" t="str">
        <f ca="1">IFERROR(__xludf.DUMMYFUNCTION("""COMPUTED_VALUE"""),"")</f>
        <v/>
      </c>
      <c r="C226" s="134" t="str">
        <f ca="1">IFERROR(__xludf.DUMMYFUNCTION("""COMPUTED_VALUE"""),"")</f>
        <v/>
      </c>
      <c r="D226" s="134" t="str">
        <f ca="1">IFERROR(__xludf.DUMMYFUNCTION("""COMPUTED_VALUE"""),"")</f>
        <v/>
      </c>
      <c r="E226" s="134" t="str">
        <f ca="1">IFERROR(__xludf.DUMMYFUNCTION("""COMPUTED_VALUE"""),"")</f>
        <v/>
      </c>
      <c r="F226" s="134" t="str">
        <f ca="1">IFERROR(__xludf.DUMMYFUNCTION("""COMPUTED_VALUE"""),"")</f>
        <v/>
      </c>
      <c r="G226" s="134" t="str">
        <f ca="1">IFERROR(__xludf.DUMMYFUNCTION("""COMPUTED_VALUE"""),"")</f>
        <v/>
      </c>
      <c r="H226" s="134" t="str">
        <f ca="1">IFERROR(__xludf.DUMMYFUNCTION("""COMPUTED_VALUE"""),"")</f>
        <v/>
      </c>
      <c r="I226" s="134" t="str">
        <f ca="1">IFERROR(__xludf.DUMMYFUNCTION("""COMPUTED_VALUE"""),"")</f>
        <v/>
      </c>
      <c r="J226" s="134" t="str">
        <f ca="1">IFERROR(__xludf.DUMMYFUNCTION("""COMPUTED_VALUE"""),"")</f>
        <v/>
      </c>
      <c r="N226" s="31"/>
    </row>
    <row r="227" spans="1:14" customFormat="1">
      <c r="A227" s="134" t="str">
        <f ca="1">IFERROR(__xludf.DUMMYFUNCTION("""COMPUTED_VALUE"""),"")</f>
        <v/>
      </c>
      <c r="B227" s="134" t="str">
        <f ca="1">IFERROR(__xludf.DUMMYFUNCTION("""COMPUTED_VALUE"""),"")</f>
        <v/>
      </c>
      <c r="C227" s="134" t="str">
        <f ca="1">IFERROR(__xludf.DUMMYFUNCTION("""COMPUTED_VALUE"""),"")</f>
        <v/>
      </c>
      <c r="D227" s="134" t="str">
        <f ca="1">IFERROR(__xludf.DUMMYFUNCTION("""COMPUTED_VALUE"""),"")</f>
        <v/>
      </c>
      <c r="E227" s="134" t="str">
        <f ca="1">IFERROR(__xludf.DUMMYFUNCTION("""COMPUTED_VALUE"""),"")</f>
        <v/>
      </c>
      <c r="F227" s="134" t="str">
        <f ca="1">IFERROR(__xludf.DUMMYFUNCTION("""COMPUTED_VALUE"""),"")</f>
        <v/>
      </c>
      <c r="G227" s="134" t="str">
        <f ca="1">IFERROR(__xludf.DUMMYFUNCTION("""COMPUTED_VALUE"""),"")</f>
        <v/>
      </c>
      <c r="H227" s="134" t="str">
        <f ca="1">IFERROR(__xludf.DUMMYFUNCTION("""COMPUTED_VALUE"""),"")</f>
        <v/>
      </c>
      <c r="I227" s="134" t="str">
        <f ca="1">IFERROR(__xludf.DUMMYFUNCTION("""COMPUTED_VALUE"""),"")</f>
        <v/>
      </c>
      <c r="J227" s="134" t="str">
        <f ca="1">IFERROR(__xludf.DUMMYFUNCTION("""COMPUTED_VALUE"""),"")</f>
        <v/>
      </c>
      <c r="N227" s="31"/>
    </row>
    <row r="228" spans="1:14" customFormat="1">
      <c r="A228" s="134" t="str">
        <f ca="1">IFERROR(__xludf.DUMMYFUNCTION("""COMPUTED_VALUE"""),"")</f>
        <v/>
      </c>
      <c r="B228" s="134" t="str">
        <f ca="1">IFERROR(__xludf.DUMMYFUNCTION("""COMPUTED_VALUE"""),"")</f>
        <v/>
      </c>
      <c r="C228" s="134" t="str">
        <f ca="1">IFERROR(__xludf.DUMMYFUNCTION("""COMPUTED_VALUE"""),"")</f>
        <v/>
      </c>
      <c r="D228" s="134" t="str">
        <f ca="1">IFERROR(__xludf.DUMMYFUNCTION("""COMPUTED_VALUE"""),"")</f>
        <v/>
      </c>
      <c r="E228" s="134" t="str">
        <f ca="1">IFERROR(__xludf.DUMMYFUNCTION("""COMPUTED_VALUE"""),"")</f>
        <v/>
      </c>
      <c r="F228" s="134" t="str">
        <f ca="1">IFERROR(__xludf.DUMMYFUNCTION("""COMPUTED_VALUE"""),"")</f>
        <v/>
      </c>
      <c r="G228" s="134" t="str">
        <f ca="1">IFERROR(__xludf.DUMMYFUNCTION("""COMPUTED_VALUE"""),"")</f>
        <v/>
      </c>
      <c r="H228" s="134" t="str">
        <f ca="1">IFERROR(__xludf.DUMMYFUNCTION("""COMPUTED_VALUE"""),"")</f>
        <v/>
      </c>
      <c r="I228" s="134" t="str">
        <f ca="1">IFERROR(__xludf.DUMMYFUNCTION("""COMPUTED_VALUE"""),"")</f>
        <v/>
      </c>
      <c r="J228" s="134" t="str">
        <f ca="1">IFERROR(__xludf.DUMMYFUNCTION("""COMPUTED_VALUE"""),"")</f>
        <v/>
      </c>
      <c r="N228" s="31"/>
    </row>
    <row r="229" spans="1:14" customFormat="1">
      <c r="A229" s="134" t="str">
        <f ca="1">IFERROR(__xludf.DUMMYFUNCTION("""COMPUTED_VALUE"""),"")</f>
        <v/>
      </c>
      <c r="B229" s="134" t="str">
        <f ca="1">IFERROR(__xludf.DUMMYFUNCTION("""COMPUTED_VALUE"""),"")</f>
        <v/>
      </c>
      <c r="C229" s="134" t="str">
        <f ca="1">IFERROR(__xludf.DUMMYFUNCTION("""COMPUTED_VALUE"""),"")</f>
        <v/>
      </c>
      <c r="D229" s="134" t="str">
        <f ca="1">IFERROR(__xludf.DUMMYFUNCTION("""COMPUTED_VALUE"""),"")</f>
        <v/>
      </c>
      <c r="E229" s="134" t="str">
        <f ca="1">IFERROR(__xludf.DUMMYFUNCTION("""COMPUTED_VALUE"""),"")</f>
        <v/>
      </c>
      <c r="F229" s="134" t="str">
        <f ca="1">IFERROR(__xludf.DUMMYFUNCTION("""COMPUTED_VALUE"""),"")</f>
        <v/>
      </c>
      <c r="G229" s="134" t="str">
        <f ca="1">IFERROR(__xludf.DUMMYFUNCTION("""COMPUTED_VALUE"""),"")</f>
        <v/>
      </c>
      <c r="H229" s="134" t="str">
        <f ca="1">IFERROR(__xludf.DUMMYFUNCTION("""COMPUTED_VALUE"""),"")</f>
        <v/>
      </c>
      <c r="I229" s="134" t="str">
        <f ca="1">IFERROR(__xludf.DUMMYFUNCTION("""COMPUTED_VALUE"""),"")</f>
        <v/>
      </c>
      <c r="J229" s="134" t="str">
        <f ca="1">IFERROR(__xludf.DUMMYFUNCTION("""COMPUTED_VALUE"""),"")</f>
        <v/>
      </c>
      <c r="N229" s="31"/>
    </row>
    <row r="230" spans="1:14" customFormat="1">
      <c r="A230" s="134" t="str">
        <f ca="1">IFERROR(__xludf.DUMMYFUNCTION("""COMPUTED_VALUE"""),"")</f>
        <v/>
      </c>
      <c r="B230" s="134" t="str">
        <f ca="1">IFERROR(__xludf.DUMMYFUNCTION("""COMPUTED_VALUE"""),"")</f>
        <v/>
      </c>
      <c r="C230" s="134" t="str">
        <f ca="1">IFERROR(__xludf.DUMMYFUNCTION("""COMPUTED_VALUE"""),"")</f>
        <v/>
      </c>
      <c r="D230" s="134" t="str">
        <f ca="1">IFERROR(__xludf.DUMMYFUNCTION("""COMPUTED_VALUE"""),"")</f>
        <v/>
      </c>
      <c r="E230" s="134" t="str">
        <f ca="1">IFERROR(__xludf.DUMMYFUNCTION("""COMPUTED_VALUE"""),"")</f>
        <v/>
      </c>
      <c r="F230" s="134" t="str">
        <f ca="1">IFERROR(__xludf.DUMMYFUNCTION("""COMPUTED_VALUE"""),"")</f>
        <v/>
      </c>
      <c r="G230" s="134" t="str">
        <f ca="1">IFERROR(__xludf.DUMMYFUNCTION("""COMPUTED_VALUE"""),"")</f>
        <v/>
      </c>
      <c r="H230" s="134" t="str">
        <f ca="1">IFERROR(__xludf.DUMMYFUNCTION("""COMPUTED_VALUE"""),"")</f>
        <v/>
      </c>
      <c r="I230" s="134" t="str">
        <f ca="1">IFERROR(__xludf.DUMMYFUNCTION("""COMPUTED_VALUE"""),"")</f>
        <v/>
      </c>
      <c r="J230" s="134" t="str">
        <f ca="1">IFERROR(__xludf.DUMMYFUNCTION("""COMPUTED_VALUE"""),"")</f>
        <v/>
      </c>
      <c r="N230" s="31"/>
    </row>
    <row r="231" spans="1:14" customFormat="1">
      <c r="A231" s="134" t="str">
        <f ca="1">IFERROR(__xludf.DUMMYFUNCTION("""COMPUTED_VALUE"""),"")</f>
        <v/>
      </c>
      <c r="B231" s="134" t="str">
        <f ca="1">IFERROR(__xludf.DUMMYFUNCTION("""COMPUTED_VALUE"""),"")</f>
        <v/>
      </c>
      <c r="C231" s="134" t="str">
        <f ca="1">IFERROR(__xludf.DUMMYFUNCTION("""COMPUTED_VALUE"""),"")</f>
        <v/>
      </c>
      <c r="D231" s="134" t="str">
        <f ca="1">IFERROR(__xludf.DUMMYFUNCTION("""COMPUTED_VALUE"""),"")</f>
        <v/>
      </c>
      <c r="E231" s="134" t="str">
        <f ca="1">IFERROR(__xludf.DUMMYFUNCTION("""COMPUTED_VALUE"""),"")</f>
        <v/>
      </c>
      <c r="F231" s="134" t="str">
        <f ca="1">IFERROR(__xludf.DUMMYFUNCTION("""COMPUTED_VALUE"""),"")</f>
        <v/>
      </c>
      <c r="G231" s="134" t="str">
        <f ca="1">IFERROR(__xludf.DUMMYFUNCTION("""COMPUTED_VALUE"""),"")</f>
        <v/>
      </c>
      <c r="H231" s="134" t="str">
        <f ca="1">IFERROR(__xludf.DUMMYFUNCTION("""COMPUTED_VALUE"""),"")</f>
        <v/>
      </c>
      <c r="I231" s="134" t="str">
        <f ca="1">IFERROR(__xludf.DUMMYFUNCTION("""COMPUTED_VALUE"""),"")</f>
        <v/>
      </c>
      <c r="J231" s="134" t="str">
        <f ca="1">IFERROR(__xludf.DUMMYFUNCTION("""COMPUTED_VALUE"""),"")</f>
        <v/>
      </c>
      <c r="N231" s="31"/>
    </row>
    <row r="232" spans="1:14" customFormat="1">
      <c r="A232" s="134" t="str">
        <f ca="1">IFERROR(__xludf.DUMMYFUNCTION("""COMPUTED_VALUE"""),"")</f>
        <v/>
      </c>
      <c r="B232" s="134" t="str">
        <f ca="1">IFERROR(__xludf.DUMMYFUNCTION("""COMPUTED_VALUE"""),"")</f>
        <v/>
      </c>
      <c r="C232" s="134" t="str">
        <f ca="1">IFERROR(__xludf.DUMMYFUNCTION("""COMPUTED_VALUE"""),"")</f>
        <v/>
      </c>
      <c r="D232" s="134" t="str">
        <f ca="1">IFERROR(__xludf.DUMMYFUNCTION("""COMPUTED_VALUE"""),"")</f>
        <v/>
      </c>
      <c r="E232" s="134" t="str">
        <f ca="1">IFERROR(__xludf.DUMMYFUNCTION("""COMPUTED_VALUE"""),"")</f>
        <v/>
      </c>
      <c r="F232" s="134" t="str">
        <f ca="1">IFERROR(__xludf.DUMMYFUNCTION("""COMPUTED_VALUE"""),"")</f>
        <v/>
      </c>
      <c r="G232" s="134" t="str">
        <f ca="1">IFERROR(__xludf.DUMMYFUNCTION("""COMPUTED_VALUE"""),"")</f>
        <v/>
      </c>
      <c r="H232" s="134" t="str">
        <f ca="1">IFERROR(__xludf.DUMMYFUNCTION("""COMPUTED_VALUE"""),"")</f>
        <v/>
      </c>
      <c r="I232" s="134" t="str">
        <f ca="1">IFERROR(__xludf.DUMMYFUNCTION("""COMPUTED_VALUE"""),"")</f>
        <v/>
      </c>
      <c r="J232" s="134" t="str">
        <f ca="1">IFERROR(__xludf.DUMMYFUNCTION("""COMPUTED_VALUE"""),"")</f>
        <v/>
      </c>
      <c r="N232" s="31"/>
    </row>
    <row r="233" spans="1:14" customFormat="1">
      <c r="A233" s="134" t="str">
        <f ca="1">IFERROR(__xludf.DUMMYFUNCTION("""COMPUTED_VALUE"""),"")</f>
        <v/>
      </c>
      <c r="B233" s="134" t="str">
        <f ca="1">IFERROR(__xludf.DUMMYFUNCTION("""COMPUTED_VALUE"""),"")</f>
        <v/>
      </c>
      <c r="C233" s="134" t="str">
        <f ca="1">IFERROR(__xludf.DUMMYFUNCTION("""COMPUTED_VALUE"""),"")</f>
        <v/>
      </c>
      <c r="D233" s="134" t="str">
        <f ca="1">IFERROR(__xludf.DUMMYFUNCTION("""COMPUTED_VALUE"""),"")</f>
        <v/>
      </c>
      <c r="E233" s="134" t="str">
        <f ca="1">IFERROR(__xludf.DUMMYFUNCTION("""COMPUTED_VALUE"""),"")</f>
        <v/>
      </c>
      <c r="F233" s="134" t="str">
        <f ca="1">IFERROR(__xludf.DUMMYFUNCTION("""COMPUTED_VALUE"""),"")</f>
        <v/>
      </c>
      <c r="G233" s="134" t="str">
        <f ca="1">IFERROR(__xludf.DUMMYFUNCTION("""COMPUTED_VALUE"""),"")</f>
        <v/>
      </c>
      <c r="H233" s="134" t="str">
        <f ca="1">IFERROR(__xludf.DUMMYFUNCTION("""COMPUTED_VALUE"""),"")</f>
        <v/>
      </c>
      <c r="I233" s="134" t="str">
        <f ca="1">IFERROR(__xludf.DUMMYFUNCTION("""COMPUTED_VALUE"""),"")</f>
        <v/>
      </c>
      <c r="J233" s="134" t="str">
        <f ca="1">IFERROR(__xludf.DUMMYFUNCTION("""COMPUTED_VALUE"""),"")</f>
        <v/>
      </c>
      <c r="N233" s="31"/>
    </row>
    <row r="234" spans="1:14" customFormat="1">
      <c r="A234" s="134" t="str">
        <f ca="1">IFERROR(__xludf.DUMMYFUNCTION("""COMPUTED_VALUE"""),"")</f>
        <v/>
      </c>
      <c r="B234" s="134" t="str">
        <f ca="1">IFERROR(__xludf.DUMMYFUNCTION("""COMPUTED_VALUE"""),"")</f>
        <v/>
      </c>
      <c r="C234" s="134" t="str">
        <f ca="1">IFERROR(__xludf.DUMMYFUNCTION("""COMPUTED_VALUE"""),"")</f>
        <v/>
      </c>
      <c r="D234" s="134" t="str">
        <f ca="1">IFERROR(__xludf.DUMMYFUNCTION("""COMPUTED_VALUE"""),"")</f>
        <v/>
      </c>
      <c r="E234" s="134" t="str">
        <f ca="1">IFERROR(__xludf.DUMMYFUNCTION("""COMPUTED_VALUE"""),"")</f>
        <v/>
      </c>
      <c r="F234" s="134" t="str">
        <f ca="1">IFERROR(__xludf.DUMMYFUNCTION("""COMPUTED_VALUE"""),"")</f>
        <v/>
      </c>
      <c r="G234" s="134" t="str">
        <f ca="1">IFERROR(__xludf.DUMMYFUNCTION("""COMPUTED_VALUE"""),"")</f>
        <v/>
      </c>
      <c r="H234" s="134" t="str">
        <f ca="1">IFERROR(__xludf.DUMMYFUNCTION("""COMPUTED_VALUE"""),"")</f>
        <v/>
      </c>
      <c r="I234" s="134" t="str">
        <f ca="1">IFERROR(__xludf.DUMMYFUNCTION("""COMPUTED_VALUE"""),"")</f>
        <v/>
      </c>
      <c r="J234" s="134" t="str">
        <f ca="1">IFERROR(__xludf.DUMMYFUNCTION("""COMPUTED_VALUE"""),"")</f>
        <v/>
      </c>
      <c r="N234" s="31"/>
    </row>
    <row r="235" spans="1:14" customFormat="1">
      <c r="A235" s="134" t="str">
        <f ca="1">IFERROR(__xludf.DUMMYFUNCTION("""COMPUTED_VALUE"""),"")</f>
        <v/>
      </c>
      <c r="B235" s="134" t="str">
        <f ca="1">IFERROR(__xludf.DUMMYFUNCTION("""COMPUTED_VALUE"""),"")</f>
        <v/>
      </c>
      <c r="C235" s="134" t="str">
        <f ca="1">IFERROR(__xludf.DUMMYFUNCTION("""COMPUTED_VALUE"""),"")</f>
        <v/>
      </c>
      <c r="D235" s="134" t="str">
        <f ca="1">IFERROR(__xludf.DUMMYFUNCTION("""COMPUTED_VALUE"""),"")</f>
        <v/>
      </c>
      <c r="E235" s="134" t="str">
        <f ca="1">IFERROR(__xludf.DUMMYFUNCTION("""COMPUTED_VALUE"""),"")</f>
        <v/>
      </c>
      <c r="F235" s="134" t="str">
        <f ca="1">IFERROR(__xludf.DUMMYFUNCTION("""COMPUTED_VALUE"""),"")</f>
        <v/>
      </c>
      <c r="G235" s="134" t="str">
        <f ca="1">IFERROR(__xludf.DUMMYFUNCTION("""COMPUTED_VALUE"""),"")</f>
        <v/>
      </c>
      <c r="H235" s="134" t="str">
        <f ca="1">IFERROR(__xludf.DUMMYFUNCTION("""COMPUTED_VALUE"""),"")</f>
        <v/>
      </c>
      <c r="I235" s="134" t="str">
        <f ca="1">IFERROR(__xludf.DUMMYFUNCTION("""COMPUTED_VALUE"""),"")</f>
        <v/>
      </c>
      <c r="J235" s="134" t="str">
        <f ca="1">IFERROR(__xludf.DUMMYFUNCTION("""COMPUTED_VALUE"""),"")</f>
        <v/>
      </c>
      <c r="N235" s="31"/>
    </row>
    <row r="236" spans="1:14" customFormat="1">
      <c r="A236" s="134" t="str">
        <f ca="1">IFERROR(__xludf.DUMMYFUNCTION("""COMPUTED_VALUE"""),"")</f>
        <v/>
      </c>
      <c r="B236" s="134" t="str">
        <f ca="1">IFERROR(__xludf.DUMMYFUNCTION("""COMPUTED_VALUE"""),"")</f>
        <v/>
      </c>
      <c r="C236" s="134" t="str">
        <f ca="1">IFERROR(__xludf.DUMMYFUNCTION("""COMPUTED_VALUE"""),"")</f>
        <v/>
      </c>
      <c r="D236" s="134" t="str">
        <f ca="1">IFERROR(__xludf.DUMMYFUNCTION("""COMPUTED_VALUE"""),"")</f>
        <v/>
      </c>
      <c r="E236" s="134" t="str">
        <f ca="1">IFERROR(__xludf.DUMMYFUNCTION("""COMPUTED_VALUE"""),"")</f>
        <v/>
      </c>
      <c r="F236" s="134" t="str">
        <f ca="1">IFERROR(__xludf.DUMMYFUNCTION("""COMPUTED_VALUE"""),"")</f>
        <v/>
      </c>
      <c r="G236" s="134" t="str">
        <f ca="1">IFERROR(__xludf.DUMMYFUNCTION("""COMPUTED_VALUE"""),"")</f>
        <v/>
      </c>
      <c r="H236" s="134" t="str">
        <f ca="1">IFERROR(__xludf.DUMMYFUNCTION("""COMPUTED_VALUE"""),"")</f>
        <v/>
      </c>
      <c r="I236" s="134" t="str">
        <f ca="1">IFERROR(__xludf.DUMMYFUNCTION("""COMPUTED_VALUE"""),"")</f>
        <v/>
      </c>
      <c r="J236" s="134" t="str">
        <f ca="1">IFERROR(__xludf.DUMMYFUNCTION("""COMPUTED_VALUE"""),"")</f>
        <v/>
      </c>
      <c r="N236" s="31"/>
    </row>
    <row r="237" spans="1:14" customFormat="1">
      <c r="A237" s="134" t="str">
        <f ca="1">IFERROR(__xludf.DUMMYFUNCTION("""COMPUTED_VALUE"""),"")</f>
        <v/>
      </c>
      <c r="B237" s="134" t="str">
        <f ca="1">IFERROR(__xludf.DUMMYFUNCTION("""COMPUTED_VALUE"""),"")</f>
        <v/>
      </c>
      <c r="C237" s="134" t="str">
        <f ca="1">IFERROR(__xludf.DUMMYFUNCTION("""COMPUTED_VALUE"""),"")</f>
        <v/>
      </c>
      <c r="D237" s="134" t="str">
        <f ca="1">IFERROR(__xludf.DUMMYFUNCTION("""COMPUTED_VALUE"""),"")</f>
        <v/>
      </c>
      <c r="E237" s="134" t="str">
        <f ca="1">IFERROR(__xludf.DUMMYFUNCTION("""COMPUTED_VALUE"""),"")</f>
        <v/>
      </c>
      <c r="F237" s="134" t="str">
        <f ca="1">IFERROR(__xludf.DUMMYFUNCTION("""COMPUTED_VALUE"""),"")</f>
        <v/>
      </c>
      <c r="G237" s="134" t="str">
        <f ca="1">IFERROR(__xludf.DUMMYFUNCTION("""COMPUTED_VALUE"""),"")</f>
        <v/>
      </c>
      <c r="H237" s="134" t="str">
        <f ca="1">IFERROR(__xludf.DUMMYFUNCTION("""COMPUTED_VALUE"""),"")</f>
        <v/>
      </c>
      <c r="I237" s="134" t="str">
        <f ca="1">IFERROR(__xludf.DUMMYFUNCTION("""COMPUTED_VALUE"""),"")</f>
        <v/>
      </c>
      <c r="J237" s="134" t="str">
        <f ca="1">IFERROR(__xludf.DUMMYFUNCTION("""COMPUTED_VALUE"""),"")</f>
        <v/>
      </c>
      <c r="N237" s="31"/>
    </row>
    <row r="238" spans="1:14" customFormat="1">
      <c r="A238" s="134" t="str">
        <f ca="1">IFERROR(__xludf.DUMMYFUNCTION("""COMPUTED_VALUE"""),"")</f>
        <v/>
      </c>
      <c r="B238" s="134" t="str">
        <f ca="1">IFERROR(__xludf.DUMMYFUNCTION("""COMPUTED_VALUE"""),"")</f>
        <v/>
      </c>
      <c r="C238" s="134" t="str">
        <f ca="1">IFERROR(__xludf.DUMMYFUNCTION("""COMPUTED_VALUE"""),"")</f>
        <v/>
      </c>
      <c r="D238" s="134" t="str">
        <f ca="1">IFERROR(__xludf.DUMMYFUNCTION("""COMPUTED_VALUE"""),"")</f>
        <v/>
      </c>
      <c r="E238" s="134" t="str">
        <f ca="1">IFERROR(__xludf.DUMMYFUNCTION("""COMPUTED_VALUE"""),"")</f>
        <v/>
      </c>
      <c r="F238" s="134" t="str">
        <f ca="1">IFERROR(__xludf.DUMMYFUNCTION("""COMPUTED_VALUE"""),"")</f>
        <v/>
      </c>
      <c r="G238" s="134" t="str">
        <f ca="1">IFERROR(__xludf.DUMMYFUNCTION("""COMPUTED_VALUE"""),"")</f>
        <v/>
      </c>
      <c r="H238" s="134" t="str">
        <f ca="1">IFERROR(__xludf.DUMMYFUNCTION("""COMPUTED_VALUE"""),"")</f>
        <v/>
      </c>
      <c r="I238" s="134" t="str">
        <f ca="1">IFERROR(__xludf.DUMMYFUNCTION("""COMPUTED_VALUE"""),"")</f>
        <v/>
      </c>
      <c r="J238" s="134" t="str">
        <f ca="1">IFERROR(__xludf.DUMMYFUNCTION("""COMPUTED_VALUE"""),"")</f>
        <v/>
      </c>
      <c r="N238" s="31"/>
    </row>
    <row r="239" spans="1:14" customFormat="1">
      <c r="A239" s="134" t="str">
        <f ca="1">IFERROR(__xludf.DUMMYFUNCTION("""COMPUTED_VALUE"""),"")</f>
        <v/>
      </c>
      <c r="B239" s="134" t="str">
        <f ca="1">IFERROR(__xludf.DUMMYFUNCTION("""COMPUTED_VALUE"""),"")</f>
        <v/>
      </c>
      <c r="C239" s="134" t="str">
        <f ca="1">IFERROR(__xludf.DUMMYFUNCTION("""COMPUTED_VALUE"""),"")</f>
        <v/>
      </c>
      <c r="D239" s="134" t="str">
        <f ca="1">IFERROR(__xludf.DUMMYFUNCTION("""COMPUTED_VALUE"""),"")</f>
        <v/>
      </c>
      <c r="E239" s="134" t="str">
        <f ca="1">IFERROR(__xludf.DUMMYFUNCTION("""COMPUTED_VALUE"""),"")</f>
        <v/>
      </c>
      <c r="F239" s="134" t="str">
        <f ca="1">IFERROR(__xludf.DUMMYFUNCTION("""COMPUTED_VALUE"""),"")</f>
        <v/>
      </c>
      <c r="G239" s="134" t="str">
        <f ca="1">IFERROR(__xludf.DUMMYFUNCTION("""COMPUTED_VALUE"""),"")</f>
        <v/>
      </c>
      <c r="H239" s="134" t="str">
        <f ca="1">IFERROR(__xludf.DUMMYFUNCTION("""COMPUTED_VALUE"""),"")</f>
        <v/>
      </c>
      <c r="I239" s="134" t="str">
        <f ca="1">IFERROR(__xludf.DUMMYFUNCTION("""COMPUTED_VALUE"""),"")</f>
        <v/>
      </c>
      <c r="J239" s="134" t="str">
        <f ca="1">IFERROR(__xludf.DUMMYFUNCTION("""COMPUTED_VALUE"""),"")</f>
        <v/>
      </c>
      <c r="N239" s="31"/>
    </row>
    <row r="240" spans="1:14" customFormat="1">
      <c r="A240" s="134" t="str">
        <f ca="1">IFERROR(__xludf.DUMMYFUNCTION("""COMPUTED_VALUE"""),"")</f>
        <v/>
      </c>
      <c r="B240" s="134" t="str">
        <f ca="1">IFERROR(__xludf.DUMMYFUNCTION("""COMPUTED_VALUE"""),"")</f>
        <v/>
      </c>
      <c r="C240" s="134" t="str">
        <f ca="1">IFERROR(__xludf.DUMMYFUNCTION("""COMPUTED_VALUE"""),"")</f>
        <v/>
      </c>
      <c r="D240" s="134" t="str">
        <f ca="1">IFERROR(__xludf.DUMMYFUNCTION("""COMPUTED_VALUE"""),"")</f>
        <v/>
      </c>
      <c r="E240" s="134" t="str">
        <f ca="1">IFERROR(__xludf.DUMMYFUNCTION("""COMPUTED_VALUE"""),"")</f>
        <v/>
      </c>
      <c r="F240" s="134" t="str">
        <f ca="1">IFERROR(__xludf.DUMMYFUNCTION("""COMPUTED_VALUE"""),"")</f>
        <v/>
      </c>
      <c r="G240" s="134" t="str">
        <f ca="1">IFERROR(__xludf.DUMMYFUNCTION("""COMPUTED_VALUE"""),"")</f>
        <v/>
      </c>
      <c r="H240" s="134" t="str">
        <f ca="1">IFERROR(__xludf.DUMMYFUNCTION("""COMPUTED_VALUE"""),"")</f>
        <v/>
      </c>
      <c r="I240" s="134" t="str">
        <f ca="1">IFERROR(__xludf.DUMMYFUNCTION("""COMPUTED_VALUE"""),"")</f>
        <v/>
      </c>
      <c r="J240" s="134" t="str">
        <f ca="1">IFERROR(__xludf.DUMMYFUNCTION("""COMPUTED_VALUE"""),"")</f>
        <v/>
      </c>
      <c r="N240" s="31"/>
    </row>
    <row r="241" spans="1:14" customFormat="1">
      <c r="A241" s="134" t="str">
        <f ca="1">IFERROR(__xludf.DUMMYFUNCTION("""COMPUTED_VALUE"""),"")</f>
        <v/>
      </c>
      <c r="B241" s="134" t="str">
        <f ca="1">IFERROR(__xludf.DUMMYFUNCTION("""COMPUTED_VALUE"""),"")</f>
        <v/>
      </c>
      <c r="C241" s="134" t="str">
        <f ca="1">IFERROR(__xludf.DUMMYFUNCTION("""COMPUTED_VALUE"""),"")</f>
        <v/>
      </c>
      <c r="D241" s="134" t="str">
        <f ca="1">IFERROR(__xludf.DUMMYFUNCTION("""COMPUTED_VALUE"""),"")</f>
        <v/>
      </c>
      <c r="E241" s="134" t="str">
        <f ca="1">IFERROR(__xludf.DUMMYFUNCTION("""COMPUTED_VALUE"""),"")</f>
        <v/>
      </c>
      <c r="F241" s="134" t="str">
        <f ca="1">IFERROR(__xludf.DUMMYFUNCTION("""COMPUTED_VALUE"""),"")</f>
        <v/>
      </c>
      <c r="G241" s="134" t="str">
        <f ca="1">IFERROR(__xludf.DUMMYFUNCTION("""COMPUTED_VALUE"""),"")</f>
        <v/>
      </c>
      <c r="H241" s="134" t="str">
        <f ca="1">IFERROR(__xludf.DUMMYFUNCTION("""COMPUTED_VALUE"""),"")</f>
        <v/>
      </c>
      <c r="I241" s="134" t="str">
        <f ca="1">IFERROR(__xludf.DUMMYFUNCTION("""COMPUTED_VALUE"""),"")</f>
        <v/>
      </c>
      <c r="J241" s="134" t="str">
        <f ca="1">IFERROR(__xludf.DUMMYFUNCTION("""COMPUTED_VALUE"""),"")</f>
        <v/>
      </c>
      <c r="N241" s="31"/>
    </row>
    <row r="242" spans="1:14" customFormat="1">
      <c r="A242" s="134" t="str">
        <f ca="1">IFERROR(__xludf.DUMMYFUNCTION("""COMPUTED_VALUE"""),"")</f>
        <v/>
      </c>
      <c r="B242" s="134" t="str">
        <f ca="1">IFERROR(__xludf.DUMMYFUNCTION("""COMPUTED_VALUE"""),"")</f>
        <v/>
      </c>
      <c r="C242" s="134" t="str">
        <f ca="1">IFERROR(__xludf.DUMMYFUNCTION("""COMPUTED_VALUE"""),"")</f>
        <v/>
      </c>
      <c r="D242" s="134" t="str">
        <f ca="1">IFERROR(__xludf.DUMMYFUNCTION("""COMPUTED_VALUE"""),"")</f>
        <v/>
      </c>
      <c r="E242" s="134" t="str">
        <f ca="1">IFERROR(__xludf.DUMMYFUNCTION("""COMPUTED_VALUE"""),"")</f>
        <v/>
      </c>
      <c r="F242" s="134" t="str">
        <f ca="1">IFERROR(__xludf.DUMMYFUNCTION("""COMPUTED_VALUE"""),"")</f>
        <v/>
      </c>
      <c r="G242" s="134" t="str">
        <f ca="1">IFERROR(__xludf.DUMMYFUNCTION("""COMPUTED_VALUE"""),"")</f>
        <v/>
      </c>
      <c r="H242" s="134" t="str">
        <f ca="1">IFERROR(__xludf.DUMMYFUNCTION("""COMPUTED_VALUE"""),"")</f>
        <v/>
      </c>
      <c r="I242" s="134" t="str">
        <f ca="1">IFERROR(__xludf.DUMMYFUNCTION("""COMPUTED_VALUE"""),"")</f>
        <v/>
      </c>
      <c r="J242" s="134" t="str">
        <f ca="1">IFERROR(__xludf.DUMMYFUNCTION("""COMPUTED_VALUE"""),"")</f>
        <v/>
      </c>
      <c r="N242" s="31"/>
    </row>
    <row r="243" spans="1:14" customFormat="1">
      <c r="A243" s="134" t="str">
        <f ca="1">IFERROR(__xludf.DUMMYFUNCTION("""COMPUTED_VALUE"""),"")</f>
        <v/>
      </c>
      <c r="B243" s="134" t="str">
        <f ca="1">IFERROR(__xludf.DUMMYFUNCTION("""COMPUTED_VALUE"""),"")</f>
        <v/>
      </c>
      <c r="C243" s="134" t="str">
        <f ca="1">IFERROR(__xludf.DUMMYFUNCTION("""COMPUTED_VALUE"""),"")</f>
        <v/>
      </c>
      <c r="D243" s="134" t="str">
        <f ca="1">IFERROR(__xludf.DUMMYFUNCTION("""COMPUTED_VALUE"""),"")</f>
        <v/>
      </c>
      <c r="E243" s="134" t="str">
        <f ca="1">IFERROR(__xludf.DUMMYFUNCTION("""COMPUTED_VALUE"""),"")</f>
        <v/>
      </c>
      <c r="F243" s="134" t="str">
        <f ca="1">IFERROR(__xludf.DUMMYFUNCTION("""COMPUTED_VALUE"""),"")</f>
        <v/>
      </c>
      <c r="G243" s="134" t="str">
        <f ca="1">IFERROR(__xludf.DUMMYFUNCTION("""COMPUTED_VALUE"""),"")</f>
        <v/>
      </c>
      <c r="H243" s="134" t="str">
        <f ca="1">IFERROR(__xludf.DUMMYFUNCTION("""COMPUTED_VALUE"""),"")</f>
        <v/>
      </c>
      <c r="I243" s="134" t="str">
        <f ca="1">IFERROR(__xludf.DUMMYFUNCTION("""COMPUTED_VALUE"""),"")</f>
        <v/>
      </c>
      <c r="J243" s="134" t="str">
        <f ca="1">IFERROR(__xludf.DUMMYFUNCTION("""COMPUTED_VALUE"""),"")</f>
        <v/>
      </c>
      <c r="N243" s="31"/>
    </row>
    <row r="244" spans="1:14" customFormat="1">
      <c r="A244" s="134" t="str">
        <f ca="1">IFERROR(__xludf.DUMMYFUNCTION("""COMPUTED_VALUE"""),"")</f>
        <v/>
      </c>
      <c r="B244" s="134" t="str">
        <f ca="1">IFERROR(__xludf.DUMMYFUNCTION("""COMPUTED_VALUE"""),"")</f>
        <v/>
      </c>
      <c r="C244" s="134" t="str">
        <f ca="1">IFERROR(__xludf.DUMMYFUNCTION("""COMPUTED_VALUE"""),"")</f>
        <v/>
      </c>
      <c r="D244" s="134" t="str">
        <f ca="1">IFERROR(__xludf.DUMMYFUNCTION("""COMPUTED_VALUE"""),"")</f>
        <v/>
      </c>
      <c r="E244" s="134" t="str">
        <f ca="1">IFERROR(__xludf.DUMMYFUNCTION("""COMPUTED_VALUE"""),"")</f>
        <v/>
      </c>
      <c r="F244" s="134" t="str">
        <f ca="1">IFERROR(__xludf.DUMMYFUNCTION("""COMPUTED_VALUE"""),"")</f>
        <v/>
      </c>
      <c r="G244" s="134" t="str">
        <f ca="1">IFERROR(__xludf.DUMMYFUNCTION("""COMPUTED_VALUE"""),"")</f>
        <v/>
      </c>
      <c r="H244" s="134" t="str">
        <f ca="1">IFERROR(__xludf.DUMMYFUNCTION("""COMPUTED_VALUE"""),"")</f>
        <v/>
      </c>
      <c r="I244" s="134" t="str">
        <f ca="1">IFERROR(__xludf.DUMMYFUNCTION("""COMPUTED_VALUE"""),"")</f>
        <v/>
      </c>
      <c r="J244" s="134" t="str">
        <f ca="1">IFERROR(__xludf.DUMMYFUNCTION("""COMPUTED_VALUE"""),"")</f>
        <v/>
      </c>
      <c r="N244" s="31"/>
    </row>
    <row r="245" spans="1:14" customFormat="1">
      <c r="A245" s="134" t="str">
        <f ca="1">IFERROR(__xludf.DUMMYFUNCTION("""COMPUTED_VALUE"""),"")</f>
        <v/>
      </c>
      <c r="B245" s="134" t="str">
        <f ca="1">IFERROR(__xludf.DUMMYFUNCTION("""COMPUTED_VALUE"""),"")</f>
        <v/>
      </c>
      <c r="C245" s="134" t="str">
        <f ca="1">IFERROR(__xludf.DUMMYFUNCTION("""COMPUTED_VALUE"""),"")</f>
        <v/>
      </c>
      <c r="D245" s="134" t="str">
        <f ca="1">IFERROR(__xludf.DUMMYFUNCTION("""COMPUTED_VALUE"""),"")</f>
        <v/>
      </c>
      <c r="E245" s="134" t="str">
        <f ca="1">IFERROR(__xludf.DUMMYFUNCTION("""COMPUTED_VALUE"""),"")</f>
        <v/>
      </c>
      <c r="F245" s="134" t="str">
        <f ca="1">IFERROR(__xludf.DUMMYFUNCTION("""COMPUTED_VALUE"""),"")</f>
        <v/>
      </c>
      <c r="G245" s="134" t="str">
        <f ca="1">IFERROR(__xludf.DUMMYFUNCTION("""COMPUTED_VALUE"""),"")</f>
        <v/>
      </c>
      <c r="H245" s="134" t="str">
        <f ca="1">IFERROR(__xludf.DUMMYFUNCTION("""COMPUTED_VALUE"""),"")</f>
        <v/>
      </c>
      <c r="I245" s="134" t="str">
        <f ca="1">IFERROR(__xludf.DUMMYFUNCTION("""COMPUTED_VALUE"""),"")</f>
        <v/>
      </c>
      <c r="J245" s="134" t="str">
        <f ca="1">IFERROR(__xludf.DUMMYFUNCTION("""COMPUTED_VALUE"""),"")</f>
        <v/>
      </c>
      <c r="N245" s="31"/>
    </row>
    <row r="246" spans="1:14" customFormat="1">
      <c r="A246" s="134" t="str">
        <f ca="1">IFERROR(__xludf.DUMMYFUNCTION("""COMPUTED_VALUE"""),"")</f>
        <v/>
      </c>
      <c r="B246" s="134" t="str">
        <f ca="1">IFERROR(__xludf.DUMMYFUNCTION("""COMPUTED_VALUE"""),"")</f>
        <v/>
      </c>
      <c r="C246" s="134" t="str">
        <f ca="1">IFERROR(__xludf.DUMMYFUNCTION("""COMPUTED_VALUE"""),"")</f>
        <v/>
      </c>
      <c r="D246" s="134" t="str">
        <f ca="1">IFERROR(__xludf.DUMMYFUNCTION("""COMPUTED_VALUE"""),"")</f>
        <v/>
      </c>
      <c r="E246" s="134" t="str">
        <f ca="1">IFERROR(__xludf.DUMMYFUNCTION("""COMPUTED_VALUE"""),"")</f>
        <v/>
      </c>
      <c r="F246" s="134" t="str">
        <f ca="1">IFERROR(__xludf.DUMMYFUNCTION("""COMPUTED_VALUE"""),"")</f>
        <v/>
      </c>
      <c r="G246" s="134" t="str">
        <f ca="1">IFERROR(__xludf.DUMMYFUNCTION("""COMPUTED_VALUE"""),"")</f>
        <v/>
      </c>
      <c r="H246" s="134" t="str">
        <f ca="1">IFERROR(__xludf.DUMMYFUNCTION("""COMPUTED_VALUE"""),"")</f>
        <v/>
      </c>
      <c r="I246" s="134" t="str">
        <f ca="1">IFERROR(__xludf.DUMMYFUNCTION("""COMPUTED_VALUE"""),"")</f>
        <v/>
      </c>
      <c r="J246" s="134" t="str">
        <f ca="1">IFERROR(__xludf.DUMMYFUNCTION("""COMPUTED_VALUE"""),"")</f>
        <v/>
      </c>
      <c r="N246" s="31"/>
    </row>
    <row r="247" spans="1:14" customFormat="1">
      <c r="A247" s="134" t="str">
        <f ca="1">IFERROR(__xludf.DUMMYFUNCTION("""COMPUTED_VALUE"""),"")</f>
        <v/>
      </c>
      <c r="B247" s="134" t="str">
        <f ca="1">IFERROR(__xludf.DUMMYFUNCTION("""COMPUTED_VALUE"""),"")</f>
        <v/>
      </c>
      <c r="C247" s="134" t="str">
        <f ca="1">IFERROR(__xludf.DUMMYFUNCTION("""COMPUTED_VALUE"""),"")</f>
        <v/>
      </c>
      <c r="D247" s="134" t="str">
        <f ca="1">IFERROR(__xludf.DUMMYFUNCTION("""COMPUTED_VALUE"""),"")</f>
        <v/>
      </c>
      <c r="E247" s="134" t="str">
        <f ca="1">IFERROR(__xludf.DUMMYFUNCTION("""COMPUTED_VALUE"""),"")</f>
        <v/>
      </c>
      <c r="F247" s="134" t="str">
        <f ca="1">IFERROR(__xludf.DUMMYFUNCTION("""COMPUTED_VALUE"""),"")</f>
        <v/>
      </c>
      <c r="G247" s="134" t="str">
        <f ca="1">IFERROR(__xludf.DUMMYFUNCTION("""COMPUTED_VALUE"""),"")</f>
        <v/>
      </c>
      <c r="H247" s="134" t="str">
        <f ca="1">IFERROR(__xludf.DUMMYFUNCTION("""COMPUTED_VALUE"""),"")</f>
        <v/>
      </c>
      <c r="I247" s="134" t="str">
        <f ca="1">IFERROR(__xludf.DUMMYFUNCTION("""COMPUTED_VALUE"""),"")</f>
        <v/>
      </c>
      <c r="J247" s="134" t="str">
        <f ca="1">IFERROR(__xludf.DUMMYFUNCTION("""COMPUTED_VALUE"""),"")</f>
        <v/>
      </c>
      <c r="N247" s="31"/>
    </row>
    <row r="248" spans="1:14" customFormat="1">
      <c r="A248" s="134" t="str">
        <f ca="1">IFERROR(__xludf.DUMMYFUNCTION("""COMPUTED_VALUE"""),"")</f>
        <v/>
      </c>
      <c r="B248" s="134" t="str">
        <f ca="1">IFERROR(__xludf.DUMMYFUNCTION("""COMPUTED_VALUE"""),"")</f>
        <v/>
      </c>
      <c r="C248" s="134" t="str">
        <f ca="1">IFERROR(__xludf.DUMMYFUNCTION("""COMPUTED_VALUE"""),"")</f>
        <v/>
      </c>
      <c r="D248" s="134" t="str">
        <f ca="1">IFERROR(__xludf.DUMMYFUNCTION("""COMPUTED_VALUE"""),"")</f>
        <v/>
      </c>
      <c r="E248" s="134" t="str">
        <f ca="1">IFERROR(__xludf.DUMMYFUNCTION("""COMPUTED_VALUE"""),"")</f>
        <v/>
      </c>
      <c r="F248" s="134" t="str">
        <f ca="1">IFERROR(__xludf.DUMMYFUNCTION("""COMPUTED_VALUE"""),"")</f>
        <v/>
      </c>
      <c r="G248" s="134" t="str">
        <f ca="1">IFERROR(__xludf.DUMMYFUNCTION("""COMPUTED_VALUE"""),"")</f>
        <v/>
      </c>
      <c r="H248" s="134" t="str">
        <f ca="1">IFERROR(__xludf.DUMMYFUNCTION("""COMPUTED_VALUE"""),"")</f>
        <v/>
      </c>
      <c r="I248" s="134" t="str">
        <f ca="1">IFERROR(__xludf.DUMMYFUNCTION("""COMPUTED_VALUE"""),"")</f>
        <v/>
      </c>
      <c r="J248" s="134" t="str">
        <f ca="1">IFERROR(__xludf.DUMMYFUNCTION("""COMPUTED_VALUE"""),"")</f>
        <v/>
      </c>
      <c r="N248" s="31"/>
    </row>
    <row r="249" spans="1:14" customFormat="1">
      <c r="A249" s="134" t="str">
        <f ca="1">IFERROR(__xludf.DUMMYFUNCTION("""COMPUTED_VALUE"""),"")</f>
        <v/>
      </c>
      <c r="B249" s="134" t="str">
        <f ca="1">IFERROR(__xludf.DUMMYFUNCTION("""COMPUTED_VALUE"""),"")</f>
        <v/>
      </c>
      <c r="C249" s="134" t="str">
        <f ca="1">IFERROR(__xludf.DUMMYFUNCTION("""COMPUTED_VALUE"""),"")</f>
        <v/>
      </c>
      <c r="D249" s="134" t="str">
        <f ca="1">IFERROR(__xludf.DUMMYFUNCTION("""COMPUTED_VALUE"""),"")</f>
        <v/>
      </c>
      <c r="E249" s="134" t="str">
        <f ca="1">IFERROR(__xludf.DUMMYFUNCTION("""COMPUTED_VALUE"""),"")</f>
        <v/>
      </c>
      <c r="F249" s="134" t="str">
        <f ca="1">IFERROR(__xludf.DUMMYFUNCTION("""COMPUTED_VALUE"""),"")</f>
        <v/>
      </c>
      <c r="G249" s="134" t="str">
        <f ca="1">IFERROR(__xludf.DUMMYFUNCTION("""COMPUTED_VALUE"""),"")</f>
        <v/>
      </c>
      <c r="H249" s="134" t="str">
        <f ca="1">IFERROR(__xludf.DUMMYFUNCTION("""COMPUTED_VALUE"""),"")</f>
        <v/>
      </c>
      <c r="I249" s="134" t="str">
        <f ca="1">IFERROR(__xludf.DUMMYFUNCTION("""COMPUTED_VALUE"""),"")</f>
        <v/>
      </c>
      <c r="J249" s="134" t="str">
        <f ca="1">IFERROR(__xludf.DUMMYFUNCTION("""COMPUTED_VALUE"""),"")</f>
        <v/>
      </c>
      <c r="N249" s="31"/>
    </row>
    <row r="250" spans="1:14" customFormat="1">
      <c r="A250" s="134" t="str">
        <f ca="1">IFERROR(__xludf.DUMMYFUNCTION("""COMPUTED_VALUE"""),"")</f>
        <v/>
      </c>
      <c r="B250" s="134" t="str">
        <f ca="1">IFERROR(__xludf.DUMMYFUNCTION("""COMPUTED_VALUE"""),"")</f>
        <v/>
      </c>
      <c r="C250" s="134" t="str">
        <f ca="1">IFERROR(__xludf.DUMMYFUNCTION("""COMPUTED_VALUE"""),"")</f>
        <v/>
      </c>
      <c r="D250" s="134" t="str">
        <f ca="1">IFERROR(__xludf.DUMMYFUNCTION("""COMPUTED_VALUE"""),"")</f>
        <v/>
      </c>
      <c r="E250" s="134" t="str">
        <f ca="1">IFERROR(__xludf.DUMMYFUNCTION("""COMPUTED_VALUE"""),"")</f>
        <v/>
      </c>
      <c r="F250" s="134" t="str">
        <f ca="1">IFERROR(__xludf.DUMMYFUNCTION("""COMPUTED_VALUE"""),"")</f>
        <v/>
      </c>
      <c r="G250" s="134" t="str">
        <f ca="1">IFERROR(__xludf.DUMMYFUNCTION("""COMPUTED_VALUE"""),"")</f>
        <v/>
      </c>
      <c r="H250" s="134" t="str">
        <f ca="1">IFERROR(__xludf.DUMMYFUNCTION("""COMPUTED_VALUE"""),"")</f>
        <v/>
      </c>
      <c r="I250" s="134" t="str">
        <f ca="1">IFERROR(__xludf.DUMMYFUNCTION("""COMPUTED_VALUE"""),"")</f>
        <v/>
      </c>
      <c r="J250" s="134" t="str">
        <f ca="1">IFERROR(__xludf.DUMMYFUNCTION("""COMPUTED_VALUE"""),"")</f>
        <v/>
      </c>
      <c r="N250" s="31"/>
    </row>
    <row r="251" spans="1:14" customFormat="1">
      <c r="A251" s="134" t="str">
        <f ca="1">IFERROR(__xludf.DUMMYFUNCTION("""COMPUTED_VALUE"""),"")</f>
        <v/>
      </c>
      <c r="B251" s="134" t="str">
        <f ca="1">IFERROR(__xludf.DUMMYFUNCTION("""COMPUTED_VALUE"""),"")</f>
        <v/>
      </c>
      <c r="C251" s="134" t="str">
        <f ca="1">IFERROR(__xludf.DUMMYFUNCTION("""COMPUTED_VALUE"""),"")</f>
        <v/>
      </c>
      <c r="D251" s="134" t="str">
        <f ca="1">IFERROR(__xludf.DUMMYFUNCTION("""COMPUTED_VALUE"""),"")</f>
        <v/>
      </c>
      <c r="E251" s="134" t="str">
        <f ca="1">IFERROR(__xludf.DUMMYFUNCTION("""COMPUTED_VALUE"""),"")</f>
        <v/>
      </c>
      <c r="F251" s="134" t="str">
        <f ca="1">IFERROR(__xludf.DUMMYFUNCTION("""COMPUTED_VALUE"""),"")</f>
        <v/>
      </c>
      <c r="G251" s="134" t="str">
        <f ca="1">IFERROR(__xludf.DUMMYFUNCTION("""COMPUTED_VALUE"""),"")</f>
        <v/>
      </c>
      <c r="H251" s="134" t="str">
        <f ca="1">IFERROR(__xludf.DUMMYFUNCTION("""COMPUTED_VALUE"""),"")</f>
        <v/>
      </c>
      <c r="I251" s="134" t="str">
        <f ca="1">IFERROR(__xludf.DUMMYFUNCTION("""COMPUTED_VALUE"""),"")</f>
        <v/>
      </c>
      <c r="J251" s="134" t="str">
        <f ca="1">IFERROR(__xludf.DUMMYFUNCTION("""COMPUTED_VALUE"""),"")</f>
        <v/>
      </c>
      <c r="N251" s="31"/>
    </row>
    <row r="252" spans="1:14" customFormat="1">
      <c r="A252" s="134" t="str">
        <f ca="1">IFERROR(__xludf.DUMMYFUNCTION("""COMPUTED_VALUE"""),"")</f>
        <v/>
      </c>
      <c r="B252" s="134" t="str">
        <f ca="1">IFERROR(__xludf.DUMMYFUNCTION("""COMPUTED_VALUE"""),"")</f>
        <v/>
      </c>
      <c r="C252" s="134" t="str">
        <f ca="1">IFERROR(__xludf.DUMMYFUNCTION("""COMPUTED_VALUE"""),"")</f>
        <v/>
      </c>
      <c r="D252" s="134" t="str">
        <f ca="1">IFERROR(__xludf.DUMMYFUNCTION("""COMPUTED_VALUE"""),"")</f>
        <v/>
      </c>
      <c r="E252" s="134" t="str">
        <f ca="1">IFERROR(__xludf.DUMMYFUNCTION("""COMPUTED_VALUE"""),"")</f>
        <v/>
      </c>
      <c r="F252" s="134" t="str">
        <f ca="1">IFERROR(__xludf.DUMMYFUNCTION("""COMPUTED_VALUE"""),"")</f>
        <v/>
      </c>
      <c r="G252" s="134" t="str">
        <f ca="1">IFERROR(__xludf.DUMMYFUNCTION("""COMPUTED_VALUE"""),"")</f>
        <v/>
      </c>
      <c r="H252" s="134" t="str">
        <f ca="1">IFERROR(__xludf.DUMMYFUNCTION("""COMPUTED_VALUE"""),"")</f>
        <v/>
      </c>
      <c r="I252" s="134" t="str">
        <f ca="1">IFERROR(__xludf.DUMMYFUNCTION("""COMPUTED_VALUE"""),"")</f>
        <v/>
      </c>
      <c r="J252" s="134" t="str">
        <f ca="1">IFERROR(__xludf.DUMMYFUNCTION("""COMPUTED_VALUE"""),"")</f>
        <v/>
      </c>
      <c r="N252" s="31"/>
    </row>
    <row r="253" spans="1:14" customFormat="1">
      <c r="A253" s="134" t="str">
        <f ca="1">IFERROR(__xludf.DUMMYFUNCTION("""COMPUTED_VALUE"""),"")</f>
        <v/>
      </c>
      <c r="B253" s="134" t="str">
        <f ca="1">IFERROR(__xludf.DUMMYFUNCTION("""COMPUTED_VALUE"""),"")</f>
        <v/>
      </c>
      <c r="C253" s="134" t="str">
        <f ca="1">IFERROR(__xludf.DUMMYFUNCTION("""COMPUTED_VALUE"""),"")</f>
        <v/>
      </c>
      <c r="D253" s="134" t="str">
        <f ca="1">IFERROR(__xludf.DUMMYFUNCTION("""COMPUTED_VALUE"""),"")</f>
        <v/>
      </c>
      <c r="E253" s="134" t="str">
        <f ca="1">IFERROR(__xludf.DUMMYFUNCTION("""COMPUTED_VALUE"""),"")</f>
        <v/>
      </c>
      <c r="F253" s="134" t="str">
        <f ca="1">IFERROR(__xludf.DUMMYFUNCTION("""COMPUTED_VALUE"""),"")</f>
        <v/>
      </c>
      <c r="G253" s="134" t="str">
        <f ca="1">IFERROR(__xludf.DUMMYFUNCTION("""COMPUTED_VALUE"""),"")</f>
        <v/>
      </c>
      <c r="H253" s="134" t="str">
        <f ca="1">IFERROR(__xludf.DUMMYFUNCTION("""COMPUTED_VALUE"""),"")</f>
        <v/>
      </c>
      <c r="I253" s="134" t="str">
        <f ca="1">IFERROR(__xludf.DUMMYFUNCTION("""COMPUTED_VALUE"""),"")</f>
        <v/>
      </c>
      <c r="J253" s="134" t="str">
        <f ca="1">IFERROR(__xludf.DUMMYFUNCTION("""COMPUTED_VALUE"""),"")</f>
        <v/>
      </c>
      <c r="N253" s="31"/>
    </row>
    <row r="254" spans="1:14" customFormat="1">
      <c r="A254" s="134" t="str">
        <f ca="1">IFERROR(__xludf.DUMMYFUNCTION("""COMPUTED_VALUE"""),"")</f>
        <v/>
      </c>
      <c r="B254" s="134" t="str">
        <f ca="1">IFERROR(__xludf.DUMMYFUNCTION("""COMPUTED_VALUE"""),"")</f>
        <v/>
      </c>
      <c r="C254" s="134" t="str">
        <f ca="1">IFERROR(__xludf.DUMMYFUNCTION("""COMPUTED_VALUE"""),"")</f>
        <v/>
      </c>
      <c r="D254" s="134" t="str">
        <f ca="1">IFERROR(__xludf.DUMMYFUNCTION("""COMPUTED_VALUE"""),"")</f>
        <v/>
      </c>
      <c r="E254" s="134" t="str">
        <f ca="1">IFERROR(__xludf.DUMMYFUNCTION("""COMPUTED_VALUE"""),"")</f>
        <v/>
      </c>
      <c r="F254" s="134" t="str">
        <f ca="1">IFERROR(__xludf.DUMMYFUNCTION("""COMPUTED_VALUE"""),"")</f>
        <v/>
      </c>
      <c r="G254" s="134" t="str">
        <f ca="1">IFERROR(__xludf.DUMMYFUNCTION("""COMPUTED_VALUE"""),"")</f>
        <v/>
      </c>
      <c r="H254" s="134" t="str">
        <f ca="1">IFERROR(__xludf.DUMMYFUNCTION("""COMPUTED_VALUE"""),"")</f>
        <v/>
      </c>
      <c r="I254" s="134" t="str">
        <f ca="1">IFERROR(__xludf.DUMMYFUNCTION("""COMPUTED_VALUE"""),"")</f>
        <v/>
      </c>
      <c r="J254" s="134" t="str">
        <f ca="1">IFERROR(__xludf.DUMMYFUNCTION("""COMPUTED_VALUE"""),"")</f>
        <v/>
      </c>
      <c r="N254" s="31"/>
    </row>
    <row r="255" spans="1:14" customFormat="1">
      <c r="A255" s="134" t="str">
        <f ca="1">IFERROR(__xludf.DUMMYFUNCTION("""COMPUTED_VALUE"""),"")</f>
        <v/>
      </c>
      <c r="B255" s="134" t="str">
        <f ca="1">IFERROR(__xludf.DUMMYFUNCTION("""COMPUTED_VALUE"""),"")</f>
        <v/>
      </c>
      <c r="C255" s="134" t="str">
        <f ca="1">IFERROR(__xludf.DUMMYFUNCTION("""COMPUTED_VALUE"""),"")</f>
        <v/>
      </c>
      <c r="D255" s="134" t="str">
        <f ca="1">IFERROR(__xludf.DUMMYFUNCTION("""COMPUTED_VALUE"""),"")</f>
        <v/>
      </c>
      <c r="E255" s="134" t="str">
        <f ca="1">IFERROR(__xludf.DUMMYFUNCTION("""COMPUTED_VALUE"""),"")</f>
        <v/>
      </c>
      <c r="F255" s="134" t="str">
        <f ca="1">IFERROR(__xludf.DUMMYFUNCTION("""COMPUTED_VALUE"""),"")</f>
        <v/>
      </c>
      <c r="G255" s="134" t="str">
        <f ca="1">IFERROR(__xludf.DUMMYFUNCTION("""COMPUTED_VALUE"""),"")</f>
        <v/>
      </c>
      <c r="H255" s="134" t="str">
        <f ca="1">IFERROR(__xludf.DUMMYFUNCTION("""COMPUTED_VALUE"""),"")</f>
        <v/>
      </c>
      <c r="I255" s="134" t="str">
        <f ca="1">IFERROR(__xludf.DUMMYFUNCTION("""COMPUTED_VALUE"""),"")</f>
        <v/>
      </c>
      <c r="J255" s="134" t="str">
        <f ca="1">IFERROR(__xludf.DUMMYFUNCTION("""COMPUTED_VALUE"""),"")</f>
        <v/>
      </c>
      <c r="N255" s="31"/>
    </row>
    <row r="256" spans="1:14" customFormat="1">
      <c r="A256" s="134" t="str">
        <f ca="1">IFERROR(__xludf.DUMMYFUNCTION("""COMPUTED_VALUE"""),"")</f>
        <v/>
      </c>
      <c r="B256" s="134" t="str">
        <f ca="1">IFERROR(__xludf.DUMMYFUNCTION("""COMPUTED_VALUE"""),"")</f>
        <v/>
      </c>
      <c r="C256" s="134" t="str">
        <f ca="1">IFERROR(__xludf.DUMMYFUNCTION("""COMPUTED_VALUE"""),"")</f>
        <v/>
      </c>
      <c r="D256" s="134" t="str">
        <f ca="1">IFERROR(__xludf.DUMMYFUNCTION("""COMPUTED_VALUE"""),"")</f>
        <v/>
      </c>
      <c r="E256" s="134" t="str">
        <f ca="1">IFERROR(__xludf.DUMMYFUNCTION("""COMPUTED_VALUE"""),"")</f>
        <v/>
      </c>
      <c r="F256" s="134" t="str">
        <f ca="1">IFERROR(__xludf.DUMMYFUNCTION("""COMPUTED_VALUE"""),"")</f>
        <v/>
      </c>
      <c r="G256" s="134" t="str">
        <f ca="1">IFERROR(__xludf.DUMMYFUNCTION("""COMPUTED_VALUE"""),"")</f>
        <v/>
      </c>
      <c r="H256" s="134" t="str">
        <f ca="1">IFERROR(__xludf.DUMMYFUNCTION("""COMPUTED_VALUE"""),"")</f>
        <v/>
      </c>
      <c r="I256" s="134" t="str">
        <f ca="1">IFERROR(__xludf.DUMMYFUNCTION("""COMPUTED_VALUE"""),"")</f>
        <v/>
      </c>
      <c r="J256" s="134" t="str">
        <f ca="1">IFERROR(__xludf.DUMMYFUNCTION("""COMPUTED_VALUE"""),"")</f>
        <v/>
      </c>
      <c r="N256" s="31"/>
    </row>
    <row r="257" spans="1:14" customFormat="1">
      <c r="A257" s="134" t="str">
        <f ca="1">IFERROR(__xludf.DUMMYFUNCTION("""COMPUTED_VALUE"""),"")</f>
        <v/>
      </c>
      <c r="B257" s="134" t="str">
        <f ca="1">IFERROR(__xludf.DUMMYFUNCTION("""COMPUTED_VALUE"""),"")</f>
        <v/>
      </c>
      <c r="C257" s="134" t="str">
        <f ca="1">IFERROR(__xludf.DUMMYFUNCTION("""COMPUTED_VALUE"""),"")</f>
        <v/>
      </c>
      <c r="D257" s="134" t="str">
        <f ca="1">IFERROR(__xludf.DUMMYFUNCTION("""COMPUTED_VALUE"""),"")</f>
        <v/>
      </c>
      <c r="E257" s="134" t="str">
        <f ca="1">IFERROR(__xludf.DUMMYFUNCTION("""COMPUTED_VALUE"""),"")</f>
        <v/>
      </c>
      <c r="F257" s="134" t="str">
        <f ca="1">IFERROR(__xludf.DUMMYFUNCTION("""COMPUTED_VALUE"""),"")</f>
        <v/>
      </c>
      <c r="G257" s="134" t="str">
        <f ca="1">IFERROR(__xludf.DUMMYFUNCTION("""COMPUTED_VALUE"""),"")</f>
        <v/>
      </c>
      <c r="H257" s="134" t="str">
        <f ca="1">IFERROR(__xludf.DUMMYFUNCTION("""COMPUTED_VALUE"""),"")</f>
        <v/>
      </c>
      <c r="I257" s="134" t="str">
        <f ca="1">IFERROR(__xludf.DUMMYFUNCTION("""COMPUTED_VALUE"""),"")</f>
        <v/>
      </c>
      <c r="J257" s="134" t="str">
        <f ca="1">IFERROR(__xludf.DUMMYFUNCTION("""COMPUTED_VALUE"""),"")</f>
        <v/>
      </c>
      <c r="N257" s="31"/>
    </row>
    <row r="258" spans="1:14" customFormat="1">
      <c r="A258" s="134" t="str">
        <f ca="1">IFERROR(__xludf.DUMMYFUNCTION("""COMPUTED_VALUE"""),"")</f>
        <v/>
      </c>
      <c r="B258" s="134" t="str">
        <f ca="1">IFERROR(__xludf.DUMMYFUNCTION("""COMPUTED_VALUE"""),"")</f>
        <v/>
      </c>
      <c r="C258" s="134" t="str">
        <f ca="1">IFERROR(__xludf.DUMMYFUNCTION("""COMPUTED_VALUE"""),"")</f>
        <v/>
      </c>
      <c r="D258" s="134" t="str">
        <f ca="1">IFERROR(__xludf.DUMMYFUNCTION("""COMPUTED_VALUE"""),"")</f>
        <v/>
      </c>
      <c r="E258" s="134" t="str">
        <f ca="1">IFERROR(__xludf.DUMMYFUNCTION("""COMPUTED_VALUE"""),"")</f>
        <v/>
      </c>
      <c r="F258" s="134" t="str">
        <f ca="1">IFERROR(__xludf.DUMMYFUNCTION("""COMPUTED_VALUE"""),"")</f>
        <v/>
      </c>
      <c r="G258" s="134" t="str">
        <f ca="1">IFERROR(__xludf.DUMMYFUNCTION("""COMPUTED_VALUE"""),"")</f>
        <v/>
      </c>
      <c r="H258" s="134" t="str">
        <f ca="1">IFERROR(__xludf.DUMMYFUNCTION("""COMPUTED_VALUE"""),"")</f>
        <v/>
      </c>
      <c r="I258" s="134" t="str">
        <f ca="1">IFERROR(__xludf.DUMMYFUNCTION("""COMPUTED_VALUE"""),"")</f>
        <v/>
      </c>
      <c r="J258" s="134" t="str">
        <f ca="1">IFERROR(__xludf.DUMMYFUNCTION("""COMPUTED_VALUE"""),"")</f>
        <v/>
      </c>
      <c r="N258" s="31"/>
    </row>
    <row r="259" spans="1:14" customFormat="1">
      <c r="A259" s="134" t="str">
        <f ca="1">IFERROR(__xludf.DUMMYFUNCTION("""COMPUTED_VALUE"""),"")</f>
        <v/>
      </c>
      <c r="B259" s="134" t="str">
        <f ca="1">IFERROR(__xludf.DUMMYFUNCTION("""COMPUTED_VALUE"""),"")</f>
        <v/>
      </c>
      <c r="C259" s="134" t="str">
        <f ca="1">IFERROR(__xludf.DUMMYFUNCTION("""COMPUTED_VALUE"""),"")</f>
        <v/>
      </c>
      <c r="D259" s="134" t="str">
        <f ca="1">IFERROR(__xludf.DUMMYFUNCTION("""COMPUTED_VALUE"""),"")</f>
        <v/>
      </c>
      <c r="E259" s="134" t="str">
        <f ca="1">IFERROR(__xludf.DUMMYFUNCTION("""COMPUTED_VALUE"""),"")</f>
        <v/>
      </c>
      <c r="F259" s="134" t="str">
        <f ca="1">IFERROR(__xludf.DUMMYFUNCTION("""COMPUTED_VALUE"""),"")</f>
        <v/>
      </c>
      <c r="G259" s="134" t="str">
        <f ca="1">IFERROR(__xludf.DUMMYFUNCTION("""COMPUTED_VALUE"""),"")</f>
        <v/>
      </c>
      <c r="H259" s="134" t="str">
        <f ca="1">IFERROR(__xludf.DUMMYFUNCTION("""COMPUTED_VALUE"""),"")</f>
        <v/>
      </c>
      <c r="I259" s="134" t="str">
        <f ca="1">IFERROR(__xludf.DUMMYFUNCTION("""COMPUTED_VALUE"""),"")</f>
        <v/>
      </c>
      <c r="J259" s="134" t="str">
        <f ca="1">IFERROR(__xludf.DUMMYFUNCTION("""COMPUTED_VALUE"""),"")</f>
        <v/>
      </c>
      <c r="N259" s="31"/>
    </row>
    <row r="260" spans="1:14" customFormat="1">
      <c r="A260" s="134" t="str">
        <f ca="1">IFERROR(__xludf.DUMMYFUNCTION("""COMPUTED_VALUE"""),"")</f>
        <v/>
      </c>
      <c r="B260" s="134" t="str">
        <f ca="1">IFERROR(__xludf.DUMMYFUNCTION("""COMPUTED_VALUE"""),"")</f>
        <v/>
      </c>
      <c r="C260" s="134" t="str">
        <f ca="1">IFERROR(__xludf.DUMMYFUNCTION("""COMPUTED_VALUE"""),"")</f>
        <v/>
      </c>
      <c r="D260" s="134" t="str">
        <f ca="1">IFERROR(__xludf.DUMMYFUNCTION("""COMPUTED_VALUE"""),"")</f>
        <v/>
      </c>
      <c r="E260" s="134" t="str">
        <f ca="1">IFERROR(__xludf.DUMMYFUNCTION("""COMPUTED_VALUE"""),"")</f>
        <v/>
      </c>
      <c r="F260" s="134" t="str">
        <f ca="1">IFERROR(__xludf.DUMMYFUNCTION("""COMPUTED_VALUE"""),"")</f>
        <v/>
      </c>
      <c r="G260" s="134" t="str">
        <f ca="1">IFERROR(__xludf.DUMMYFUNCTION("""COMPUTED_VALUE"""),"")</f>
        <v/>
      </c>
      <c r="H260" s="134" t="str">
        <f ca="1">IFERROR(__xludf.DUMMYFUNCTION("""COMPUTED_VALUE"""),"")</f>
        <v/>
      </c>
      <c r="I260" s="134" t="str">
        <f ca="1">IFERROR(__xludf.DUMMYFUNCTION("""COMPUTED_VALUE"""),"")</f>
        <v/>
      </c>
      <c r="J260" s="134" t="str">
        <f ca="1">IFERROR(__xludf.DUMMYFUNCTION("""COMPUTED_VALUE"""),"")</f>
        <v/>
      </c>
      <c r="N260" s="31"/>
    </row>
    <row r="261" spans="1:14" customFormat="1">
      <c r="A261" s="134" t="str">
        <f ca="1">IFERROR(__xludf.DUMMYFUNCTION("""COMPUTED_VALUE"""),"")</f>
        <v/>
      </c>
      <c r="B261" s="134" t="str">
        <f ca="1">IFERROR(__xludf.DUMMYFUNCTION("""COMPUTED_VALUE"""),"")</f>
        <v/>
      </c>
      <c r="C261" s="134" t="str">
        <f ca="1">IFERROR(__xludf.DUMMYFUNCTION("""COMPUTED_VALUE"""),"")</f>
        <v/>
      </c>
      <c r="D261" s="134" t="str">
        <f ca="1">IFERROR(__xludf.DUMMYFUNCTION("""COMPUTED_VALUE"""),"")</f>
        <v/>
      </c>
      <c r="E261" s="134" t="str">
        <f ca="1">IFERROR(__xludf.DUMMYFUNCTION("""COMPUTED_VALUE"""),"")</f>
        <v/>
      </c>
      <c r="F261" s="134" t="str">
        <f ca="1">IFERROR(__xludf.DUMMYFUNCTION("""COMPUTED_VALUE"""),"")</f>
        <v/>
      </c>
      <c r="G261" s="134" t="str">
        <f ca="1">IFERROR(__xludf.DUMMYFUNCTION("""COMPUTED_VALUE"""),"")</f>
        <v/>
      </c>
      <c r="H261" s="134" t="str">
        <f ca="1">IFERROR(__xludf.DUMMYFUNCTION("""COMPUTED_VALUE"""),"")</f>
        <v/>
      </c>
      <c r="I261" s="134" t="str">
        <f ca="1">IFERROR(__xludf.DUMMYFUNCTION("""COMPUTED_VALUE"""),"")</f>
        <v/>
      </c>
      <c r="J261" s="134" t="str">
        <f ca="1">IFERROR(__xludf.DUMMYFUNCTION("""COMPUTED_VALUE"""),"")</f>
        <v/>
      </c>
      <c r="N261" s="31"/>
    </row>
    <row r="262" spans="1:14" customFormat="1">
      <c r="A262" s="134" t="str">
        <f ca="1">IFERROR(__xludf.DUMMYFUNCTION("""COMPUTED_VALUE"""),"")</f>
        <v/>
      </c>
      <c r="B262" s="134" t="str">
        <f ca="1">IFERROR(__xludf.DUMMYFUNCTION("""COMPUTED_VALUE"""),"")</f>
        <v/>
      </c>
      <c r="C262" s="134" t="str">
        <f ca="1">IFERROR(__xludf.DUMMYFUNCTION("""COMPUTED_VALUE"""),"")</f>
        <v/>
      </c>
      <c r="D262" s="134" t="str">
        <f ca="1">IFERROR(__xludf.DUMMYFUNCTION("""COMPUTED_VALUE"""),"")</f>
        <v/>
      </c>
      <c r="E262" s="134" t="str">
        <f ca="1">IFERROR(__xludf.DUMMYFUNCTION("""COMPUTED_VALUE"""),"")</f>
        <v/>
      </c>
      <c r="F262" s="134" t="str">
        <f ca="1">IFERROR(__xludf.DUMMYFUNCTION("""COMPUTED_VALUE"""),"")</f>
        <v/>
      </c>
      <c r="G262" s="134" t="str">
        <f ca="1">IFERROR(__xludf.DUMMYFUNCTION("""COMPUTED_VALUE"""),"")</f>
        <v/>
      </c>
      <c r="H262" s="134" t="str">
        <f ca="1">IFERROR(__xludf.DUMMYFUNCTION("""COMPUTED_VALUE"""),"")</f>
        <v/>
      </c>
      <c r="I262" s="134" t="str">
        <f ca="1">IFERROR(__xludf.DUMMYFUNCTION("""COMPUTED_VALUE"""),"")</f>
        <v/>
      </c>
      <c r="J262" s="134" t="str">
        <f ca="1">IFERROR(__xludf.DUMMYFUNCTION("""COMPUTED_VALUE"""),"")</f>
        <v/>
      </c>
      <c r="N262" s="31"/>
    </row>
    <row r="263" spans="1:14" customFormat="1">
      <c r="A263" s="134" t="str">
        <f ca="1">IFERROR(__xludf.DUMMYFUNCTION("""COMPUTED_VALUE"""),"")</f>
        <v/>
      </c>
      <c r="B263" s="134" t="str">
        <f ca="1">IFERROR(__xludf.DUMMYFUNCTION("""COMPUTED_VALUE"""),"")</f>
        <v/>
      </c>
      <c r="C263" s="134" t="str">
        <f ca="1">IFERROR(__xludf.DUMMYFUNCTION("""COMPUTED_VALUE"""),"")</f>
        <v/>
      </c>
      <c r="D263" s="134" t="str">
        <f ca="1">IFERROR(__xludf.DUMMYFUNCTION("""COMPUTED_VALUE"""),"")</f>
        <v/>
      </c>
      <c r="E263" s="134" t="str">
        <f ca="1">IFERROR(__xludf.DUMMYFUNCTION("""COMPUTED_VALUE"""),"")</f>
        <v/>
      </c>
      <c r="F263" s="134" t="str">
        <f ca="1">IFERROR(__xludf.DUMMYFUNCTION("""COMPUTED_VALUE"""),"")</f>
        <v/>
      </c>
      <c r="G263" s="134" t="str">
        <f ca="1">IFERROR(__xludf.DUMMYFUNCTION("""COMPUTED_VALUE"""),"")</f>
        <v/>
      </c>
      <c r="H263" s="134" t="str">
        <f ca="1">IFERROR(__xludf.DUMMYFUNCTION("""COMPUTED_VALUE"""),"")</f>
        <v/>
      </c>
      <c r="I263" s="134" t="str">
        <f ca="1">IFERROR(__xludf.DUMMYFUNCTION("""COMPUTED_VALUE"""),"")</f>
        <v/>
      </c>
      <c r="J263" s="134" t="str">
        <f ca="1">IFERROR(__xludf.DUMMYFUNCTION("""COMPUTED_VALUE"""),"")</f>
        <v/>
      </c>
      <c r="N263" s="31"/>
    </row>
    <row r="264" spans="1:14" customFormat="1">
      <c r="A264" s="134" t="str">
        <f ca="1">IFERROR(__xludf.DUMMYFUNCTION("""COMPUTED_VALUE"""),"")</f>
        <v/>
      </c>
      <c r="B264" s="134" t="str">
        <f ca="1">IFERROR(__xludf.DUMMYFUNCTION("""COMPUTED_VALUE"""),"")</f>
        <v/>
      </c>
      <c r="C264" s="134" t="str">
        <f ca="1">IFERROR(__xludf.DUMMYFUNCTION("""COMPUTED_VALUE"""),"")</f>
        <v/>
      </c>
      <c r="D264" s="134" t="str">
        <f ca="1">IFERROR(__xludf.DUMMYFUNCTION("""COMPUTED_VALUE"""),"")</f>
        <v/>
      </c>
      <c r="E264" s="134" t="str">
        <f ca="1">IFERROR(__xludf.DUMMYFUNCTION("""COMPUTED_VALUE"""),"")</f>
        <v/>
      </c>
      <c r="F264" s="134" t="str">
        <f ca="1">IFERROR(__xludf.DUMMYFUNCTION("""COMPUTED_VALUE"""),"")</f>
        <v/>
      </c>
      <c r="G264" s="134" t="str">
        <f ca="1">IFERROR(__xludf.DUMMYFUNCTION("""COMPUTED_VALUE"""),"")</f>
        <v/>
      </c>
      <c r="H264" s="134" t="str">
        <f ca="1">IFERROR(__xludf.DUMMYFUNCTION("""COMPUTED_VALUE"""),"")</f>
        <v/>
      </c>
      <c r="I264" s="134" t="str">
        <f ca="1">IFERROR(__xludf.DUMMYFUNCTION("""COMPUTED_VALUE"""),"")</f>
        <v/>
      </c>
      <c r="J264" s="134" t="str">
        <f ca="1">IFERROR(__xludf.DUMMYFUNCTION("""COMPUTED_VALUE"""),"")</f>
        <v/>
      </c>
      <c r="N264" s="31"/>
    </row>
    <row r="265" spans="1:14" customFormat="1">
      <c r="A265" s="134" t="str">
        <f ca="1">IFERROR(__xludf.DUMMYFUNCTION("""COMPUTED_VALUE"""),"")</f>
        <v/>
      </c>
      <c r="B265" s="134" t="str">
        <f ca="1">IFERROR(__xludf.DUMMYFUNCTION("""COMPUTED_VALUE"""),"")</f>
        <v/>
      </c>
      <c r="C265" s="134" t="str">
        <f ca="1">IFERROR(__xludf.DUMMYFUNCTION("""COMPUTED_VALUE"""),"")</f>
        <v/>
      </c>
      <c r="D265" s="134" t="str">
        <f ca="1">IFERROR(__xludf.DUMMYFUNCTION("""COMPUTED_VALUE"""),"")</f>
        <v/>
      </c>
      <c r="E265" s="134" t="str">
        <f ca="1">IFERROR(__xludf.DUMMYFUNCTION("""COMPUTED_VALUE"""),"")</f>
        <v/>
      </c>
      <c r="F265" s="134" t="str">
        <f ca="1">IFERROR(__xludf.DUMMYFUNCTION("""COMPUTED_VALUE"""),"")</f>
        <v/>
      </c>
      <c r="G265" s="134" t="str">
        <f ca="1">IFERROR(__xludf.DUMMYFUNCTION("""COMPUTED_VALUE"""),"")</f>
        <v/>
      </c>
      <c r="H265" s="134" t="str">
        <f ca="1">IFERROR(__xludf.DUMMYFUNCTION("""COMPUTED_VALUE"""),"")</f>
        <v/>
      </c>
      <c r="I265" s="134" t="str">
        <f ca="1">IFERROR(__xludf.DUMMYFUNCTION("""COMPUTED_VALUE"""),"")</f>
        <v/>
      </c>
      <c r="J265" s="134" t="str">
        <f ca="1">IFERROR(__xludf.DUMMYFUNCTION("""COMPUTED_VALUE"""),"")</f>
        <v/>
      </c>
      <c r="N265" s="31"/>
    </row>
    <row r="266" spans="1:14" customFormat="1">
      <c r="A266" s="134" t="str">
        <f ca="1">IFERROR(__xludf.DUMMYFUNCTION("""COMPUTED_VALUE"""),"")</f>
        <v/>
      </c>
      <c r="B266" s="134" t="str">
        <f ca="1">IFERROR(__xludf.DUMMYFUNCTION("""COMPUTED_VALUE"""),"")</f>
        <v/>
      </c>
      <c r="C266" s="134" t="str">
        <f ca="1">IFERROR(__xludf.DUMMYFUNCTION("""COMPUTED_VALUE"""),"")</f>
        <v/>
      </c>
      <c r="D266" s="134" t="str">
        <f ca="1">IFERROR(__xludf.DUMMYFUNCTION("""COMPUTED_VALUE"""),"")</f>
        <v/>
      </c>
      <c r="E266" s="134" t="str">
        <f ca="1">IFERROR(__xludf.DUMMYFUNCTION("""COMPUTED_VALUE"""),"")</f>
        <v/>
      </c>
      <c r="F266" s="134" t="str">
        <f ca="1">IFERROR(__xludf.DUMMYFUNCTION("""COMPUTED_VALUE"""),"")</f>
        <v/>
      </c>
      <c r="G266" s="134" t="str">
        <f ca="1">IFERROR(__xludf.DUMMYFUNCTION("""COMPUTED_VALUE"""),"")</f>
        <v/>
      </c>
      <c r="H266" s="134" t="str">
        <f ca="1">IFERROR(__xludf.DUMMYFUNCTION("""COMPUTED_VALUE"""),"")</f>
        <v/>
      </c>
      <c r="I266" s="134" t="str">
        <f ca="1">IFERROR(__xludf.DUMMYFUNCTION("""COMPUTED_VALUE"""),"")</f>
        <v/>
      </c>
      <c r="J266" s="134" t="str">
        <f ca="1">IFERROR(__xludf.DUMMYFUNCTION("""COMPUTED_VALUE"""),"")</f>
        <v/>
      </c>
      <c r="N266" s="31"/>
    </row>
    <row r="267" spans="1:14" customFormat="1">
      <c r="A267" s="134" t="str">
        <f ca="1">IFERROR(__xludf.DUMMYFUNCTION("""COMPUTED_VALUE"""),"")</f>
        <v/>
      </c>
      <c r="B267" s="134" t="str">
        <f ca="1">IFERROR(__xludf.DUMMYFUNCTION("""COMPUTED_VALUE"""),"")</f>
        <v/>
      </c>
      <c r="C267" s="134" t="str">
        <f ca="1">IFERROR(__xludf.DUMMYFUNCTION("""COMPUTED_VALUE"""),"")</f>
        <v/>
      </c>
      <c r="D267" s="134" t="str">
        <f ca="1">IFERROR(__xludf.DUMMYFUNCTION("""COMPUTED_VALUE"""),"")</f>
        <v/>
      </c>
      <c r="E267" s="134" t="str">
        <f ca="1">IFERROR(__xludf.DUMMYFUNCTION("""COMPUTED_VALUE"""),"")</f>
        <v/>
      </c>
      <c r="F267" s="134" t="str">
        <f ca="1">IFERROR(__xludf.DUMMYFUNCTION("""COMPUTED_VALUE"""),"")</f>
        <v/>
      </c>
      <c r="G267" s="134" t="str">
        <f ca="1">IFERROR(__xludf.DUMMYFUNCTION("""COMPUTED_VALUE"""),"")</f>
        <v/>
      </c>
      <c r="H267" s="134" t="str">
        <f ca="1">IFERROR(__xludf.DUMMYFUNCTION("""COMPUTED_VALUE"""),"")</f>
        <v/>
      </c>
      <c r="I267" s="134" t="str">
        <f ca="1">IFERROR(__xludf.DUMMYFUNCTION("""COMPUTED_VALUE"""),"")</f>
        <v/>
      </c>
      <c r="J267" s="134" t="str">
        <f ca="1">IFERROR(__xludf.DUMMYFUNCTION("""COMPUTED_VALUE"""),"")</f>
        <v/>
      </c>
      <c r="N267" s="31"/>
    </row>
    <row r="268" spans="1:14" customFormat="1">
      <c r="A268" s="134" t="str">
        <f ca="1">IFERROR(__xludf.DUMMYFUNCTION("""COMPUTED_VALUE"""),"")</f>
        <v/>
      </c>
      <c r="B268" s="134" t="str">
        <f ca="1">IFERROR(__xludf.DUMMYFUNCTION("""COMPUTED_VALUE"""),"")</f>
        <v/>
      </c>
      <c r="C268" s="134" t="str">
        <f ca="1">IFERROR(__xludf.DUMMYFUNCTION("""COMPUTED_VALUE"""),"")</f>
        <v/>
      </c>
      <c r="D268" s="134" t="str">
        <f ca="1">IFERROR(__xludf.DUMMYFUNCTION("""COMPUTED_VALUE"""),"")</f>
        <v/>
      </c>
      <c r="E268" s="134" t="str">
        <f ca="1">IFERROR(__xludf.DUMMYFUNCTION("""COMPUTED_VALUE"""),"")</f>
        <v/>
      </c>
      <c r="F268" s="134" t="str">
        <f ca="1">IFERROR(__xludf.DUMMYFUNCTION("""COMPUTED_VALUE"""),"")</f>
        <v/>
      </c>
      <c r="G268" s="134" t="str">
        <f ca="1">IFERROR(__xludf.DUMMYFUNCTION("""COMPUTED_VALUE"""),"")</f>
        <v/>
      </c>
      <c r="H268" s="134" t="str">
        <f ca="1">IFERROR(__xludf.DUMMYFUNCTION("""COMPUTED_VALUE"""),"")</f>
        <v/>
      </c>
      <c r="I268" s="134" t="str">
        <f ca="1">IFERROR(__xludf.DUMMYFUNCTION("""COMPUTED_VALUE"""),"")</f>
        <v/>
      </c>
      <c r="J268" s="134" t="str">
        <f ca="1">IFERROR(__xludf.DUMMYFUNCTION("""COMPUTED_VALUE"""),"")</f>
        <v/>
      </c>
      <c r="N268" s="31"/>
    </row>
    <row r="269" spans="1:14" customFormat="1">
      <c r="A269" s="134" t="str">
        <f ca="1">IFERROR(__xludf.DUMMYFUNCTION("""COMPUTED_VALUE"""),"")</f>
        <v/>
      </c>
      <c r="B269" s="134" t="str">
        <f ca="1">IFERROR(__xludf.DUMMYFUNCTION("""COMPUTED_VALUE"""),"")</f>
        <v/>
      </c>
      <c r="C269" s="134" t="str">
        <f ca="1">IFERROR(__xludf.DUMMYFUNCTION("""COMPUTED_VALUE"""),"")</f>
        <v/>
      </c>
      <c r="D269" s="134" t="str">
        <f ca="1">IFERROR(__xludf.DUMMYFUNCTION("""COMPUTED_VALUE"""),"")</f>
        <v/>
      </c>
      <c r="E269" s="134" t="str">
        <f ca="1">IFERROR(__xludf.DUMMYFUNCTION("""COMPUTED_VALUE"""),"")</f>
        <v/>
      </c>
      <c r="F269" s="134" t="str">
        <f ca="1">IFERROR(__xludf.DUMMYFUNCTION("""COMPUTED_VALUE"""),"")</f>
        <v/>
      </c>
      <c r="G269" s="134" t="str">
        <f ca="1">IFERROR(__xludf.DUMMYFUNCTION("""COMPUTED_VALUE"""),"")</f>
        <v/>
      </c>
      <c r="H269" s="134" t="str">
        <f ca="1">IFERROR(__xludf.DUMMYFUNCTION("""COMPUTED_VALUE"""),"")</f>
        <v/>
      </c>
      <c r="I269" s="134" t="str">
        <f ca="1">IFERROR(__xludf.DUMMYFUNCTION("""COMPUTED_VALUE"""),"")</f>
        <v/>
      </c>
      <c r="J269" s="134" t="str">
        <f ca="1">IFERROR(__xludf.DUMMYFUNCTION("""COMPUTED_VALUE"""),"")</f>
        <v/>
      </c>
      <c r="N269" s="31"/>
    </row>
    <row r="270" spans="1:14" customFormat="1">
      <c r="A270" s="134" t="str">
        <f ca="1">IFERROR(__xludf.DUMMYFUNCTION("""COMPUTED_VALUE"""),"")</f>
        <v/>
      </c>
      <c r="B270" s="134" t="str">
        <f ca="1">IFERROR(__xludf.DUMMYFUNCTION("""COMPUTED_VALUE"""),"")</f>
        <v/>
      </c>
      <c r="C270" s="134" t="str">
        <f ca="1">IFERROR(__xludf.DUMMYFUNCTION("""COMPUTED_VALUE"""),"")</f>
        <v/>
      </c>
      <c r="D270" s="134" t="str">
        <f ca="1">IFERROR(__xludf.DUMMYFUNCTION("""COMPUTED_VALUE"""),"")</f>
        <v/>
      </c>
      <c r="E270" s="134" t="str">
        <f ca="1">IFERROR(__xludf.DUMMYFUNCTION("""COMPUTED_VALUE"""),"")</f>
        <v/>
      </c>
      <c r="F270" s="134" t="str">
        <f ca="1">IFERROR(__xludf.DUMMYFUNCTION("""COMPUTED_VALUE"""),"")</f>
        <v/>
      </c>
      <c r="G270" s="134" t="str">
        <f ca="1">IFERROR(__xludf.DUMMYFUNCTION("""COMPUTED_VALUE"""),"")</f>
        <v/>
      </c>
      <c r="H270" s="134" t="str">
        <f ca="1">IFERROR(__xludf.DUMMYFUNCTION("""COMPUTED_VALUE"""),"")</f>
        <v/>
      </c>
      <c r="I270" s="134" t="str">
        <f ca="1">IFERROR(__xludf.DUMMYFUNCTION("""COMPUTED_VALUE"""),"")</f>
        <v/>
      </c>
      <c r="J270" s="134" t="str">
        <f ca="1">IFERROR(__xludf.DUMMYFUNCTION("""COMPUTED_VALUE"""),"")</f>
        <v/>
      </c>
      <c r="N270" s="31"/>
    </row>
    <row r="271" spans="1:14" customFormat="1">
      <c r="A271" s="134" t="str">
        <f ca="1">IFERROR(__xludf.DUMMYFUNCTION("""COMPUTED_VALUE"""),"")</f>
        <v/>
      </c>
      <c r="B271" s="134" t="str">
        <f ca="1">IFERROR(__xludf.DUMMYFUNCTION("""COMPUTED_VALUE"""),"")</f>
        <v/>
      </c>
      <c r="C271" s="134" t="str">
        <f ca="1">IFERROR(__xludf.DUMMYFUNCTION("""COMPUTED_VALUE"""),"")</f>
        <v/>
      </c>
      <c r="D271" s="134" t="str">
        <f ca="1">IFERROR(__xludf.DUMMYFUNCTION("""COMPUTED_VALUE"""),"")</f>
        <v/>
      </c>
      <c r="E271" s="134" t="str">
        <f ca="1">IFERROR(__xludf.DUMMYFUNCTION("""COMPUTED_VALUE"""),"")</f>
        <v/>
      </c>
      <c r="F271" s="134" t="str">
        <f ca="1">IFERROR(__xludf.DUMMYFUNCTION("""COMPUTED_VALUE"""),"")</f>
        <v/>
      </c>
      <c r="G271" s="134" t="str">
        <f ca="1">IFERROR(__xludf.DUMMYFUNCTION("""COMPUTED_VALUE"""),"")</f>
        <v/>
      </c>
      <c r="H271" s="134" t="str">
        <f ca="1">IFERROR(__xludf.DUMMYFUNCTION("""COMPUTED_VALUE"""),"")</f>
        <v/>
      </c>
      <c r="I271" s="134" t="str">
        <f ca="1">IFERROR(__xludf.DUMMYFUNCTION("""COMPUTED_VALUE"""),"")</f>
        <v/>
      </c>
      <c r="J271" s="134" t="str">
        <f ca="1">IFERROR(__xludf.DUMMYFUNCTION("""COMPUTED_VALUE"""),"")</f>
        <v/>
      </c>
      <c r="N271" s="31"/>
    </row>
    <row r="272" spans="1:14" customFormat="1">
      <c r="A272" s="134" t="str">
        <f ca="1">IFERROR(__xludf.DUMMYFUNCTION("""COMPUTED_VALUE"""),"")</f>
        <v/>
      </c>
      <c r="B272" s="134" t="str">
        <f ca="1">IFERROR(__xludf.DUMMYFUNCTION("""COMPUTED_VALUE"""),"")</f>
        <v/>
      </c>
      <c r="C272" s="134" t="str">
        <f ca="1">IFERROR(__xludf.DUMMYFUNCTION("""COMPUTED_VALUE"""),"")</f>
        <v/>
      </c>
      <c r="D272" s="134" t="str">
        <f ca="1">IFERROR(__xludf.DUMMYFUNCTION("""COMPUTED_VALUE"""),"")</f>
        <v/>
      </c>
      <c r="E272" s="134" t="str">
        <f ca="1">IFERROR(__xludf.DUMMYFUNCTION("""COMPUTED_VALUE"""),"")</f>
        <v/>
      </c>
      <c r="F272" s="134" t="str">
        <f ca="1">IFERROR(__xludf.DUMMYFUNCTION("""COMPUTED_VALUE"""),"")</f>
        <v/>
      </c>
      <c r="G272" s="134" t="str">
        <f ca="1">IFERROR(__xludf.DUMMYFUNCTION("""COMPUTED_VALUE"""),"")</f>
        <v/>
      </c>
      <c r="H272" s="134" t="str">
        <f ca="1">IFERROR(__xludf.DUMMYFUNCTION("""COMPUTED_VALUE"""),"")</f>
        <v/>
      </c>
      <c r="I272" s="134" t="str">
        <f ca="1">IFERROR(__xludf.DUMMYFUNCTION("""COMPUTED_VALUE"""),"")</f>
        <v/>
      </c>
      <c r="J272" s="134" t="str">
        <f ca="1">IFERROR(__xludf.DUMMYFUNCTION("""COMPUTED_VALUE"""),"")</f>
        <v/>
      </c>
      <c r="N272" s="31"/>
    </row>
    <row r="273" spans="1:14" customFormat="1">
      <c r="A273" s="134" t="str">
        <f ca="1">IFERROR(__xludf.DUMMYFUNCTION("""COMPUTED_VALUE"""),"")</f>
        <v/>
      </c>
      <c r="B273" s="134" t="str">
        <f ca="1">IFERROR(__xludf.DUMMYFUNCTION("""COMPUTED_VALUE"""),"")</f>
        <v/>
      </c>
      <c r="C273" s="134" t="str">
        <f ca="1">IFERROR(__xludf.DUMMYFUNCTION("""COMPUTED_VALUE"""),"")</f>
        <v/>
      </c>
      <c r="D273" s="134" t="str">
        <f ca="1">IFERROR(__xludf.DUMMYFUNCTION("""COMPUTED_VALUE"""),"")</f>
        <v/>
      </c>
      <c r="E273" s="134" t="str">
        <f ca="1">IFERROR(__xludf.DUMMYFUNCTION("""COMPUTED_VALUE"""),"")</f>
        <v/>
      </c>
      <c r="F273" s="134" t="str">
        <f ca="1">IFERROR(__xludf.DUMMYFUNCTION("""COMPUTED_VALUE"""),"")</f>
        <v/>
      </c>
      <c r="G273" s="134" t="str">
        <f ca="1">IFERROR(__xludf.DUMMYFUNCTION("""COMPUTED_VALUE"""),"")</f>
        <v/>
      </c>
      <c r="H273" s="134" t="str">
        <f ca="1">IFERROR(__xludf.DUMMYFUNCTION("""COMPUTED_VALUE"""),"")</f>
        <v/>
      </c>
      <c r="I273" s="134" t="str">
        <f ca="1">IFERROR(__xludf.DUMMYFUNCTION("""COMPUTED_VALUE"""),"")</f>
        <v/>
      </c>
      <c r="J273" s="134" t="str">
        <f ca="1">IFERROR(__xludf.DUMMYFUNCTION("""COMPUTED_VALUE"""),"")</f>
        <v/>
      </c>
      <c r="N273" s="31"/>
    </row>
    <row r="274" spans="1:14" customFormat="1">
      <c r="A274" s="134" t="str">
        <f ca="1">IFERROR(__xludf.DUMMYFUNCTION("""COMPUTED_VALUE"""),"")</f>
        <v/>
      </c>
      <c r="B274" s="134" t="str">
        <f ca="1">IFERROR(__xludf.DUMMYFUNCTION("""COMPUTED_VALUE"""),"")</f>
        <v/>
      </c>
      <c r="C274" s="134" t="str">
        <f ca="1">IFERROR(__xludf.DUMMYFUNCTION("""COMPUTED_VALUE"""),"")</f>
        <v/>
      </c>
      <c r="D274" s="134" t="str">
        <f ca="1">IFERROR(__xludf.DUMMYFUNCTION("""COMPUTED_VALUE"""),"")</f>
        <v/>
      </c>
      <c r="E274" s="134" t="str">
        <f ca="1">IFERROR(__xludf.DUMMYFUNCTION("""COMPUTED_VALUE"""),"")</f>
        <v/>
      </c>
      <c r="F274" s="134" t="str">
        <f ca="1">IFERROR(__xludf.DUMMYFUNCTION("""COMPUTED_VALUE"""),"")</f>
        <v/>
      </c>
      <c r="G274" s="134" t="str">
        <f ca="1">IFERROR(__xludf.DUMMYFUNCTION("""COMPUTED_VALUE"""),"")</f>
        <v/>
      </c>
      <c r="H274" s="134" t="str">
        <f ca="1">IFERROR(__xludf.DUMMYFUNCTION("""COMPUTED_VALUE"""),"")</f>
        <v/>
      </c>
      <c r="I274" s="134" t="str">
        <f ca="1">IFERROR(__xludf.DUMMYFUNCTION("""COMPUTED_VALUE"""),"")</f>
        <v/>
      </c>
      <c r="J274" s="134" t="str">
        <f ca="1">IFERROR(__xludf.DUMMYFUNCTION("""COMPUTED_VALUE"""),"")</f>
        <v/>
      </c>
      <c r="N274" s="31"/>
    </row>
    <row r="275" spans="1:14" customFormat="1">
      <c r="A275" s="134" t="str">
        <f ca="1">IFERROR(__xludf.DUMMYFUNCTION("""COMPUTED_VALUE"""),"")</f>
        <v/>
      </c>
      <c r="B275" s="134" t="str">
        <f ca="1">IFERROR(__xludf.DUMMYFUNCTION("""COMPUTED_VALUE"""),"")</f>
        <v/>
      </c>
      <c r="C275" s="134" t="str">
        <f ca="1">IFERROR(__xludf.DUMMYFUNCTION("""COMPUTED_VALUE"""),"")</f>
        <v/>
      </c>
      <c r="D275" s="134" t="str">
        <f ca="1">IFERROR(__xludf.DUMMYFUNCTION("""COMPUTED_VALUE"""),"")</f>
        <v/>
      </c>
      <c r="E275" s="134" t="str">
        <f ca="1">IFERROR(__xludf.DUMMYFUNCTION("""COMPUTED_VALUE"""),"")</f>
        <v/>
      </c>
      <c r="F275" s="134" t="str">
        <f ca="1">IFERROR(__xludf.DUMMYFUNCTION("""COMPUTED_VALUE"""),"")</f>
        <v/>
      </c>
      <c r="G275" s="134" t="str">
        <f ca="1">IFERROR(__xludf.DUMMYFUNCTION("""COMPUTED_VALUE"""),"")</f>
        <v/>
      </c>
      <c r="H275" s="134" t="str">
        <f ca="1">IFERROR(__xludf.DUMMYFUNCTION("""COMPUTED_VALUE"""),"")</f>
        <v/>
      </c>
      <c r="I275" s="134" t="str">
        <f ca="1">IFERROR(__xludf.DUMMYFUNCTION("""COMPUTED_VALUE"""),"")</f>
        <v/>
      </c>
      <c r="J275" s="134" t="str">
        <f ca="1">IFERROR(__xludf.DUMMYFUNCTION("""COMPUTED_VALUE"""),"")</f>
        <v/>
      </c>
      <c r="N275" s="31"/>
    </row>
    <row r="276" spans="1:14" customFormat="1">
      <c r="A276" s="134" t="str">
        <f ca="1">IFERROR(__xludf.DUMMYFUNCTION("""COMPUTED_VALUE"""),"")</f>
        <v/>
      </c>
      <c r="B276" s="134" t="str">
        <f ca="1">IFERROR(__xludf.DUMMYFUNCTION("""COMPUTED_VALUE"""),"")</f>
        <v/>
      </c>
      <c r="C276" s="134" t="str">
        <f ca="1">IFERROR(__xludf.DUMMYFUNCTION("""COMPUTED_VALUE"""),"")</f>
        <v/>
      </c>
      <c r="D276" s="134" t="str">
        <f ca="1">IFERROR(__xludf.DUMMYFUNCTION("""COMPUTED_VALUE"""),"")</f>
        <v/>
      </c>
      <c r="E276" s="134" t="str">
        <f ca="1">IFERROR(__xludf.DUMMYFUNCTION("""COMPUTED_VALUE"""),"")</f>
        <v/>
      </c>
      <c r="F276" s="134" t="str">
        <f ca="1">IFERROR(__xludf.DUMMYFUNCTION("""COMPUTED_VALUE"""),"")</f>
        <v/>
      </c>
      <c r="G276" s="134" t="str">
        <f ca="1">IFERROR(__xludf.DUMMYFUNCTION("""COMPUTED_VALUE"""),"")</f>
        <v/>
      </c>
      <c r="H276" s="134" t="str">
        <f ca="1">IFERROR(__xludf.DUMMYFUNCTION("""COMPUTED_VALUE"""),"")</f>
        <v/>
      </c>
      <c r="I276" s="134" t="str">
        <f ca="1">IFERROR(__xludf.DUMMYFUNCTION("""COMPUTED_VALUE"""),"")</f>
        <v/>
      </c>
      <c r="J276" s="134" t="str">
        <f ca="1">IFERROR(__xludf.DUMMYFUNCTION("""COMPUTED_VALUE"""),"")</f>
        <v/>
      </c>
      <c r="N276" s="31"/>
    </row>
    <row r="277" spans="1:14" customFormat="1">
      <c r="A277" s="134" t="str">
        <f ca="1">IFERROR(__xludf.DUMMYFUNCTION("""COMPUTED_VALUE"""),"")</f>
        <v/>
      </c>
      <c r="B277" s="134" t="str">
        <f ca="1">IFERROR(__xludf.DUMMYFUNCTION("""COMPUTED_VALUE"""),"")</f>
        <v/>
      </c>
      <c r="C277" s="134" t="str">
        <f ca="1">IFERROR(__xludf.DUMMYFUNCTION("""COMPUTED_VALUE"""),"")</f>
        <v/>
      </c>
      <c r="D277" s="134" t="str">
        <f ca="1">IFERROR(__xludf.DUMMYFUNCTION("""COMPUTED_VALUE"""),"")</f>
        <v/>
      </c>
      <c r="E277" s="134" t="str">
        <f ca="1">IFERROR(__xludf.DUMMYFUNCTION("""COMPUTED_VALUE"""),"")</f>
        <v/>
      </c>
      <c r="F277" s="134" t="str">
        <f ca="1">IFERROR(__xludf.DUMMYFUNCTION("""COMPUTED_VALUE"""),"")</f>
        <v/>
      </c>
      <c r="G277" s="134" t="str">
        <f ca="1">IFERROR(__xludf.DUMMYFUNCTION("""COMPUTED_VALUE"""),"")</f>
        <v/>
      </c>
      <c r="H277" s="134" t="str">
        <f ca="1">IFERROR(__xludf.DUMMYFUNCTION("""COMPUTED_VALUE"""),"")</f>
        <v/>
      </c>
      <c r="I277" s="134" t="str">
        <f ca="1">IFERROR(__xludf.DUMMYFUNCTION("""COMPUTED_VALUE"""),"")</f>
        <v/>
      </c>
      <c r="J277" s="134" t="str">
        <f ca="1">IFERROR(__xludf.DUMMYFUNCTION("""COMPUTED_VALUE"""),"")</f>
        <v/>
      </c>
      <c r="N277" s="31"/>
    </row>
    <row r="278" spans="1:14" customFormat="1">
      <c r="A278" s="134" t="str">
        <f ca="1">IFERROR(__xludf.DUMMYFUNCTION("""COMPUTED_VALUE"""),"")</f>
        <v/>
      </c>
      <c r="B278" s="134" t="str">
        <f ca="1">IFERROR(__xludf.DUMMYFUNCTION("""COMPUTED_VALUE"""),"")</f>
        <v/>
      </c>
      <c r="C278" s="134" t="str">
        <f ca="1">IFERROR(__xludf.DUMMYFUNCTION("""COMPUTED_VALUE"""),"")</f>
        <v/>
      </c>
      <c r="D278" s="134" t="str">
        <f ca="1">IFERROR(__xludf.DUMMYFUNCTION("""COMPUTED_VALUE"""),"")</f>
        <v/>
      </c>
      <c r="E278" s="134" t="str">
        <f ca="1">IFERROR(__xludf.DUMMYFUNCTION("""COMPUTED_VALUE"""),"")</f>
        <v/>
      </c>
      <c r="F278" s="134" t="str">
        <f ca="1">IFERROR(__xludf.DUMMYFUNCTION("""COMPUTED_VALUE"""),"")</f>
        <v/>
      </c>
      <c r="G278" s="134" t="str">
        <f ca="1">IFERROR(__xludf.DUMMYFUNCTION("""COMPUTED_VALUE"""),"")</f>
        <v/>
      </c>
      <c r="H278" s="134" t="str">
        <f ca="1">IFERROR(__xludf.DUMMYFUNCTION("""COMPUTED_VALUE"""),"")</f>
        <v/>
      </c>
      <c r="I278" s="134" t="str">
        <f ca="1">IFERROR(__xludf.DUMMYFUNCTION("""COMPUTED_VALUE"""),"")</f>
        <v/>
      </c>
      <c r="J278" s="134" t="str">
        <f ca="1">IFERROR(__xludf.DUMMYFUNCTION("""COMPUTED_VALUE"""),"")</f>
        <v/>
      </c>
      <c r="N278" s="31"/>
    </row>
    <row r="279" spans="1:14" customFormat="1">
      <c r="A279" s="134" t="str">
        <f ca="1">IFERROR(__xludf.DUMMYFUNCTION("""COMPUTED_VALUE"""),"")</f>
        <v/>
      </c>
      <c r="B279" s="134" t="str">
        <f ca="1">IFERROR(__xludf.DUMMYFUNCTION("""COMPUTED_VALUE"""),"")</f>
        <v/>
      </c>
      <c r="C279" s="134" t="str">
        <f ca="1">IFERROR(__xludf.DUMMYFUNCTION("""COMPUTED_VALUE"""),"")</f>
        <v/>
      </c>
      <c r="D279" s="134" t="str">
        <f ca="1">IFERROR(__xludf.DUMMYFUNCTION("""COMPUTED_VALUE"""),"")</f>
        <v/>
      </c>
      <c r="E279" s="134" t="str">
        <f ca="1">IFERROR(__xludf.DUMMYFUNCTION("""COMPUTED_VALUE"""),"")</f>
        <v/>
      </c>
      <c r="F279" s="134" t="str">
        <f ca="1">IFERROR(__xludf.DUMMYFUNCTION("""COMPUTED_VALUE"""),"")</f>
        <v/>
      </c>
      <c r="G279" s="134" t="str">
        <f ca="1">IFERROR(__xludf.DUMMYFUNCTION("""COMPUTED_VALUE"""),"")</f>
        <v/>
      </c>
      <c r="H279" s="134" t="str">
        <f ca="1">IFERROR(__xludf.DUMMYFUNCTION("""COMPUTED_VALUE"""),"")</f>
        <v/>
      </c>
      <c r="I279" s="134" t="str">
        <f ca="1">IFERROR(__xludf.DUMMYFUNCTION("""COMPUTED_VALUE"""),"")</f>
        <v/>
      </c>
      <c r="J279" s="134" t="str">
        <f ca="1">IFERROR(__xludf.DUMMYFUNCTION("""COMPUTED_VALUE"""),"")</f>
        <v/>
      </c>
      <c r="N279" s="31"/>
    </row>
    <row r="280" spans="1:14" customFormat="1">
      <c r="A280" s="134" t="str">
        <f ca="1">IFERROR(__xludf.DUMMYFUNCTION("""COMPUTED_VALUE"""),"")</f>
        <v/>
      </c>
      <c r="B280" s="134" t="str">
        <f ca="1">IFERROR(__xludf.DUMMYFUNCTION("""COMPUTED_VALUE"""),"")</f>
        <v/>
      </c>
      <c r="C280" s="134" t="str">
        <f ca="1">IFERROR(__xludf.DUMMYFUNCTION("""COMPUTED_VALUE"""),"")</f>
        <v/>
      </c>
      <c r="D280" s="134" t="str">
        <f ca="1">IFERROR(__xludf.DUMMYFUNCTION("""COMPUTED_VALUE"""),"")</f>
        <v/>
      </c>
      <c r="E280" s="134" t="str">
        <f ca="1">IFERROR(__xludf.DUMMYFUNCTION("""COMPUTED_VALUE"""),"")</f>
        <v/>
      </c>
      <c r="F280" s="134" t="str">
        <f ca="1">IFERROR(__xludf.DUMMYFUNCTION("""COMPUTED_VALUE"""),"")</f>
        <v/>
      </c>
      <c r="G280" s="134" t="str">
        <f ca="1">IFERROR(__xludf.DUMMYFUNCTION("""COMPUTED_VALUE"""),"")</f>
        <v/>
      </c>
      <c r="H280" s="134" t="str">
        <f ca="1">IFERROR(__xludf.DUMMYFUNCTION("""COMPUTED_VALUE"""),"")</f>
        <v/>
      </c>
      <c r="I280" s="134" t="str">
        <f ca="1">IFERROR(__xludf.DUMMYFUNCTION("""COMPUTED_VALUE"""),"")</f>
        <v/>
      </c>
      <c r="J280" s="134" t="str">
        <f ca="1">IFERROR(__xludf.DUMMYFUNCTION("""COMPUTED_VALUE"""),"")</f>
        <v/>
      </c>
      <c r="N280" s="31"/>
    </row>
    <row r="281" spans="1:14" customFormat="1">
      <c r="A281" s="134" t="str">
        <f ca="1">IFERROR(__xludf.DUMMYFUNCTION("""COMPUTED_VALUE"""),"")</f>
        <v/>
      </c>
      <c r="B281" s="134" t="str">
        <f ca="1">IFERROR(__xludf.DUMMYFUNCTION("""COMPUTED_VALUE"""),"")</f>
        <v/>
      </c>
      <c r="C281" s="134" t="str">
        <f ca="1">IFERROR(__xludf.DUMMYFUNCTION("""COMPUTED_VALUE"""),"")</f>
        <v/>
      </c>
      <c r="D281" s="134" t="str">
        <f ca="1">IFERROR(__xludf.DUMMYFUNCTION("""COMPUTED_VALUE"""),"")</f>
        <v/>
      </c>
      <c r="E281" s="134" t="str">
        <f ca="1">IFERROR(__xludf.DUMMYFUNCTION("""COMPUTED_VALUE"""),"")</f>
        <v/>
      </c>
      <c r="F281" s="134" t="str">
        <f ca="1">IFERROR(__xludf.DUMMYFUNCTION("""COMPUTED_VALUE"""),"")</f>
        <v/>
      </c>
      <c r="G281" s="134" t="str">
        <f ca="1">IFERROR(__xludf.DUMMYFUNCTION("""COMPUTED_VALUE"""),"")</f>
        <v/>
      </c>
      <c r="H281" s="134" t="str">
        <f ca="1">IFERROR(__xludf.DUMMYFUNCTION("""COMPUTED_VALUE"""),"")</f>
        <v/>
      </c>
      <c r="I281" s="134" t="str">
        <f ca="1">IFERROR(__xludf.DUMMYFUNCTION("""COMPUTED_VALUE"""),"")</f>
        <v/>
      </c>
      <c r="J281" s="134" t="str">
        <f ca="1">IFERROR(__xludf.DUMMYFUNCTION("""COMPUTED_VALUE"""),"")</f>
        <v/>
      </c>
      <c r="N281" s="31"/>
    </row>
    <row r="282" spans="1:14" customFormat="1">
      <c r="A282" s="134" t="str">
        <f ca="1">IFERROR(__xludf.DUMMYFUNCTION("""COMPUTED_VALUE"""),"")</f>
        <v/>
      </c>
      <c r="B282" s="134" t="str">
        <f ca="1">IFERROR(__xludf.DUMMYFUNCTION("""COMPUTED_VALUE"""),"")</f>
        <v/>
      </c>
      <c r="C282" s="134" t="str">
        <f ca="1">IFERROR(__xludf.DUMMYFUNCTION("""COMPUTED_VALUE"""),"")</f>
        <v/>
      </c>
      <c r="D282" s="134" t="str">
        <f ca="1">IFERROR(__xludf.DUMMYFUNCTION("""COMPUTED_VALUE"""),"")</f>
        <v/>
      </c>
      <c r="E282" s="134" t="str">
        <f ca="1">IFERROR(__xludf.DUMMYFUNCTION("""COMPUTED_VALUE"""),"")</f>
        <v/>
      </c>
      <c r="F282" s="134" t="str">
        <f ca="1">IFERROR(__xludf.DUMMYFUNCTION("""COMPUTED_VALUE"""),"")</f>
        <v/>
      </c>
      <c r="G282" s="134" t="str">
        <f ca="1">IFERROR(__xludf.DUMMYFUNCTION("""COMPUTED_VALUE"""),"")</f>
        <v/>
      </c>
      <c r="H282" s="134" t="str">
        <f ca="1">IFERROR(__xludf.DUMMYFUNCTION("""COMPUTED_VALUE"""),"")</f>
        <v/>
      </c>
      <c r="I282" s="134" t="str">
        <f ca="1">IFERROR(__xludf.DUMMYFUNCTION("""COMPUTED_VALUE"""),"")</f>
        <v/>
      </c>
      <c r="J282" s="134" t="str">
        <f ca="1">IFERROR(__xludf.DUMMYFUNCTION("""COMPUTED_VALUE"""),"")</f>
        <v/>
      </c>
      <c r="N282" s="31"/>
    </row>
    <row r="283" spans="1:14" customFormat="1">
      <c r="A283" s="134" t="str">
        <f ca="1">IFERROR(__xludf.DUMMYFUNCTION("""COMPUTED_VALUE"""),"")</f>
        <v/>
      </c>
      <c r="B283" s="134" t="str">
        <f ca="1">IFERROR(__xludf.DUMMYFUNCTION("""COMPUTED_VALUE"""),"")</f>
        <v/>
      </c>
      <c r="C283" s="134" t="str">
        <f ca="1">IFERROR(__xludf.DUMMYFUNCTION("""COMPUTED_VALUE"""),"")</f>
        <v/>
      </c>
      <c r="D283" s="134" t="str">
        <f ca="1">IFERROR(__xludf.DUMMYFUNCTION("""COMPUTED_VALUE"""),"")</f>
        <v/>
      </c>
      <c r="E283" s="134" t="str">
        <f ca="1">IFERROR(__xludf.DUMMYFUNCTION("""COMPUTED_VALUE"""),"")</f>
        <v/>
      </c>
      <c r="F283" s="134" t="str">
        <f ca="1">IFERROR(__xludf.DUMMYFUNCTION("""COMPUTED_VALUE"""),"")</f>
        <v/>
      </c>
      <c r="G283" s="134" t="str">
        <f ca="1">IFERROR(__xludf.DUMMYFUNCTION("""COMPUTED_VALUE"""),"")</f>
        <v/>
      </c>
      <c r="H283" s="134" t="str">
        <f ca="1">IFERROR(__xludf.DUMMYFUNCTION("""COMPUTED_VALUE"""),"")</f>
        <v/>
      </c>
      <c r="I283" s="134" t="str">
        <f ca="1">IFERROR(__xludf.DUMMYFUNCTION("""COMPUTED_VALUE"""),"")</f>
        <v/>
      </c>
      <c r="J283" s="134" t="str">
        <f ca="1">IFERROR(__xludf.DUMMYFUNCTION("""COMPUTED_VALUE"""),"")</f>
        <v/>
      </c>
      <c r="N283" s="31"/>
    </row>
    <row r="284" spans="1:14" customFormat="1">
      <c r="A284" s="134" t="str">
        <f ca="1">IFERROR(__xludf.DUMMYFUNCTION("""COMPUTED_VALUE"""),"")</f>
        <v/>
      </c>
      <c r="B284" s="134" t="str">
        <f ca="1">IFERROR(__xludf.DUMMYFUNCTION("""COMPUTED_VALUE"""),"")</f>
        <v/>
      </c>
      <c r="C284" s="134" t="str">
        <f ca="1">IFERROR(__xludf.DUMMYFUNCTION("""COMPUTED_VALUE"""),"")</f>
        <v/>
      </c>
      <c r="D284" s="134" t="str">
        <f ca="1">IFERROR(__xludf.DUMMYFUNCTION("""COMPUTED_VALUE"""),"")</f>
        <v/>
      </c>
      <c r="E284" s="134" t="str">
        <f ca="1">IFERROR(__xludf.DUMMYFUNCTION("""COMPUTED_VALUE"""),"")</f>
        <v/>
      </c>
      <c r="F284" s="134" t="str">
        <f ca="1">IFERROR(__xludf.DUMMYFUNCTION("""COMPUTED_VALUE"""),"")</f>
        <v/>
      </c>
      <c r="G284" s="134" t="str">
        <f ca="1">IFERROR(__xludf.DUMMYFUNCTION("""COMPUTED_VALUE"""),"")</f>
        <v/>
      </c>
      <c r="H284" s="134" t="str">
        <f ca="1">IFERROR(__xludf.DUMMYFUNCTION("""COMPUTED_VALUE"""),"")</f>
        <v/>
      </c>
      <c r="I284" s="134" t="str">
        <f ca="1">IFERROR(__xludf.DUMMYFUNCTION("""COMPUTED_VALUE"""),"")</f>
        <v/>
      </c>
      <c r="J284" s="134" t="str">
        <f ca="1">IFERROR(__xludf.DUMMYFUNCTION("""COMPUTED_VALUE"""),"")</f>
        <v/>
      </c>
      <c r="N284" s="31"/>
    </row>
    <row r="285" spans="1:14" customFormat="1">
      <c r="A285" s="134" t="str">
        <f ca="1">IFERROR(__xludf.DUMMYFUNCTION("""COMPUTED_VALUE"""),"")</f>
        <v/>
      </c>
      <c r="B285" s="134" t="str">
        <f ca="1">IFERROR(__xludf.DUMMYFUNCTION("""COMPUTED_VALUE"""),"")</f>
        <v/>
      </c>
      <c r="C285" s="134" t="str">
        <f ca="1">IFERROR(__xludf.DUMMYFUNCTION("""COMPUTED_VALUE"""),"")</f>
        <v/>
      </c>
      <c r="D285" s="134" t="str">
        <f ca="1">IFERROR(__xludf.DUMMYFUNCTION("""COMPUTED_VALUE"""),"")</f>
        <v/>
      </c>
      <c r="E285" s="134" t="str">
        <f ca="1">IFERROR(__xludf.DUMMYFUNCTION("""COMPUTED_VALUE"""),"")</f>
        <v/>
      </c>
      <c r="F285" s="134" t="str">
        <f ca="1">IFERROR(__xludf.DUMMYFUNCTION("""COMPUTED_VALUE"""),"")</f>
        <v/>
      </c>
      <c r="G285" s="134" t="str">
        <f ca="1">IFERROR(__xludf.DUMMYFUNCTION("""COMPUTED_VALUE"""),"")</f>
        <v/>
      </c>
      <c r="H285" s="134" t="str">
        <f ca="1">IFERROR(__xludf.DUMMYFUNCTION("""COMPUTED_VALUE"""),"")</f>
        <v/>
      </c>
      <c r="I285" s="134" t="str">
        <f ca="1">IFERROR(__xludf.DUMMYFUNCTION("""COMPUTED_VALUE"""),"")</f>
        <v/>
      </c>
      <c r="J285" s="134" t="str">
        <f ca="1">IFERROR(__xludf.DUMMYFUNCTION("""COMPUTED_VALUE"""),"")</f>
        <v/>
      </c>
      <c r="N285" s="31"/>
    </row>
    <row r="286" spans="1:14" customFormat="1">
      <c r="A286" s="134" t="str">
        <f ca="1">IFERROR(__xludf.DUMMYFUNCTION("""COMPUTED_VALUE"""),"")</f>
        <v/>
      </c>
      <c r="B286" s="134" t="str">
        <f ca="1">IFERROR(__xludf.DUMMYFUNCTION("""COMPUTED_VALUE"""),"")</f>
        <v/>
      </c>
      <c r="C286" s="134" t="str">
        <f ca="1">IFERROR(__xludf.DUMMYFUNCTION("""COMPUTED_VALUE"""),"")</f>
        <v/>
      </c>
      <c r="D286" s="134" t="str">
        <f ca="1">IFERROR(__xludf.DUMMYFUNCTION("""COMPUTED_VALUE"""),"")</f>
        <v/>
      </c>
      <c r="E286" s="134" t="str">
        <f ca="1">IFERROR(__xludf.DUMMYFUNCTION("""COMPUTED_VALUE"""),"")</f>
        <v/>
      </c>
      <c r="F286" s="134" t="str">
        <f ca="1">IFERROR(__xludf.DUMMYFUNCTION("""COMPUTED_VALUE"""),"")</f>
        <v/>
      </c>
      <c r="G286" s="134" t="str">
        <f ca="1">IFERROR(__xludf.DUMMYFUNCTION("""COMPUTED_VALUE"""),"")</f>
        <v/>
      </c>
      <c r="H286" s="134" t="str">
        <f ca="1">IFERROR(__xludf.DUMMYFUNCTION("""COMPUTED_VALUE"""),"")</f>
        <v/>
      </c>
      <c r="I286" s="134" t="str">
        <f ca="1">IFERROR(__xludf.DUMMYFUNCTION("""COMPUTED_VALUE"""),"")</f>
        <v/>
      </c>
      <c r="J286" s="134" t="str">
        <f ca="1">IFERROR(__xludf.DUMMYFUNCTION("""COMPUTED_VALUE"""),"")</f>
        <v/>
      </c>
      <c r="N286" s="31"/>
    </row>
    <row r="287" spans="1:14" customFormat="1">
      <c r="A287" s="134" t="str">
        <f ca="1">IFERROR(__xludf.DUMMYFUNCTION("""COMPUTED_VALUE"""),"")</f>
        <v/>
      </c>
      <c r="B287" s="134" t="str">
        <f ca="1">IFERROR(__xludf.DUMMYFUNCTION("""COMPUTED_VALUE"""),"")</f>
        <v/>
      </c>
      <c r="C287" s="134" t="str">
        <f ca="1">IFERROR(__xludf.DUMMYFUNCTION("""COMPUTED_VALUE"""),"")</f>
        <v/>
      </c>
      <c r="D287" s="134" t="str">
        <f ca="1">IFERROR(__xludf.DUMMYFUNCTION("""COMPUTED_VALUE"""),"")</f>
        <v/>
      </c>
      <c r="E287" s="134" t="str">
        <f ca="1">IFERROR(__xludf.DUMMYFUNCTION("""COMPUTED_VALUE"""),"")</f>
        <v/>
      </c>
      <c r="F287" s="134" t="str">
        <f ca="1">IFERROR(__xludf.DUMMYFUNCTION("""COMPUTED_VALUE"""),"")</f>
        <v/>
      </c>
      <c r="G287" s="134" t="str">
        <f ca="1">IFERROR(__xludf.DUMMYFUNCTION("""COMPUTED_VALUE"""),"")</f>
        <v/>
      </c>
      <c r="H287" s="134" t="str">
        <f ca="1">IFERROR(__xludf.DUMMYFUNCTION("""COMPUTED_VALUE"""),"")</f>
        <v/>
      </c>
      <c r="I287" s="134" t="str">
        <f ca="1">IFERROR(__xludf.DUMMYFUNCTION("""COMPUTED_VALUE"""),"")</f>
        <v/>
      </c>
      <c r="J287" s="134" t="str">
        <f ca="1">IFERROR(__xludf.DUMMYFUNCTION("""COMPUTED_VALUE"""),"")</f>
        <v/>
      </c>
      <c r="N287" s="31"/>
    </row>
    <row r="288" spans="1:14" customFormat="1">
      <c r="A288" s="134" t="str">
        <f ca="1">IFERROR(__xludf.DUMMYFUNCTION("""COMPUTED_VALUE"""),"")</f>
        <v/>
      </c>
      <c r="B288" s="134" t="str">
        <f ca="1">IFERROR(__xludf.DUMMYFUNCTION("""COMPUTED_VALUE"""),"")</f>
        <v/>
      </c>
      <c r="C288" s="134" t="str">
        <f ca="1">IFERROR(__xludf.DUMMYFUNCTION("""COMPUTED_VALUE"""),"")</f>
        <v/>
      </c>
      <c r="D288" s="134" t="str">
        <f ca="1">IFERROR(__xludf.DUMMYFUNCTION("""COMPUTED_VALUE"""),"")</f>
        <v/>
      </c>
      <c r="E288" s="134" t="str">
        <f ca="1">IFERROR(__xludf.DUMMYFUNCTION("""COMPUTED_VALUE"""),"")</f>
        <v/>
      </c>
      <c r="F288" s="134" t="str">
        <f ca="1">IFERROR(__xludf.DUMMYFUNCTION("""COMPUTED_VALUE"""),"")</f>
        <v/>
      </c>
      <c r="G288" s="134" t="str">
        <f ca="1">IFERROR(__xludf.DUMMYFUNCTION("""COMPUTED_VALUE"""),"")</f>
        <v/>
      </c>
      <c r="H288" s="134" t="str">
        <f ca="1">IFERROR(__xludf.DUMMYFUNCTION("""COMPUTED_VALUE"""),"")</f>
        <v/>
      </c>
      <c r="I288" s="134" t="str">
        <f ca="1">IFERROR(__xludf.DUMMYFUNCTION("""COMPUTED_VALUE"""),"")</f>
        <v/>
      </c>
      <c r="J288" s="134" t="str">
        <f ca="1">IFERROR(__xludf.DUMMYFUNCTION("""COMPUTED_VALUE"""),"")</f>
        <v/>
      </c>
      <c r="N288" s="31"/>
    </row>
    <row r="289" spans="1:14" customFormat="1">
      <c r="A289" s="134" t="str">
        <f ca="1">IFERROR(__xludf.DUMMYFUNCTION("""COMPUTED_VALUE"""),"")</f>
        <v/>
      </c>
      <c r="B289" s="134" t="str">
        <f ca="1">IFERROR(__xludf.DUMMYFUNCTION("""COMPUTED_VALUE"""),"")</f>
        <v/>
      </c>
      <c r="C289" s="134" t="str">
        <f ca="1">IFERROR(__xludf.DUMMYFUNCTION("""COMPUTED_VALUE"""),"")</f>
        <v/>
      </c>
      <c r="D289" s="134" t="str">
        <f ca="1">IFERROR(__xludf.DUMMYFUNCTION("""COMPUTED_VALUE"""),"")</f>
        <v/>
      </c>
      <c r="E289" s="134" t="str">
        <f ca="1">IFERROR(__xludf.DUMMYFUNCTION("""COMPUTED_VALUE"""),"")</f>
        <v/>
      </c>
      <c r="F289" s="134" t="str">
        <f ca="1">IFERROR(__xludf.DUMMYFUNCTION("""COMPUTED_VALUE"""),"")</f>
        <v/>
      </c>
      <c r="G289" s="134" t="str">
        <f ca="1">IFERROR(__xludf.DUMMYFUNCTION("""COMPUTED_VALUE"""),"")</f>
        <v/>
      </c>
      <c r="H289" s="134" t="str">
        <f ca="1">IFERROR(__xludf.DUMMYFUNCTION("""COMPUTED_VALUE"""),"")</f>
        <v/>
      </c>
      <c r="I289" s="134" t="str">
        <f ca="1">IFERROR(__xludf.DUMMYFUNCTION("""COMPUTED_VALUE"""),"")</f>
        <v/>
      </c>
      <c r="J289" s="134" t="str">
        <f ca="1">IFERROR(__xludf.DUMMYFUNCTION("""COMPUTED_VALUE"""),"")</f>
        <v/>
      </c>
      <c r="N289" s="31"/>
    </row>
    <row r="290" spans="1:14" customFormat="1">
      <c r="A290" s="134" t="str">
        <f ca="1">IFERROR(__xludf.DUMMYFUNCTION("""COMPUTED_VALUE"""),"")</f>
        <v/>
      </c>
      <c r="B290" s="134" t="str">
        <f ca="1">IFERROR(__xludf.DUMMYFUNCTION("""COMPUTED_VALUE"""),"")</f>
        <v/>
      </c>
      <c r="C290" s="134" t="str">
        <f ca="1">IFERROR(__xludf.DUMMYFUNCTION("""COMPUTED_VALUE"""),"")</f>
        <v/>
      </c>
      <c r="D290" s="134" t="str">
        <f ca="1">IFERROR(__xludf.DUMMYFUNCTION("""COMPUTED_VALUE"""),"")</f>
        <v/>
      </c>
      <c r="E290" s="134" t="str">
        <f ca="1">IFERROR(__xludf.DUMMYFUNCTION("""COMPUTED_VALUE"""),"")</f>
        <v/>
      </c>
      <c r="F290" s="134" t="str">
        <f ca="1">IFERROR(__xludf.DUMMYFUNCTION("""COMPUTED_VALUE"""),"")</f>
        <v/>
      </c>
      <c r="G290" s="134" t="str">
        <f ca="1">IFERROR(__xludf.DUMMYFUNCTION("""COMPUTED_VALUE"""),"")</f>
        <v/>
      </c>
      <c r="H290" s="134" t="str">
        <f ca="1">IFERROR(__xludf.DUMMYFUNCTION("""COMPUTED_VALUE"""),"")</f>
        <v/>
      </c>
      <c r="I290" s="134" t="str">
        <f ca="1">IFERROR(__xludf.DUMMYFUNCTION("""COMPUTED_VALUE"""),"")</f>
        <v/>
      </c>
      <c r="J290" s="134" t="str">
        <f ca="1">IFERROR(__xludf.DUMMYFUNCTION("""COMPUTED_VALUE"""),"")</f>
        <v/>
      </c>
      <c r="N290" s="31"/>
    </row>
    <row r="291" spans="1:14" customFormat="1">
      <c r="A291" s="134" t="str">
        <f ca="1">IFERROR(__xludf.DUMMYFUNCTION("""COMPUTED_VALUE"""),"")</f>
        <v/>
      </c>
      <c r="B291" s="134" t="str">
        <f ca="1">IFERROR(__xludf.DUMMYFUNCTION("""COMPUTED_VALUE"""),"")</f>
        <v/>
      </c>
      <c r="C291" s="134" t="str">
        <f ca="1">IFERROR(__xludf.DUMMYFUNCTION("""COMPUTED_VALUE"""),"")</f>
        <v/>
      </c>
      <c r="D291" s="134" t="str">
        <f ca="1">IFERROR(__xludf.DUMMYFUNCTION("""COMPUTED_VALUE"""),"")</f>
        <v/>
      </c>
      <c r="E291" s="134" t="str">
        <f ca="1">IFERROR(__xludf.DUMMYFUNCTION("""COMPUTED_VALUE"""),"")</f>
        <v/>
      </c>
      <c r="F291" s="134" t="str">
        <f ca="1">IFERROR(__xludf.DUMMYFUNCTION("""COMPUTED_VALUE"""),"")</f>
        <v/>
      </c>
      <c r="G291" s="134" t="str">
        <f ca="1">IFERROR(__xludf.DUMMYFUNCTION("""COMPUTED_VALUE"""),"")</f>
        <v/>
      </c>
      <c r="H291" s="134" t="str">
        <f ca="1">IFERROR(__xludf.DUMMYFUNCTION("""COMPUTED_VALUE"""),"")</f>
        <v/>
      </c>
      <c r="I291" s="134" t="str">
        <f ca="1">IFERROR(__xludf.DUMMYFUNCTION("""COMPUTED_VALUE"""),"")</f>
        <v/>
      </c>
      <c r="J291" s="134" t="str">
        <f ca="1">IFERROR(__xludf.DUMMYFUNCTION("""COMPUTED_VALUE"""),"")</f>
        <v/>
      </c>
      <c r="N291" s="31"/>
    </row>
    <row r="292" spans="1:14" customFormat="1">
      <c r="A292" s="134" t="str">
        <f ca="1">IFERROR(__xludf.DUMMYFUNCTION("""COMPUTED_VALUE"""),"")</f>
        <v/>
      </c>
      <c r="B292" s="134" t="str">
        <f ca="1">IFERROR(__xludf.DUMMYFUNCTION("""COMPUTED_VALUE"""),"")</f>
        <v/>
      </c>
      <c r="C292" s="134" t="str">
        <f ca="1">IFERROR(__xludf.DUMMYFUNCTION("""COMPUTED_VALUE"""),"")</f>
        <v/>
      </c>
      <c r="D292" s="134" t="str">
        <f ca="1">IFERROR(__xludf.DUMMYFUNCTION("""COMPUTED_VALUE"""),"")</f>
        <v/>
      </c>
      <c r="E292" s="134" t="str">
        <f ca="1">IFERROR(__xludf.DUMMYFUNCTION("""COMPUTED_VALUE"""),"")</f>
        <v/>
      </c>
      <c r="F292" s="134" t="str">
        <f ca="1">IFERROR(__xludf.DUMMYFUNCTION("""COMPUTED_VALUE"""),"")</f>
        <v/>
      </c>
      <c r="G292" s="134" t="str">
        <f ca="1">IFERROR(__xludf.DUMMYFUNCTION("""COMPUTED_VALUE"""),"")</f>
        <v/>
      </c>
      <c r="H292" s="134" t="str">
        <f ca="1">IFERROR(__xludf.DUMMYFUNCTION("""COMPUTED_VALUE"""),"")</f>
        <v/>
      </c>
      <c r="I292" s="134" t="str">
        <f ca="1">IFERROR(__xludf.DUMMYFUNCTION("""COMPUTED_VALUE"""),"")</f>
        <v/>
      </c>
      <c r="J292" s="134" t="str">
        <f ca="1">IFERROR(__xludf.DUMMYFUNCTION("""COMPUTED_VALUE"""),"")</f>
        <v/>
      </c>
      <c r="N292" s="31"/>
    </row>
    <row r="293" spans="1:14" customFormat="1">
      <c r="A293" s="134" t="str">
        <f ca="1">IFERROR(__xludf.DUMMYFUNCTION("""COMPUTED_VALUE"""),"")</f>
        <v/>
      </c>
      <c r="B293" s="134" t="str">
        <f ca="1">IFERROR(__xludf.DUMMYFUNCTION("""COMPUTED_VALUE"""),"")</f>
        <v/>
      </c>
      <c r="C293" s="134" t="str">
        <f ca="1">IFERROR(__xludf.DUMMYFUNCTION("""COMPUTED_VALUE"""),"")</f>
        <v/>
      </c>
      <c r="D293" s="134" t="str">
        <f ca="1">IFERROR(__xludf.DUMMYFUNCTION("""COMPUTED_VALUE"""),"")</f>
        <v/>
      </c>
      <c r="E293" s="134" t="str">
        <f ca="1">IFERROR(__xludf.DUMMYFUNCTION("""COMPUTED_VALUE"""),"")</f>
        <v/>
      </c>
      <c r="F293" s="134" t="str">
        <f ca="1">IFERROR(__xludf.DUMMYFUNCTION("""COMPUTED_VALUE"""),"")</f>
        <v/>
      </c>
      <c r="G293" s="134" t="str">
        <f ca="1">IFERROR(__xludf.DUMMYFUNCTION("""COMPUTED_VALUE"""),"")</f>
        <v/>
      </c>
      <c r="H293" s="134" t="str">
        <f ca="1">IFERROR(__xludf.DUMMYFUNCTION("""COMPUTED_VALUE"""),"")</f>
        <v/>
      </c>
      <c r="I293" s="134" t="str">
        <f ca="1">IFERROR(__xludf.DUMMYFUNCTION("""COMPUTED_VALUE"""),"")</f>
        <v/>
      </c>
      <c r="J293" s="134" t="str">
        <f ca="1">IFERROR(__xludf.DUMMYFUNCTION("""COMPUTED_VALUE"""),"")</f>
        <v/>
      </c>
      <c r="N293" s="31"/>
    </row>
    <row r="294" spans="1:14" customFormat="1">
      <c r="A294" s="134" t="str">
        <f ca="1">IFERROR(__xludf.DUMMYFUNCTION("""COMPUTED_VALUE"""),"")</f>
        <v/>
      </c>
      <c r="B294" s="134" t="str">
        <f ca="1">IFERROR(__xludf.DUMMYFUNCTION("""COMPUTED_VALUE"""),"")</f>
        <v/>
      </c>
      <c r="C294" s="134" t="str">
        <f ca="1">IFERROR(__xludf.DUMMYFUNCTION("""COMPUTED_VALUE"""),"")</f>
        <v/>
      </c>
      <c r="D294" s="134" t="str">
        <f ca="1">IFERROR(__xludf.DUMMYFUNCTION("""COMPUTED_VALUE"""),"")</f>
        <v/>
      </c>
      <c r="E294" s="134" t="str">
        <f ca="1">IFERROR(__xludf.DUMMYFUNCTION("""COMPUTED_VALUE"""),"")</f>
        <v/>
      </c>
      <c r="F294" s="134" t="str">
        <f ca="1">IFERROR(__xludf.DUMMYFUNCTION("""COMPUTED_VALUE"""),"")</f>
        <v/>
      </c>
      <c r="G294" s="134" t="str">
        <f ca="1">IFERROR(__xludf.DUMMYFUNCTION("""COMPUTED_VALUE"""),"")</f>
        <v/>
      </c>
      <c r="H294" s="134" t="str">
        <f ca="1">IFERROR(__xludf.DUMMYFUNCTION("""COMPUTED_VALUE"""),"")</f>
        <v/>
      </c>
      <c r="I294" s="134" t="str">
        <f ca="1">IFERROR(__xludf.DUMMYFUNCTION("""COMPUTED_VALUE"""),"")</f>
        <v/>
      </c>
      <c r="J294" s="134" t="str">
        <f ca="1">IFERROR(__xludf.DUMMYFUNCTION("""COMPUTED_VALUE"""),"")</f>
        <v/>
      </c>
      <c r="N294" s="31"/>
    </row>
    <row r="295" spans="1:14" customFormat="1">
      <c r="A295" s="134" t="str">
        <f ca="1">IFERROR(__xludf.DUMMYFUNCTION("""COMPUTED_VALUE"""),"")</f>
        <v/>
      </c>
      <c r="B295" s="134" t="str">
        <f ca="1">IFERROR(__xludf.DUMMYFUNCTION("""COMPUTED_VALUE"""),"")</f>
        <v/>
      </c>
      <c r="C295" s="134" t="str">
        <f ca="1">IFERROR(__xludf.DUMMYFUNCTION("""COMPUTED_VALUE"""),"")</f>
        <v/>
      </c>
      <c r="D295" s="134" t="str">
        <f ca="1">IFERROR(__xludf.DUMMYFUNCTION("""COMPUTED_VALUE"""),"")</f>
        <v/>
      </c>
      <c r="E295" s="134" t="str">
        <f ca="1">IFERROR(__xludf.DUMMYFUNCTION("""COMPUTED_VALUE"""),"")</f>
        <v/>
      </c>
      <c r="F295" s="134" t="str">
        <f ca="1">IFERROR(__xludf.DUMMYFUNCTION("""COMPUTED_VALUE"""),"")</f>
        <v/>
      </c>
      <c r="G295" s="134" t="str">
        <f ca="1">IFERROR(__xludf.DUMMYFUNCTION("""COMPUTED_VALUE"""),"")</f>
        <v/>
      </c>
      <c r="H295" s="134" t="str">
        <f ca="1">IFERROR(__xludf.DUMMYFUNCTION("""COMPUTED_VALUE"""),"")</f>
        <v/>
      </c>
      <c r="I295" s="134" t="str">
        <f ca="1">IFERROR(__xludf.DUMMYFUNCTION("""COMPUTED_VALUE"""),"")</f>
        <v/>
      </c>
      <c r="J295" s="134" t="str">
        <f ca="1">IFERROR(__xludf.DUMMYFUNCTION("""COMPUTED_VALUE"""),"")</f>
        <v/>
      </c>
      <c r="N295" s="31"/>
    </row>
    <row r="296" spans="1:14" customFormat="1">
      <c r="A296" s="134" t="str">
        <f ca="1">IFERROR(__xludf.DUMMYFUNCTION("""COMPUTED_VALUE"""),"")</f>
        <v/>
      </c>
      <c r="B296" s="134" t="str">
        <f ca="1">IFERROR(__xludf.DUMMYFUNCTION("""COMPUTED_VALUE"""),"")</f>
        <v/>
      </c>
      <c r="C296" s="134" t="str">
        <f ca="1">IFERROR(__xludf.DUMMYFUNCTION("""COMPUTED_VALUE"""),"")</f>
        <v/>
      </c>
      <c r="D296" s="134" t="str">
        <f ca="1">IFERROR(__xludf.DUMMYFUNCTION("""COMPUTED_VALUE"""),"")</f>
        <v/>
      </c>
      <c r="E296" s="134" t="str">
        <f ca="1">IFERROR(__xludf.DUMMYFUNCTION("""COMPUTED_VALUE"""),"")</f>
        <v/>
      </c>
      <c r="F296" s="134" t="str">
        <f ca="1">IFERROR(__xludf.DUMMYFUNCTION("""COMPUTED_VALUE"""),"")</f>
        <v/>
      </c>
      <c r="G296" s="134" t="str">
        <f ca="1">IFERROR(__xludf.DUMMYFUNCTION("""COMPUTED_VALUE"""),"")</f>
        <v/>
      </c>
      <c r="H296" s="134" t="str">
        <f ca="1">IFERROR(__xludf.DUMMYFUNCTION("""COMPUTED_VALUE"""),"")</f>
        <v/>
      </c>
      <c r="I296" s="134" t="str">
        <f ca="1">IFERROR(__xludf.DUMMYFUNCTION("""COMPUTED_VALUE"""),"")</f>
        <v/>
      </c>
      <c r="J296" s="134" t="str">
        <f ca="1">IFERROR(__xludf.DUMMYFUNCTION("""COMPUTED_VALUE"""),"")</f>
        <v/>
      </c>
      <c r="N296" s="31"/>
    </row>
    <row r="297" spans="1:14" customFormat="1">
      <c r="A297" s="134" t="str">
        <f ca="1">IFERROR(__xludf.DUMMYFUNCTION("""COMPUTED_VALUE"""),"")</f>
        <v/>
      </c>
      <c r="B297" s="134" t="str">
        <f ca="1">IFERROR(__xludf.DUMMYFUNCTION("""COMPUTED_VALUE"""),"")</f>
        <v/>
      </c>
      <c r="C297" s="134" t="str">
        <f ca="1">IFERROR(__xludf.DUMMYFUNCTION("""COMPUTED_VALUE"""),"")</f>
        <v/>
      </c>
      <c r="D297" s="134" t="str">
        <f ca="1">IFERROR(__xludf.DUMMYFUNCTION("""COMPUTED_VALUE"""),"")</f>
        <v/>
      </c>
      <c r="E297" s="134" t="str">
        <f ca="1">IFERROR(__xludf.DUMMYFUNCTION("""COMPUTED_VALUE"""),"")</f>
        <v/>
      </c>
      <c r="F297" s="134" t="str">
        <f ca="1">IFERROR(__xludf.DUMMYFUNCTION("""COMPUTED_VALUE"""),"")</f>
        <v/>
      </c>
      <c r="G297" s="134" t="str">
        <f ca="1">IFERROR(__xludf.DUMMYFUNCTION("""COMPUTED_VALUE"""),"")</f>
        <v/>
      </c>
      <c r="H297" s="134" t="str">
        <f ca="1">IFERROR(__xludf.DUMMYFUNCTION("""COMPUTED_VALUE"""),"")</f>
        <v/>
      </c>
      <c r="I297" s="134" t="str">
        <f ca="1">IFERROR(__xludf.DUMMYFUNCTION("""COMPUTED_VALUE"""),"")</f>
        <v/>
      </c>
      <c r="J297" s="134" t="str">
        <f ca="1">IFERROR(__xludf.DUMMYFUNCTION("""COMPUTED_VALUE"""),"")</f>
        <v/>
      </c>
      <c r="N297" s="31"/>
    </row>
    <row r="298" spans="1:14" customFormat="1">
      <c r="A298" s="134" t="str">
        <f ca="1">IFERROR(__xludf.DUMMYFUNCTION("""COMPUTED_VALUE"""),"")</f>
        <v/>
      </c>
      <c r="B298" s="134" t="str">
        <f ca="1">IFERROR(__xludf.DUMMYFUNCTION("""COMPUTED_VALUE"""),"")</f>
        <v/>
      </c>
      <c r="C298" s="134" t="str">
        <f ca="1">IFERROR(__xludf.DUMMYFUNCTION("""COMPUTED_VALUE"""),"")</f>
        <v/>
      </c>
      <c r="D298" s="134" t="str">
        <f ca="1">IFERROR(__xludf.DUMMYFUNCTION("""COMPUTED_VALUE"""),"")</f>
        <v/>
      </c>
      <c r="E298" s="134" t="str">
        <f ca="1">IFERROR(__xludf.DUMMYFUNCTION("""COMPUTED_VALUE"""),"")</f>
        <v/>
      </c>
      <c r="F298" s="134" t="str">
        <f ca="1">IFERROR(__xludf.DUMMYFUNCTION("""COMPUTED_VALUE"""),"")</f>
        <v/>
      </c>
      <c r="G298" s="134" t="str">
        <f ca="1">IFERROR(__xludf.DUMMYFUNCTION("""COMPUTED_VALUE"""),"")</f>
        <v/>
      </c>
      <c r="H298" s="134" t="str">
        <f ca="1">IFERROR(__xludf.DUMMYFUNCTION("""COMPUTED_VALUE"""),"")</f>
        <v/>
      </c>
      <c r="I298" s="134" t="str">
        <f ca="1">IFERROR(__xludf.DUMMYFUNCTION("""COMPUTED_VALUE"""),"")</f>
        <v/>
      </c>
      <c r="J298" s="134" t="str">
        <f ca="1">IFERROR(__xludf.DUMMYFUNCTION("""COMPUTED_VALUE"""),"")</f>
        <v/>
      </c>
      <c r="N298" s="31"/>
    </row>
    <row r="299" spans="1:14" customFormat="1">
      <c r="A299" s="134" t="str">
        <f ca="1">IFERROR(__xludf.DUMMYFUNCTION("""COMPUTED_VALUE"""),"")</f>
        <v/>
      </c>
      <c r="B299" s="134" t="str">
        <f ca="1">IFERROR(__xludf.DUMMYFUNCTION("""COMPUTED_VALUE"""),"")</f>
        <v/>
      </c>
      <c r="C299" s="134" t="str">
        <f ca="1">IFERROR(__xludf.DUMMYFUNCTION("""COMPUTED_VALUE"""),"")</f>
        <v/>
      </c>
      <c r="D299" s="134" t="str">
        <f ca="1">IFERROR(__xludf.DUMMYFUNCTION("""COMPUTED_VALUE"""),"")</f>
        <v/>
      </c>
      <c r="E299" s="134" t="str">
        <f ca="1">IFERROR(__xludf.DUMMYFUNCTION("""COMPUTED_VALUE"""),"")</f>
        <v/>
      </c>
      <c r="F299" s="134" t="str">
        <f ca="1">IFERROR(__xludf.DUMMYFUNCTION("""COMPUTED_VALUE"""),"")</f>
        <v/>
      </c>
      <c r="G299" s="134" t="str">
        <f ca="1">IFERROR(__xludf.DUMMYFUNCTION("""COMPUTED_VALUE"""),"")</f>
        <v/>
      </c>
      <c r="H299" s="134" t="str">
        <f ca="1">IFERROR(__xludf.DUMMYFUNCTION("""COMPUTED_VALUE"""),"")</f>
        <v/>
      </c>
      <c r="I299" s="134" t="str">
        <f ca="1">IFERROR(__xludf.DUMMYFUNCTION("""COMPUTED_VALUE"""),"")</f>
        <v/>
      </c>
      <c r="J299" s="134" t="str">
        <f ca="1">IFERROR(__xludf.DUMMYFUNCTION("""COMPUTED_VALUE"""),"")</f>
        <v/>
      </c>
      <c r="N299" s="31"/>
    </row>
    <row r="300" spans="1:14" customFormat="1">
      <c r="A300" s="134" t="str">
        <f ca="1">IFERROR(__xludf.DUMMYFUNCTION("""COMPUTED_VALUE"""),"")</f>
        <v/>
      </c>
      <c r="B300" s="134" t="str">
        <f ca="1">IFERROR(__xludf.DUMMYFUNCTION("""COMPUTED_VALUE"""),"")</f>
        <v/>
      </c>
      <c r="C300" s="134" t="str">
        <f ca="1">IFERROR(__xludf.DUMMYFUNCTION("""COMPUTED_VALUE"""),"")</f>
        <v/>
      </c>
      <c r="D300" s="134" t="str">
        <f ca="1">IFERROR(__xludf.DUMMYFUNCTION("""COMPUTED_VALUE"""),"")</f>
        <v/>
      </c>
      <c r="E300" s="134" t="str">
        <f ca="1">IFERROR(__xludf.DUMMYFUNCTION("""COMPUTED_VALUE"""),"")</f>
        <v/>
      </c>
      <c r="F300" s="134" t="str">
        <f ca="1">IFERROR(__xludf.DUMMYFUNCTION("""COMPUTED_VALUE"""),"")</f>
        <v/>
      </c>
      <c r="G300" s="134" t="str">
        <f ca="1">IFERROR(__xludf.DUMMYFUNCTION("""COMPUTED_VALUE"""),"")</f>
        <v/>
      </c>
      <c r="H300" s="134" t="str">
        <f ca="1">IFERROR(__xludf.DUMMYFUNCTION("""COMPUTED_VALUE"""),"")</f>
        <v/>
      </c>
      <c r="I300" s="134" t="str">
        <f ca="1">IFERROR(__xludf.DUMMYFUNCTION("""COMPUTED_VALUE"""),"")</f>
        <v/>
      </c>
      <c r="J300" s="134" t="str">
        <f ca="1">IFERROR(__xludf.DUMMYFUNCTION("""COMPUTED_VALUE"""),"")</f>
        <v/>
      </c>
      <c r="N300" s="31"/>
    </row>
    <row r="301" spans="1:14" customFormat="1">
      <c r="A301" s="134" t="str">
        <f ca="1">IFERROR(__xludf.DUMMYFUNCTION("""COMPUTED_VALUE"""),"")</f>
        <v/>
      </c>
      <c r="B301" s="134" t="str">
        <f ca="1">IFERROR(__xludf.DUMMYFUNCTION("""COMPUTED_VALUE"""),"")</f>
        <v/>
      </c>
      <c r="C301" s="134" t="str">
        <f ca="1">IFERROR(__xludf.DUMMYFUNCTION("""COMPUTED_VALUE"""),"")</f>
        <v/>
      </c>
      <c r="D301" s="134" t="str">
        <f ca="1">IFERROR(__xludf.DUMMYFUNCTION("""COMPUTED_VALUE"""),"")</f>
        <v/>
      </c>
      <c r="E301" s="134" t="str">
        <f ca="1">IFERROR(__xludf.DUMMYFUNCTION("""COMPUTED_VALUE"""),"")</f>
        <v/>
      </c>
      <c r="F301" s="134" t="str">
        <f ca="1">IFERROR(__xludf.DUMMYFUNCTION("""COMPUTED_VALUE"""),"")</f>
        <v/>
      </c>
      <c r="G301" s="134" t="str">
        <f ca="1">IFERROR(__xludf.DUMMYFUNCTION("""COMPUTED_VALUE"""),"")</f>
        <v/>
      </c>
      <c r="H301" s="134" t="str">
        <f ca="1">IFERROR(__xludf.DUMMYFUNCTION("""COMPUTED_VALUE"""),"")</f>
        <v/>
      </c>
      <c r="I301" s="134" t="str">
        <f ca="1">IFERROR(__xludf.DUMMYFUNCTION("""COMPUTED_VALUE"""),"")</f>
        <v/>
      </c>
      <c r="J301" s="134" t="str">
        <f ca="1">IFERROR(__xludf.DUMMYFUNCTION("""COMPUTED_VALUE"""),"")</f>
        <v/>
      </c>
      <c r="N301" s="31"/>
    </row>
    <row r="302" spans="1:14" customFormat="1">
      <c r="A302" s="134" t="str">
        <f ca="1">IFERROR(__xludf.DUMMYFUNCTION("""COMPUTED_VALUE"""),"")</f>
        <v/>
      </c>
      <c r="B302" s="134" t="str">
        <f ca="1">IFERROR(__xludf.DUMMYFUNCTION("""COMPUTED_VALUE"""),"")</f>
        <v/>
      </c>
      <c r="C302" s="134" t="str">
        <f ca="1">IFERROR(__xludf.DUMMYFUNCTION("""COMPUTED_VALUE"""),"")</f>
        <v/>
      </c>
      <c r="D302" s="134" t="str">
        <f ca="1">IFERROR(__xludf.DUMMYFUNCTION("""COMPUTED_VALUE"""),"")</f>
        <v/>
      </c>
      <c r="E302" s="134" t="str">
        <f ca="1">IFERROR(__xludf.DUMMYFUNCTION("""COMPUTED_VALUE"""),"")</f>
        <v/>
      </c>
      <c r="F302" s="134" t="str">
        <f ca="1">IFERROR(__xludf.DUMMYFUNCTION("""COMPUTED_VALUE"""),"")</f>
        <v/>
      </c>
      <c r="G302" s="134" t="str">
        <f ca="1">IFERROR(__xludf.DUMMYFUNCTION("""COMPUTED_VALUE"""),"")</f>
        <v/>
      </c>
      <c r="H302" s="134" t="str">
        <f ca="1">IFERROR(__xludf.DUMMYFUNCTION("""COMPUTED_VALUE"""),"")</f>
        <v/>
      </c>
      <c r="I302" s="134" t="str">
        <f ca="1">IFERROR(__xludf.DUMMYFUNCTION("""COMPUTED_VALUE"""),"")</f>
        <v/>
      </c>
      <c r="J302" s="134" t="str">
        <f ca="1">IFERROR(__xludf.DUMMYFUNCTION("""COMPUTED_VALUE"""),"")</f>
        <v/>
      </c>
      <c r="N302" s="31"/>
    </row>
    <row r="303" spans="1:14" customFormat="1">
      <c r="A303" s="134" t="str">
        <f ca="1">IFERROR(__xludf.DUMMYFUNCTION("""COMPUTED_VALUE"""),"")</f>
        <v/>
      </c>
      <c r="B303" s="134" t="str">
        <f ca="1">IFERROR(__xludf.DUMMYFUNCTION("""COMPUTED_VALUE"""),"")</f>
        <v/>
      </c>
      <c r="C303" s="134" t="str">
        <f ca="1">IFERROR(__xludf.DUMMYFUNCTION("""COMPUTED_VALUE"""),"")</f>
        <v/>
      </c>
      <c r="D303" s="134" t="str">
        <f ca="1">IFERROR(__xludf.DUMMYFUNCTION("""COMPUTED_VALUE"""),"")</f>
        <v/>
      </c>
      <c r="E303" s="134" t="str">
        <f ca="1">IFERROR(__xludf.DUMMYFUNCTION("""COMPUTED_VALUE"""),"")</f>
        <v/>
      </c>
      <c r="F303" s="134" t="str">
        <f ca="1">IFERROR(__xludf.DUMMYFUNCTION("""COMPUTED_VALUE"""),"")</f>
        <v/>
      </c>
      <c r="G303" s="134" t="str">
        <f ca="1">IFERROR(__xludf.DUMMYFUNCTION("""COMPUTED_VALUE"""),"")</f>
        <v/>
      </c>
      <c r="H303" s="134" t="str">
        <f ca="1">IFERROR(__xludf.DUMMYFUNCTION("""COMPUTED_VALUE"""),"")</f>
        <v/>
      </c>
      <c r="I303" s="134" t="str">
        <f ca="1">IFERROR(__xludf.DUMMYFUNCTION("""COMPUTED_VALUE"""),"")</f>
        <v/>
      </c>
      <c r="J303" s="134" t="str">
        <f ca="1">IFERROR(__xludf.DUMMYFUNCTION("""COMPUTED_VALUE"""),"")</f>
        <v/>
      </c>
      <c r="N303" s="31"/>
    </row>
    <row r="304" spans="1:14" customFormat="1">
      <c r="A304" s="134" t="str">
        <f ca="1">IFERROR(__xludf.DUMMYFUNCTION("""COMPUTED_VALUE"""),"")</f>
        <v/>
      </c>
      <c r="B304" s="134" t="str">
        <f ca="1">IFERROR(__xludf.DUMMYFUNCTION("""COMPUTED_VALUE"""),"")</f>
        <v/>
      </c>
      <c r="C304" s="134" t="str">
        <f ca="1">IFERROR(__xludf.DUMMYFUNCTION("""COMPUTED_VALUE"""),"")</f>
        <v/>
      </c>
      <c r="D304" s="134" t="str">
        <f ca="1">IFERROR(__xludf.DUMMYFUNCTION("""COMPUTED_VALUE"""),"")</f>
        <v/>
      </c>
      <c r="E304" s="134" t="str">
        <f ca="1">IFERROR(__xludf.DUMMYFUNCTION("""COMPUTED_VALUE"""),"")</f>
        <v/>
      </c>
      <c r="F304" s="134" t="str">
        <f ca="1">IFERROR(__xludf.DUMMYFUNCTION("""COMPUTED_VALUE"""),"")</f>
        <v/>
      </c>
      <c r="G304" s="134" t="str">
        <f ca="1">IFERROR(__xludf.DUMMYFUNCTION("""COMPUTED_VALUE"""),"")</f>
        <v/>
      </c>
      <c r="H304" s="134" t="str">
        <f ca="1">IFERROR(__xludf.DUMMYFUNCTION("""COMPUTED_VALUE"""),"")</f>
        <v/>
      </c>
      <c r="I304" s="134" t="str">
        <f ca="1">IFERROR(__xludf.DUMMYFUNCTION("""COMPUTED_VALUE"""),"")</f>
        <v/>
      </c>
      <c r="J304" s="134" t="str">
        <f ca="1">IFERROR(__xludf.DUMMYFUNCTION("""COMPUTED_VALUE"""),"")</f>
        <v/>
      </c>
      <c r="N304" s="31"/>
    </row>
    <row r="305" spans="1:14" customFormat="1">
      <c r="A305" s="134" t="str">
        <f ca="1">IFERROR(__xludf.DUMMYFUNCTION("""COMPUTED_VALUE"""),"")</f>
        <v/>
      </c>
      <c r="B305" s="134" t="str">
        <f ca="1">IFERROR(__xludf.DUMMYFUNCTION("""COMPUTED_VALUE"""),"")</f>
        <v/>
      </c>
      <c r="C305" s="134" t="str">
        <f ca="1">IFERROR(__xludf.DUMMYFUNCTION("""COMPUTED_VALUE"""),"")</f>
        <v/>
      </c>
      <c r="D305" s="134" t="str">
        <f ca="1">IFERROR(__xludf.DUMMYFUNCTION("""COMPUTED_VALUE"""),"")</f>
        <v/>
      </c>
      <c r="E305" s="134" t="str">
        <f ca="1">IFERROR(__xludf.DUMMYFUNCTION("""COMPUTED_VALUE"""),"")</f>
        <v/>
      </c>
      <c r="F305" s="134" t="str">
        <f ca="1">IFERROR(__xludf.DUMMYFUNCTION("""COMPUTED_VALUE"""),"")</f>
        <v/>
      </c>
      <c r="G305" s="134" t="str">
        <f ca="1">IFERROR(__xludf.DUMMYFUNCTION("""COMPUTED_VALUE"""),"")</f>
        <v/>
      </c>
      <c r="H305" s="134" t="str">
        <f ca="1">IFERROR(__xludf.DUMMYFUNCTION("""COMPUTED_VALUE"""),"")</f>
        <v/>
      </c>
      <c r="I305" s="134" t="str">
        <f ca="1">IFERROR(__xludf.DUMMYFUNCTION("""COMPUTED_VALUE"""),"")</f>
        <v/>
      </c>
      <c r="J305" s="134" t="str">
        <f ca="1">IFERROR(__xludf.DUMMYFUNCTION("""COMPUTED_VALUE"""),"")</f>
        <v/>
      </c>
      <c r="N305" s="31"/>
    </row>
    <row r="306" spans="1:14" customFormat="1">
      <c r="A306" s="134" t="str">
        <f ca="1">IFERROR(__xludf.DUMMYFUNCTION("""COMPUTED_VALUE"""),"")</f>
        <v/>
      </c>
      <c r="B306" s="134" t="str">
        <f ca="1">IFERROR(__xludf.DUMMYFUNCTION("""COMPUTED_VALUE"""),"")</f>
        <v/>
      </c>
      <c r="C306" s="134" t="str">
        <f ca="1">IFERROR(__xludf.DUMMYFUNCTION("""COMPUTED_VALUE"""),"")</f>
        <v/>
      </c>
      <c r="D306" s="134" t="str">
        <f ca="1">IFERROR(__xludf.DUMMYFUNCTION("""COMPUTED_VALUE"""),"")</f>
        <v/>
      </c>
      <c r="E306" s="134" t="str">
        <f ca="1">IFERROR(__xludf.DUMMYFUNCTION("""COMPUTED_VALUE"""),"")</f>
        <v/>
      </c>
      <c r="F306" s="134" t="str">
        <f ca="1">IFERROR(__xludf.DUMMYFUNCTION("""COMPUTED_VALUE"""),"")</f>
        <v/>
      </c>
      <c r="G306" s="134" t="str">
        <f ca="1">IFERROR(__xludf.DUMMYFUNCTION("""COMPUTED_VALUE"""),"")</f>
        <v/>
      </c>
      <c r="H306" s="134" t="str">
        <f ca="1">IFERROR(__xludf.DUMMYFUNCTION("""COMPUTED_VALUE"""),"")</f>
        <v/>
      </c>
      <c r="I306" s="134" t="str">
        <f ca="1">IFERROR(__xludf.DUMMYFUNCTION("""COMPUTED_VALUE"""),"")</f>
        <v/>
      </c>
      <c r="J306" s="134" t="str">
        <f ca="1">IFERROR(__xludf.DUMMYFUNCTION("""COMPUTED_VALUE"""),"")</f>
        <v/>
      </c>
      <c r="N306" s="31"/>
    </row>
    <row r="307" spans="1:14" customFormat="1">
      <c r="A307" s="134" t="str">
        <f ca="1">IFERROR(__xludf.DUMMYFUNCTION("""COMPUTED_VALUE"""),"")</f>
        <v/>
      </c>
      <c r="B307" s="134" t="str">
        <f ca="1">IFERROR(__xludf.DUMMYFUNCTION("""COMPUTED_VALUE"""),"")</f>
        <v/>
      </c>
      <c r="C307" s="134" t="str">
        <f ca="1">IFERROR(__xludf.DUMMYFUNCTION("""COMPUTED_VALUE"""),"")</f>
        <v/>
      </c>
      <c r="D307" s="134" t="str">
        <f ca="1">IFERROR(__xludf.DUMMYFUNCTION("""COMPUTED_VALUE"""),"")</f>
        <v/>
      </c>
      <c r="E307" s="134" t="str">
        <f ca="1">IFERROR(__xludf.DUMMYFUNCTION("""COMPUTED_VALUE"""),"")</f>
        <v/>
      </c>
      <c r="F307" s="134" t="str">
        <f ca="1">IFERROR(__xludf.DUMMYFUNCTION("""COMPUTED_VALUE"""),"")</f>
        <v/>
      </c>
      <c r="G307" s="134" t="str">
        <f ca="1">IFERROR(__xludf.DUMMYFUNCTION("""COMPUTED_VALUE"""),"")</f>
        <v/>
      </c>
      <c r="H307" s="134" t="str">
        <f ca="1">IFERROR(__xludf.DUMMYFUNCTION("""COMPUTED_VALUE"""),"")</f>
        <v/>
      </c>
      <c r="I307" s="134" t="str">
        <f ca="1">IFERROR(__xludf.DUMMYFUNCTION("""COMPUTED_VALUE"""),"")</f>
        <v/>
      </c>
      <c r="J307" s="134" t="str">
        <f ca="1">IFERROR(__xludf.DUMMYFUNCTION("""COMPUTED_VALUE"""),"")</f>
        <v/>
      </c>
      <c r="N307" s="31"/>
    </row>
    <row r="308" spans="1:14" customFormat="1">
      <c r="A308" s="134" t="str">
        <f ca="1">IFERROR(__xludf.DUMMYFUNCTION("""COMPUTED_VALUE"""),"")</f>
        <v/>
      </c>
      <c r="B308" s="134" t="str">
        <f ca="1">IFERROR(__xludf.DUMMYFUNCTION("""COMPUTED_VALUE"""),"")</f>
        <v/>
      </c>
      <c r="C308" s="134" t="str">
        <f ca="1">IFERROR(__xludf.DUMMYFUNCTION("""COMPUTED_VALUE"""),"")</f>
        <v/>
      </c>
      <c r="D308" s="134" t="str">
        <f ca="1">IFERROR(__xludf.DUMMYFUNCTION("""COMPUTED_VALUE"""),"")</f>
        <v/>
      </c>
      <c r="E308" s="134" t="str">
        <f ca="1">IFERROR(__xludf.DUMMYFUNCTION("""COMPUTED_VALUE"""),"")</f>
        <v/>
      </c>
      <c r="F308" s="134" t="str">
        <f ca="1">IFERROR(__xludf.DUMMYFUNCTION("""COMPUTED_VALUE"""),"")</f>
        <v/>
      </c>
      <c r="G308" s="134" t="str">
        <f ca="1">IFERROR(__xludf.DUMMYFUNCTION("""COMPUTED_VALUE"""),"")</f>
        <v/>
      </c>
      <c r="H308" s="134" t="str">
        <f ca="1">IFERROR(__xludf.DUMMYFUNCTION("""COMPUTED_VALUE"""),"")</f>
        <v/>
      </c>
      <c r="I308" s="134" t="str">
        <f ca="1">IFERROR(__xludf.DUMMYFUNCTION("""COMPUTED_VALUE"""),"")</f>
        <v/>
      </c>
      <c r="J308" s="134" t="str">
        <f ca="1">IFERROR(__xludf.DUMMYFUNCTION("""COMPUTED_VALUE"""),"")</f>
        <v/>
      </c>
      <c r="N308" s="31"/>
    </row>
    <row r="309" spans="1:14" customFormat="1">
      <c r="A309" s="134" t="str">
        <f ca="1">IFERROR(__xludf.DUMMYFUNCTION("""COMPUTED_VALUE"""),"")</f>
        <v/>
      </c>
      <c r="B309" s="134" t="str">
        <f ca="1">IFERROR(__xludf.DUMMYFUNCTION("""COMPUTED_VALUE"""),"")</f>
        <v/>
      </c>
      <c r="C309" s="134" t="str">
        <f ca="1">IFERROR(__xludf.DUMMYFUNCTION("""COMPUTED_VALUE"""),"")</f>
        <v/>
      </c>
      <c r="D309" s="134" t="str">
        <f ca="1">IFERROR(__xludf.DUMMYFUNCTION("""COMPUTED_VALUE"""),"")</f>
        <v/>
      </c>
      <c r="E309" s="134" t="str">
        <f ca="1">IFERROR(__xludf.DUMMYFUNCTION("""COMPUTED_VALUE"""),"")</f>
        <v/>
      </c>
      <c r="F309" s="134" t="str">
        <f ca="1">IFERROR(__xludf.DUMMYFUNCTION("""COMPUTED_VALUE"""),"")</f>
        <v/>
      </c>
      <c r="G309" s="134" t="str">
        <f ca="1">IFERROR(__xludf.DUMMYFUNCTION("""COMPUTED_VALUE"""),"")</f>
        <v/>
      </c>
      <c r="H309" s="134" t="str">
        <f ca="1">IFERROR(__xludf.DUMMYFUNCTION("""COMPUTED_VALUE"""),"")</f>
        <v/>
      </c>
      <c r="I309" s="134" t="str">
        <f ca="1">IFERROR(__xludf.DUMMYFUNCTION("""COMPUTED_VALUE"""),"")</f>
        <v/>
      </c>
      <c r="J309" s="134" t="str">
        <f ca="1">IFERROR(__xludf.DUMMYFUNCTION("""COMPUTED_VALUE"""),"")</f>
        <v/>
      </c>
      <c r="N309" s="31"/>
    </row>
    <row r="310" spans="1:14" customFormat="1">
      <c r="A310" s="134" t="str">
        <f ca="1">IFERROR(__xludf.DUMMYFUNCTION("""COMPUTED_VALUE"""),"")</f>
        <v/>
      </c>
      <c r="B310" s="134" t="str">
        <f ca="1">IFERROR(__xludf.DUMMYFUNCTION("""COMPUTED_VALUE"""),"")</f>
        <v/>
      </c>
      <c r="C310" s="134" t="str">
        <f ca="1">IFERROR(__xludf.DUMMYFUNCTION("""COMPUTED_VALUE"""),"")</f>
        <v/>
      </c>
      <c r="D310" s="134" t="str">
        <f ca="1">IFERROR(__xludf.DUMMYFUNCTION("""COMPUTED_VALUE"""),"")</f>
        <v/>
      </c>
      <c r="E310" s="134" t="str">
        <f ca="1">IFERROR(__xludf.DUMMYFUNCTION("""COMPUTED_VALUE"""),"")</f>
        <v/>
      </c>
      <c r="F310" s="134" t="str">
        <f ca="1">IFERROR(__xludf.DUMMYFUNCTION("""COMPUTED_VALUE"""),"")</f>
        <v/>
      </c>
      <c r="G310" s="134" t="str">
        <f ca="1">IFERROR(__xludf.DUMMYFUNCTION("""COMPUTED_VALUE"""),"")</f>
        <v/>
      </c>
      <c r="H310" s="134" t="str">
        <f ca="1">IFERROR(__xludf.DUMMYFUNCTION("""COMPUTED_VALUE"""),"")</f>
        <v/>
      </c>
      <c r="I310" s="134" t="str">
        <f ca="1">IFERROR(__xludf.DUMMYFUNCTION("""COMPUTED_VALUE"""),"")</f>
        <v/>
      </c>
      <c r="J310" s="134" t="str">
        <f ca="1">IFERROR(__xludf.DUMMYFUNCTION("""COMPUTED_VALUE"""),"")</f>
        <v/>
      </c>
      <c r="N310" s="31"/>
    </row>
    <row r="311" spans="1:14" customFormat="1">
      <c r="A311" s="134" t="str">
        <f ca="1">IFERROR(__xludf.DUMMYFUNCTION("""COMPUTED_VALUE"""),"")</f>
        <v/>
      </c>
      <c r="B311" s="134" t="str">
        <f ca="1">IFERROR(__xludf.DUMMYFUNCTION("""COMPUTED_VALUE"""),"")</f>
        <v/>
      </c>
      <c r="C311" s="134" t="str">
        <f ca="1">IFERROR(__xludf.DUMMYFUNCTION("""COMPUTED_VALUE"""),"")</f>
        <v/>
      </c>
      <c r="D311" s="134" t="str">
        <f ca="1">IFERROR(__xludf.DUMMYFUNCTION("""COMPUTED_VALUE"""),"")</f>
        <v/>
      </c>
      <c r="E311" s="134" t="str">
        <f ca="1">IFERROR(__xludf.DUMMYFUNCTION("""COMPUTED_VALUE"""),"")</f>
        <v/>
      </c>
      <c r="F311" s="134" t="str">
        <f ca="1">IFERROR(__xludf.DUMMYFUNCTION("""COMPUTED_VALUE"""),"")</f>
        <v/>
      </c>
      <c r="G311" s="134" t="str">
        <f ca="1">IFERROR(__xludf.DUMMYFUNCTION("""COMPUTED_VALUE"""),"")</f>
        <v/>
      </c>
      <c r="H311" s="134" t="str">
        <f ca="1">IFERROR(__xludf.DUMMYFUNCTION("""COMPUTED_VALUE"""),"")</f>
        <v/>
      </c>
      <c r="I311" s="134" t="str">
        <f ca="1">IFERROR(__xludf.DUMMYFUNCTION("""COMPUTED_VALUE"""),"")</f>
        <v/>
      </c>
      <c r="J311" s="134" t="str">
        <f ca="1">IFERROR(__xludf.DUMMYFUNCTION("""COMPUTED_VALUE"""),"")</f>
        <v/>
      </c>
      <c r="N311" s="31"/>
    </row>
    <row r="312" spans="1:14" customFormat="1">
      <c r="A312" s="134" t="str">
        <f ca="1">IFERROR(__xludf.DUMMYFUNCTION("""COMPUTED_VALUE"""),"")</f>
        <v/>
      </c>
      <c r="B312" s="134" t="str">
        <f ca="1">IFERROR(__xludf.DUMMYFUNCTION("""COMPUTED_VALUE"""),"")</f>
        <v/>
      </c>
      <c r="C312" s="134" t="str">
        <f ca="1">IFERROR(__xludf.DUMMYFUNCTION("""COMPUTED_VALUE"""),"")</f>
        <v/>
      </c>
      <c r="D312" s="134" t="str">
        <f ca="1">IFERROR(__xludf.DUMMYFUNCTION("""COMPUTED_VALUE"""),"")</f>
        <v/>
      </c>
      <c r="E312" s="134" t="str">
        <f ca="1">IFERROR(__xludf.DUMMYFUNCTION("""COMPUTED_VALUE"""),"")</f>
        <v/>
      </c>
      <c r="F312" s="134" t="str">
        <f ca="1">IFERROR(__xludf.DUMMYFUNCTION("""COMPUTED_VALUE"""),"")</f>
        <v/>
      </c>
      <c r="G312" s="134" t="str">
        <f ca="1">IFERROR(__xludf.DUMMYFUNCTION("""COMPUTED_VALUE"""),"")</f>
        <v/>
      </c>
      <c r="H312" s="134" t="str">
        <f ca="1">IFERROR(__xludf.DUMMYFUNCTION("""COMPUTED_VALUE"""),"")</f>
        <v/>
      </c>
      <c r="I312" s="134" t="str">
        <f ca="1">IFERROR(__xludf.DUMMYFUNCTION("""COMPUTED_VALUE"""),"")</f>
        <v/>
      </c>
      <c r="J312" s="134" t="str">
        <f ca="1">IFERROR(__xludf.DUMMYFUNCTION("""COMPUTED_VALUE"""),"")</f>
        <v/>
      </c>
      <c r="N312" s="31"/>
    </row>
    <row r="313" spans="1:14" customFormat="1">
      <c r="A313" s="134" t="str">
        <f ca="1">IFERROR(__xludf.DUMMYFUNCTION("""COMPUTED_VALUE"""),"")</f>
        <v/>
      </c>
      <c r="B313" s="134" t="str">
        <f ca="1">IFERROR(__xludf.DUMMYFUNCTION("""COMPUTED_VALUE"""),"")</f>
        <v/>
      </c>
      <c r="C313" s="134" t="str">
        <f ca="1">IFERROR(__xludf.DUMMYFUNCTION("""COMPUTED_VALUE"""),"")</f>
        <v/>
      </c>
      <c r="D313" s="134" t="str">
        <f ca="1">IFERROR(__xludf.DUMMYFUNCTION("""COMPUTED_VALUE"""),"")</f>
        <v/>
      </c>
      <c r="E313" s="134" t="str">
        <f ca="1">IFERROR(__xludf.DUMMYFUNCTION("""COMPUTED_VALUE"""),"")</f>
        <v/>
      </c>
      <c r="F313" s="134" t="str">
        <f ca="1">IFERROR(__xludf.DUMMYFUNCTION("""COMPUTED_VALUE"""),"")</f>
        <v/>
      </c>
      <c r="G313" s="134" t="str">
        <f ca="1">IFERROR(__xludf.DUMMYFUNCTION("""COMPUTED_VALUE"""),"")</f>
        <v/>
      </c>
      <c r="H313" s="134" t="str">
        <f ca="1">IFERROR(__xludf.DUMMYFUNCTION("""COMPUTED_VALUE"""),"")</f>
        <v/>
      </c>
      <c r="I313" s="134" t="str">
        <f ca="1">IFERROR(__xludf.DUMMYFUNCTION("""COMPUTED_VALUE"""),"")</f>
        <v/>
      </c>
      <c r="J313" s="134" t="str">
        <f ca="1">IFERROR(__xludf.DUMMYFUNCTION("""COMPUTED_VALUE"""),"")</f>
        <v/>
      </c>
      <c r="N313" s="31"/>
    </row>
    <row r="314" spans="1:14" customFormat="1">
      <c r="A314" s="134" t="str">
        <f ca="1">IFERROR(__xludf.DUMMYFUNCTION("""COMPUTED_VALUE"""),"")</f>
        <v/>
      </c>
      <c r="B314" s="134" t="str">
        <f ca="1">IFERROR(__xludf.DUMMYFUNCTION("""COMPUTED_VALUE"""),"")</f>
        <v/>
      </c>
      <c r="C314" s="134" t="str">
        <f ca="1">IFERROR(__xludf.DUMMYFUNCTION("""COMPUTED_VALUE"""),"")</f>
        <v/>
      </c>
      <c r="D314" s="134" t="str">
        <f ca="1">IFERROR(__xludf.DUMMYFUNCTION("""COMPUTED_VALUE"""),"")</f>
        <v/>
      </c>
      <c r="E314" s="134" t="str">
        <f ca="1">IFERROR(__xludf.DUMMYFUNCTION("""COMPUTED_VALUE"""),"")</f>
        <v/>
      </c>
      <c r="F314" s="134" t="str">
        <f ca="1">IFERROR(__xludf.DUMMYFUNCTION("""COMPUTED_VALUE"""),"")</f>
        <v/>
      </c>
      <c r="G314" s="134" t="str">
        <f ca="1">IFERROR(__xludf.DUMMYFUNCTION("""COMPUTED_VALUE"""),"")</f>
        <v/>
      </c>
      <c r="H314" s="134" t="str">
        <f ca="1">IFERROR(__xludf.DUMMYFUNCTION("""COMPUTED_VALUE"""),"")</f>
        <v/>
      </c>
      <c r="I314" s="134" t="str">
        <f ca="1">IFERROR(__xludf.DUMMYFUNCTION("""COMPUTED_VALUE"""),"")</f>
        <v/>
      </c>
      <c r="J314" s="134" t="str">
        <f ca="1">IFERROR(__xludf.DUMMYFUNCTION("""COMPUTED_VALUE"""),"")</f>
        <v/>
      </c>
      <c r="N314" s="31"/>
    </row>
    <row r="315" spans="1:14" customFormat="1">
      <c r="A315" s="134" t="str">
        <f ca="1">IFERROR(__xludf.DUMMYFUNCTION("""COMPUTED_VALUE"""),"")</f>
        <v/>
      </c>
      <c r="B315" s="134" t="str">
        <f ca="1">IFERROR(__xludf.DUMMYFUNCTION("""COMPUTED_VALUE"""),"")</f>
        <v/>
      </c>
      <c r="C315" s="134" t="str">
        <f ca="1">IFERROR(__xludf.DUMMYFUNCTION("""COMPUTED_VALUE"""),"")</f>
        <v/>
      </c>
      <c r="D315" s="134" t="str">
        <f ca="1">IFERROR(__xludf.DUMMYFUNCTION("""COMPUTED_VALUE"""),"")</f>
        <v/>
      </c>
      <c r="E315" s="134" t="str">
        <f ca="1">IFERROR(__xludf.DUMMYFUNCTION("""COMPUTED_VALUE"""),"")</f>
        <v/>
      </c>
      <c r="F315" s="134" t="str">
        <f ca="1">IFERROR(__xludf.DUMMYFUNCTION("""COMPUTED_VALUE"""),"")</f>
        <v/>
      </c>
      <c r="G315" s="134" t="str">
        <f ca="1">IFERROR(__xludf.DUMMYFUNCTION("""COMPUTED_VALUE"""),"")</f>
        <v/>
      </c>
      <c r="H315" s="134" t="str">
        <f ca="1">IFERROR(__xludf.DUMMYFUNCTION("""COMPUTED_VALUE"""),"")</f>
        <v/>
      </c>
      <c r="I315" s="134" t="str">
        <f ca="1">IFERROR(__xludf.DUMMYFUNCTION("""COMPUTED_VALUE"""),"")</f>
        <v/>
      </c>
      <c r="J315" s="134" t="str">
        <f ca="1">IFERROR(__xludf.DUMMYFUNCTION("""COMPUTED_VALUE"""),"")</f>
        <v/>
      </c>
      <c r="N315" s="31"/>
    </row>
    <row r="316" spans="1:14" customFormat="1">
      <c r="A316" s="134" t="str">
        <f ca="1">IFERROR(__xludf.DUMMYFUNCTION("""COMPUTED_VALUE"""),"")</f>
        <v/>
      </c>
      <c r="B316" s="134" t="str">
        <f ca="1">IFERROR(__xludf.DUMMYFUNCTION("""COMPUTED_VALUE"""),"")</f>
        <v/>
      </c>
      <c r="C316" s="134" t="str">
        <f ca="1">IFERROR(__xludf.DUMMYFUNCTION("""COMPUTED_VALUE"""),"")</f>
        <v/>
      </c>
      <c r="D316" s="134" t="str">
        <f ca="1">IFERROR(__xludf.DUMMYFUNCTION("""COMPUTED_VALUE"""),"")</f>
        <v/>
      </c>
      <c r="E316" s="134" t="str">
        <f ca="1">IFERROR(__xludf.DUMMYFUNCTION("""COMPUTED_VALUE"""),"")</f>
        <v/>
      </c>
      <c r="F316" s="134" t="str">
        <f ca="1">IFERROR(__xludf.DUMMYFUNCTION("""COMPUTED_VALUE"""),"")</f>
        <v/>
      </c>
      <c r="G316" s="134" t="str">
        <f ca="1">IFERROR(__xludf.DUMMYFUNCTION("""COMPUTED_VALUE"""),"")</f>
        <v/>
      </c>
      <c r="H316" s="134" t="str">
        <f ca="1">IFERROR(__xludf.DUMMYFUNCTION("""COMPUTED_VALUE"""),"")</f>
        <v/>
      </c>
      <c r="I316" s="134" t="str">
        <f ca="1">IFERROR(__xludf.DUMMYFUNCTION("""COMPUTED_VALUE"""),"")</f>
        <v/>
      </c>
      <c r="J316" s="134" t="str">
        <f ca="1">IFERROR(__xludf.DUMMYFUNCTION("""COMPUTED_VALUE"""),"")</f>
        <v/>
      </c>
      <c r="N316" s="31"/>
    </row>
    <row r="317" spans="1:14" customFormat="1">
      <c r="A317" s="134" t="str">
        <f ca="1">IFERROR(__xludf.DUMMYFUNCTION("""COMPUTED_VALUE"""),"")</f>
        <v/>
      </c>
      <c r="B317" s="134" t="str">
        <f ca="1">IFERROR(__xludf.DUMMYFUNCTION("""COMPUTED_VALUE"""),"")</f>
        <v/>
      </c>
      <c r="C317" s="134" t="str">
        <f ca="1">IFERROR(__xludf.DUMMYFUNCTION("""COMPUTED_VALUE"""),"")</f>
        <v/>
      </c>
      <c r="D317" s="134" t="str">
        <f ca="1">IFERROR(__xludf.DUMMYFUNCTION("""COMPUTED_VALUE"""),"")</f>
        <v/>
      </c>
      <c r="E317" s="134" t="str">
        <f ca="1">IFERROR(__xludf.DUMMYFUNCTION("""COMPUTED_VALUE"""),"")</f>
        <v/>
      </c>
      <c r="F317" s="134" t="str">
        <f ca="1">IFERROR(__xludf.DUMMYFUNCTION("""COMPUTED_VALUE"""),"")</f>
        <v/>
      </c>
      <c r="G317" s="134" t="str">
        <f ca="1">IFERROR(__xludf.DUMMYFUNCTION("""COMPUTED_VALUE"""),"")</f>
        <v/>
      </c>
      <c r="H317" s="134" t="str">
        <f ca="1">IFERROR(__xludf.DUMMYFUNCTION("""COMPUTED_VALUE"""),"")</f>
        <v/>
      </c>
      <c r="I317" s="134" t="str">
        <f ca="1">IFERROR(__xludf.DUMMYFUNCTION("""COMPUTED_VALUE"""),"")</f>
        <v/>
      </c>
      <c r="J317" s="134" t="str">
        <f ca="1">IFERROR(__xludf.DUMMYFUNCTION("""COMPUTED_VALUE"""),"")</f>
        <v/>
      </c>
      <c r="N317" s="31"/>
    </row>
    <row r="318" spans="1:14" customFormat="1">
      <c r="A318" s="134" t="str">
        <f ca="1">IFERROR(__xludf.DUMMYFUNCTION("""COMPUTED_VALUE"""),"")</f>
        <v/>
      </c>
      <c r="B318" s="134" t="str">
        <f ca="1">IFERROR(__xludf.DUMMYFUNCTION("""COMPUTED_VALUE"""),"")</f>
        <v/>
      </c>
      <c r="C318" s="134" t="str">
        <f ca="1">IFERROR(__xludf.DUMMYFUNCTION("""COMPUTED_VALUE"""),"")</f>
        <v/>
      </c>
      <c r="D318" s="134" t="str">
        <f ca="1">IFERROR(__xludf.DUMMYFUNCTION("""COMPUTED_VALUE"""),"")</f>
        <v/>
      </c>
      <c r="E318" s="134" t="str">
        <f ca="1">IFERROR(__xludf.DUMMYFUNCTION("""COMPUTED_VALUE"""),"")</f>
        <v/>
      </c>
      <c r="F318" s="134" t="str">
        <f ca="1">IFERROR(__xludf.DUMMYFUNCTION("""COMPUTED_VALUE"""),"")</f>
        <v/>
      </c>
      <c r="G318" s="134" t="str">
        <f ca="1">IFERROR(__xludf.DUMMYFUNCTION("""COMPUTED_VALUE"""),"")</f>
        <v/>
      </c>
      <c r="H318" s="134" t="str">
        <f ca="1">IFERROR(__xludf.DUMMYFUNCTION("""COMPUTED_VALUE"""),"")</f>
        <v/>
      </c>
      <c r="I318" s="134" t="str">
        <f ca="1">IFERROR(__xludf.DUMMYFUNCTION("""COMPUTED_VALUE"""),"")</f>
        <v/>
      </c>
      <c r="J318" s="134" t="str">
        <f ca="1">IFERROR(__xludf.DUMMYFUNCTION("""COMPUTED_VALUE"""),"")</f>
        <v/>
      </c>
      <c r="N318" s="31"/>
    </row>
    <row r="319" spans="1:14" customFormat="1">
      <c r="A319" s="134" t="str">
        <f ca="1">IFERROR(__xludf.DUMMYFUNCTION("""COMPUTED_VALUE"""),"")</f>
        <v/>
      </c>
      <c r="B319" s="134" t="str">
        <f ca="1">IFERROR(__xludf.DUMMYFUNCTION("""COMPUTED_VALUE"""),"")</f>
        <v/>
      </c>
      <c r="C319" s="134" t="str">
        <f ca="1">IFERROR(__xludf.DUMMYFUNCTION("""COMPUTED_VALUE"""),"")</f>
        <v/>
      </c>
      <c r="D319" s="134" t="str">
        <f ca="1">IFERROR(__xludf.DUMMYFUNCTION("""COMPUTED_VALUE"""),"")</f>
        <v/>
      </c>
      <c r="E319" s="134" t="str">
        <f ca="1">IFERROR(__xludf.DUMMYFUNCTION("""COMPUTED_VALUE"""),"")</f>
        <v/>
      </c>
      <c r="F319" s="134" t="str">
        <f ca="1">IFERROR(__xludf.DUMMYFUNCTION("""COMPUTED_VALUE"""),"")</f>
        <v/>
      </c>
      <c r="G319" s="134" t="str">
        <f ca="1">IFERROR(__xludf.DUMMYFUNCTION("""COMPUTED_VALUE"""),"")</f>
        <v/>
      </c>
      <c r="H319" s="134" t="str">
        <f ca="1">IFERROR(__xludf.DUMMYFUNCTION("""COMPUTED_VALUE"""),"")</f>
        <v/>
      </c>
      <c r="I319" s="134" t="str">
        <f ca="1">IFERROR(__xludf.DUMMYFUNCTION("""COMPUTED_VALUE"""),"")</f>
        <v/>
      </c>
      <c r="J319" s="134" t="str">
        <f ca="1">IFERROR(__xludf.DUMMYFUNCTION("""COMPUTED_VALUE"""),"")</f>
        <v/>
      </c>
      <c r="N319" s="31"/>
    </row>
    <row r="320" spans="1:14" customFormat="1">
      <c r="A320" s="134" t="str">
        <f ca="1">IFERROR(__xludf.DUMMYFUNCTION("""COMPUTED_VALUE"""),"")</f>
        <v/>
      </c>
      <c r="B320" s="134" t="str">
        <f ca="1">IFERROR(__xludf.DUMMYFUNCTION("""COMPUTED_VALUE"""),"")</f>
        <v/>
      </c>
      <c r="C320" s="134" t="str">
        <f ca="1">IFERROR(__xludf.DUMMYFUNCTION("""COMPUTED_VALUE"""),"")</f>
        <v/>
      </c>
      <c r="D320" s="134" t="str">
        <f ca="1">IFERROR(__xludf.DUMMYFUNCTION("""COMPUTED_VALUE"""),"")</f>
        <v/>
      </c>
      <c r="E320" s="134" t="str">
        <f ca="1">IFERROR(__xludf.DUMMYFUNCTION("""COMPUTED_VALUE"""),"")</f>
        <v/>
      </c>
      <c r="F320" s="134" t="str">
        <f ca="1">IFERROR(__xludf.DUMMYFUNCTION("""COMPUTED_VALUE"""),"")</f>
        <v/>
      </c>
      <c r="G320" s="134" t="str">
        <f ca="1">IFERROR(__xludf.DUMMYFUNCTION("""COMPUTED_VALUE"""),"")</f>
        <v/>
      </c>
      <c r="H320" s="134" t="str">
        <f ca="1">IFERROR(__xludf.DUMMYFUNCTION("""COMPUTED_VALUE"""),"")</f>
        <v/>
      </c>
      <c r="I320" s="134" t="str">
        <f ca="1">IFERROR(__xludf.DUMMYFUNCTION("""COMPUTED_VALUE"""),"")</f>
        <v/>
      </c>
      <c r="J320" s="134" t="str">
        <f ca="1">IFERROR(__xludf.DUMMYFUNCTION("""COMPUTED_VALUE"""),"")</f>
        <v/>
      </c>
      <c r="N320" s="31"/>
    </row>
    <row r="321" spans="1:14" customFormat="1">
      <c r="A321" s="134" t="str">
        <f ca="1">IFERROR(__xludf.DUMMYFUNCTION("""COMPUTED_VALUE"""),"")</f>
        <v/>
      </c>
      <c r="B321" s="134" t="str">
        <f ca="1">IFERROR(__xludf.DUMMYFUNCTION("""COMPUTED_VALUE"""),"")</f>
        <v/>
      </c>
      <c r="C321" s="134" t="str">
        <f ca="1">IFERROR(__xludf.DUMMYFUNCTION("""COMPUTED_VALUE"""),"")</f>
        <v/>
      </c>
      <c r="D321" s="134" t="str">
        <f ca="1">IFERROR(__xludf.DUMMYFUNCTION("""COMPUTED_VALUE"""),"")</f>
        <v/>
      </c>
      <c r="E321" s="134" t="str">
        <f ca="1">IFERROR(__xludf.DUMMYFUNCTION("""COMPUTED_VALUE"""),"")</f>
        <v/>
      </c>
      <c r="F321" s="134" t="str">
        <f ca="1">IFERROR(__xludf.DUMMYFUNCTION("""COMPUTED_VALUE"""),"")</f>
        <v/>
      </c>
      <c r="G321" s="134" t="str">
        <f ca="1">IFERROR(__xludf.DUMMYFUNCTION("""COMPUTED_VALUE"""),"")</f>
        <v/>
      </c>
      <c r="H321" s="134" t="str">
        <f ca="1">IFERROR(__xludf.DUMMYFUNCTION("""COMPUTED_VALUE"""),"")</f>
        <v/>
      </c>
      <c r="I321" s="134" t="str">
        <f ca="1">IFERROR(__xludf.DUMMYFUNCTION("""COMPUTED_VALUE"""),"")</f>
        <v/>
      </c>
      <c r="J321" s="134" t="str">
        <f ca="1">IFERROR(__xludf.DUMMYFUNCTION("""COMPUTED_VALUE"""),"")</f>
        <v/>
      </c>
      <c r="N321" s="31"/>
    </row>
    <row r="322" spans="1:14" customFormat="1">
      <c r="A322" s="134" t="str">
        <f ca="1">IFERROR(__xludf.DUMMYFUNCTION("""COMPUTED_VALUE"""),"")</f>
        <v/>
      </c>
      <c r="B322" s="134" t="str">
        <f ca="1">IFERROR(__xludf.DUMMYFUNCTION("""COMPUTED_VALUE"""),"")</f>
        <v/>
      </c>
      <c r="C322" s="134" t="str">
        <f ca="1">IFERROR(__xludf.DUMMYFUNCTION("""COMPUTED_VALUE"""),"")</f>
        <v/>
      </c>
      <c r="D322" s="134" t="str">
        <f ca="1">IFERROR(__xludf.DUMMYFUNCTION("""COMPUTED_VALUE"""),"")</f>
        <v/>
      </c>
      <c r="E322" s="134" t="str">
        <f ca="1">IFERROR(__xludf.DUMMYFUNCTION("""COMPUTED_VALUE"""),"")</f>
        <v/>
      </c>
      <c r="F322" s="134" t="str">
        <f ca="1">IFERROR(__xludf.DUMMYFUNCTION("""COMPUTED_VALUE"""),"")</f>
        <v/>
      </c>
      <c r="G322" s="134" t="str">
        <f ca="1">IFERROR(__xludf.DUMMYFUNCTION("""COMPUTED_VALUE"""),"")</f>
        <v/>
      </c>
      <c r="H322" s="134" t="str">
        <f ca="1">IFERROR(__xludf.DUMMYFUNCTION("""COMPUTED_VALUE"""),"")</f>
        <v/>
      </c>
      <c r="I322" s="134" t="str">
        <f ca="1">IFERROR(__xludf.DUMMYFUNCTION("""COMPUTED_VALUE"""),"")</f>
        <v/>
      </c>
      <c r="J322" s="134" t="str">
        <f ca="1">IFERROR(__xludf.DUMMYFUNCTION("""COMPUTED_VALUE"""),"")</f>
        <v/>
      </c>
      <c r="N322" s="31"/>
    </row>
    <row r="323" spans="1:14" customFormat="1">
      <c r="A323" s="134" t="str">
        <f ca="1">IFERROR(__xludf.DUMMYFUNCTION("""COMPUTED_VALUE"""),"")</f>
        <v/>
      </c>
      <c r="B323" s="134" t="str">
        <f ca="1">IFERROR(__xludf.DUMMYFUNCTION("""COMPUTED_VALUE"""),"")</f>
        <v/>
      </c>
      <c r="C323" s="134" t="str">
        <f ca="1">IFERROR(__xludf.DUMMYFUNCTION("""COMPUTED_VALUE"""),"")</f>
        <v/>
      </c>
      <c r="D323" s="134" t="str">
        <f ca="1">IFERROR(__xludf.DUMMYFUNCTION("""COMPUTED_VALUE"""),"")</f>
        <v/>
      </c>
      <c r="E323" s="134" t="str">
        <f ca="1">IFERROR(__xludf.DUMMYFUNCTION("""COMPUTED_VALUE"""),"")</f>
        <v/>
      </c>
      <c r="F323" s="134" t="str">
        <f ca="1">IFERROR(__xludf.DUMMYFUNCTION("""COMPUTED_VALUE"""),"")</f>
        <v/>
      </c>
      <c r="G323" s="134" t="str">
        <f ca="1">IFERROR(__xludf.DUMMYFUNCTION("""COMPUTED_VALUE"""),"")</f>
        <v/>
      </c>
      <c r="H323" s="134" t="str">
        <f ca="1">IFERROR(__xludf.DUMMYFUNCTION("""COMPUTED_VALUE"""),"")</f>
        <v/>
      </c>
      <c r="I323" s="134" t="str">
        <f ca="1">IFERROR(__xludf.DUMMYFUNCTION("""COMPUTED_VALUE"""),"")</f>
        <v/>
      </c>
      <c r="J323" s="134" t="str">
        <f ca="1">IFERROR(__xludf.DUMMYFUNCTION("""COMPUTED_VALUE"""),"")</f>
        <v/>
      </c>
      <c r="N323" s="31"/>
    </row>
    <row r="324" spans="1:14" customFormat="1">
      <c r="A324" s="134" t="str">
        <f ca="1">IFERROR(__xludf.DUMMYFUNCTION("""COMPUTED_VALUE"""),"")</f>
        <v/>
      </c>
      <c r="B324" s="134" t="str">
        <f ca="1">IFERROR(__xludf.DUMMYFUNCTION("""COMPUTED_VALUE"""),"")</f>
        <v/>
      </c>
      <c r="C324" s="134" t="str">
        <f ca="1">IFERROR(__xludf.DUMMYFUNCTION("""COMPUTED_VALUE"""),"")</f>
        <v/>
      </c>
      <c r="D324" s="134" t="str">
        <f ca="1">IFERROR(__xludf.DUMMYFUNCTION("""COMPUTED_VALUE"""),"")</f>
        <v/>
      </c>
      <c r="E324" s="134" t="str">
        <f ca="1">IFERROR(__xludf.DUMMYFUNCTION("""COMPUTED_VALUE"""),"")</f>
        <v/>
      </c>
      <c r="F324" s="134" t="str">
        <f ca="1">IFERROR(__xludf.DUMMYFUNCTION("""COMPUTED_VALUE"""),"")</f>
        <v/>
      </c>
      <c r="G324" s="134" t="str">
        <f ca="1">IFERROR(__xludf.DUMMYFUNCTION("""COMPUTED_VALUE"""),"")</f>
        <v/>
      </c>
      <c r="H324" s="134" t="str">
        <f ca="1">IFERROR(__xludf.DUMMYFUNCTION("""COMPUTED_VALUE"""),"")</f>
        <v/>
      </c>
      <c r="I324" s="134" t="str">
        <f ca="1">IFERROR(__xludf.DUMMYFUNCTION("""COMPUTED_VALUE"""),"")</f>
        <v/>
      </c>
      <c r="J324" s="134" t="str">
        <f ca="1">IFERROR(__xludf.DUMMYFUNCTION("""COMPUTED_VALUE"""),"")</f>
        <v/>
      </c>
      <c r="N324" s="31"/>
    </row>
    <row r="325" spans="1:14" customFormat="1">
      <c r="A325" s="134" t="str">
        <f ca="1">IFERROR(__xludf.DUMMYFUNCTION("""COMPUTED_VALUE"""),"")</f>
        <v/>
      </c>
      <c r="B325" s="134" t="str">
        <f ca="1">IFERROR(__xludf.DUMMYFUNCTION("""COMPUTED_VALUE"""),"")</f>
        <v/>
      </c>
      <c r="C325" s="134" t="str">
        <f ca="1">IFERROR(__xludf.DUMMYFUNCTION("""COMPUTED_VALUE"""),"")</f>
        <v/>
      </c>
      <c r="D325" s="134" t="str">
        <f ca="1">IFERROR(__xludf.DUMMYFUNCTION("""COMPUTED_VALUE"""),"")</f>
        <v/>
      </c>
      <c r="E325" s="134" t="str">
        <f ca="1">IFERROR(__xludf.DUMMYFUNCTION("""COMPUTED_VALUE"""),"")</f>
        <v/>
      </c>
      <c r="F325" s="134" t="str">
        <f ca="1">IFERROR(__xludf.DUMMYFUNCTION("""COMPUTED_VALUE"""),"")</f>
        <v/>
      </c>
      <c r="G325" s="134" t="str">
        <f ca="1">IFERROR(__xludf.DUMMYFUNCTION("""COMPUTED_VALUE"""),"")</f>
        <v/>
      </c>
      <c r="H325" s="134" t="str">
        <f ca="1">IFERROR(__xludf.DUMMYFUNCTION("""COMPUTED_VALUE"""),"")</f>
        <v/>
      </c>
      <c r="I325" s="134" t="str">
        <f ca="1">IFERROR(__xludf.DUMMYFUNCTION("""COMPUTED_VALUE"""),"")</f>
        <v/>
      </c>
      <c r="J325" s="134" t="str">
        <f ca="1">IFERROR(__xludf.DUMMYFUNCTION("""COMPUTED_VALUE"""),"")</f>
        <v/>
      </c>
      <c r="N325" s="31"/>
    </row>
    <row r="326" spans="1:14" customFormat="1">
      <c r="A326" s="134" t="str">
        <f ca="1">IFERROR(__xludf.DUMMYFUNCTION("""COMPUTED_VALUE"""),"")</f>
        <v/>
      </c>
      <c r="B326" s="134" t="str">
        <f ca="1">IFERROR(__xludf.DUMMYFUNCTION("""COMPUTED_VALUE"""),"")</f>
        <v/>
      </c>
      <c r="C326" s="134" t="str">
        <f ca="1">IFERROR(__xludf.DUMMYFUNCTION("""COMPUTED_VALUE"""),"")</f>
        <v/>
      </c>
      <c r="D326" s="134" t="str">
        <f ca="1">IFERROR(__xludf.DUMMYFUNCTION("""COMPUTED_VALUE"""),"")</f>
        <v/>
      </c>
      <c r="E326" s="134" t="str">
        <f ca="1">IFERROR(__xludf.DUMMYFUNCTION("""COMPUTED_VALUE"""),"")</f>
        <v/>
      </c>
      <c r="F326" s="134" t="str">
        <f ca="1">IFERROR(__xludf.DUMMYFUNCTION("""COMPUTED_VALUE"""),"")</f>
        <v/>
      </c>
      <c r="G326" s="134" t="str">
        <f ca="1">IFERROR(__xludf.DUMMYFUNCTION("""COMPUTED_VALUE"""),"")</f>
        <v/>
      </c>
      <c r="H326" s="134" t="str">
        <f ca="1">IFERROR(__xludf.DUMMYFUNCTION("""COMPUTED_VALUE"""),"")</f>
        <v/>
      </c>
      <c r="I326" s="134" t="str">
        <f ca="1">IFERROR(__xludf.DUMMYFUNCTION("""COMPUTED_VALUE"""),"")</f>
        <v/>
      </c>
      <c r="J326" s="134" t="str">
        <f ca="1">IFERROR(__xludf.DUMMYFUNCTION("""COMPUTED_VALUE"""),"")</f>
        <v/>
      </c>
      <c r="N326" s="31"/>
    </row>
    <row r="327" spans="1:14" customFormat="1">
      <c r="A327" s="134" t="str">
        <f ca="1">IFERROR(__xludf.DUMMYFUNCTION("""COMPUTED_VALUE"""),"")</f>
        <v/>
      </c>
      <c r="B327" s="134" t="str">
        <f ca="1">IFERROR(__xludf.DUMMYFUNCTION("""COMPUTED_VALUE"""),"")</f>
        <v/>
      </c>
      <c r="C327" s="134" t="str">
        <f ca="1">IFERROR(__xludf.DUMMYFUNCTION("""COMPUTED_VALUE"""),"")</f>
        <v/>
      </c>
      <c r="D327" s="134" t="str">
        <f ca="1">IFERROR(__xludf.DUMMYFUNCTION("""COMPUTED_VALUE"""),"")</f>
        <v/>
      </c>
      <c r="E327" s="134" t="str">
        <f ca="1">IFERROR(__xludf.DUMMYFUNCTION("""COMPUTED_VALUE"""),"")</f>
        <v/>
      </c>
      <c r="F327" s="134" t="str">
        <f ca="1">IFERROR(__xludf.DUMMYFUNCTION("""COMPUTED_VALUE"""),"")</f>
        <v/>
      </c>
      <c r="G327" s="134" t="str">
        <f ca="1">IFERROR(__xludf.DUMMYFUNCTION("""COMPUTED_VALUE"""),"")</f>
        <v/>
      </c>
      <c r="H327" s="134" t="str">
        <f ca="1">IFERROR(__xludf.DUMMYFUNCTION("""COMPUTED_VALUE"""),"")</f>
        <v/>
      </c>
      <c r="I327" s="134" t="str">
        <f ca="1">IFERROR(__xludf.DUMMYFUNCTION("""COMPUTED_VALUE"""),"")</f>
        <v/>
      </c>
      <c r="J327" s="134" t="str">
        <f ca="1">IFERROR(__xludf.DUMMYFUNCTION("""COMPUTED_VALUE"""),"")</f>
        <v/>
      </c>
      <c r="N327" s="31"/>
    </row>
    <row r="328" spans="1:14" customFormat="1">
      <c r="A328" s="134" t="str">
        <f ca="1">IFERROR(__xludf.DUMMYFUNCTION("""COMPUTED_VALUE"""),"")</f>
        <v/>
      </c>
      <c r="B328" s="134" t="str">
        <f ca="1">IFERROR(__xludf.DUMMYFUNCTION("""COMPUTED_VALUE"""),"")</f>
        <v/>
      </c>
      <c r="C328" s="134" t="str">
        <f ca="1">IFERROR(__xludf.DUMMYFUNCTION("""COMPUTED_VALUE"""),"")</f>
        <v/>
      </c>
      <c r="D328" s="134" t="str">
        <f ca="1">IFERROR(__xludf.DUMMYFUNCTION("""COMPUTED_VALUE"""),"")</f>
        <v/>
      </c>
      <c r="E328" s="134" t="str">
        <f ca="1">IFERROR(__xludf.DUMMYFUNCTION("""COMPUTED_VALUE"""),"")</f>
        <v/>
      </c>
      <c r="F328" s="134" t="str">
        <f ca="1">IFERROR(__xludf.DUMMYFUNCTION("""COMPUTED_VALUE"""),"")</f>
        <v/>
      </c>
      <c r="G328" s="134" t="str">
        <f ca="1">IFERROR(__xludf.DUMMYFUNCTION("""COMPUTED_VALUE"""),"")</f>
        <v/>
      </c>
      <c r="H328" s="134" t="str">
        <f ca="1">IFERROR(__xludf.DUMMYFUNCTION("""COMPUTED_VALUE"""),"")</f>
        <v/>
      </c>
      <c r="I328" s="134" t="str">
        <f ca="1">IFERROR(__xludf.DUMMYFUNCTION("""COMPUTED_VALUE"""),"")</f>
        <v/>
      </c>
      <c r="J328" s="134" t="str">
        <f ca="1">IFERROR(__xludf.DUMMYFUNCTION("""COMPUTED_VALUE"""),"")</f>
        <v/>
      </c>
      <c r="N328" s="31"/>
    </row>
    <row r="329" spans="1:14" customFormat="1">
      <c r="A329" s="134" t="str">
        <f ca="1">IFERROR(__xludf.DUMMYFUNCTION("""COMPUTED_VALUE"""),"")</f>
        <v/>
      </c>
      <c r="B329" s="134" t="str">
        <f ca="1">IFERROR(__xludf.DUMMYFUNCTION("""COMPUTED_VALUE"""),"")</f>
        <v/>
      </c>
      <c r="C329" s="134" t="str">
        <f ca="1">IFERROR(__xludf.DUMMYFUNCTION("""COMPUTED_VALUE"""),"")</f>
        <v/>
      </c>
      <c r="D329" s="134" t="str">
        <f ca="1">IFERROR(__xludf.DUMMYFUNCTION("""COMPUTED_VALUE"""),"")</f>
        <v/>
      </c>
      <c r="E329" s="134" t="str">
        <f ca="1">IFERROR(__xludf.DUMMYFUNCTION("""COMPUTED_VALUE"""),"")</f>
        <v/>
      </c>
      <c r="F329" s="134" t="str">
        <f ca="1">IFERROR(__xludf.DUMMYFUNCTION("""COMPUTED_VALUE"""),"")</f>
        <v/>
      </c>
      <c r="G329" s="134" t="str">
        <f ca="1">IFERROR(__xludf.DUMMYFUNCTION("""COMPUTED_VALUE"""),"")</f>
        <v/>
      </c>
      <c r="H329" s="134" t="str">
        <f ca="1">IFERROR(__xludf.DUMMYFUNCTION("""COMPUTED_VALUE"""),"")</f>
        <v/>
      </c>
      <c r="I329" s="134" t="str">
        <f ca="1">IFERROR(__xludf.DUMMYFUNCTION("""COMPUTED_VALUE"""),"")</f>
        <v/>
      </c>
      <c r="J329" s="134" t="str">
        <f ca="1">IFERROR(__xludf.DUMMYFUNCTION("""COMPUTED_VALUE"""),"")</f>
        <v/>
      </c>
      <c r="N329" s="31"/>
    </row>
    <row r="330" spans="1:14" customFormat="1">
      <c r="A330" s="134" t="str">
        <f ca="1">IFERROR(__xludf.DUMMYFUNCTION("""COMPUTED_VALUE"""),"")</f>
        <v/>
      </c>
      <c r="B330" s="134" t="str">
        <f ca="1">IFERROR(__xludf.DUMMYFUNCTION("""COMPUTED_VALUE"""),"")</f>
        <v/>
      </c>
      <c r="C330" s="134" t="str">
        <f ca="1">IFERROR(__xludf.DUMMYFUNCTION("""COMPUTED_VALUE"""),"")</f>
        <v/>
      </c>
      <c r="D330" s="134" t="str">
        <f ca="1">IFERROR(__xludf.DUMMYFUNCTION("""COMPUTED_VALUE"""),"")</f>
        <v/>
      </c>
      <c r="E330" s="134" t="str">
        <f ca="1">IFERROR(__xludf.DUMMYFUNCTION("""COMPUTED_VALUE"""),"")</f>
        <v/>
      </c>
      <c r="F330" s="134" t="str">
        <f ca="1">IFERROR(__xludf.DUMMYFUNCTION("""COMPUTED_VALUE"""),"")</f>
        <v/>
      </c>
      <c r="G330" s="134" t="str">
        <f ca="1">IFERROR(__xludf.DUMMYFUNCTION("""COMPUTED_VALUE"""),"")</f>
        <v/>
      </c>
      <c r="H330" s="134" t="str">
        <f ca="1">IFERROR(__xludf.DUMMYFUNCTION("""COMPUTED_VALUE"""),"")</f>
        <v/>
      </c>
      <c r="I330" s="134" t="str">
        <f ca="1">IFERROR(__xludf.DUMMYFUNCTION("""COMPUTED_VALUE"""),"")</f>
        <v/>
      </c>
      <c r="J330" s="134" t="str">
        <f ca="1">IFERROR(__xludf.DUMMYFUNCTION("""COMPUTED_VALUE"""),"")</f>
        <v/>
      </c>
      <c r="N330" s="31"/>
    </row>
    <row r="331" spans="1:14" customFormat="1">
      <c r="A331" s="134" t="str">
        <f ca="1">IFERROR(__xludf.DUMMYFUNCTION("""COMPUTED_VALUE"""),"")</f>
        <v/>
      </c>
      <c r="B331" s="134" t="str">
        <f ca="1">IFERROR(__xludf.DUMMYFUNCTION("""COMPUTED_VALUE"""),"")</f>
        <v/>
      </c>
      <c r="C331" s="134" t="str">
        <f ca="1">IFERROR(__xludf.DUMMYFUNCTION("""COMPUTED_VALUE"""),"")</f>
        <v/>
      </c>
      <c r="D331" s="134" t="str">
        <f ca="1">IFERROR(__xludf.DUMMYFUNCTION("""COMPUTED_VALUE"""),"")</f>
        <v/>
      </c>
      <c r="E331" s="134" t="str">
        <f ca="1">IFERROR(__xludf.DUMMYFUNCTION("""COMPUTED_VALUE"""),"")</f>
        <v/>
      </c>
      <c r="F331" s="134" t="str">
        <f ca="1">IFERROR(__xludf.DUMMYFUNCTION("""COMPUTED_VALUE"""),"")</f>
        <v/>
      </c>
      <c r="G331" s="134" t="str">
        <f ca="1">IFERROR(__xludf.DUMMYFUNCTION("""COMPUTED_VALUE"""),"")</f>
        <v/>
      </c>
      <c r="H331" s="134" t="str">
        <f ca="1">IFERROR(__xludf.DUMMYFUNCTION("""COMPUTED_VALUE"""),"")</f>
        <v/>
      </c>
      <c r="I331" s="134" t="str">
        <f ca="1">IFERROR(__xludf.DUMMYFUNCTION("""COMPUTED_VALUE"""),"")</f>
        <v/>
      </c>
      <c r="J331" s="134" t="str">
        <f ca="1">IFERROR(__xludf.DUMMYFUNCTION("""COMPUTED_VALUE"""),"")</f>
        <v/>
      </c>
      <c r="N331" s="31"/>
    </row>
    <row r="332" spans="1:14" customFormat="1">
      <c r="A332" s="134" t="str">
        <f ca="1">IFERROR(__xludf.DUMMYFUNCTION("""COMPUTED_VALUE"""),"")</f>
        <v/>
      </c>
      <c r="B332" s="134" t="str">
        <f ca="1">IFERROR(__xludf.DUMMYFUNCTION("""COMPUTED_VALUE"""),"")</f>
        <v/>
      </c>
      <c r="C332" s="134" t="str">
        <f ca="1">IFERROR(__xludf.DUMMYFUNCTION("""COMPUTED_VALUE"""),"")</f>
        <v/>
      </c>
      <c r="D332" s="134" t="str">
        <f ca="1">IFERROR(__xludf.DUMMYFUNCTION("""COMPUTED_VALUE"""),"")</f>
        <v/>
      </c>
      <c r="E332" s="134" t="str">
        <f ca="1">IFERROR(__xludf.DUMMYFUNCTION("""COMPUTED_VALUE"""),"")</f>
        <v/>
      </c>
      <c r="F332" s="134" t="str">
        <f ca="1">IFERROR(__xludf.DUMMYFUNCTION("""COMPUTED_VALUE"""),"")</f>
        <v/>
      </c>
      <c r="G332" s="134" t="str">
        <f ca="1">IFERROR(__xludf.DUMMYFUNCTION("""COMPUTED_VALUE"""),"")</f>
        <v/>
      </c>
      <c r="H332" s="134" t="str">
        <f ca="1">IFERROR(__xludf.DUMMYFUNCTION("""COMPUTED_VALUE"""),"")</f>
        <v/>
      </c>
      <c r="I332" s="134" t="str">
        <f ca="1">IFERROR(__xludf.DUMMYFUNCTION("""COMPUTED_VALUE"""),"")</f>
        <v/>
      </c>
      <c r="J332" s="134" t="str">
        <f ca="1">IFERROR(__xludf.DUMMYFUNCTION("""COMPUTED_VALUE"""),"")</f>
        <v/>
      </c>
      <c r="N332" s="31"/>
    </row>
    <row r="333" spans="1:14" customFormat="1">
      <c r="A333" s="134" t="str">
        <f ca="1">IFERROR(__xludf.DUMMYFUNCTION("""COMPUTED_VALUE"""),"")</f>
        <v/>
      </c>
      <c r="B333" s="134" t="str">
        <f ca="1">IFERROR(__xludf.DUMMYFUNCTION("""COMPUTED_VALUE"""),"")</f>
        <v/>
      </c>
      <c r="C333" s="134" t="str">
        <f ca="1">IFERROR(__xludf.DUMMYFUNCTION("""COMPUTED_VALUE"""),"")</f>
        <v/>
      </c>
      <c r="D333" s="134" t="str">
        <f ca="1">IFERROR(__xludf.DUMMYFUNCTION("""COMPUTED_VALUE"""),"")</f>
        <v/>
      </c>
      <c r="E333" s="134" t="str">
        <f ca="1">IFERROR(__xludf.DUMMYFUNCTION("""COMPUTED_VALUE"""),"")</f>
        <v/>
      </c>
      <c r="F333" s="134" t="str">
        <f ca="1">IFERROR(__xludf.DUMMYFUNCTION("""COMPUTED_VALUE"""),"")</f>
        <v/>
      </c>
      <c r="G333" s="134" t="str">
        <f ca="1">IFERROR(__xludf.DUMMYFUNCTION("""COMPUTED_VALUE"""),"")</f>
        <v/>
      </c>
      <c r="H333" s="134" t="str">
        <f ca="1">IFERROR(__xludf.DUMMYFUNCTION("""COMPUTED_VALUE"""),"")</f>
        <v/>
      </c>
      <c r="I333" s="134" t="str">
        <f ca="1">IFERROR(__xludf.DUMMYFUNCTION("""COMPUTED_VALUE"""),"")</f>
        <v/>
      </c>
      <c r="J333" s="134" t="str">
        <f ca="1">IFERROR(__xludf.DUMMYFUNCTION("""COMPUTED_VALUE"""),"")</f>
        <v/>
      </c>
      <c r="N333" s="31"/>
    </row>
    <row r="334" spans="1:14" customFormat="1">
      <c r="A334" s="134" t="str">
        <f ca="1">IFERROR(__xludf.DUMMYFUNCTION("""COMPUTED_VALUE"""),"")</f>
        <v/>
      </c>
      <c r="B334" s="134" t="str">
        <f ca="1">IFERROR(__xludf.DUMMYFUNCTION("""COMPUTED_VALUE"""),"")</f>
        <v/>
      </c>
      <c r="C334" s="134" t="str">
        <f ca="1">IFERROR(__xludf.DUMMYFUNCTION("""COMPUTED_VALUE"""),"")</f>
        <v/>
      </c>
      <c r="D334" s="134" t="str">
        <f ca="1">IFERROR(__xludf.DUMMYFUNCTION("""COMPUTED_VALUE"""),"")</f>
        <v/>
      </c>
      <c r="E334" s="134" t="str">
        <f ca="1">IFERROR(__xludf.DUMMYFUNCTION("""COMPUTED_VALUE"""),"")</f>
        <v/>
      </c>
      <c r="F334" s="134" t="str">
        <f ca="1">IFERROR(__xludf.DUMMYFUNCTION("""COMPUTED_VALUE"""),"")</f>
        <v/>
      </c>
      <c r="G334" s="134" t="str">
        <f ca="1">IFERROR(__xludf.DUMMYFUNCTION("""COMPUTED_VALUE"""),"")</f>
        <v/>
      </c>
      <c r="H334" s="134" t="str">
        <f ca="1">IFERROR(__xludf.DUMMYFUNCTION("""COMPUTED_VALUE"""),"")</f>
        <v/>
      </c>
      <c r="I334" s="134" t="str">
        <f ca="1">IFERROR(__xludf.DUMMYFUNCTION("""COMPUTED_VALUE"""),"")</f>
        <v/>
      </c>
      <c r="J334" s="134" t="str">
        <f ca="1">IFERROR(__xludf.DUMMYFUNCTION("""COMPUTED_VALUE"""),"")</f>
        <v/>
      </c>
      <c r="N334" s="31"/>
    </row>
    <row r="335" spans="1:14" customFormat="1">
      <c r="A335" s="134" t="str">
        <f ca="1">IFERROR(__xludf.DUMMYFUNCTION("""COMPUTED_VALUE"""),"")</f>
        <v/>
      </c>
      <c r="B335" s="134" t="str">
        <f ca="1">IFERROR(__xludf.DUMMYFUNCTION("""COMPUTED_VALUE"""),"")</f>
        <v/>
      </c>
      <c r="C335" s="134" t="str">
        <f ca="1">IFERROR(__xludf.DUMMYFUNCTION("""COMPUTED_VALUE"""),"")</f>
        <v/>
      </c>
      <c r="D335" s="134" t="str">
        <f ca="1">IFERROR(__xludf.DUMMYFUNCTION("""COMPUTED_VALUE"""),"")</f>
        <v/>
      </c>
      <c r="E335" s="134" t="str">
        <f ca="1">IFERROR(__xludf.DUMMYFUNCTION("""COMPUTED_VALUE"""),"")</f>
        <v/>
      </c>
      <c r="F335" s="134" t="str">
        <f ca="1">IFERROR(__xludf.DUMMYFUNCTION("""COMPUTED_VALUE"""),"")</f>
        <v/>
      </c>
      <c r="G335" s="134" t="str">
        <f ca="1">IFERROR(__xludf.DUMMYFUNCTION("""COMPUTED_VALUE"""),"")</f>
        <v/>
      </c>
      <c r="H335" s="134" t="str">
        <f ca="1">IFERROR(__xludf.DUMMYFUNCTION("""COMPUTED_VALUE"""),"")</f>
        <v/>
      </c>
      <c r="I335" s="134" t="str">
        <f ca="1">IFERROR(__xludf.DUMMYFUNCTION("""COMPUTED_VALUE"""),"")</f>
        <v/>
      </c>
      <c r="J335" s="134" t="str">
        <f ca="1">IFERROR(__xludf.DUMMYFUNCTION("""COMPUTED_VALUE"""),"")</f>
        <v/>
      </c>
      <c r="N335" s="31"/>
    </row>
    <row r="336" spans="1:14" customFormat="1">
      <c r="A336" s="134" t="str">
        <f ca="1">IFERROR(__xludf.DUMMYFUNCTION("""COMPUTED_VALUE"""),"")</f>
        <v/>
      </c>
      <c r="B336" s="134" t="str">
        <f ca="1">IFERROR(__xludf.DUMMYFUNCTION("""COMPUTED_VALUE"""),"")</f>
        <v/>
      </c>
      <c r="C336" s="134" t="str">
        <f ca="1">IFERROR(__xludf.DUMMYFUNCTION("""COMPUTED_VALUE"""),"")</f>
        <v/>
      </c>
      <c r="D336" s="134" t="str">
        <f ca="1">IFERROR(__xludf.DUMMYFUNCTION("""COMPUTED_VALUE"""),"")</f>
        <v/>
      </c>
      <c r="E336" s="134" t="str">
        <f ca="1">IFERROR(__xludf.DUMMYFUNCTION("""COMPUTED_VALUE"""),"")</f>
        <v/>
      </c>
      <c r="F336" s="134" t="str">
        <f ca="1">IFERROR(__xludf.DUMMYFUNCTION("""COMPUTED_VALUE"""),"")</f>
        <v/>
      </c>
      <c r="G336" s="134" t="str">
        <f ca="1">IFERROR(__xludf.DUMMYFUNCTION("""COMPUTED_VALUE"""),"")</f>
        <v/>
      </c>
      <c r="H336" s="134" t="str">
        <f ca="1">IFERROR(__xludf.DUMMYFUNCTION("""COMPUTED_VALUE"""),"")</f>
        <v/>
      </c>
      <c r="I336" s="134" t="str">
        <f ca="1">IFERROR(__xludf.DUMMYFUNCTION("""COMPUTED_VALUE"""),"")</f>
        <v/>
      </c>
      <c r="J336" s="134" t="str">
        <f ca="1">IFERROR(__xludf.DUMMYFUNCTION("""COMPUTED_VALUE"""),"")</f>
        <v/>
      </c>
      <c r="N336" s="31"/>
    </row>
    <row r="337" spans="1:14" customFormat="1">
      <c r="A337" s="134" t="str">
        <f ca="1">IFERROR(__xludf.DUMMYFUNCTION("""COMPUTED_VALUE"""),"")</f>
        <v/>
      </c>
      <c r="B337" s="134" t="str">
        <f ca="1">IFERROR(__xludf.DUMMYFUNCTION("""COMPUTED_VALUE"""),"")</f>
        <v/>
      </c>
      <c r="C337" s="134" t="str">
        <f ca="1">IFERROR(__xludf.DUMMYFUNCTION("""COMPUTED_VALUE"""),"")</f>
        <v/>
      </c>
      <c r="D337" s="134" t="str">
        <f ca="1">IFERROR(__xludf.DUMMYFUNCTION("""COMPUTED_VALUE"""),"")</f>
        <v/>
      </c>
      <c r="E337" s="134" t="str">
        <f ca="1">IFERROR(__xludf.DUMMYFUNCTION("""COMPUTED_VALUE"""),"")</f>
        <v/>
      </c>
      <c r="F337" s="134" t="str">
        <f ca="1">IFERROR(__xludf.DUMMYFUNCTION("""COMPUTED_VALUE"""),"")</f>
        <v/>
      </c>
      <c r="G337" s="134" t="str">
        <f ca="1">IFERROR(__xludf.DUMMYFUNCTION("""COMPUTED_VALUE"""),"")</f>
        <v/>
      </c>
      <c r="H337" s="134" t="str">
        <f ca="1">IFERROR(__xludf.DUMMYFUNCTION("""COMPUTED_VALUE"""),"")</f>
        <v/>
      </c>
      <c r="I337" s="134" t="str">
        <f ca="1">IFERROR(__xludf.DUMMYFUNCTION("""COMPUTED_VALUE"""),"")</f>
        <v/>
      </c>
      <c r="J337" s="134" t="str">
        <f ca="1">IFERROR(__xludf.DUMMYFUNCTION("""COMPUTED_VALUE"""),"")</f>
        <v/>
      </c>
      <c r="N337" s="31"/>
    </row>
    <row r="338" spans="1:14" customFormat="1">
      <c r="A338" s="134" t="str">
        <f ca="1">IFERROR(__xludf.DUMMYFUNCTION("""COMPUTED_VALUE"""),"")</f>
        <v/>
      </c>
      <c r="B338" s="134" t="str">
        <f ca="1">IFERROR(__xludf.DUMMYFUNCTION("""COMPUTED_VALUE"""),"")</f>
        <v/>
      </c>
      <c r="C338" s="134" t="str">
        <f ca="1">IFERROR(__xludf.DUMMYFUNCTION("""COMPUTED_VALUE"""),"")</f>
        <v/>
      </c>
      <c r="D338" s="134" t="str">
        <f ca="1">IFERROR(__xludf.DUMMYFUNCTION("""COMPUTED_VALUE"""),"")</f>
        <v/>
      </c>
      <c r="E338" s="134" t="str">
        <f ca="1">IFERROR(__xludf.DUMMYFUNCTION("""COMPUTED_VALUE"""),"")</f>
        <v/>
      </c>
      <c r="F338" s="134" t="str">
        <f ca="1">IFERROR(__xludf.DUMMYFUNCTION("""COMPUTED_VALUE"""),"")</f>
        <v/>
      </c>
      <c r="G338" s="134" t="str">
        <f ca="1">IFERROR(__xludf.DUMMYFUNCTION("""COMPUTED_VALUE"""),"")</f>
        <v/>
      </c>
      <c r="H338" s="134" t="str">
        <f ca="1">IFERROR(__xludf.DUMMYFUNCTION("""COMPUTED_VALUE"""),"")</f>
        <v/>
      </c>
      <c r="I338" s="134" t="str">
        <f ca="1">IFERROR(__xludf.DUMMYFUNCTION("""COMPUTED_VALUE"""),"")</f>
        <v/>
      </c>
      <c r="J338" s="134" t="str">
        <f ca="1">IFERROR(__xludf.DUMMYFUNCTION("""COMPUTED_VALUE"""),"")</f>
        <v/>
      </c>
      <c r="N338" s="31"/>
    </row>
    <row r="339" spans="1:14" customFormat="1">
      <c r="A339" s="134" t="str">
        <f ca="1">IFERROR(__xludf.DUMMYFUNCTION("""COMPUTED_VALUE"""),"")</f>
        <v/>
      </c>
      <c r="B339" s="134" t="str">
        <f ca="1">IFERROR(__xludf.DUMMYFUNCTION("""COMPUTED_VALUE"""),"")</f>
        <v/>
      </c>
      <c r="C339" s="134" t="str">
        <f ca="1">IFERROR(__xludf.DUMMYFUNCTION("""COMPUTED_VALUE"""),"")</f>
        <v/>
      </c>
      <c r="D339" s="134" t="str">
        <f ca="1">IFERROR(__xludf.DUMMYFUNCTION("""COMPUTED_VALUE"""),"")</f>
        <v/>
      </c>
      <c r="E339" s="134" t="str">
        <f ca="1">IFERROR(__xludf.DUMMYFUNCTION("""COMPUTED_VALUE"""),"")</f>
        <v/>
      </c>
      <c r="F339" s="134" t="str">
        <f ca="1">IFERROR(__xludf.DUMMYFUNCTION("""COMPUTED_VALUE"""),"")</f>
        <v/>
      </c>
      <c r="G339" s="134" t="str">
        <f ca="1">IFERROR(__xludf.DUMMYFUNCTION("""COMPUTED_VALUE"""),"")</f>
        <v/>
      </c>
      <c r="H339" s="134" t="str">
        <f ca="1">IFERROR(__xludf.DUMMYFUNCTION("""COMPUTED_VALUE"""),"")</f>
        <v/>
      </c>
      <c r="I339" s="134" t="str">
        <f ca="1">IFERROR(__xludf.DUMMYFUNCTION("""COMPUTED_VALUE"""),"")</f>
        <v/>
      </c>
      <c r="J339" s="134" t="str">
        <f ca="1">IFERROR(__xludf.DUMMYFUNCTION("""COMPUTED_VALUE"""),"")</f>
        <v/>
      </c>
      <c r="N339" s="31"/>
    </row>
    <row r="340" spans="1:14" customFormat="1">
      <c r="A340" s="134" t="str">
        <f ca="1">IFERROR(__xludf.DUMMYFUNCTION("""COMPUTED_VALUE"""),"")</f>
        <v/>
      </c>
      <c r="B340" s="134" t="str">
        <f ca="1">IFERROR(__xludf.DUMMYFUNCTION("""COMPUTED_VALUE"""),"")</f>
        <v/>
      </c>
      <c r="C340" s="134" t="str">
        <f ca="1">IFERROR(__xludf.DUMMYFUNCTION("""COMPUTED_VALUE"""),"")</f>
        <v/>
      </c>
      <c r="D340" s="134" t="str">
        <f ca="1">IFERROR(__xludf.DUMMYFUNCTION("""COMPUTED_VALUE"""),"")</f>
        <v/>
      </c>
      <c r="E340" s="134" t="str">
        <f ca="1">IFERROR(__xludf.DUMMYFUNCTION("""COMPUTED_VALUE"""),"")</f>
        <v/>
      </c>
      <c r="F340" s="134" t="str">
        <f ca="1">IFERROR(__xludf.DUMMYFUNCTION("""COMPUTED_VALUE"""),"")</f>
        <v/>
      </c>
      <c r="G340" s="134" t="str">
        <f ca="1">IFERROR(__xludf.DUMMYFUNCTION("""COMPUTED_VALUE"""),"")</f>
        <v/>
      </c>
      <c r="H340" s="134" t="str">
        <f ca="1">IFERROR(__xludf.DUMMYFUNCTION("""COMPUTED_VALUE"""),"")</f>
        <v/>
      </c>
      <c r="I340" s="134" t="str">
        <f ca="1">IFERROR(__xludf.DUMMYFUNCTION("""COMPUTED_VALUE"""),"")</f>
        <v/>
      </c>
      <c r="J340" s="134" t="str">
        <f ca="1">IFERROR(__xludf.DUMMYFUNCTION("""COMPUTED_VALUE"""),"")</f>
        <v/>
      </c>
      <c r="N340" s="31"/>
    </row>
    <row r="341" spans="1:14" customFormat="1">
      <c r="A341" s="134" t="str">
        <f ca="1">IFERROR(__xludf.DUMMYFUNCTION("""COMPUTED_VALUE"""),"")</f>
        <v/>
      </c>
      <c r="B341" s="134" t="str">
        <f ca="1">IFERROR(__xludf.DUMMYFUNCTION("""COMPUTED_VALUE"""),"")</f>
        <v/>
      </c>
      <c r="C341" s="134" t="str">
        <f ca="1">IFERROR(__xludf.DUMMYFUNCTION("""COMPUTED_VALUE"""),"")</f>
        <v/>
      </c>
      <c r="D341" s="134" t="str">
        <f ca="1">IFERROR(__xludf.DUMMYFUNCTION("""COMPUTED_VALUE"""),"")</f>
        <v/>
      </c>
      <c r="E341" s="134" t="str">
        <f ca="1">IFERROR(__xludf.DUMMYFUNCTION("""COMPUTED_VALUE"""),"")</f>
        <v/>
      </c>
      <c r="F341" s="134" t="str">
        <f ca="1">IFERROR(__xludf.DUMMYFUNCTION("""COMPUTED_VALUE"""),"")</f>
        <v/>
      </c>
      <c r="G341" s="134" t="str">
        <f ca="1">IFERROR(__xludf.DUMMYFUNCTION("""COMPUTED_VALUE"""),"")</f>
        <v/>
      </c>
      <c r="H341" s="134" t="str">
        <f ca="1">IFERROR(__xludf.DUMMYFUNCTION("""COMPUTED_VALUE"""),"")</f>
        <v/>
      </c>
      <c r="I341" s="134" t="str">
        <f ca="1">IFERROR(__xludf.DUMMYFUNCTION("""COMPUTED_VALUE"""),"")</f>
        <v/>
      </c>
      <c r="J341" s="134" t="str">
        <f ca="1">IFERROR(__xludf.DUMMYFUNCTION("""COMPUTED_VALUE"""),"")</f>
        <v/>
      </c>
      <c r="N341" s="31"/>
    </row>
    <row r="342" spans="1:14" customFormat="1">
      <c r="A342" s="134" t="str">
        <f ca="1">IFERROR(__xludf.DUMMYFUNCTION("""COMPUTED_VALUE"""),"")</f>
        <v/>
      </c>
      <c r="B342" s="134" t="str">
        <f ca="1">IFERROR(__xludf.DUMMYFUNCTION("""COMPUTED_VALUE"""),"")</f>
        <v/>
      </c>
      <c r="C342" s="134" t="str">
        <f ca="1">IFERROR(__xludf.DUMMYFUNCTION("""COMPUTED_VALUE"""),"")</f>
        <v/>
      </c>
      <c r="D342" s="134" t="str">
        <f ca="1">IFERROR(__xludf.DUMMYFUNCTION("""COMPUTED_VALUE"""),"")</f>
        <v/>
      </c>
      <c r="E342" s="134" t="str">
        <f ca="1">IFERROR(__xludf.DUMMYFUNCTION("""COMPUTED_VALUE"""),"")</f>
        <v/>
      </c>
      <c r="F342" s="134" t="str">
        <f ca="1">IFERROR(__xludf.DUMMYFUNCTION("""COMPUTED_VALUE"""),"")</f>
        <v/>
      </c>
      <c r="G342" s="134" t="str">
        <f ca="1">IFERROR(__xludf.DUMMYFUNCTION("""COMPUTED_VALUE"""),"")</f>
        <v/>
      </c>
      <c r="H342" s="134" t="str">
        <f ca="1">IFERROR(__xludf.DUMMYFUNCTION("""COMPUTED_VALUE"""),"")</f>
        <v/>
      </c>
      <c r="I342" s="134" t="str">
        <f ca="1">IFERROR(__xludf.DUMMYFUNCTION("""COMPUTED_VALUE"""),"")</f>
        <v/>
      </c>
      <c r="J342" s="134" t="str">
        <f ca="1">IFERROR(__xludf.DUMMYFUNCTION("""COMPUTED_VALUE"""),"")</f>
        <v/>
      </c>
      <c r="N342" s="31"/>
    </row>
    <row r="343" spans="1:14" customFormat="1">
      <c r="A343" s="134" t="str">
        <f ca="1">IFERROR(__xludf.DUMMYFUNCTION("""COMPUTED_VALUE"""),"")</f>
        <v/>
      </c>
      <c r="B343" s="134" t="str">
        <f ca="1">IFERROR(__xludf.DUMMYFUNCTION("""COMPUTED_VALUE"""),"")</f>
        <v/>
      </c>
      <c r="C343" s="134" t="str">
        <f ca="1">IFERROR(__xludf.DUMMYFUNCTION("""COMPUTED_VALUE"""),"")</f>
        <v/>
      </c>
      <c r="D343" s="134" t="str">
        <f ca="1">IFERROR(__xludf.DUMMYFUNCTION("""COMPUTED_VALUE"""),"")</f>
        <v/>
      </c>
      <c r="E343" s="134" t="str">
        <f ca="1">IFERROR(__xludf.DUMMYFUNCTION("""COMPUTED_VALUE"""),"")</f>
        <v/>
      </c>
      <c r="F343" s="134" t="str">
        <f ca="1">IFERROR(__xludf.DUMMYFUNCTION("""COMPUTED_VALUE"""),"")</f>
        <v/>
      </c>
      <c r="G343" s="134" t="str">
        <f ca="1">IFERROR(__xludf.DUMMYFUNCTION("""COMPUTED_VALUE"""),"")</f>
        <v/>
      </c>
      <c r="H343" s="134" t="str">
        <f ca="1">IFERROR(__xludf.DUMMYFUNCTION("""COMPUTED_VALUE"""),"")</f>
        <v/>
      </c>
      <c r="I343" s="134" t="str">
        <f ca="1">IFERROR(__xludf.DUMMYFUNCTION("""COMPUTED_VALUE"""),"")</f>
        <v/>
      </c>
      <c r="J343" s="134" t="str">
        <f ca="1">IFERROR(__xludf.DUMMYFUNCTION("""COMPUTED_VALUE"""),"")</f>
        <v/>
      </c>
      <c r="N343" s="31"/>
    </row>
    <row r="344" spans="1:14" customFormat="1">
      <c r="A344" s="134" t="str">
        <f ca="1">IFERROR(__xludf.DUMMYFUNCTION("""COMPUTED_VALUE"""),"")</f>
        <v/>
      </c>
      <c r="B344" s="134" t="str">
        <f ca="1">IFERROR(__xludf.DUMMYFUNCTION("""COMPUTED_VALUE"""),"")</f>
        <v/>
      </c>
      <c r="C344" s="134" t="str">
        <f ca="1">IFERROR(__xludf.DUMMYFUNCTION("""COMPUTED_VALUE"""),"")</f>
        <v/>
      </c>
      <c r="D344" s="134" t="str">
        <f ca="1">IFERROR(__xludf.DUMMYFUNCTION("""COMPUTED_VALUE"""),"")</f>
        <v/>
      </c>
      <c r="E344" s="134" t="str">
        <f ca="1">IFERROR(__xludf.DUMMYFUNCTION("""COMPUTED_VALUE"""),"")</f>
        <v/>
      </c>
      <c r="F344" s="134" t="str">
        <f ca="1">IFERROR(__xludf.DUMMYFUNCTION("""COMPUTED_VALUE"""),"")</f>
        <v/>
      </c>
      <c r="G344" s="134" t="str">
        <f ca="1">IFERROR(__xludf.DUMMYFUNCTION("""COMPUTED_VALUE"""),"")</f>
        <v/>
      </c>
      <c r="H344" s="134" t="str">
        <f ca="1">IFERROR(__xludf.DUMMYFUNCTION("""COMPUTED_VALUE"""),"")</f>
        <v/>
      </c>
      <c r="I344" s="134" t="str">
        <f ca="1">IFERROR(__xludf.DUMMYFUNCTION("""COMPUTED_VALUE"""),"")</f>
        <v/>
      </c>
      <c r="J344" s="134" t="str">
        <f ca="1">IFERROR(__xludf.DUMMYFUNCTION("""COMPUTED_VALUE"""),"")</f>
        <v/>
      </c>
      <c r="N344" s="31"/>
    </row>
    <row r="345" spans="1:14" customFormat="1">
      <c r="A345" s="134" t="str">
        <f ca="1">IFERROR(__xludf.DUMMYFUNCTION("""COMPUTED_VALUE"""),"")</f>
        <v/>
      </c>
      <c r="B345" s="134" t="str">
        <f ca="1">IFERROR(__xludf.DUMMYFUNCTION("""COMPUTED_VALUE"""),"")</f>
        <v/>
      </c>
      <c r="C345" s="134" t="str">
        <f ca="1">IFERROR(__xludf.DUMMYFUNCTION("""COMPUTED_VALUE"""),"")</f>
        <v/>
      </c>
      <c r="D345" s="134" t="str">
        <f ca="1">IFERROR(__xludf.DUMMYFUNCTION("""COMPUTED_VALUE"""),"")</f>
        <v/>
      </c>
      <c r="E345" s="134" t="str">
        <f ca="1">IFERROR(__xludf.DUMMYFUNCTION("""COMPUTED_VALUE"""),"")</f>
        <v/>
      </c>
      <c r="F345" s="134" t="str">
        <f ca="1">IFERROR(__xludf.DUMMYFUNCTION("""COMPUTED_VALUE"""),"")</f>
        <v/>
      </c>
      <c r="G345" s="134" t="str">
        <f ca="1">IFERROR(__xludf.DUMMYFUNCTION("""COMPUTED_VALUE"""),"")</f>
        <v/>
      </c>
      <c r="H345" s="134" t="str">
        <f ca="1">IFERROR(__xludf.DUMMYFUNCTION("""COMPUTED_VALUE"""),"")</f>
        <v/>
      </c>
      <c r="I345" s="134" t="str">
        <f ca="1">IFERROR(__xludf.DUMMYFUNCTION("""COMPUTED_VALUE"""),"")</f>
        <v/>
      </c>
      <c r="J345" s="134" t="str">
        <f ca="1">IFERROR(__xludf.DUMMYFUNCTION("""COMPUTED_VALUE"""),"")</f>
        <v/>
      </c>
      <c r="N345" s="31"/>
    </row>
    <row r="346" spans="1:14" customFormat="1">
      <c r="A346" s="134" t="str">
        <f ca="1">IFERROR(__xludf.DUMMYFUNCTION("""COMPUTED_VALUE"""),"")</f>
        <v/>
      </c>
      <c r="B346" s="134" t="str">
        <f ca="1">IFERROR(__xludf.DUMMYFUNCTION("""COMPUTED_VALUE"""),"")</f>
        <v/>
      </c>
      <c r="C346" s="134" t="str">
        <f ca="1">IFERROR(__xludf.DUMMYFUNCTION("""COMPUTED_VALUE"""),"")</f>
        <v/>
      </c>
      <c r="D346" s="134" t="str">
        <f ca="1">IFERROR(__xludf.DUMMYFUNCTION("""COMPUTED_VALUE"""),"")</f>
        <v/>
      </c>
      <c r="E346" s="134" t="str">
        <f ca="1">IFERROR(__xludf.DUMMYFUNCTION("""COMPUTED_VALUE"""),"")</f>
        <v/>
      </c>
      <c r="F346" s="134" t="str">
        <f ca="1">IFERROR(__xludf.DUMMYFUNCTION("""COMPUTED_VALUE"""),"")</f>
        <v/>
      </c>
      <c r="G346" s="134" t="str">
        <f ca="1">IFERROR(__xludf.DUMMYFUNCTION("""COMPUTED_VALUE"""),"")</f>
        <v/>
      </c>
      <c r="H346" s="134" t="str">
        <f ca="1">IFERROR(__xludf.DUMMYFUNCTION("""COMPUTED_VALUE"""),"")</f>
        <v/>
      </c>
      <c r="I346" s="134" t="str">
        <f ca="1">IFERROR(__xludf.DUMMYFUNCTION("""COMPUTED_VALUE"""),"")</f>
        <v/>
      </c>
      <c r="J346" s="134" t="str">
        <f ca="1">IFERROR(__xludf.DUMMYFUNCTION("""COMPUTED_VALUE"""),"")</f>
        <v/>
      </c>
      <c r="N346" s="31"/>
    </row>
    <row r="347" spans="1:14" customFormat="1">
      <c r="A347" s="134" t="str">
        <f ca="1">IFERROR(__xludf.DUMMYFUNCTION("""COMPUTED_VALUE"""),"")</f>
        <v/>
      </c>
      <c r="B347" s="134" t="str">
        <f ca="1">IFERROR(__xludf.DUMMYFUNCTION("""COMPUTED_VALUE"""),"")</f>
        <v/>
      </c>
      <c r="C347" s="134" t="str">
        <f ca="1">IFERROR(__xludf.DUMMYFUNCTION("""COMPUTED_VALUE"""),"")</f>
        <v/>
      </c>
      <c r="D347" s="134" t="str">
        <f ca="1">IFERROR(__xludf.DUMMYFUNCTION("""COMPUTED_VALUE"""),"")</f>
        <v/>
      </c>
      <c r="E347" s="134" t="str">
        <f ca="1">IFERROR(__xludf.DUMMYFUNCTION("""COMPUTED_VALUE"""),"")</f>
        <v/>
      </c>
      <c r="F347" s="134" t="str">
        <f ca="1">IFERROR(__xludf.DUMMYFUNCTION("""COMPUTED_VALUE"""),"")</f>
        <v/>
      </c>
      <c r="G347" s="134" t="str">
        <f ca="1">IFERROR(__xludf.DUMMYFUNCTION("""COMPUTED_VALUE"""),"")</f>
        <v/>
      </c>
      <c r="H347" s="134" t="str">
        <f ca="1">IFERROR(__xludf.DUMMYFUNCTION("""COMPUTED_VALUE"""),"")</f>
        <v/>
      </c>
      <c r="I347" s="134" t="str">
        <f ca="1">IFERROR(__xludf.DUMMYFUNCTION("""COMPUTED_VALUE"""),"")</f>
        <v/>
      </c>
      <c r="J347" s="134" t="str">
        <f ca="1">IFERROR(__xludf.DUMMYFUNCTION("""COMPUTED_VALUE"""),"")</f>
        <v/>
      </c>
      <c r="N347" s="31"/>
    </row>
    <row r="348" spans="1:14" customFormat="1">
      <c r="A348" s="134" t="str">
        <f ca="1">IFERROR(__xludf.DUMMYFUNCTION("""COMPUTED_VALUE"""),"")</f>
        <v/>
      </c>
      <c r="B348" s="134" t="str">
        <f ca="1">IFERROR(__xludf.DUMMYFUNCTION("""COMPUTED_VALUE"""),"")</f>
        <v/>
      </c>
      <c r="C348" s="134" t="str">
        <f ca="1">IFERROR(__xludf.DUMMYFUNCTION("""COMPUTED_VALUE"""),"")</f>
        <v/>
      </c>
      <c r="D348" s="134" t="str">
        <f ca="1">IFERROR(__xludf.DUMMYFUNCTION("""COMPUTED_VALUE"""),"")</f>
        <v/>
      </c>
      <c r="E348" s="134" t="str">
        <f ca="1">IFERROR(__xludf.DUMMYFUNCTION("""COMPUTED_VALUE"""),"")</f>
        <v/>
      </c>
      <c r="F348" s="134" t="str">
        <f ca="1">IFERROR(__xludf.DUMMYFUNCTION("""COMPUTED_VALUE"""),"")</f>
        <v/>
      </c>
      <c r="G348" s="134" t="str">
        <f ca="1">IFERROR(__xludf.DUMMYFUNCTION("""COMPUTED_VALUE"""),"")</f>
        <v/>
      </c>
      <c r="H348" s="134" t="str">
        <f ca="1">IFERROR(__xludf.DUMMYFUNCTION("""COMPUTED_VALUE"""),"")</f>
        <v/>
      </c>
      <c r="I348" s="134" t="str">
        <f ca="1">IFERROR(__xludf.DUMMYFUNCTION("""COMPUTED_VALUE"""),"")</f>
        <v/>
      </c>
      <c r="J348" s="134" t="str">
        <f ca="1">IFERROR(__xludf.DUMMYFUNCTION("""COMPUTED_VALUE"""),"")</f>
        <v/>
      </c>
      <c r="N348" s="31"/>
    </row>
    <row r="349" spans="1:14" customFormat="1">
      <c r="A349" s="134" t="str">
        <f ca="1">IFERROR(__xludf.DUMMYFUNCTION("""COMPUTED_VALUE"""),"")</f>
        <v/>
      </c>
      <c r="B349" s="134" t="str">
        <f ca="1">IFERROR(__xludf.DUMMYFUNCTION("""COMPUTED_VALUE"""),"")</f>
        <v/>
      </c>
      <c r="C349" s="134" t="str">
        <f ca="1">IFERROR(__xludf.DUMMYFUNCTION("""COMPUTED_VALUE"""),"")</f>
        <v/>
      </c>
      <c r="D349" s="134" t="str">
        <f ca="1">IFERROR(__xludf.DUMMYFUNCTION("""COMPUTED_VALUE"""),"")</f>
        <v/>
      </c>
      <c r="E349" s="134" t="str">
        <f ca="1">IFERROR(__xludf.DUMMYFUNCTION("""COMPUTED_VALUE"""),"")</f>
        <v/>
      </c>
      <c r="F349" s="134" t="str">
        <f ca="1">IFERROR(__xludf.DUMMYFUNCTION("""COMPUTED_VALUE"""),"")</f>
        <v/>
      </c>
      <c r="G349" s="134" t="str">
        <f ca="1">IFERROR(__xludf.DUMMYFUNCTION("""COMPUTED_VALUE"""),"")</f>
        <v/>
      </c>
      <c r="H349" s="134" t="str">
        <f ca="1">IFERROR(__xludf.DUMMYFUNCTION("""COMPUTED_VALUE"""),"")</f>
        <v/>
      </c>
      <c r="I349" s="134" t="str">
        <f ca="1">IFERROR(__xludf.DUMMYFUNCTION("""COMPUTED_VALUE"""),"")</f>
        <v/>
      </c>
      <c r="J349" s="134" t="str">
        <f ca="1">IFERROR(__xludf.DUMMYFUNCTION("""COMPUTED_VALUE"""),"")</f>
        <v/>
      </c>
      <c r="N349" s="31"/>
    </row>
    <row r="350" spans="1:14" customFormat="1">
      <c r="A350" s="134" t="str">
        <f ca="1">IFERROR(__xludf.DUMMYFUNCTION("""COMPUTED_VALUE"""),"")</f>
        <v/>
      </c>
      <c r="B350" s="134" t="str">
        <f ca="1">IFERROR(__xludf.DUMMYFUNCTION("""COMPUTED_VALUE"""),"")</f>
        <v/>
      </c>
      <c r="C350" s="134" t="str">
        <f ca="1">IFERROR(__xludf.DUMMYFUNCTION("""COMPUTED_VALUE"""),"")</f>
        <v/>
      </c>
      <c r="D350" s="134" t="str">
        <f ca="1">IFERROR(__xludf.DUMMYFUNCTION("""COMPUTED_VALUE"""),"")</f>
        <v/>
      </c>
      <c r="E350" s="134" t="str">
        <f ca="1">IFERROR(__xludf.DUMMYFUNCTION("""COMPUTED_VALUE"""),"")</f>
        <v/>
      </c>
      <c r="F350" s="134" t="str">
        <f ca="1">IFERROR(__xludf.DUMMYFUNCTION("""COMPUTED_VALUE"""),"")</f>
        <v/>
      </c>
      <c r="G350" s="134" t="str">
        <f ca="1">IFERROR(__xludf.DUMMYFUNCTION("""COMPUTED_VALUE"""),"")</f>
        <v/>
      </c>
      <c r="H350" s="134" t="str">
        <f ca="1">IFERROR(__xludf.DUMMYFUNCTION("""COMPUTED_VALUE"""),"")</f>
        <v/>
      </c>
      <c r="I350" s="134" t="str">
        <f ca="1">IFERROR(__xludf.DUMMYFUNCTION("""COMPUTED_VALUE"""),"")</f>
        <v/>
      </c>
      <c r="J350" s="134" t="str">
        <f ca="1">IFERROR(__xludf.DUMMYFUNCTION("""COMPUTED_VALUE"""),"")</f>
        <v/>
      </c>
      <c r="N350" s="31"/>
    </row>
    <row r="351" spans="1:14" customFormat="1">
      <c r="A351" s="134" t="str">
        <f ca="1">IFERROR(__xludf.DUMMYFUNCTION("""COMPUTED_VALUE"""),"")</f>
        <v/>
      </c>
      <c r="B351" s="134" t="str">
        <f ca="1">IFERROR(__xludf.DUMMYFUNCTION("""COMPUTED_VALUE"""),"")</f>
        <v/>
      </c>
      <c r="C351" s="134" t="str">
        <f ca="1">IFERROR(__xludf.DUMMYFUNCTION("""COMPUTED_VALUE"""),"")</f>
        <v/>
      </c>
      <c r="D351" s="134" t="str">
        <f ca="1">IFERROR(__xludf.DUMMYFUNCTION("""COMPUTED_VALUE"""),"")</f>
        <v/>
      </c>
      <c r="E351" s="134" t="str">
        <f ca="1">IFERROR(__xludf.DUMMYFUNCTION("""COMPUTED_VALUE"""),"")</f>
        <v/>
      </c>
      <c r="F351" s="134" t="str">
        <f ca="1">IFERROR(__xludf.DUMMYFUNCTION("""COMPUTED_VALUE"""),"")</f>
        <v/>
      </c>
      <c r="G351" s="134" t="str">
        <f ca="1">IFERROR(__xludf.DUMMYFUNCTION("""COMPUTED_VALUE"""),"")</f>
        <v/>
      </c>
      <c r="H351" s="134" t="str">
        <f ca="1">IFERROR(__xludf.DUMMYFUNCTION("""COMPUTED_VALUE"""),"")</f>
        <v/>
      </c>
      <c r="I351" s="134" t="str">
        <f ca="1">IFERROR(__xludf.DUMMYFUNCTION("""COMPUTED_VALUE"""),"")</f>
        <v/>
      </c>
      <c r="J351" s="134" t="str">
        <f ca="1">IFERROR(__xludf.DUMMYFUNCTION("""COMPUTED_VALUE"""),"")</f>
        <v/>
      </c>
      <c r="N351" s="31"/>
    </row>
    <row r="352" spans="1:14" customFormat="1">
      <c r="A352" s="134" t="str">
        <f ca="1">IFERROR(__xludf.DUMMYFUNCTION("""COMPUTED_VALUE"""),"")</f>
        <v/>
      </c>
      <c r="B352" s="134" t="str">
        <f ca="1">IFERROR(__xludf.DUMMYFUNCTION("""COMPUTED_VALUE"""),"")</f>
        <v/>
      </c>
      <c r="C352" s="134" t="str">
        <f ca="1">IFERROR(__xludf.DUMMYFUNCTION("""COMPUTED_VALUE"""),"")</f>
        <v/>
      </c>
      <c r="D352" s="134" t="str">
        <f ca="1">IFERROR(__xludf.DUMMYFUNCTION("""COMPUTED_VALUE"""),"")</f>
        <v/>
      </c>
      <c r="E352" s="134" t="str">
        <f ca="1">IFERROR(__xludf.DUMMYFUNCTION("""COMPUTED_VALUE"""),"")</f>
        <v/>
      </c>
      <c r="F352" s="134" t="str">
        <f ca="1">IFERROR(__xludf.DUMMYFUNCTION("""COMPUTED_VALUE"""),"")</f>
        <v/>
      </c>
      <c r="G352" s="134" t="str">
        <f ca="1">IFERROR(__xludf.DUMMYFUNCTION("""COMPUTED_VALUE"""),"")</f>
        <v/>
      </c>
      <c r="H352" s="134" t="str">
        <f ca="1">IFERROR(__xludf.DUMMYFUNCTION("""COMPUTED_VALUE"""),"")</f>
        <v/>
      </c>
      <c r="I352" s="134" t="str">
        <f ca="1">IFERROR(__xludf.DUMMYFUNCTION("""COMPUTED_VALUE"""),"")</f>
        <v/>
      </c>
      <c r="J352" s="134" t="str">
        <f ca="1">IFERROR(__xludf.DUMMYFUNCTION("""COMPUTED_VALUE"""),"")</f>
        <v/>
      </c>
      <c r="N352" s="31"/>
    </row>
    <row r="353" spans="1:14" customFormat="1">
      <c r="A353" s="134" t="str">
        <f ca="1">IFERROR(__xludf.DUMMYFUNCTION("""COMPUTED_VALUE"""),"")</f>
        <v/>
      </c>
      <c r="B353" s="134" t="str">
        <f ca="1">IFERROR(__xludf.DUMMYFUNCTION("""COMPUTED_VALUE"""),"")</f>
        <v/>
      </c>
      <c r="C353" s="134" t="str">
        <f ca="1">IFERROR(__xludf.DUMMYFUNCTION("""COMPUTED_VALUE"""),"")</f>
        <v/>
      </c>
      <c r="D353" s="134" t="str">
        <f ca="1">IFERROR(__xludf.DUMMYFUNCTION("""COMPUTED_VALUE"""),"")</f>
        <v/>
      </c>
      <c r="E353" s="134" t="str">
        <f ca="1">IFERROR(__xludf.DUMMYFUNCTION("""COMPUTED_VALUE"""),"")</f>
        <v/>
      </c>
      <c r="F353" s="134" t="str">
        <f ca="1">IFERROR(__xludf.DUMMYFUNCTION("""COMPUTED_VALUE"""),"")</f>
        <v/>
      </c>
      <c r="G353" s="134" t="str">
        <f ca="1">IFERROR(__xludf.DUMMYFUNCTION("""COMPUTED_VALUE"""),"")</f>
        <v/>
      </c>
      <c r="H353" s="134" t="str">
        <f ca="1">IFERROR(__xludf.DUMMYFUNCTION("""COMPUTED_VALUE"""),"")</f>
        <v/>
      </c>
      <c r="I353" s="134" t="str">
        <f ca="1">IFERROR(__xludf.DUMMYFUNCTION("""COMPUTED_VALUE"""),"")</f>
        <v/>
      </c>
      <c r="J353" s="134" t="str">
        <f ca="1">IFERROR(__xludf.DUMMYFUNCTION("""COMPUTED_VALUE"""),"")</f>
        <v/>
      </c>
      <c r="N353" s="31"/>
    </row>
    <row r="354" spans="1:14" customFormat="1">
      <c r="A354" s="134" t="str">
        <f ca="1">IFERROR(__xludf.DUMMYFUNCTION("""COMPUTED_VALUE"""),"")</f>
        <v/>
      </c>
      <c r="B354" s="134" t="str">
        <f ca="1">IFERROR(__xludf.DUMMYFUNCTION("""COMPUTED_VALUE"""),"")</f>
        <v/>
      </c>
      <c r="C354" s="134" t="str">
        <f ca="1">IFERROR(__xludf.DUMMYFUNCTION("""COMPUTED_VALUE"""),"")</f>
        <v/>
      </c>
      <c r="D354" s="134" t="str">
        <f ca="1">IFERROR(__xludf.DUMMYFUNCTION("""COMPUTED_VALUE"""),"")</f>
        <v/>
      </c>
      <c r="E354" s="134" t="str">
        <f ca="1">IFERROR(__xludf.DUMMYFUNCTION("""COMPUTED_VALUE"""),"")</f>
        <v/>
      </c>
      <c r="F354" s="134" t="str">
        <f ca="1">IFERROR(__xludf.DUMMYFUNCTION("""COMPUTED_VALUE"""),"")</f>
        <v/>
      </c>
      <c r="G354" s="134" t="str">
        <f ca="1">IFERROR(__xludf.DUMMYFUNCTION("""COMPUTED_VALUE"""),"")</f>
        <v/>
      </c>
      <c r="H354" s="134" t="str">
        <f ca="1">IFERROR(__xludf.DUMMYFUNCTION("""COMPUTED_VALUE"""),"")</f>
        <v/>
      </c>
      <c r="I354" s="134" t="str">
        <f ca="1">IFERROR(__xludf.DUMMYFUNCTION("""COMPUTED_VALUE"""),"")</f>
        <v/>
      </c>
      <c r="J354" s="134" t="str">
        <f ca="1">IFERROR(__xludf.DUMMYFUNCTION("""COMPUTED_VALUE"""),"")</f>
        <v/>
      </c>
      <c r="N354" s="31"/>
    </row>
    <row r="355" spans="1:14" customFormat="1">
      <c r="A355" s="134" t="str">
        <f ca="1">IFERROR(__xludf.DUMMYFUNCTION("""COMPUTED_VALUE"""),"")</f>
        <v/>
      </c>
      <c r="B355" s="134" t="str">
        <f ca="1">IFERROR(__xludf.DUMMYFUNCTION("""COMPUTED_VALUE"""),"")</f>
        <v/>
      </c>
      <c r="C355" s="134" t="str">
        <f ca="1">IFERROR(__xludf.DUMMYFUNCTION("""COMPUTED_VALUE"""),"")</f>
        <v/>
      </c>
      <c r="D355" s="134" t="str">
        <f ca="1">IFERROR(__xludf.DUMMYFUNCTION("""COMPUTED_VALUE"""),"")</f>
        <v/>
      </c>
      <c r="E355" s="134" t="str">
        <f ca="1">IFERROR(__xludf.DUMMYFUNCTION("""COMPUTED_VALUE"""),"")</f>
        <v/>
      </c>
      <c r="F355" s="134" t="str">
        <f ca="1">IFERROR(__xludf.DUMMYFUNCTION("""COMPUTED_VALUE"""),"")</f>
        <v/>
      </c>
      <c r="G355" s="134" t="str">
        <f ca="1">IFERROR(__xludf.DUMMYFUNCTION("""COMPUTED_VALUE"""),"")</f>
        <v/>
      </c>
      <c r="H355" s="134" t="str">
        <f ca="1">IFERROR(__xludf.DUMMYFUNCTION("""COMPUTED_VALUE"""),"")</f>
        <v/>
      </c>
      <c r="I355" s="134" t="str">
        <f ca="1">IFERROR(__xludf.DUMMYFUNCTION("""COMPUTED_VALUE"""),"")</f>
        <v/>
      </c>
      <c r="J355" s="134" t="str">
        <f ca="1">IFERROR(__xludf.DUMMYFUNCTION("""COMPUTED_VALUE"""),"")</f>
        <v/>
      </c>
      <c r="N355" s="31"/>
    </row>
    <row r="356" spans="1:14" customFormat="1">
      <c r="A356" s="134" t="str">
        <f ca="1">IFERROR(__xludf.DUMMYFUNCTION("""COMPUTED_VALUE"""),"")</f>
        <v/>
      </c>
      <c r="B356" s="134" t="str">
        <f ca="1">IFERROR(__xludf.DUMMYFUNCTION("""COMPUTED_VALUE"""),"")</f>
        <v/>
      </c>
      <c r="C356" s="134" t="str">
        <f ca="1">IFERROR(__xludf.DUMMYFUNCTION("""COMPUTED_VALUE"""),"")</f>
        <v/>
      </c>
      <c r="D356" s="134" t="str">
        <f ca="1">IFERROR(__xludf.DUMMYFUNCTION("""COMPUTED_VALUE"""),"")</f>
        <v/>
      </c>
      <c r="E356" s="134" t="str">
        <f ca="1">IFERROR(__xludf.DUMMYFUNCTION("""COMPUTED_VALUE"""),"")</f>
        <v/>
      </c>
      <c r="F356" s="134" t="str">
        <f ca="1">IFERROR(__xludf.DUMMYFUNCTION("""COMPUTED_VALUE"""),"")</f>
        <v/>
      </c>
      <c r="G356" s="134" t="str">
        <f ca="1">IFERROR(__xludf.DUMMYFUNCTION("""COMPUTED_VALUE"""),"")</f>
        <v/>
      </c>
      <c r="H356" s="134" t="str">
        <f ca="1">IFERROR(__xludf.DUMMYFUNCTION("""COMPUTED_VALUE"""),"")</f>
        <v/>
      </c>
      <c r="I356" s="134" t="str">
        <f ca="1">IFERROR(__xludf.DUMMYFUNCTION("""COMPUTED_VALUE"""),"")</f>
        <v/>
      </c>
      <c r="J356" s="134" t="str">
        <f ca="1">IFERROR(__xludf.DUMMYFUNCTION("""COMPUTED_VALUE"""),"")</f>
        <v/>
      </c>
      <c r="N356" s="31"/>
    </row>
    <row r="357" spans="1:14" customFormat="1">
      <c r="A357" s="134" t="str">
        <f ca="1">IFERROR(__xludf.DUMMYFUNCTION("""COMPUTED_VALUE"""),"")</f>
        <v/>
      </c>
      <c r="B357" s="134" t="str">
        <f ca="1">IFERROR(__xludf.DUMMYFUNCTION("""COMPUTED_VALUE"""),"")</f>
        <v/>
      </c>
      <c r="C357" s="134" t="str">
        <f ca="1">IFERROR(__xludf.DUMMYFUNCTION("""COMPUTED_VALUE"""),"")</f>
        <v/>
      </c>
      <c r="D357" s="134" t="str">
        <f ca="1">IFERROR(__xludf.DUMMYFUNCTION("""COMPUTED_VALUE"""),"")</f>
        <v/>
      </c>
      <c r="E357" s="134" t="str">
        <f ca="1">IFERROR(__xludf.DUMMYFUNCTION("""COMPUTED_VALUE"""),"")</f>
        <v/>
      </c>
      <c r="F357" s="134" t="str">
        <f ca="1">IFERROR(__xludf.DUMMYFUNCTION("""COMPUTED_VALUE"""),"")</f>
        <v/>
      </c>
      <c r="G357" s="134" t="str">
        <f ca="1">IFERROR(__xludf.DUMMYFUNCTION("""COMPUTED_VALUE"""),"")</f>
        <v/>
      </c>
      <c r="H357" s="134" t="str">
        <f ca="1">IFERROR(__xludf.DUMMYFUNCTION("""COMPUTED_VALUE"""),"")</f>
        <v/>
      </c>
      <c r="I357" s="134" t="str">
        <f ca="1">IFERROR(__xludf.DUMMYFUNCTION("""COMPUTED_VALUE"""),"")</f>
        <v/>
      </c>
      <c r="J357" s="134" t="str">
        <f ca="1">IFERROR(__xludf.DUMMYFUNCTION("""COMPUTED_VALUE"""),"")</f>
        <v/>
      </c>
      <c r="N357" s="31"/>
    </row>
    <row r="358" spans="1:14" customFormat="1">
      <c r="A358" s="134" t="str">
        <f ca="1">IFERROR(__xludf.DUMMYFUNCTION("""COMPUTED_VALUE"""),"")</f>
        <v/>
      </c>
      <c r="B358" s="134" t="str">
        <f ca="1">IFERROR(__xludf.DUMMYFUNCTION("""COMPUTED_VALUE"""),"")</f>
        <v/>
      </c>
      <c r="C358" s="134" t="str">
        <f ca="1">IFERROR(__xludf.DUMMYFUNCTION("""COMPUTED_VALUE"""),"")</f>
        <v/>
      </c>
      <c r="D358" s="134" t="str">
        <f ca="1">IFERROR(__xludf.DUMMYFUNCTION("""COMPUTED_VALUE"""),"")</f>
        <v/>
      </c>
      <c r="E358" s="134" t="str">
        <f ca="1">IFERROR(__xludf.DUMMYFUNCTION("""COMPUTED_VALUE"""),"")</f>
        <v/>
      </c>
      <c r="F358" s="134" t="str">
        <f ca="1">IFERROR(__xludf.DUMMYFUNCTION("""COMPUTED_VALUE"""),"")</f>
        <v/>
      </c>
      <c r="G358" s="134" t="str">
        <f ca="1">IFERROR(__xludf.DUMMYFUNCTION("""COMPUTED_VALUE"""),"")</f>
        <v/>
      </c>
      <c r="H358" s="134" t="str">
        <f ca="1">IFERROR(__xludf.DUMMYFUNCTION("""COMPUTED_VALUE"""),"")</f>
        <v/>
      </c>
      <c r="I358" s="134" t="str">
        <f ca="1">IFERROR(__xludf.DUMMYFUNCTION("""COMPUTED_VALUE"""),"")</f>
        <v/>
      </c>
      <c r="J358" s="134" t="str">
        <f ca="1">IFERROR(__xludf.DUMMYFUNCTION("""COMPUTED_VALUE"""),"")</f>
        <v/>
      </c>
      <c r="N358" s="31"/>
    </row>
    <row r="359" spans="1:14" customFormat="1">
      <c r="A359" s="134" t="str">
        <f ca="1">IFERROR(__xludf.DUMMYFUNCTION("""COMPUTED_VALUE"""),"")</f>
        <v/>
      </c>
      <c r="B359" s="134" t="str">
        <f ca="1">IFERROR(__xludf.DUMMYFUNCTION("""COMPUTED_VALUE"""),"")</f>
        <v/>
      </c>
      <c r="C359" s="134" t="str">
        <f ca="1">IFERROR(__xludf.DUMMYFUNCTION("""COMPUTED_VALUE"""),"")</f>
        <v/>
      </c>
      <c r="D359" s="134" t="str">
        <f ca="1">IFERROR(__xludf.DUMMYFUNCTION("""COMPUTED_VALUE"""),"")</f>
        <v/>
      </c>
      <c r="E359" s="134" t="str">
        <f ca="1">IFERROR(__xludf.DUMMYFUNCTION("""COMPUTED_VALUE"""),"")</f>
        <v/>
      </c>
      <c r="F359" s="134" t="str">
        <f ca="1">IFERROR(__xludf.DUMMYFUNCTION("""COMPUTED_VALUE"""),"")</f>
        <v/>
      </c>
      <c r="G359" s="134" t="str">
        <f ca="1">IFERROR(__xludf.DUMMYFUNCTION("""COMPUTED_VALUE"""),"")</f>
        <v/>
      </c>
      <c r="H359" s="134" t="str">
        <f ca="1">IFERROR(__xludf.DUMMYFUNCTION("""COMPUTED_VALUE"""),"")</f>
        <v/>
      </c>
      <c r="I359" s="134" t="str">
        <f ca="1">IFERROR(__xludf.DUMMYFUNCTION("""COMPUTED_VALUE"""),"")</f>
        <v/>
      </c>
      <c r="J359" s="134" t="str">
        <f ca="1">IFERROR(__xludf.DUMMYFUNCTION("""COMPUTED_VALUE"""),"")</f>
        <v/>
      </c>
      <c r="N359" s="31"/>
    </row>
    <row r="360" spans="1:14" customFormat="1">
      <c r="A360" s="134" t="str">
        <f ca="1">IFERROR(__xludf.DUMMYFUNCTION("""COMPUTED_VALUE"""),"")</f>
        <v/>
      </c>
      <c r="B360" s="134" t="str">
        <f ca="1">IFERROR(__xludf.DUMMYFUNCTION("""COMPUTED_VALUE"""),"")</f>
        <v/>
      </c>
      <c r="C360" s="134" t="str">
        <f ca="1">IFERROR(__xludf.DUMMYFUNCTION("""COMPUTED_VALUE"""),"")</f>
        <v/>
      </c>
      <c r="D360" s="134" t="str">
        <f ca="1">IFERROR(__xludf.DUMMYFUNCTION("""COMPUTED_VALUE"""),"")</f>
        <v/>
      </c>
      <c r="E360" s="134" t="str">
        <f ca="1">IFERROR(__xludf.DUMMYFUNCTION("""COMPUTED_VALUE"""),"")</f>
        <v/>
      </c>
      <c r="F360" s="134" t="str">
        <f ca="1">IFERROR(__xludf.DUMMYFUNCTION("""COMPUTED_VALUE"""),"")</f>
        <v/>
      </c>
      <c r="G360" s="134" t="str">
        <f ca="1">IFERROR(__xludf.DUMMYFUNCTION("""COMPUTED_VALUE"""),"")</f>
        <v/>
      </c>
      <c r="H360" s="134" t="str">
        <f ca="1">IFERROR(__xludf.DUMMYFUNCTION("""COMPUTED_VALUE"""),"")</f>
        <v/>
      </c>
      <c r="I360" s="134" t="str">
        <f ca="1">IFERROR(__xludf.DUMMYFUNCTION("""COMPUTED_VALUE"""),"")</f>
        <v/>
      </c>
      <c r="J360" s="134" t="str">
        <f ca="1">IFERROR(__xludf.DUMMYFUNCTION("""COMPUTED_VALUE"""),"")</f>
        <v/>
      </c>
      <c r="N360" s="31"/>
    </row>
    <row r="361" spans="1:14" customFormat="1">
      <c r="A361" s="134" t="str">
        <f ca="1">IFERROR(__xludf.DUMMYFUNCTION("""COMPUTED_VALUE"""),"")</f>
        <v/>
      </c>
      <c r="B361" s="134" t="str">
        <f ca="1">IFERROR(__xludf.DUMMYFUNCTION("""COMPUTED_VALUE"""),"")</f>
        <v/>
      </c>
      <c r="C361" s="134" t="str">
        <f ca="1">IFERROR(__xludf.DUMMYFUNCTION("""COMPUTED_VALUE"""),"")</f>
        <v/>
      </c>
      <c r="D361" s="134" t="str">
        <f ca="1">IFERROR(__xludf.DUMMYFUNCTION("""COMPUTED_VALUE"""),"")</f>
        <v/>
      </c>
      <c r="E361" s="134" t="str">
        <f ca="1">IFERROR(__xludf.DUMMYFUNCTION("""COMPUTED_VALUE"""),"")</f>
        <v/>
      </c>
      <c r="F361" s="134" t="str">
        <f ca="1">IFERROR(__xludf.DUMMYFUNCTION("""COMPUTED_VALUE"""),"")</f>
        <v/>
      </c>
      <c r="G361" s="134" t="str">
        <f ca="1">IFERROR(__xludf.DUMMYFUNCTION("""COMPUTED_VALUE"""),"")</f>
        <v/>
      </c>
      <c r="H361" s="134" t="str">
        <f ca="1">IFERROR(__xludf.DUMMYFUNCTION("""COMPUTED_VALUE"""),"")</f>
        <v/>
      </c>
      <c r="I361" s="134" t="str">
        <f ca="1">IFERROR(__xludf.DUMMYFUNCTION("""COMPUTED_VALUE"""),"")</f>
        <v/>
      </c>
      <c r="J361" s="134" t="str">
        <f ca="1">IFERROR(__xludf.DUMMYFUNCTION("""COMPUTED_VALUE"""),"")</f>
        <v/>
      </c>
      <c r="N361" s="31"/>
    </row>
    <row r="362" spans="1:14" customFormat="1">
      <c r="A362" s="134" t="str">
        <f ca="1">IFERROR(__xludf.DUMMYFUNCTION("""COMPUTED_VALUE"""),"")</f>
        <v/>
      </c>
      <c r="B362" s="134" t="str">
        <f ca="1">IFERROR(__xludf.DUMMYFUNCTION("""COMPUTED_VALUE"""),"")</f>
        <v/>
      </c>
      <c r="C362" s="134" t="str">
        <f ca="1">IFERROR(__xludf.DUMMYFUNCTION("""COMPUTED_VALUE"""),"")</f>
        <v/>
      </c>
      <c r="D362" s="134" t="str">
        <f ca="1">IFERROR(__xludf.DUMMYFUNCTION("""COMPUTED_VALUE"""),"")</f>
        <v/>
      </c>
      <c r="E362" s="134" t="str">
        <f ca="1">IFERROR(__xludf.DUMMYFUNCTION("""COMPUTED_VALUE"""),"")</f>
        <v/>
      </c>
      <c r="F362" s="134" t="str">
        <f ca="1">IFERROR(__xludf.DUMMYFUNCTION("""COMPUTED_VALUE"""),"")</f>
        <v/>
      </c>
      <c r="G362" s="134" t="str">
        <f ca="1">IFERROR(__xludf.DUMMYFUNCTION("""COMPUTED_VALUE"""),"")</f>
        <v/>
      </c>
      <c r="H362" s="134" t="str">
        <f ca="1">IFERROR(__xludf.DUMMYFUNCTION("""COMPUTED_VALUE"""),"")</f>
        <v/>
      </c>
      <c r="I362" s="134" t="str">
        <f ca="1">IFERROR(__xludf.DUMMYFUNCTION("""COMPUTED_VALUE"""),"")</f>
        <v/>
      </c>
      <c r="J362" s="134" t="str">
        <f ca="1">IFERROR(__xludf.DUMMYFUNCTION("""COMPUTED_VALUE"""),"")</f>
        <v/>
      </c>
      <c r="N362" s="31"/>
    </row>
    <row r="363" spans="1:14" customFormat="1">
      <c r="A363" s="134" t="str">
        <f ca="1">IFERROR(__xludf.DUMMYFUNCTION("""COMPUTED_VALUE"""),"")</f>
        <v/>
      </c>
      <c r="B363" s="134" t="str">
        <f ca="1">IFERROR(__xludf.DUMMYFUNCTION("""COMPUTED_VALUE"""),"")</f>
        <v/>
      </c>
      <c r="C363" s="134" t="str">
        <f ca="1">IFERROR(__xludf.DUMMYFUNCTION("""COMPUTED_VALUE"""),"")</f>
        <v/>
      </c>
      <c r="D363" s="134" t="str">
        <f ca="1">IFERROR(__xludf.DUMMYFUNCTION("""COMPUTED_VALUE"""),"")</f>
        <v/>
      </c>
      <c r="E363" s="134" t="str">
        <f ca="1">IFERROR(__xludf.DUMMYFUNCTION("""COMPUTED_VALUE"""),"")</f>
        <v/>
      </c>
      <c r="F363" s="134" t="str">
        <f ca="1">IFERROR(__xludf.DUMMYFUNCTION("""COMPUTED_VALUE"""),"")</f>
        <v/>
      </c>
      <c r="G363" s="134" t="str">
        <f ca="1">IFERROR(__xludf.DUMMYFUNCTION("""COMPUTED_VALUE"""),"")</f>
        <v/>
      </c>
      <c r="H363" s="134" t="str">
        <f ca="1">IFERROR(__xludf.DUMMYFUNCTION("""COMPUTED_VALUE"""),"")</f>
        <v/>
      </c>
      <c r="I363" s="134" t="str">
        <f ca="1">IFERROR(__xludf.DUMMYFUNCTION("""COMPUTED_VALUE"""),"")</f>
        <v/>
      </c>
      <c r="J363" s="134" t="str">
        <f ca="1">IFERROR(__xludf.DUMMYFUNCTION("""COMPUTED_VALUE"""),"")</f>
        <v/>
      </c>
      <c r="N363" s="31"/>
    </row>
    <row r="364" spans="1:14" customFormat="1">
      <c r="A364" s="134" t="str">
        <f ca="1">IFERROR(__xludf.DUMMYFUNCTION("""COMPUTED_VALUE"""),"")</f>
        <v/>
      </c>
      <c r="B364" s="134" t="str">
        <f ca="1">IFERROR(__xludf.DUMMYFUNCTION("""COMPUTED_VALUE"""),"")</f>
        <v/>
      </c>
      <c r="C364" s="134" t="str">
        <f ca="1">IFERROR(__xludf.DUMMYFUNCTION("""COMPUTED_VALUE"""),"")</f>
        <v/>
      </c>
      <c r="D364" s="134" t="str">
        <f ca="1">IFERROR(__xludf.DUMMYFUNCTION("""COMPUTED_VALUE"""),"")</f>
        <v/>
      </c>
      <c r="E364" s="134" t="str">
        <f ca="1">IFERROR(__xludf.DUMMYFUNCTION("""COMPUTED_VALUE"""),"")</f>
        <v/>
      </c>
      <c r="F364" s="134" t="str">
        <f ca="1">IFERROR(__xludf.DUMMYFUNCTION("""COMPUTED_VALUE"""),"")</f>
        <v/>
      </c>
      <c r="G364" s="134" t="str">
        <f ca="1">IFERROR(__xludf.DUMMYFUNCTION("""COMPUTED_VALUE"""),"")</f>
        <v/>
      </c>
      <c r="H364" s="134" t="str">
        <f ca="1">IFERROR(__xludf.DUMMYFUNCTION("""COMPUTED_VALUE"""),"")</f>
        <v/>
      </c>
      <c r="I364" s="134" t="str">
        <f ca="1">IFERROR(__xludf.DUMMYFUNCTION("""COMPUTED_VALUE"""),"")</f>
        <v/>
      </c>
      <c r="J364" s="134" t="str">
        <f ca="1">IFERROR(__xludf.DUMMYFUNCTION("""COMPUTED_VALUE"""),"")</f>
        <v/>
      </c>
      <c r="N364" s="31"/>
    </row>
    <row r="365" spans="1:14" customFormat="1">
      <c r="A365" s="134" t="str">
        <f ca="1">IFERROR(__xludf.DUMMYFUNCTION("""COMPUTED_VALUE"""),"")</f>
        <v/>
      </c>
      <c r="B365" s="134" t="str">
        <f ca="1">IFERROR(__xludf.DUMMYFUNCTION("""COMPUTED_VALUE"""),"")</f>
        <v/>
      </c>
      <c r="C365" s="134" t="str">
        <f ca="1">IFERROR(__xludf.DUMMYFUNCTION("""COMPUTED_VALUE"""),"")</f>
        <v/>
      </c>
      <c r="D365" s="134" t="str">
        <f ca="1">IFERROR(__xludf.DUMMYFUNCTION("""COMPUTED_VALUE"""),"")</f>
        <v/>
      </c>
      <c r="E365" s="134" t="str">
        <f ca="1">IFERROR(__xludf.DUMMYFUNCTION("""COMPUTED_VALUE"""),"")</f>
        <v/>
      </c>
      <c r="F365" s="134" t="str">
        <f ca="1">IFERROR(__xludf.DUMMYFUNCTION("""COMPUTED_VALUE"""),"")</f>
        <v/>
      </c>
      <c r="G365" s="134" t="str">
        <f ca="1">IFERROR(__xludf.DUMMYFUNCTION("""COMPUTED_VALUE"""),"")</f>
        <v/>
      </c>
      <c r="H365" s="134" t="str">
        <f ca="1">IFERROR(__xludf.DUMMYFUNCTION("""COMPUTED_VALUE"""),"")</f>
        <v/>
      </c>
      <c r="I365" s="134" t="str">
        <f ca="1">IFERROR(__xludf.DUMMYFUNCTION("""COMPUTED_VALUE"""),"")</f>
        <v/>
      </c>
      <c r="J365" s="134" t="str">
        <f ca="1">IFERROR(__xludf.DUMMYFUNCTION("""COMPUTED_VALUE"""),"")</f>
        <v/>
      </c>
      <c r="N365" s="31"/>
    </row>
    <row r="366" spans="1:14" customFormat="1">
      <c r="A366" s="134" t="str">
        <f ca="1">IFERROR(__xludf.DUMMYFUNCTION("""COMPUTED_VALUE"""),"")</f>
        <v/>
      </c>
      <c r="B366" s="134" t="str">
        <f ca="1">IFERROR(__xludf.DUMMYFUNCTION("""COMPUTED_VALUE"""),"")</f>
        <v/>
      </c>
      <c r="C366" s="134" t="str">
        <f ca="1">IFERROR(__xludf.DUMMYFUNCTION("""COMPUTED_VALUE"""),"")</f>
        <v/>
      </c>
      <c r="D366" s="134" t="str">
        <f ca="1">IFERROR(__xludf.DUMMYFUNCTION("""COMPUTED_VALUE"""),"")</f>
        <v/>
      </c>
      <c r="E366" s="134" t="str">
        <f ca="1">IFERROR(__xludf.DUMMYFUNCTION("""COMPUTED_VALUE"""),"")</f>
        <v/>
      </c>
      <c r="F366" s="134" t="str">
        <f ca="1">IFERROR(__xludf.DUMMYFUNCTION("""COMPUTED_VALUE"""),"")</f>
        <v/>
      </c>
      <c r="G366" s="134" t="str">
        <f ca="1">IFERROR(__xludf.DUMMYFUNCTION("""COMPUTED_VALUE"""),"")</f>
        <v/>
      </c>
      <c r="H366" s="134" t="str">
        <f ca="1">IFERROR(__xludf.DUMMYFUNCTION("""COMPUTED_VALUE"""),"")</f>
        <v/>
      </c>
      <c r="I366" s="134" t="str">
        <f ca="1">IFERROR(__xludf.DUMMYFUNCTION("""COMPUTED_VALUE"""),"")</f>
        <v/>
      </c>
      <c r="J366" s="134" t="str">
        <f ca="1">IFERROR(__xludf.DUMMYFUNCTION("""COMPUTED_VALUE"""),"")</f>
        <v/>
      </c>
      <c r="N366" s="31"/>
    </row>
    <row r="367" spans="1:14" customFormat="1">
      <c r="A367" s="134" t="str">
        <f ca="1">IFERROR(__xludf.DUMMYFUNCTION("""COMPUTED_VALUE"""),"")</f>
        <v/>
      </c>
      <c r="B367" s="134" t="str">
        <f ca="1">IFERROR(__xludf.DUMMYFUNCTION("""COMPUTED_VALUE"""),"")</f>
        <v/>
      </c>
      <c r="C367" s="134" t="str">
        <f ca="1">IFERROR(__xludf.DUMMYFUNCTION("""COMPUTED_VALUE"""),"")</f>
        <v/>
      </c>
      <c r="D367" s="134" t="str">
        <f ca="1">IFERROR(__xludf.DUMMYFUNCTION("""COMPUTED_VALUE"""),"")</f>
        <v/>
      </c>
      <c r="E367" s="134" t="str">
        <f ca="1">IFERROR(__xludf.DUMMYFUNCTION("""COMPUTED_VALUE"""),"")</f>
        <v/>
      </c>
      <c r="F367" s="134" t="str">
        <f ca="1">IFERROR(__xludf.DUMMYFUNCTION("""COMPUTED_VALUE"""),"")</f>
        <v/>
      </c>
      <c r="G367" s="134" t="str">
        <f ca="1">IFERROR(__xludf.DUMMYFUNCTION("""COMPUTED_VALUE"""),"")</f>
        <v/>
      </c>
      <c r="H367" s="134" t="str">
        <f ca="1">IFERROR(__xludf.DUMMYFUNCTION("""COMPUTED_VALUE"""),"")</f>
        <v/>
      </c>
      <c r="I367" s="134" t="str">
        <f ca="1">IFERROR(__xludf.DUMMYFUNCTION("""COMPUTED_VALUE"""),"")</f>
        <v/>
      </c>
      <c r="J367" s="134" t="str">
        <f ca="1">IFERROR(__xludf.DUMMYFUNCTION("""COMPUTED_VALUE"""),"")</f>
        <v/>
      </c>
      <c r="N367" s="31"/>
    </row>
    <row r="368" spans="1:14" customFormat="1">
      <c r="A368" s="134" t="str">
        <f ca="1">IFERROR(__xludf.DUMMYFUNCTION("""COMPUTED_VALUE"""),"")</f>
        <v/>
      </c>
      <c r="B368" s="134" t="str">
        <f ca="1">IFERROR(__xludf.DUMMYFUNCTION("""COMPUTED_VALUE"""),"")</f>
        <v/>
      </c>
      <c r="C368" s="134" t="str">
        <f ca="1">IFERROR(__xludf.DUMMYFUNCTION("""COMPUTED_VALUE"""),"")</f>
        <v/>
      </c>
      <c r="D368" s="134" t="str">
        <f ca="1">IFERROR(__xludf.DUMMYFUNCTION("""COMPUTED_VALUE"""),"")</f>
        <v/>
      </c>
      <c r="E368" s="134" t="str">
        <f ca="1">IFERROR(__xludf.DUMMYFUNCTION("""COMPUTED_VALUE"""),"")</f>
        <v/>
      </c>
      <c r="F368" s="134" t="str">
        <f ca="1">IFERROR(__xludf.DUMMYFUNCTION("""COMPUTED_VALUE"""),"")</f>
        <v/>
      </c>
      <c r="G368" s="134" t="str">
        <f ca="1">IFERROR(__xludf.DUMMYFUNCTION("""COMPUTED_VALUE"""),"")</f>
        <v/>
      </c>
      <c r="H368" s="134" t="str">
        <f ca="1">IFERROR(__xludf.DUMMYFUNCTION("""COMPUTED_VALUE"""),"")</f>
        <v/>
      </c>
      <c r="I368" s="134" t="str">
        <f ca="1">IFERROR(__xludf.DUMMYFUNCTION("""COMPUTED_VALUE"""),"")</f>
        <v/>
      </c>
      <c r="J368" s="134" t="str">
        <f ca="1">IFERROR(__xludf.DUMMYFUNCTION("""COMPUTED_VALUE"""),"")</f>
        <v/>
      </c>
      <c r="N368" s="31"/>
    </row>
    <row r="369" spans="1:14" customFormat="1">
      <c r="A369" s="134" t="str">
        <f ca="1">IFERROR(__xludf.DUMMYFUNCTION("""COMPUTED_VALUE"""),"")</f>
        <v/>
      </c>
      <c r="B369" s="134" t="str">
        <f ca="1">IFERROR(__xludf.DUMMYFUNCTION("""COMPUTED_VALUE"""),"")</f>
        <v/>
      </c>
      <c r="C369" s="134" t="str">
        <f ca="1">IFERROR(__xludf.DUMMYFUNCTION("""COMPUTED_VALUE"""),"")</f>
        <v/>
      </c>
      <c r="D369" s="134" t="str">
        <f ca="1">IFERROR(__xludf.DUMMYFUNCTION("""COMPUTED_VALUE"""),"")</f>
        <v/>
      </c>
      <c r="E369" s="134" t="str">
        <f ca="1">IFERROR(__xludf.DUMMYFUNCTION("""COMPUTED_VALUE"""),"")</f>
        <v/>
      </c>
      <c r="F369" s="134" t="str">
        <f ca="1">IFERROR(__xludf.DUMMYFUNCTION("""COMPUTED_VALUE"""),"")</f>
        <v/>
      </c>
      <c r="G369" s="134" t="str">
        <f ca="1">IFERROR(__xludf.DUMMYFUNCTION("""COMPUTED_VALUE"""),"")</f>
        <v/>
      </c>
      <c r="H369" s="134" t="str">
        <f ca="1">IFERROR(__xludf.DUMMYFUNCTION("""COMPUTED_VALUE"""),"")</f>
        <v/>
      </c>
      <c r="I369" s="134" t="str">
        <f ca="1">IFERROR(__xludf.DUMMYFUNCTION("""COMPUTED_VALUE"""),"")</f>
        <v/>
      </c>
      <c r="J369" s="134" t="str">
        <f ca="1">IFERROR(__xludf.DUMMYFUNCTION("""COMPUTED_VALUE"""),"")</f>
        <v/>
      </c>
      <c r="N369" s="31"/>
    </row>
    <row r="370" spans="1:14" customFormat="1">
      <c r="A370" s="134" t="str">
        <f ca="1">IFERROR(__xludf.DUMMYFUNCTION("""COMPUTED_VALUE"""),"")</f>
        <v/>
      </c>
      <c r="B370" s="134" t="str">
        <f ca="1">IFERROR(__xludf.DUMMYFUNCTION("""COMPUTED_VALUE"""),"")</f>
        <v/>
      </c>
      <c r="C370" s="134" t="str">
        <f ca="1">IFERROR(__xludf.DUMMYFUNCTION("""COMPUTED_VALUE"""),"")</f>
        <v/>
      </c>
      <c r="D370" s="134" t="str">
        <f ca="1">IFERROR(__xludf.DUMMYFUNCTION("""COMPUTED_VALUE"""),"")</f>
        <v/>
      </c>
      <c r="E370" s="134" t="str">
        <f ca="1">IFERROR(__xludf.DUMMYFUNCTION("""COMPUTED_VALUE"""),"")</f>
        <v/>
      </c>
      <c r="F370" s="134" t="str">
        <f ca="1">IFERROR(__xludf.DUMMYFUNCTION("""COMPUTED_VALUE"""),"")</f>
        <v/>
      </c>
      <c r="G370" s="134" t="str">
        <f ca="1">IFERROR(__xludf.DUMMYFUNCTION("""COMPUTED_VALUE"""),"")</f>
        <v/>
      </c>
      <c r="H370" s="134" t="str">
        <f ca="1">IFERROR(__xludf.DUMMYFUNCTION("""COMPUTED_VALUE"""),"")</f>
        <v/>
      </c>
      <c r="I370" s="134" t="str">
        <f ca="1">IFERROR(__xludf.DUMMYFUNCTION("""COMPUTED_VALUE"""),"")</f>
        <v/>
      </c>
      <c r="J370" s="134" t="str">
        <f ca="1">IFERROR(__xludf.DUMMYFUNCTION("""COMPUTED_VALUE"""),"")</f>
        <v/>
      </c>
      <c r="N370" s="31"/>
    </row>
    <row r="371" spans="1:14" customFormat="1">
      <c r="A371" s="134" t="str">
        <f ca="1">IFERROR(__xludf.DUMMYFUNCTION("""COMPUTED_VALUE"""),"")</f>
        <v/>
      </c>
      <c r="B371" s="134" t="str">
        <f ca="1">IFERROR(__xludf.DUMMYFUNCTION("""COMPUTED_VALUE"""),"")</f>
        <v/>
      </c>
      <c r="C371" s="134" t="str">
        <f ca="1">IFERROR(__xludf.DUMMYFUNCTION("""COMPUTED_VALUE"""),"")</f>
        <v/>
      </c>
      <c r="D371" s="134" t="str">
        <f ca="1">IFERROR(__xludf.DUMMYFUNCTION("""COMPUTED_VALUE"""),"")</f>
        <v/>
      </c>
      <c r="E371" s="134" t="str">
        <f ca="1">IFERROR(__xludf.DUMMYFUNCTION("""COMPUTED_VALUE"""),"")</f>
        <v/>
      </c>
      <c r="F371" s="134" t="str">
        <f ca="1">IFERROR(__xludf.DUMMYFUNCTION("""COMPUTED_VALUE"""),"")</f>
        <v/>
      </c>
      <c r="G371" s="134" t="str">
        <f ca="1">IFERROR(__xludf.DUMMYFUNCTION("""COMPUTED_VALUE"""),"")</f>
        <v/>
      </c>
      <c r="H371" s="134" t="str">
        <f ca="1">IFERROR(__xludf.DUMMYFUNCTION("""COMPUTED_VALUE"""),"")</f>
        <v/>
      </c>
      <c r="I371" s="134" t="str">
        <f ca="1">IFERROR(__xludf.DUMMYFUNCTION("""COMPUTED_VALUE"""),"")</f>
        <v/>
      </c>
      <c r="J371" s="134" t="str">
        <f ca="1">IFERROR(__xludf.DUMMYFUNCTION("""COMPUTED_VALUE"""),"")</f>
        <v/>
      </c>
      <c r="N371" s="31"/>
    </row>
    <row r="372" spans="1:14" customFormat="1">
      <c r="A372" s="134" t="str">
        <f ca="1">IFERROR(__xludf.DUMMYFUNCTION("""COMPUTED_VALUE"""),"")</f>
        <v/>
      </c>
      <c r="B372" s="134" t="str">
        <f ca="1">IFERROR(__xludf.DUMMYFUNCTION("""COMPUTED_VALUE"""),"")</f>
        <v/>
      </c>
      <c r="C372" s="134" t="str">
        <f ca="1">IFERROR(__xludf.DUMMYFUNCTION("""COMPUTED_VALUE"""),"")</f>
        <v/>
      </c>
      <c r="D372" s="134" t="str">
        <f ca="1">IFERROR(__xludf.DUMMYFUNCTION("""COMPUTED_VALUE"""),"")</f>
        <v/>
      </c>
      <c r="E372" s="134" t="str">
        <f ca="1">IFERROR(__xludf.DUMMYFUNCTION("""COMPUTED_VALUE"""),"")</f>
        <v/>
      </c>
      <c r="F372" s="134" t="str">
        <f ca="1">IFERROR(__xludf.DUMMYFUNCTION("""COMPUTED_VALUE"""),"")</f>
        <v/>
      </c>
      <c r="G372" s="134" t="str">
        <f ca="1">IFERROR(__xludf.DUMMYFUNCTION("""COMPUTED_VALUE"""),"")</f>
        <v/>
      </c>
      <c r="H372" s="134" t="str">
        <f ca="1">IFERROR(__xludf.DUMMYFUNCTION("""COMPUTED_VALUE"""),"")</f>
        <v/>
      </c>
      <c r="I372" s="134" t="str">
        <f ca="1">IFERROR(__xludf.DUMMYFUNCTION("""COMPUTED_VALUE"""),"")</f>
        <v/>
      </c>
      <c r="J372" s="134" t="str">
        <f ca="1">IFERROR(__xludf.DUMMYFUNCTION("""COMPUTED_VALUE"""),"")</f>
        <v/>
      </c>
      <c r="N372" s="31"/>
    </row>
    <row r="373" spans="1:14" customFormat="1">
      <c r="A373" s="134" t="str">
        <f ca="1">IFERROR(__xludf.DUMMYFUNCTION("""COMPUTED_VALUE"""),"")</f>
        <v/>
      </c>
      <c r="B373" s="134" t="str">
        <f ca="1">IFERROR(__xludf.DUMMYFUNCTION("""COMPUTED_VALUE"""),"")</f>
        <v/>
      </c>
      <c r="C373" s="134" t="str">
        <f ca="1">IFERROR(__xludf.DUMMYFUNCTION("""COMPUTED_VALUE"""),"")</f>
        <v/>
      </c>
      <c r="D373" s="134" t="str">
        <f ca="1">IFERROR(__xludf.DUMMYFUNCTION("""COMPUTED_VALUE"""),"")</f>
        <v/>
      </c>
      <c r="E373" s="134" t="str">
        <f ca="1">IFERROR(__xludf.DUMMYFUNCTION("""COMPUTED_VALUE"""),"")</f>
        <v/>
      </c>
      <c r="F373" s="134" t="str">
        <f ca="1">IFERROR(__xludf.DUMMYFUNCTION("""COMPUTED_VALUE"""),"")</f>
        <v/>
      </c>
      <c r="G373" s="134" t="str">
        <f ca="1">IFERROR(__xludf.DUMMYFUNCTION("""COMPUTED_VALUE"""),"")</f>
        <v/>
      </c>
      <c r="H373" s="134" t="str">
        <f ca="1">IFERROR(__xludf.DUMMYFUNCTION("""COMPUTED_VALUE"""),"")</f>
        <v/>
      </c>
      <c r="I373" s="134" t="str">
        <f ca="1">IFERROR(__xludf.DUMMYFUNCTION("""COMPUTED_VALUE"""),"")</f>
        <v/>
      </c>
      <c r="J373" s="134" t="str">
        <f ca="1">IFERROR(__xludf.DUMMYFUNCTION("""COMPUTED_VALUE"""),"")</f>
        <v/>
      </c>
      <c r="N373" s="31"/>
    </row>
    <row r="374" spans="1:14" customFormat="1">
      <c r="A374" s="134" t="str">
        <f ca="1">IFERROR(__xludf.DUMMYFUNCTION("""COMPUTED_VALUE"""),"")</f>
        <v/>
      </c>
      <c r="B374" s="134" t="str">
        <f ca="1">IFERROR(__xludf.DUMMYFUNCTION("""COMPUTED_VALUE"""),"")</f>
        <v/>
      </c>
      <c r="C374" s="134" t="str">
        <f ca="1">IFERROR(__xludf.DUMMYFUNCTION("""COMPUTED_VALUE"""),"")</f>
        <v/>
      </c>
      <c r="D374" s="134" t="str">
        <f ca="1">IFERROR(__xludf.DUMMYFUNCTION("""COMPUTED_VALUE"""),"")</f>
        <v/>
      </c>
      <c r="E374" s="134" t="str">
        <f ca="1">IFERROR(__xludf.DUMMYFUNCTION("""COMPUTED_VALUE"""),"")</f>
        <v/>
      </c>
      <c r="F374" s="134" t="str">
        <f ca="1">IFERROR(__xludf.DUMMYFUNCTION("""COMPUTED_VALUE"""),"")</f>
        <v/>
      </c>
      <c r="G374" s="134" t="str">
        <f ca="1">IFERROR(__xludf.DUMMYFUNCTION("""COMPUTED_VALUE"""),"")</f>
        <v/>
      </c>
      <c r="H374" s="134" t="str">
        <f ca="1">IFERROR(__xludf.DUMMYFUNCTION("""COMPUTED_VALUE"""),"")</f>
        <v/>
      </c>
      <c r="I374" s="134" t="str">
        <f ca="1">IFERROR(__xludf.DUMMYFUNCTION("""COMPUTED_VALUE"""),"")</f>
        <v/>
      </c>
      <c r="J374" s="134" t="str">
        <f ca="1">IFERROR(__xludf.DUMMYFUNCTION("""COMPUTED_VALUE"""),"")</f>
        <v/>
      </c>
      <c r="N374" s="31"/>
    </row>
    <row r="375" spans="1:14" customFormat="1">
      <c r="A375" s="134" t="str">
        <f ca="1">IFERROR(__xludf.DUMMYFUNCTION("""COMPUTED_VALUE"""),"")</f>
        <v/>
      </c>
      <c r="B375" s="134" t="str">
        <f ca="1">IFERROR(__xludf.DUMMYFUNCTION("""COMPUTED_VALUE"""),"")</f>
        <v/>
      </c>
      <c r="C375" s="134" t="str">
        <f ca="1">IFERROR(__xludf.DUMMYFUNCTION("""COMPUTED_VALUE"""),"")</f>
        <v/>
      </c>
      <c r="D375" s="134" t="str">
        <f ca="1">IFERROR(__xludf.DUMMYFUNCTION("""COMPUTED_VALUE"""),"")</f>
        <v/>
      </c>
      <c r="E375" s="134" t="str">
        <f ca="1">IFERROR(__xludf.DUMMYFUNCTION("""COMPUTED_VALUE"""),"")</f>
        <v/>
      </c>
      <c r="F375" s="134" t="str">
        <f ca="1">IFERROR(__xludf.DUMMYFUNCTION("""COMPUTED_VALUE"""),"")</f>
        <v/>
      </c>
      <c r="G375" s="134" t="str">
        <f ca="1">IFERROR(__xludf.DUMMYFUNCTION("""COMPUTED_VALUE"""),"")</f>
        <v/>
      </c>
      <c r="H375" s="134" t="str">
        <f ca="1">IFERROR(__xludf.DUMMYFUNCTION("""COMPUTED_VALUE"""),"")</f>
        <v/>
      </c>
      <c r="I375" s="134" t="str">
        <f ca="1">IFERROR(__xludf.DUMMYFUNCTION("""COMPUTED_VALUE"""),"")</f>
        <v/>
      </c>
      <c r="J375" s="134" t="str">
        <f ca="1">IFERROR(__xludf.DUMMYFUNCTION("""COMPUTED_VALUE"""),"")</f>
        <v/>
      </c>
      <c r="N375" s="31"/>
    </row>
    <row r="376" spans="1:14" customFormat="1">
      <c r="A376" s="134" t="str">
        <f ca="1">IFERROR(__xludf.DUMMYFUNCTION("""COMPUTED_VALUE"""),"")</f>
        <v/>
      </c>
      <c r="B376" s="134" t="str">
        <f ca="1">IFERROR(__xludf.DUMMYFUNCTION("""COMPUTED_VALUE"""),"")</f>
        <v/>
      </c>
      <c r="C376" s="134" t="str">
        <f ca="1">IFERROR(__xludf.DUMMYFUNCTION("""COMPUTED_VALUE"""),"")</f>
        <v/>
      </c>
      <c r="D376" s="134" t="str">
        <f ca="1">IFERROR(__xludf.DUMMYFUNCTION("""COMPUTED_VALUE"""),"")</f>
        <v/>
      </c>
      <c r="E376" s="134" t="str">
        <f ca="1">IFERROR(__xludf.DUMMYFUNCTION("""COMPUTED_VALUE"""),"")</f>
        <v/>
      </c>
      <c r="F376" s="134" t="str">
        <f ca="1">IFERROR(__xludf.DUMMYFUNCTION("""COMPUTED_VALUE"""),"")</f>
        <v/>
      </c>
      <c r="G376" s="134" t="str">
        <f ca="1">IFERROR(__xludf.DUMMYFUNCTION("""COMPUTED_VALUE"""),"")</f>
        <v/>
      </c>
      <c r="H376" s="134" t="str">
        <f ca="1">IFERROR(__xludf.DUMMYFUNCTION("""COMPUTED_VALUE"""),"")</f>
        <v/>
      </c>
      <c r="I376" s="134" t="str">
        <f ca="1">IFERROR(__xludf.DUMMYFUNCTION("""COMPUTED_VALUE"""),"")</f>
        <v/>
      </c>
      <c r="J376" s="134" t="str">
        <f ca="1">IFERROR(__xludf.DUMMYFUNCTION("""COMPUTED_VALUE"""),"")</f>
        <v/>
      </c>
      <c r="N376" s="31"/>
    </row>
    <row r="377" spans="1:14" customFormat="1">
      <c r="A377" s="134" t="str">
        <f ca="1">IFERROR(__xludf.DUMMYFUNCTION("""COMPUTED_VALUE"""),"")</f>
        <v/>
      </c>
      <c r="B377" s="134" t="str">
        <f ca="1">IFERROR(__xludf.DUMMYFUNCTION("""COMPUTED_VALUE"""),"")</f>
        <v/>
      </c>
      <c r="C377" s="134" t="str">
        <f ca="1">IFERROR(__xludf.DUMMYFUNCTION("""COMPUTED_VALUE"""),"")</f>
        <v/>
      </c>
      <c r="D377" s="134" t="str">
        <f ca="1">IFERROR(__xludf.DUMMYFUNCTION("""COMPUTED_VALUE"""),"")</f>
        <v/>
      </c>
      <c r="E377" s="134" t="str">
        <f ca="1">IFERROR(__xludf.DUMMYFUNCTION("""COMPUTED_VALUE"""),"")</f>
        <v/>
      </c>
      <c r="F377" s="134" t="str">
        <f ca="1">IFERROR(__xludf.DUMMYFUNCTION("""COMPUTED_VALUE"""),"")</f>
        <v/>
      </c>
      <c r="G377" s="134" t="str">
        <f ca="1">IFERROR(__xludf.DUMMYFUNCTION("""COMPUTED_VALUE"""),"")</f>
        <v/>
      </c>
      <c r="H377" s="134" t="str">
        <f ca="1">IFERROR(__xludf.DUMMYFUNCTION("""COMPUTED_VALUE"""),"")</f>
        <v/>
      </c>
      <c r="I377" s="134" t="str">
        <f ca="1">IFERROR(__xludf.DUMMYFUNCTION("""COMPUTED_VALUE"""),"")</f>
        <v/>
      </c>
      <c r="J377" s="134" t="str">
        <f ca="1">IFERROR(__xludf.DUMMYFUNCTION("""COMPUTED_VALUE"""),"")</f>
        <v/>
      </c>
      <c r="N377" s="31"/>
    </row>
    <row r="378" spans="1:14" customFormat="1">
      <c r="A378" s="134" t="str">
        <f ca="1">IFERROR(__xludf.DUMMYFUNCTION("""COMPUTED_VALUE"""),"")</f>
        <v/>
      </c>
      <c r="B378" s="134" t="str">
        <f ca="1">IFERROR(__xludf.DUMMYFUNCTION("""COMPUTED_VALUE"""),"")</f>
        <v/>
      </c>
      <c r="C378" s="134" t="str">
        <f ca="1">IFERROR(__xludf.DUMMYFUNCTION("""COMPUTED_VALUE"""),"")</f>
        <v/>
      </c>
      <c r="D378" s="134" t="str">
        <f ca="1">IFERROR(__xludf.DUMMYFUNCTION("""COMPUTED_VALUE"""),"")</f>
        <v/>
      </c>
      <c r="E378" s="134" t="str">
        <f ca="1">IFERROR(__xludf.DUMMYFUNCTION("""COMPUTED_VALUE"""),"")</f>
        <v/>
      </c>
      <c r="F378" s="134" t="str">
        <f ca="1">IFERROR(__xludf.DUMMYFUNCTION("""COMPUTED_VALUE"""),"")</f>
        <v/>
      </c>
      <c r="G378" s="134" t="str">
        <f ca="1">IFERROR(__xludf.DUMMYFUNCTION("""COMPUTED_VALUE"""),"")</f>
        <v/>
      </c>
      <c r="H378" s="134" t="str">
        <f ca="1">IFERROR(__xludf.DUMMYFUNCTION("""COMPUTED_VALUE"""),"")</f>
        <v/>
      </c>
      <c r="I378" s="134" t="str">
        <f ca="1">IFERROR(__xludf.DUMMYFUNCTION("""COMPUTED_VALUE"""),"")</f>
        <v/>
      </c>
      <c r="J378" s="134" t="str">
        <f ca="1">IFERROR(__xludf.DUMMYFUNCTION("""COMPUTED_VALUE"""),"")</f>
        <v/>
      </c>
      <c r="N378" s="31"/>
    </row>
    <row r="379" spans="1:14" customFormat="1">
      <c r="A379" s="134" t="str">
        <f ca="1">IFERROR(__xludf.DUMMYFUNCTION("""COMPUTED_VALUE"""),"")</f>
        <v/>
      </c>
      <c r="B379" s="134" t="str">
        <f ca="1">IFERROR(__xludf.DUMMYFUNCTION("""COMPUTED_VALUE"""),"")</f>
        <v/>
      </c>
      <c r="C379" s="134" t="str">
        <f ca="1">IFERROR(__xludf.DUMMYFUNCTION("""COMPUTED_VALUE"""),"")</f>
        <v/>
      </c>
      <c r="D379" s="134" t="str">
        <f ca="1">IFERROR(__xludf.DUMMYFUNCTION("""COMPUTED_VALUE"""),"")</f>
        <v/>
      </c>
      <c r="E379" s="134" t="str">
        <f ca="1">IFERROR(__xludf.DUMMYFUNCTION("""COMPUTED_VALUE"""),"")</f>
        <v/>
      </c>
      <c r="F379" s="134" t="str">
        <f ca="1">IFERROR(__xludf.DUMMYFUNCTION("""COMPUTED_VALUE"""),"")</f>
        <v/>
      </c>
      <c r="G379" s="134" t="str">
        <f ca="1">IFERROR(__xludf.DUMMYFUNCTION("""COMPUTED_VALUE"""),"")</f>
        <v/>
      </c>
      <c r="H379" s="134" t="str">
        <f ca="1">IFERROR(__xludf.DUMMYFUNCTION("""COMPUTED_VALUE"""),"")</f>
        <v/>
      </c>
      <c r="I379" s="134" t="str">
        <f ca="1">IFERROR(__xludf.DUMMYFUNCTION("""COMPUTED_VALUE"""),"")</f>
        <v/>
      </c>
      <c r="J379" s="134" t="str">
        <f ca="1">IFERROR(__xludf.DUMMYFUNCTION("""COMPUTED_VALUE"""),"")</f>
        <v/>
      </c>
      <c r="N379" s="31"/>
    </row>
    <row r="380" spans="1:14" customFormat="1">
      <c r="A380" s="134" t="str">
        <f ca="1">IFERROR(__xludf.DUMMYFUNCTION("""COMPUTED_VALUE"""),"")</f>
        <v/>
      </c>
      <c r="B380" s="134" t="str">
        <f ca="1">IFERROR(__xludf.DUMMYFUNCTION("""COMPUTED_VALUE"""),"")</f>
        <v/>
      </c>
      <c r="C380" s="134" t="str">
        <f ca="1">IFERROR(__xludf.DUMMYFUNCTION("""COMPUTED_VALUE"""),"")</f>
        <v/>
      </c>
      <c r="D380" s="134" t="str">
        <f ca="1">IFERROR(__xludf.DUMMYFUNCTION("""COMPUTED_VALUE"""),"")</f>
        <v/>
      </c>
      <c r="E380" s="134" t="str">
        <f ca="1">IFERROR(__xludf.DUMMYFUNCTION("""COMPUTED_VALUE"""),"")</f>
        <v/>
      </c>
      <c r="F380" s="134" t="str">
        <f ca="1">IFERROR(__xludf.DUMMYFUNCTION("""COMPUTED_VALUE"""),"")</f>
        <v/>
      </c>
      <c r="G380" s="134" t="str">
        <f ca="1">IFERROR(__xludf.DUMMYFUNCTION("""COMPUTED_VALUE"""),"")</f>
        <v/>
      </c>
      <c r="H380" s="134" t="str">
        <f ca="1">IFERROR(__xludf.DUMMYFUNCTION("""COMPUTED_VALUE"""),"")</f>
        <v/>
      </c>
      <c r="I380" s="134" t="str">
        <f ca="1">IFERROR(__xludf.DUMMYFUNCTION("""COMPUTED_VALUE"""),"")</f>
        <v/>
      </c>
      <c r="J380" s="134" t="str">
        <f ca="1">IFERROR(__xludf.DUMMYFUNCTION("""COMPUTED_VALUE"""),"")</f>
        <v/>
      </c>
      <c r="N380" s="31"/>
    </row>
    <row r="381" spans="1:14" customFormat="1">
      <c r="C381" s="134" t="str">
        <f ca="1">IFERROR(__xludf.DUMMYFUNCTION("""COMPUTED_VALUE"""),"")</f>
        <v/>
      </c>
      <c r="D381" s="134" t="str">
        <f ca="1">IFERROR(__xludf.DUMMYFUNCTION("""COMPUTED_VALUE"""),"")</f>
        <v/>
      </c>
      <c r="E381" s="134" t="str">
        <f ca="1">IFERROR(__xludf.DUMMYFUNCTION("""COMPUTED_VALUE"""),"")</f>
        <v/>
      </c>
      <c r="F381" s="134" t="str">
        <f ca="1">IFERROR(__xludf.DUMMYFUNCTION("""COMPUTED_VALUE"""),"")</f>
        <v/>
      </c>
      <c r="G381" s="134" t="str">
        <f ca="1">IFERROR(__xludf.DUMMYFUNCTION("""COMPUTED_VALUE"""),"")</f>
        <v/>
      </c>
      <c r="H381" s="134" t="str">
        <f ca="1">IFERROR(__xludf.DUMMYFUNCTION("""COMPUTED_VALUE"""),"")</f>
        <v/>
      </c>
      <c r="I381" s="134" t="str">
        <f ca="1">IFERROR(__xludf.DUMMYFUNCTION("""COMPUTED_VALUE"""),"")</f>
        <v/>
      </c>
      <c r="J381" s="134" t="str">
        <f ca="1">IFERROR(__xludf.DUMMYFUNCTION("""COMPUTED_VALUE"""),"")</f>
        <v/>
      </c>
      <c r="N381" s="31"/>
    </row>
    <row r="382" spans="1:14" customFormat="1" ht="14.25">
      <c r="N382" s="31"/>
    </row>
    <row r="383" spans="1:14" customFormat="1" ht="14.25">
      <c r="N383" s="31"/>
    </row>
    <row r="384" spans="1:14" customFormat="1" ht="14.25">
      <c r="N384" s="31"/>
    </row>
    <row r="385" spans="14:14" customFormat="1" ht="14.25">
      <c r="N385" s="31"/>
    </row>
    <row r="386" spans="14:14" customFormat="1" ht="14.25">
      <c r="N386" s="31"/>
    </row>
    <row r="387" spans="14:14" customFormat="1" ht="14.25">
      <c r="N387" s="31"/>
    </row>
    <row r="388" spans="14:14" customFormat="1" ht="14.25">
      <c r="N388" s="31"/>
    </row>
    <row r="389" spans="14:14" customFormat="1" ht="14.25">
      <c r="N389" s="31"/>
    </row>
    <row r="390" spans="14:14" customFormat="1" ht="14.25">
      <c r="N390" s="31"/>
    </row>
    <row r="391" spans="14:14" customFormat="1" ht="14.25">
      <c r="N391" s="31"/>
    </row>
    <row r="392" spans="14:14" customFormat="1" ht="14.25">
      <c r="N392" s="31"/>
    </row>
    <row r="393" spans="14:14" customFormat="1" ht="14.25">
      <c r="N393" s="31"/>
    </row>
    <row r="394" spans="14:14" customFormat="1" ht="14.25">
      <c r="N394" s="31"/>
    </row>
    <row r="395" spans="14:14" customFormat="1" ht="14.25">
      <c r="N395" s="31"/>
    </row>
    <row r="396" spans="14:14" customFormat="1" ht="14.25">
      <c r="N396" s="31"/>
    </row>
    <row r="397" spans="14:14" customFormat="1" ht="14.25">
      <c r="N397" s="31"/>
    </row>
    <row r="398" spans="14:14" customFormat="1" ht="14.25">
      <c r="N398" s="31"/>
    </row>
    <row r="399" spans="14:14" customFormat="1" ht="14.25">
      <c r="N399" s="31"/>
    </row>
    <row r="400" spans="14:14" customFormat="1" ht="14.25">
      <c r="N400" s="31"/>
    </row>
    <row r="401" spans="14:14" customFormat="1" ht="14.25">
      <c r="N401" s="31"/>
    </row>
    <row r="402" spans="14:14" customFormat="1" ht="14.25">
      <c r="N402" s="31"/>
    </row>
    <row r="403" spans="14:14" customFormat="1" ht="14.25">
      <c r="N403" s="31"/>
    </row>
    <row r="404" spans="14:14" customFormat="1" ht="14.25">
      <c r="N404" s="31"/>
    </row>
    <row r="405" spans="14:14" customFormat="1" ht="14.25">
      <c r="N405" s="31"/>
    </row>
    <row r="406" spans="14:14" customFormat="1" ht="14.25">
      <c r="N406" s="31"/>
    </row>
    <row r="407" spans="14:14" customFormat="1" ht="14.25">
      <c r="N407" s="31"/>
    </row>
    <row r="408" spans="14:14" customFormat="1" ht="14.25">
      <c r="N408" s="31"/>
    </row>
    <row r="409" spans="14:14" customFormat="1" ht="14.25">
      <c r="N409" s="31"/>
    </row>
    <row r="410" spans="14:14" customFormat="1" ht="14.25">
      <c r="N410" s="31"/>
    </row>
    <row r="411" spans="14:14" customFormat="1" ht="14.25">
      <c r="N411" s="31"/>
    </row>
    <row r="412" spans="14:14" customFormat="1" ht="14.25">
      <c r="N412" s="31"/>
    </row>
    <row r="413" spans="14:14" customFormat="1" ht="14.25">
      <c r="N413" s="31"/>
    </row>
    <row r="414" spans="14:14" customFormat="1" ht="14.25">
      <c r="N414" s="31"/>
    </row>
    <row r="415" spans="14:14" customFormat="1" ht="14.25">
      <c r="N415" s="31"/>
    </row>
    <row r="416" spans="14:14" customFormat="1" ht="14.25">
      <c r="N416" s="31"/>
    </row>
    <row r="417" spans="14:14" customFormat="1" ht="14.25">
      <c r="N417" s="31"/>
    </row>
    <row r="418" spans="14:14" customFormat="1" ht="14.25">
      <c r="N418" s="31"/>
    </row>
    <row r="419" spans="14:14" customFormat="1" ht="14.25">
      <c r="N419" s="31"/>
    </row>
    <row r="420" spans="14:14" customFormat="1" ht="14.25">
      <c r="N420" s="31"/>
    </row>
    <row r="421" spans="14:14" customFormat="1" ht="14.25">
      <c r="N421" s="31"/>
    </row>
    <row r="422" spans="14:14" customFormat="1" ht="14.25">
      <c r="N422" s="31"/>
    </row>
    <row r="423" spans="14:14" customFormat="1" ht="14.25">
      <c r="N423" s="31"/>
    </row>
    <row r="424" spans="14:14" customFormat="1" ht="14.25">
      <c r="N424" s="31"/>
    </row>
    <row r="425" spans="14:14" customFormat="1" ht="14.25">
      <c r="N425" s="31"/>
    </row>
    <row r="426" spans="14:14" customFormat="1" ht="14.25">
      <c r="N426" s="31"/>
    </row>
    <row r="427" spans="14:14" customFormat="1" ht="14.25">
      <c r="N427" s="31"/>
    </row>
    <row r="428" spans="14:14" customFormat="1" ht="14.25">
      <c r="N428" s="31"/>
    </row>
    <row r="429" spans="14:14" customFormat="1" ht="14.25">
      <c r="N429" s="31"/>
    </row>
    <row r="430" spans="14:14" customFormat="1" ht="14.25">
      <c r="N430" s="31"/>
    </row>
    <row r="431" spans="14:14" customFormat="1" ht="14.25">
      <c r="N431" s="31"/>
    </row>
    <row r="432" spans="14:14" customFormat="1" ht="14.25">
      <c r="N432" s="31"/>
    </row>
    <row r="433" spans="14:14" customFormat="1" ht="14.25">
      <c r="N433" s="31"/>
    </row>
    <row r="434" spans="14:14" customFormat="1" ht="14.25">
      <c r="N434" s="31"/>
    </row>
    <row r="435" spans="14:14" customFormat="1" ht="14.25">
      <c r="N435" s="31"/>
    </row>
    <row r="436" spans="14:14" customFormat="1" ht="14.25">
      <c r="N436" s="31"/>
    </row>
    <row r="437" spans="14:14" customFormat="1" ht="14.25">
      <c r="N437" s="31"/>
    </row>
    <row r="438" spans="14:14" customFormat="1" ht="14.25">
      <c r="N438" s="31"/>
    </row>
    <row r="439" spans="14:14" customFormat="1" ht="14.25">
      <c r="N439" s="31"/>
    </row>
    <row r="440" spans="14:14" customFormat="1" ht="14.25">
      <c r="N440" s="31"/>
    </row>
    <row r="441" spans="14:14" customFormat="1" ht="14.25">
      <c r="N441" s="31"/>
    </row>
    <row r="442" spans="14:14" customFormat="1" ht="14.25">
      <c r="N442" s="31"/>
    </row>
    <row r="443" spans="14:14" customFormat="1" ht="14.25">
      <c r="N443" s="31"/>
    </row>
    <row r="444" spans="14:14" customFormat="1" ht="14.25">
      <c r="N444" s="31"/>
    </row>
    <row r="445" spans="14:14" customFormat="1" ht="14.25">
      <c r="N445" s="31"/>
    </row>
    <row r="446" spans="14:14" customFormat="1" ht="14.25">
      <c r="N446" s="31"/>
    </row>
    <row r="447" spans="14:14" customFormat="1" ht="14.25">
      <c r="N447" s="31"/>
    </row>
    <row r="448" spans="14:14" customFormat="1" ht="14.25">
      <c r="N448" s="31"/>
    </row>
    <row r="449" spans="14:14" customFormat="1" ht="14.25">
      <c r="N449" s="31"/>
    </row>
    <row r="450" spans="14:14" customFormat="1" ht="14.25">
      <c r="N450" s="31"/>
    </row>
    <row r="451" spans="14:14" customFormat="1" ht="14.25">
      <c r="N451" s="31"/>
    </row>
    <row r="452" spans="14:14" customFormat="1" ht="14.25">
      <c r="N452" s="31"/>
    </row>
    <row r="453" spans="14:14" customFormat="1" ht="14.25">
      <c r="N453" s="31"/>
    </row>
    <row r="454" spans="14:14" customFormat="1" ht="14.25">
      <c r="N454" s="31"/>
    </row>
    <row r="455" spans="14:14" customFormat="1" ht="14.25">
      <c r="N455" s="31"/>
    </row>
    <row r="456" spans="14:14" customFormat="1" ht="14.25">
      <c r="N456" s="31"/>
    </row>
    <row r="457" spans="14:14" customFormat="1" ht="14.25">
      <c r="N457" s="31"/>
    </row>
    <row r="458" spans="14:14" customFormat="1" ht="14.25">
      <c r="N458" s="31"/>
    </row>
    <row r="459" spans="14:14" customFormat="1" ht="14.25">
      <c r="N459" s="31"/>
    </row>
    <row r="460" spans="14:14" customFormat="1" ht="14.25">
      <c r="N460" s="31"/>
    </row>
    <row r="461" spans="14:14" customFormat="1" ht="14.25">
      <c r="N461" s="31"/>
    </row>
    <row r="462" spans="14:14" customFormat="1" ht="14.25">
      <c r="N462" s="31"/>
    </row>
    <row r="463" spans="14:14" customFormat="1" ht="14.25">
      <c r="N463" s="31"/>
    </row>
    <row r="464" spans="14:14" customFormat="1" ht="14.25">
      <c r="N464" s="31"/>
    </row>
    <row r="465" spans="1:14" customFormat="1" ht="14.25">
      <c r="N465" s="31"/>
    </row>
    <row r="466" spans="1:14" customFormat="1" ht="14.25">
      <c r="N466" s="31"/>
    </row>
    <row r="467" spans="1:14" customFormat="1" ht="14.25">
      <c r="N467" s="31"/>
    </row>
    <row r="468" spans="1:14" customFormat="1" ht="14.25">
      <c r="A468" s="28"/>
      <c r="B468" s="28"/>
      <c r="N468" s="31"/>
    </row>
  </sheetData>
  <autoFilter ref="A1:AA468" xr:uid="{00000000-0009-0000-0000-000006000000}"/>
  <mergeCells count="2">
    <mergeCell ref="D33:G33"/>
    <mergeCell ref="A33:B3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AA384"/>
  <sheetViews>
    <sheetView zoomScale="70" zoomScaleNormal="70" workbookViewId="0">
      <selection activeCell="Q1" sqref="Q1:U1048576"/>
    </sheetView>
  </sheetViews>
  <sheetFormatPr defaultColWidth="12.625" defaultRowHeight="15" customHeight="1"/>
  <cols>
    <col min="1" max="1" width="37.125" style="28" customWidth="1"/>
    <col min="2" max="2" width="12.5" style="28" customWidth="1"/>
    <col min="3" max="3" width="10.875" style="28" customWidth="1"/>
    <col min="4" max="4" width="15.75" style="28" customWidth="1"/>
    <col min="5" max="5" width="24.5" style="28" customWidth="1"/>
    <col min="6" max="6" width="22.625" style="28" customWidth="1"/>
    <col min="7" max="7" width="19.625" style="28" customWidth="1"/>
    <col min="8" max="8" width="9.125" style="28" customWidth="1"/>
    <col min="9" max="9" width="15.5" style="28" customWidth="1"/>
    <col min="10" max="10" width="14.5" style="28" hidden="1" customWidth="1"/>
    <col min="11" max="13" width="0" hidden="1" customWidth="1"/>
    <col min="14" max="14" width="0" style="31" hidden="1" customWidth="1"/>
    <col min="15" max="16" width="12.625" style="28"/>
    <col min="17" max="21" width="0" style="28" hidden="1" customWidth="1"/>
    <col min="22" max="16384" width="12.625" style="28"/>
  </cols>
  <sheetData>
    <row r="1" spans="1:27" s="236" customFormat="1" ht="45">
      <c r="A1" s="166" t="s">
        <v>1224</v>
      </c>
      <c r="B1" s="166" t="s">
        <v>1225</v>
      </c>
      <c r="C1" s="166" t="s">
        <v>1228</v>
      </c>
      <c r="D1" s="166" t="s">
        <v>1246</v>
      </c>
      <c r="E1" s="166" t="s">
        <v>1247</v>
      </c>
      <c r="F1" s="166" t="s">
        <v>1248</v>
      </c>
      <c r="G1" s="166" t="s">
        <v>18</v>
      </c>
      <c r="H1" s="166" t="s">
        <v>1249</v>
      </c>
      <c r="I1" s="166" t="s">
        <v>1250</v>
      </c>
      <c r="J1" s="166" t="s">
        <v>10</v>
      </c>
      <c r="K1" s="167" t="s">
        <v>3651</v>
      </c>
      <c r="L1" s="167" t="s">
        <v>3652</v>
      </c>
      <c r="M1" s="167" t="s">
        <v>3653</v>
      </c>
      <c r="N1" s="167" t="s">
        <v>3654</v>
      </c>
      <c r="O1" s="235">
        <v>43991</v>
      </c>
      <c r="P1" s="53" t="s">
        <v>3655</v>
      </c>
      <c r="Q1" s="89" t="s">
        <v>3656</v>
      </c>
      <c r="R1" s="53"/>
      <c r="S1" s="53" t="s">
        <v>3657</v>
      </c>
      <c r="T1" s="167" t="s">
        <v>3658</v>
      </c>
    </row>
    <row r="2" spans="1:27" s="57" customFormat="1">
      <c r="A2" s="181" t="s">
        <v>1703</v>
      </c>
      <c r="B2" s="181" t="s">
        <v>343</v>
      </c>
      <c r="C2" s="181" t="s">
        <v>1290</v>
      </c>
      <c r="D2" s="181" t="s">
        <v>1704</v>
      </c>
      <c r="E2" s="181" t="s">
        <v>1705</v>
      </c>
      <c r="F2" s="181" t="s">
        <v>1402</v>
      </c>
      <c r="G2" s="181" t="s">
        <v>18</v>
      </c>
      <c r="H2" s="181" t="s">
        <v>1298</v>
      </c>
      <c r="I2" s="181">
        <v>116</v>
      </c>
      <c r="J2" s="181" t="s">
        <v>3659</v>
      </c>
      <c r="K2" s="142">
        <v>3.2222222222222223</v>
      </c>
      <c r="L2" s="142">
        <v>3.9722222222222223</v>
      </c>
      <c r="M2" s="221">
        <v>10</v>
      </c>
      <c r="N2" s="132">
        <v>1</v>
      </c>
      <c r="O2" s="84">
        <f>$O$1+N2</f>
        <v>43992</v>
      </c>
      <c r="P2" s="155" t="s">
        <v>3679</v>
      </c>
      <c r="Q2" s="74">
        <f>ROUNDUP(I2/$R$2,0)</f>
        <v>3</v>
      </c>
      <c r="R2" s="155">
        <v>50</v>
      </c>
      <c r="S2" s="155" t="s">
        <v>3661</v>
      </c>
      <c r="T2" s="155">
        <v>4</v>
      </c>
      <c r="U2" s="155"/>
      <c r="V2" s="155"/>
      <c r="W2" s="155"/>
      <c r="X2" s="155"/>
      <c r="Y2" s="155"/>
      <c r="Z2" s="155"/>
      <c r="AA2" s="155"/>
    </row>
    <row r="3" spans="1:27" s="57" customFormat="1">
      <c r="A3" s="181" t="s">
        <v>2611</v>
      </c>
      <c r="B3" s="181" t="s">
        <v>343</v>
      </c>
      <c r="C3" s="181" t="s">
        <v>1290</v>
      </c>
      <c r="D3" s="181" t="s">
        <v>2612</v>
      </c>
      <c r="E3" s="181" t="s">
        <v>2613</v>
      </c>
      <c r="F3" s="181" t="s">
        <v>2614</v>
      </c>
      <c r="G3" s="181" t="s">
        <v>18</v>
      </c>
      <c r="H3" s="181" t="s">
        <v>1298</v>
      </c>
      <c r="I3" s="181">
        <v>111</v>
      </c>
      <c r="J3" s="181" t="s">
        <v>3659</v>
      </c>
      <c r="K3" s="142">
        <v>3.0833333333333335</v>
      </c>
      <c r="L3" s="142">
        <v>3.8333333333333335</v>
      </c>
      <c r="M3" s="194"/>
      <c r="N3" s="74">
        <v>1</v>
      </c>
      <c r="O3" s="84">
        <f t="shared" ref="O3:O65" si="0">$O$1+N3</f>
        <v>43992</v>
      </c>
      <c r="P3" s="172" t="s">
        <v>3765</v>
      </c>
      <c r="Q3" s="74">
        <f t="shared" ref="Q3:Q65" si="1">ROUNDUP(I3/$R$2,0)</f>
        <v>3</v>
      </c>
      <c r="S3" s="207" t="s">
        <v>3661</v>
      </c>
      <c r="T3" s="57">
        <v>4</v>
      </c>
    </row>
    <row r="4" spans="1:27" s="57" customFormat="1">
      <c r="A4" s="181" t="s">
        <v>779</v>
      </c>
      <c r="B4" s="181" t="s">
        <v>1527</v>
      </c>
      <c r="C4" s="181" t="s">
        <v>1290</v>
      </c>
      <c r="D4" s="181" t="s">
        <v>2844</v>
      </c>
      <c r="E4" s="181" t="s">
        <v>2845</v>
      </c>
      <c r="F4" s="181" t="s">
        <v>1402</v>
      </c>
      <c r="G4" s="181" t="s">
        <v>18</v>
      </c>
      <c r="H4" s="181" t="s">
        <v>19</v>
      </c>
      <c r="I4" s="181">
        <v>50</v>
      </c>
      <c r="J4" s="181" t="s">
        <v>3659</v>
      </c>
      <c r="K4" s="142">
        <v>1.3888888888888888</v>
      </c>
      <c r="L4" s="142">
        <v>2.1388888888888888</v>
      </c>
      <c r="M4" s="194"/>
      <c r="N4" s="132">
        <v>2</v>
      </c>
      <c r="O4" s="84">
        <f t="shared" si="0"/>
        <v>43993</v>
      </c>
      <c r="P4" s="172" t="s">
        <v>3779</v>
      </c>
      <c r="Q4" s="74">
        <f t="shared" si="1"/>
        <v>1</v>
      </c>
    </row>
    <row r="5" spans="1:27" s="57" customFormat="1">
      <c r="A5" s="181" t="s">
        <v>1399</v>
      </c>
      <c r="B5" s="181" t="s">
        <v>1312</v>
      </c>
      <c r="C5" s="181" t="s">
        <v>1290</v>
      </c>
      <c r="D5" s="181" t="s">
        <v>1400</v>
      </c>
      <c r="E5" s="181" t="s">
        <v>1401</v>
      </c>
      <c r="F5" s="181" t="s">
        <v>1402</v>
      </c>
      <c r="G5" s="181" t="s">
        <v>18</v>
      </c>
      <c r="H5" s="181" t="s">
        <v>1298</v>
      </c>
      <c r="I5" s="181">
        <v>100</v>
      </c>
      <c r="J5" s="181" t="s">
        <v>3659</v>
      </c>
      <c r="K5" s="142">
        <v>2.7777777777777777</v>
      </c>
      <c r="L5" s="142">
        <v>3.5277777777777777</v>
      </c>
      <c r="M5" s="194"/>
      <c r="N5" s="132">
        <v>2</v>
      </c>
      <c r="O5" s="84">
        <f t="shared" si="0"/>
        <v>43993</v>
      </c>
      <c r="P5" s="172" t="s">
        <v>3780</v>
      </c>
      <c r="Q5" s="74">
        <f t="shared" si="1"/>
        <v>2</v>
      </c>
    </row>
    <row r="6" spans="1:27" s="57" customFormat="1">
      <c r="A6" s="181" t="s">
        <v>2475</v>
      </c>
      <c r="B6" s="181" t="s">
        <v>2423</v>
      </c>
      <c r="C6" s="181" t="s">
        <v>1290</v>
      </c>
      <c r="D6" s="181" t="s">
        <v>2476</v>
      </c>
      <c r="E6" s="181" t="s">
        <v>2477</v>
      </c>
      <c r="F6" s="181" t="s">
        <v>1402</v>
      </c>
      <c r="G6" s="181" t="s">
        <v>18</v>
      </c>
      <c r="H6" s="181" t="s">
        <v>1298</v>
      </c>
      <c r="I6" s="181">
        <v>93</v>
      </c>
      <c r="J6" s="181" t="s">
        <v>3659</v>
      </c>
      <c r="K6" s="142">
        <v>2.5833333333333335</v>
      </c>
      <c r="L6" s="142">
        <v>3.3333333333333335</v>
      </c>
      <c r="M6" s="194"/>
      <c r="N6" s="132">
        <v>3</v>
      </c>
      <c r="O6" s="84">
        <f t="shared" si="0"/>
        <v>43994</v>
      </c>
      <c r="P6" s="172" t="s">
        <v>3762</v>
      </c>
      <c r="Q6" s="74">
        <f t="shared" si="1"/>
        <v>2</v>
      </c>
    </row>
    <row r="7" spans="1:27" s="57" customFormat="1">
      <c r="A7" s="181" t="s">
        <v>1929</v>
      </c>
      <c r="B7" s="181" t="s">
        <v>1903</v>
      </c>
      <c r="C7" s="181" t="s">
        <v>1290</v>
      </c>
      <c r="D7" s="181" t="s">
        <v>1930</v>
      </c>
      <c r="E7" s="181" t="s">
        <v>1931</v>
      </c>
      <c r="F7" s="181" t="s">
        <v>1932</v>
      </c>
      <c r="G7" s="181" t="s">
        <v>18</v>
      </c>
      <c r="H7" s="181" t="s">
        <v>30</v>
      </c>
      <c r="I7" s="181">
        <v>87</v>
      </c>
      <c r="J7" s="181" t="s">
        <v>3659</v>
      </c>
      <c r="K7" s="142">
        <v>2.4166666666666665</v>
      </c>
      <c r="L7" s="142">
        <v>3.1666666666666665</v>
      </c>
      <c r="M7" s="194"/>
      <c r="N7" s="132">
        <v>3</v>
      </c>
      <c r="O7" s="84">
        <f t="shared" si="0"/>
        <v>43994</v>
      </c>
      <c r="P7" s="172" t="s">
        <v>3721</v>
      </c>
      <c r="Q7" s="74">
        <f t="shared" si="1"/>
        <v>2</v>
      </c>
    </row>
    <row r="8" spans="1:27" s="57" customFormat="1">
      <c r="A8" s="181" t="s">
        <v>2833</v>
      </c>
      <c r="B8" s="181" t="s">
        <v>343</v>
      </c>
      <c r="C8" s="181" t="s">
        <v>1290</v>
      </c>
      <c r="D8" s="181" t="s">
        <v>2835</v>
      </c>
      <c r="E8" s="181" t="s">
        <v>2836</v>
      </c>
      <c r="F8" s="181" t="s">
        <v>2837</v>
      </c>
      <c r="G8" s="181" t="s">
        <v>18</v>
      </c>
      <c r="H8" s="181" t="s">
        <v>1298</v>
      </c>
      <c r="I8" s="181">
        <v>150</v>
      </c>
      <c r="J8" s="181" t="s">
        <v>3659</v>
      </c>
      <c r="K8" s="142">
        <v>4.166666666666667</v>
      </c>
      <c r="L8" s="142">
        <v>4.916666666666667</v>
      </c>
      <c r="M8" s="194"/>
      <c r="N8" s="74">
        <v>4</v>
      </c>
      <c r="O8" s="84">
        <f t="shared" si="0"/>
        <v>43995</v>
      </c>
      <c r="P8" s="172" t="s">
        <v>3660</v>
      </c>
      <c r="Q8" s="74">
        <f t="shared" si="1"/>
        <v>3</v>
      </c>
    </row>
    <row r="9" spans="1:27" s="57" customFormat="1">
      <c r="A9" s="181" t="s">
        <v>2097</v>
      </c>
      <c r="B9" s="181" t="s">
        <v>343</v>
      </c>
      <c r="C9" s="181" t="s">
        <v>1290</v>
      </c>
      <c r="D9" s="181" t="s">
        <v>2098</v>
      </c>
      <c r="E9" s="181" t="s">
        <v>2099</v>
      </c>
      <c r="F9" s="181" t="s">
        <v>1932</v>
      </c>
      <c r="G9" s="181" t="s">
        <v>18</v>
      </c>
      <c r="H9" s="181" t="s">
        <v>1298</v>
      </c>
      <c r="I9" s="181">
        <v>125</v>
      </c>
      <c r="J9" s="181" t="s">
        <v>3659</v>
      </c>
      <c r="K9" s="142">
        <v>3.4722222222222223</v>
      </c>
      <c r="L9" s="142">
        <v>4.2222222222222223</v>
      </c>
      <c r="M9" s="194"/>
      <c r="N9" s="74">
        <v>4</v>
      </c>
      <c r="O9" s="84">
        <f t="shared" si="0"/>
        <v>43995</v>
      </c>
      <c r="P9" s="172" t="s">
        <v>3754</v>
      </c>
      <c r="Q9" s="74">
        <f t="shared" si="1"/>
        <v>3</v>
      </c>
    </row>
    <row r="10" spans="1:27" s="57" customFormat="1">
      <c r="A10" s="181" t="s">
        <v>1158</v>
      </c>
      <c r="B10" s="181" t="s">
        <v>1303</v>
      </c>
      <c r="C10" s="181" t="s">
        <v>1290</v>
      </c>
      <c r="D10" s="181" t="s">
        <v>3084</v>
      </c>
      <c r="E10" s="181" t="s">
        <v>3085</v>
      </c>
      <c r="F10" s="181" t="s">
        <v>1505</v>
      </c>
      <c r="G10" s="181" t="s">
        <v>18</v>
      </c>
      <c r="H10" s="181" t="s">
        <v>1298</v>
      </c>
      <c r="I10" s="181">
        <v>165</v>
      </c>
      <c r="J10" s="181" t="s">
        <v>3659</v>
      </c>
      <c r="K10" s="142">
        <v>4.583333333333333</v>
      </c>
      <c r="L10" s="142">
        <v>5.333333333333333</v>
      </c>
      <c r="M10" s="194"/>
      <c r="N10" s="132">
        <v>6</v>
      </c>
      <c r="O10" s="84">
        <f t="shared" si="0"/>
        <v>43997</v>
      </c>
      <c r="P10" s="172" t="s">
        <v>3781</v>
      </c>
      <c r="Q10" s="74">
        <f t="shared" si="1"/>
        <v>4</v>
      </c>
    </row>
    <row r="11" spans="1:27" s="57" customFormat="1">
      <c r="A11" s="181" t="s">
        <v>617</v>
      </c>
      <c r="B11" s="181"/>
      <c r="C11" s="181" t="s">
        <v>1290</v>
      </c>
      <c r="D11" s="181" t="s">
        <v>2364</v>
      </c>
      <c r="E11" s="181" t="s">
        <v>2365</v>
      </c>
      <c r="F11" s="181" t="s">
        <v>1505</v>
      </c>
      <c r="G11" s="181" t="s">
        <v>18</v>
      </c>
      <c r="H11" s="181" t="s">
        <v>19</v>
      </c>
      <c r="I11" s="181">
        <v>150</v>
      </c>
      <c r="J11" s="181" t="s">
        <v>3659</v>
      </c>
      <c r="K11" s="142">
        <v>4.166666666666667</v>
      </c>
      <c r="L11" s="142">
        <v>4.916666666666667</v>
      </c>
      <c r="M11" s="194"/>
      <c r="N11" s="132">
        <v>7</v>
      </c>
      <c r="O11" s="84">
        <f t="shared" si="0"/>
        <v>43998</v>
      </c>
      <c r="P11" s="155" t="s">
        <v>3660</v>
      </c>
      <c r="Q11" s="74">
        <f t="shared" si="1"/>
        <v>3</v>
      </c>
      <c r="R11" s="155"/>
      <c r="S11" s="155"/>
      <c r="T11" s="155"/>
      <c r="U11" s="155"/>
      <c r="V11" s="155"/>
      <c r="W11" s="155"/>
      <c r="X11" s="155"/>
      <c r="Y11" s="155"/>
      <c r="Z11" s="155"/>
      <c r="AA11" s="155"/>
    </row>
    <row r="12" spans="1:27" s="57" customFormat="1">
      <c r="A12" s="181" t="s">
        <v>1502</v>
      </c>
      <c r="B12" s="181" t="s">
        <v>343</v>
      </c>
      <c r="C12" s="181" t="s">
        <v>1290</v>
      </c>
      <c r="D12" s="181" t="s">
        <v>1503</v>
      </c>
      <c r="E12" s="181" t="s">
        <v>1504</v>
      </c>
      <c r="F12" s="181" t="s">
        <v>1505</v>
      </c>
      <c r="G12" s="181" t="s">
        <v>18</v>
      </c>
      <c r="H12" s="181" t="s">
        <v>1298</v>
      </c>
      <c r="I12" s="181">
        <v>100</v>
      </c>
      <c r="J12" s="181" t="s">
        <v>3659</v>
      </c>
      <c r="K12" s="142">
        <v>2.7777777777777777</v>
      </c>
      <c r="L12" s="142">
        <v>3.5277777777777777</v>
      </c>
      <c r="M12" s="194"/>
      <c r="N12" s="132">
        <v>7</v>
      </c>
      <c r="O12" s="84">
        <f t="shared" si="0"/>
        <v>43998</v>
      </c>
      <c r="P12" s="172" t="s">
        <v>3685</v>
      </c>
      <c r="Q12" s="74">
        <f t="shared" si="1"/>
        <v>2</v>
      </c>
    </row>
    <row r="13" spans="1:27" s="57" customFormat="1">
      <c r="A13" s="181" t="s">
        <v>1834</v>
      </c>
      <c r="B13" s="181" t="s">
        <v>343</v>
      </c>
      <c r="C13" s="181" t="s">
        <v>1290</v>
      </c>
      <c r="D13" s="181" t="s">
        <v>1835</v>
      </c>
      <c r="E13" s="181" t="s">
        <v>1836</v>
      </c>
      <c r="F13" s="181" t="s">
        <v>1837</v>
      </c>
      <c r="G13" s="181" t="s">
        <v>18</v>
      </c>
      <c r="H13" s="181" t="s">
        <v>1298</v>
      </c>
      <c r="I13" s="181">
        <v>55</v>
      </c>
      <c r="J13" s="181" t="s">
        <v>3659</v>
      </c>
      <c r="K13" s="142">
        <v>1.5277777777777777</v>
      </c>
      <c r="L13" s="142">
        <v>2.2777777777777777</v>
      </c>
      <c r="M13" s="194"/>
      <c r="N13" s="132">
        <v>8</v>
      </c>
      <c r="O13" s="84">
        <f t="shared" si="0"/>
        <v>43999</v>
      </c>
      <c r="P13" s="155" t="s">
        <v>3724</v>
      </c>
      <c r="Q13" s="74">
        <f t="shared" si="1"/>
        <v>2</v>
      </c>
      <c r="R13" s="155"/>
      <c r="S13" s="155"/>
      <c r="T13" s="155"/>
      <c r="U13" s="155"/>
      <c r="V13" s="155"/>
      <c r="W13" s="155"/>
      <c r="X13" s="155"/>
      <c r="Y13" s="155"/>
      <c r="Z13" s="155"/>
      <c r="AA13" s="155"/>
    </row>
    <row r="14" spans="1:27" s="57" customFormat="1">
      <c r="A14" s="181" t="s">
        <v>651</v>
      </c>
      <c r="B14" s="181" t="s">
        <v>1527</v>
      </c>
      <c r="C14" s="181" t="s">
        <v>1290</v>
      </c>
      <c r="D14" s="181" t="s">
        <v>2411</v>
      </c>
      <c r="E14" s="181" t="s">
        <v>2412</v>
      </c>
      <c r="F14" s="181" t="s">
        <v>2413</v>
      </c>
      <c r="G14" s="181" t="s">
        <v>18</v>
      </c>
      <c r="H14" s="181" t="s">
        <v>30</v>
      </c>
      <c r="I14" s="181">
        <v>40</v>
      </c>
      <c r="J14" s="181" t="s">
        <v>3659</v>
      </c>
      <c r="K14" s="142">
        <v>1.1111111111111112</v>
      </c>
      <c r="L14" s="142">
        <v>1.8611111111111112</v>
      </c>
      <c r="M14" s="194"/>
      <c r="N14" s="132">
        <v>8</v>
      </c>
      <c r="O14" s="84">
        <f t="shared" si="0"/>
        <v>43999</v>
      </c>
      <c r="P14" s="155" t="s">
        <v>3782</v>
      </c>
      <c r="Q14" s="74">
        <f t="shared" si="1"/>
        <v>1</v>
      </c>
      <c r="R14" s="155"/>
      <c r="S14" s="155"/>
      <c r="T14" s="155"/>
      <c r="U14" s="155"/>
      <c r="V14" s="155"/>
      <c r="W14" s="155"/>
      <c r="X14" s="155"/>
      <c r="Y14" s="155"/>
      <c r="Z14" s="155"/>
      <c r="AA14" s="155"/>
    </row>
    <row r="15" spans="1:27" s="57" customFormat="1">
      <c r="A15" s="181" t="s">
        <v>3188</v>
      </c>
      <c r="B15" s="181" t="s">
        <v>1312</v>
      </c>
      <c r="C15" s="181" t="s">
        <v>1290</v>
      </c>
      <c r="D15" s="181" t="s">
        <v>3189</v>
      </c>
      <c r="E15" s="181" t="s">
        <v>3190</v>
      </c>
      <c r="F15" s="181" t="s">
        <v>3191</v>
      </c>
      <c r="G15" s="181" t="s">
        <v>18</v>
      </c>
      <c r="H15" s="181" t="s">
        <v>1298</v>
      </c>
      <c r="I15" s="181">
        <v>109</v>
      </c>
      <c r="J15" s="181" t="s">
        <v>3659</v>
      </c>
      <c r="K15" s="142">
        <v>3.0277777777777777</v>
      </c>
      <c r="L15" s="142">
        <v>3.7777777777777777</v>
      </c>
      <c r="M15" s="194"/>
      <c r="N15" s="132">
        <v>8</v>
      </c>
      <c r="O15" s="84">
        <f t="shared" si="0"/>
        <v>43999</v>
      </c>
      <c r="P15" s="155" t="s">
        <v>3685</v>
      </c>
      <c r="Q15" s="74">
        <f t="shared" si="1"/>
        <v>3</v>
      </c>
      <c r="R15" s="155"/>
      <c r="S15" s="155"/>
      <c r="T15" s="155"/>
      <c r="U15" s="155"/>
      <c r="V15" s="155"/>
      <c r="W15" s="155"/>
      <c r="X15" s="155"/>
      <c r="Y15" s="155"/>
      <c r="Z15" s="155"/>
      <c r="AA15" s="155"/>
    </row>
    <row r="16" spans="1:27" s="57" customFormat="1">
      <c r="A16" s="181" t="s">
        <v>3120</v>
      </c>
      <c r="B16" s="181" t="s">
        <v>343</v>
      </c>
      <c r="C16" s="181" t="s">
        <v>1290</v>
      </c>
      <c r="D16" s="181" t="s">
        <v>3121</v>
      </c>
      <c r="E16" s="181" t="s">
        <v>3122</v>
      </c>
      <c r="F16" s="181" t="s">
        <v>3123</v>
      </c>
      <c r="G16" s="181" t="s">
        <v>18</v>
      </c>
      <c r="H16" s="181" t="s">
        <v>1298</v>
      </c>
      <c r="I16" s="181">
        <v>94</v>
      </c>
      <c r="J16" s="181" t="s">
        <v>3665</v>
      </c>
      <c r="K16" s="142">
        <v>2.6111111111111112</v>
      </c>
      <c r="L16" s="142">
        <v>3.3611111111111112</v>
      </c>
      <c r="M16" s="194"/>
      <c r="N16" s="132">
        <v>9</v>
      </c>
      <c r="O16" s="84">
        <f t="shared" si="0"/>
        <v>44000</v>
      </c>
      <c r="P16" s="155" t="s">
        <v>3679</v>
      </c>
      <c r="Q16" s="74">
        <f t="shared" si="1"/>
        <v>2</v>
      </c>
      <c r="R16" s="155"/>
      <c r="S16" s="155"/>
      <c r="T16" s="155"/>
      <c r="U16" s="155"/>
      <c r="V16" s="155"/>
      <c r="W16" s="155"/>
      <c r="X16" s="155"/>
      <c r="Y16" s="155"/>
      <c r="Z16" s="155"/>
      <c r="AA16" s="155"/>
    </row>
    <row r="17" spans="1:27" s="57" customFormat="1">
      <c r="A17" s="181" t="s">
        <v>1050</v>
      </c>
      <c r="B17" s="181" t="s">
        <v>2027</v>
      </c>
      <c r="C17" s="181" t="s">
        <v>1290</v>
      </c>
      <c r="D17" s="181" t="s">
        <v>3244</v>
      </c>
      <c r="E17" s="181" t="s">
        <v>3245</v>
      </c>
      <c r="F17" s="181" t="s">
        <v>3191</v>
      </c>
      <c r="G17" s="181" t="s">
        <v>18</v>
      </c>
      <c r="H17" s="181"/>
      <c r="I17" s="181">
        <v>90</v>
      </c>
      <c r="J17" s="181" t="s">
        <v>3659</v>
      </c>
      <c r="K17" s="142">
        <v>2.5</v>
      </c>
      <c r="L17" s="142">
        <v>3.25</v>
      </c>
      <c r="M17" s="194"/>
      <c r="N17" s="132">
        <v>9</v>
      </c>
      <c r="O17" s="84">
        <f t="shared" si="0"/>
        <v>44000</v>
      </c>
      <c r="P17" s="155" t="s">
        <v>3765</v>
      </c>
      <c r="Q17" s="74">
        <f t="shared" si="1"/>
        <v>2</v>
      </c>
      <c r="R17" s="155"/>
      <c r="S17" s="155"/>
      <c r="T17" s="155"/>
      <c r="U17" s="155"/>
      <c r="V17" s="155"/>
      <c r="W17" s="155"/>
      <c r="X17" s="155"/>
      <c r="Y17" s="155"/>
      <c r="Z17" s="155"/>
      <c r="AA17" s="155"/>
    </row>
    <row r="18" spans="1:27" s="57" customFormat="1">
      <c r="A18" s="181" t="s">
        <v>699</v>
      </c>
      <c r="B18" s="181" t="s">
        <v>2638</v>
      </c>
      <c r="C18" s="181" t="s">
        <v>1290</v>
      </c>
      <c r="D18" s="181" t="s">
        <v>2640</v>
      </c>
      <c r="E18" s="181" t="s">
        <v>2641</v>
      </c>
      <c r="F18" s="181" t="s">
        <v>2267</v>
      </c>
      <c r="G18" s="181" t="s">
        <v>18</v>
      </c>
      <c r="H18" s="181" t="s">
        <v>30</v>
      </c>
      <c r="I18" s="181">
        <v>146</v>
      </c>
      <c r="J18" s="181" t="s">
        <v>3665</v>
      </c>
      <c r="K18" s="142">
        <v>4.0555555555555554</v>
      </c>
      <c r="L18" s="142">
        <v>4.8055555555555554</v>
      </c>
      <c r="M18" s="194"/>
      <c r="N18" s="132">
        <v>10</v>
      </c>
      <c r="O18" s="84">
        <f t="shared" si="0"/>
        <v>44001</v>
      </c>
      <c r="P18" s="172" t="s">
        <v>3660</v>
      </c>
      <c r="Q18" s="74">
        <f t="shared" si="1"/>
        <v>3</v>
      </c>
    </row>
    <row r="19" spans="1:27" s="57" customFormat="1">
      <c r="A19" s="181" t="s">
        <v>1786</v>
      </c>
      <c r="B19" s="181" t="s">
        <v>343</v>
      </c>
      <c r="C19" s="181" t="s">
        <v>1290</v>
      </c>
      <c r="D19" s="181" t="s">
        <v>1787</v>
      </c>
      <c r="E19" s="181" t="s">
        <v>1788</v>
      </c>
      <c r="F19" s="181" t="s">
        <v>1789</v>
      </c>
      <c r="G19" s="181" t="s">
        <v>18</v>
      </c>
      <c r="H19" s="181" t="s">
        <v>1298</v>
      </c>
      <c r="I19" s="181">
        <v>92</v>
      </c>
      <c r="J19" s="181" t="s">
        <v>3665</v>
      </c>
      <c r="K19" s="142">
        <v>2.5555555555555554</v>
      </c>
      <c r="L19" s="142">
        <v>3.3055555555555554</v>
      </c>
      <c r="M19" s="194"/>
      <c r="N19" s="74">
        <v>11</v>
      </c>
      <c r="O19" s="84">
        <f t="shared" si="0"/>
        <v>44002</v>
      </c>
      <c r="P19" s="172" t="s">
        <v>3679</v>
      </c>
      <c r="Q19" s="74">
        <f t="shared" si="1"/>
        <v>2</v>
      </c>
    </row>
    <row r="20" spans="1:27" s="57" customFormat="1">
      <c r="A20" s="181" t="s">
        <v>1021</v>
      </c>
      <c r="B20" s="181"/>
      <c r="C20" s="181" t="s">
        <v>1290</v>
      </c>
      <c r="D20" s="181" t="s">
        <v>3063</v>
      </c>
      <c r="E20" s="181" t="s">
        <v>3064</v>
      </c>
      <c r="F20" s="181" t="s">
        <v>1742</v>
      </c>
      <c r="G20" s="181" t="s">
        <v>18</v>
      </c>
      <c r="H20" s="181" t="s">
        <v>30</v>
      </c>
      <c r="I20" s="181">
        <v>50</v>
      </c>
      <c r="J20" s="181" t="s">
        <v>3665</v>
      </c>
      <c r="K20" s="142">
        <v>1.3888888888888888</v>
      </c>
      <c r="L20" s="142">
        <v>2.1388888888888888</v>
      </c>
      <c r="M20" s="194"/>
      <c r="N20" s="132">
        <v>11</v>
      </c>
      <c r="O20" s="84">
        <f t="shared" si="0"/>
        <v>44002</v>
      </c>
      <c r="P20" s="172" t="s">
        <v>3686</v>
      </c>
      <c r="Q20" s="74">
        <f t="shared" si="1"/>
        <v>1</v>
      </c>
    </row>
    <row r="21" spans="1:27" s="57" customFormat="1">
      <c r="A21" s="181" t="s">
        <v>1319</v>
      </c>
      <c r="B21" s="181" t="s">
        <v>343</v>
      </c>
      <c r="C21" s="181" t="s">
        <v>1290</v>
      </c>
      <c r="D21" s="181" t="s">
        <v>1320</v>
      </c>
      <c r="E21" s="181" t="s">
        <v>1321</v>
      </c>
      <c r="F21" s="181" t="s">
        <v>1322</v>
      </c>
      <c r="G21" s="181" t="s">
        <v>18</v>
      </c>
      <c r="H21" s="181" t="s">
        <v>1298</v>
      </c>
      <c r="I21" s="181">
        <v>251</v>
      </c>
      <c r="J21" s="181" t="s">
        <v>828</v>
      </c>
      <c r="K21" s="142">
        <v>6.9722222222222223</v>
      </c>
      <c r="L21" s="142">
        <v>7.7222222222222223</v>
      </c>
      <c r="M21" s="194"/>
      <c r="N21" s="74">
        <v>13</v>
      </c>
      <c r="O21" s="84">
        <f t="shared" si="0"/>
        <v>44004</v>
      </c>
      <c r="P21" s="155" t="s">
        <v>3714</v>
      </c>
      <c r="Q21" s="74">
        <f t="shared" si="1"/>
        <v>6</v>
      </c>
      <c r="R21" s="155"/>
      <c r="S21" s="155"/>
      <c r="T21" s="155"/>
      <c r="U21" s="155"/>
      <c r="V21" s="155"/>
      <c r="W21" s="155"/>
      <c r="X21" s="155"/>
      <c r="Y21" s="155"/>
      <c r="Z21" s="155"/>
      <c r="AA21" s="155"/>
    </row>
    <row r="22" spans="1:27" s="60" customFormat="1">
      <c r="A22" s="182" t="s">
        <v>257</v>
      </c>
      <c r="B22" s="182" t="s">
        <v>1265</v>
      </c>
      <c r="C22" s="182" t="s">
        <v>1290</v>
      </c>
      <c r="D22" s="182" t="s">
        <v>1740</v>
      </c>
      <c r="E22" s="182" t="s">
        <v>1741</v>
      </c>
      <c r="F22" s="182" t="s">
        <v>1742</v>
      </c>
      <c r="G22" s="182" t="s">
        <v>18</v>
      </c>
      <c r="H22" s="182" t="s">
        <v>30</v>
      </c>
      <c r="I22" s="182">
        <v>200</v>
      </c>
      <c r="J22" s="182" t="s">
        <v>3659</v>
      </c>
      <c r="K22" s="147">
        <v>5.5555555555555554</v>
      </c>
      <c r="L22" s="147">
        <v>6.3055555555555554</v>
      </c>
      <c r="M22" s="222">
        <v>11</v>
      </c>
      <c r="N22" s="133">
        <v>1</v>
      </c>
      <c r="O22" s="88">
        <f t="shared" si="0"/>
        <v>43992</v>
      </c>
      <c r="P22" s="154" t="s">
        <v>3701</v>
      </c>
      <c r="Q22" s="73">
        <f t="shared" si="1"/>
        <v>4</v>
      </c>
      <c r="R22" s="154"/>
      <c r="S22" s="154" t="s">
        <v>3783</v>
      </c>
      <c r="T22" s="154">
        <v>5</v>
      </c>
      <c r="U22" s="154"/>
      <c r="V22" s="154"/>
      <c r="W22" s="154"/>
      <c r="X22" s="154"/>
      <c r="Y22" s="154"/>
      <c r="Z22" s="154"/>
      <c r="AA22" s="154"/>
    </row>
    <row r="23" spans="1:27" s="60" customFormat="1">
      <c r="A23" s="182" t="s">
        <v>1670</v>
      </c>
      <c r="B23" s="182" t="s">
        <v>1312</v>
      </c>
      <c r="C23" s="182" t="s">
        <v>1290</v>
      </c>
      <c r="D23" s="182" t="s">
        <v>1671</v>
      </c>
      <c r="E23" s="182" t="s">
        <v>1672</v>
      </c>
      <c r="F23" s="182" t="s">
        <v>1623</v>
      </c>
      <c r="G23" s="182" t="s">
        <v>18</v>
      </c>
      <c r="H23" s="182" t="s">
        <v>1298</v>
      </c>
      <c r="I23" s="182">
        <v>101</v>
      </c>
      <c r="J23" s="182" t="s">
        <v>3659</v>
      </c>
      <c r="K23" s="147">
        <v>2.8055555555555554</v>
      </c>
      <c r="L23" s="147">
        <v>3.5555555555555554</v>
      </c>
      <c r="M23" s="229"/>
      <c r="N23" s="73">
        <v>2</v>
      </c>
      <c r="O23" s="88">
        <f t="shared" si="0"/>
        <v>43993</v>
      </c>
      <c r="P23" s="154" t="s">
        <v>3679</v>
      </c>
      <c r="Q23" s="73">
        <f t="shared" si="1"/>
        <v>3</v>
      </c>
      <c r="R23" s="154"/>
      <c r="S23" s="154"/>
      <c r="T23" s="154"/>
      <c r="U23" s="154"/>
      <c r="V23" s="154"/>
      <c r="W23" s="154"/>
      <c r="X23" s="154"/>
      <c r="Y23" s="154"/>
      <c r="Z23" s="154"/>
      <c r="AA23" s="154"/>
    </row>
    <row r="24" spans="1:27" s="60" customFormat="1">
      <c r="A24" s="182" t="s">
        <v>2549</v>
      </c>
      <c r="B24" s="182" t="s">
        <v>2423</v>
      </c>
      <c r="C24" s="182" t="s">
        <v>1290</v>
      </c>
      <c r="D24" s="182" t="s">
        <v>2550</v>
      </c>
      <c r="E24" s="182" t="s">
        <v>2551</v>
      </c>
      <c r="F24" s="182" t="s">
        <v>1623</v>
      </c>
      <c r="G24" s="182" t="s">
        <v>18</v>
      </c>
      <c r="H24" s="182" t="s">
        <v>1298</v>
      </c>
      <c r="I24" s="182">
        <v>83</v>
      </c>
      <c r="J24" s="182" t="s">
        <v>3659</v>
      </c>
      <c r="K24" s="147">
        <v>2.3055555555555554</v>
      </c>
      <c r="L24" s="147">
        <v>3.0555555555555554</v>
      </c>
      <c r="M24" s="229"/>
      <c r="N24" s="133">
        <v>2</v>
      </c>
      <c r="O24" s="88">
        <f t="shared" si="0"/>
        <v>43993</v>
      </c>
      <c r="P24" s="154" t="s">
        <v>3765</v>
      </c>
      <c r="Q24" s="73">
        <f t="shared" si="1"/>
        <v>2</v>
      </c>
      <c r="R24" s="154"/>
      <c r="S24" s="154"/>
      <c r="T24" s="154"/>
      <c r="U24" s="154"/>
      <c r="V24" s="154"/>
      <c r="W24" s="154"/>
      <c r="X24" s="154"/>
      <c r="Y24" s="154"/>
      <c r="Z24" s="154"/>
      <c r="AA24" s="154"/>
    </row>
    <row r="25" spans="1:27" s="60" customFormat="1">
      <c r="A25" s="182" t="s">
        <v>206</v>
      </c>
      <c r="B25" s="182"/>
      <c r="C25" s="182" t="s">
        <v>1290</v>
      </c>
      <c r="D25" s="182" t="s">
        <v>1621</v>
      </c>
      <c r="E25" s="182" t="s">
        <v>1622</v>
      </c>
      <c r="F25" s="182" t="s">
        <v>1623</v>
      </c>
      <c r="G25" s="182" t="s">
        <v>18</v>
      </c>
      <c r="H25" s="182" t="s">
        <v>19</v>
      </c>
      <c r="I25" s="182">
        <v>60</v>
      </c>
      <c r="J25" s="182" t="s">
        <v>473</v>
      </c>
      <c r="K25" s="147">
        <v>1.6666666666666667</v>
      </c>
      <c r="L25" s="147">
        <v>2.416666666666667</v>
      </c>
      <c r="M25" s="229"/>
      <c r="N25" s="133">
        <v>3</v>
      </c>
      <c r="O25" s="88">
        <f t="shared" si="0"/>
        <v>43994</v>
      </c>
      <c r="P25" s="154" t="s">
        <v>3724</v>
      </c>
      <c r="Q25" s="73">
        <f t="shared" si="1"/>
        <v>2</v>
      </c>
      <c r="R25" s="154"/>
      <c r="S25" s="154"/>
      <c r="T25" s="154"/>
      <c r="U25" s="154"/>
      <c r="V25" s="154"/>
      <c r="W25" s="154"/>
      <c r="X25" s="154"/>
      <c r="Y25" s="154"/>
      <c r="Z25" s="154"/>
      <c r="AA25" s="154"/>
    </row>
    <row r="26" spans="1:27" s="60" customFormat="1">
      <c r="A26" s="182" t="s">
        <v>301</v>
      </c>
      <c r="B26" s="182"/>
      <c r="C26" s="182" t="s">
        <v>1290</v>
      </c>
      <c r="D26" s="182" t="s">
        <v>1848</v>
      </c>
      <c r="E26" s="182" t="s">
        <v>1849</v>
      </c>
      <c r="F26" s="182" t="s">
        <v>1850</v>
      </c>
      <c r="G26" s="182" t="s">
        <v>18</v>
      </c>
      <c r="H26" s="182" t="s">
        <v>30</v>
      </c>
      <c r="I26" s="182">
        <v>50</v>
      </c>
      <c r="J26" s="182" t="s">
        <v>3659</v>
      </c>
      <c r="K26" s="147">
        <v>1.3888888888888888</v>
      </c>
      <c r="L26" s="147">
        <v>2.1388888888888888</v>
      </c>
      <c r="M26" s="229"/>
      <c r="N26" s="133">
        <v>3</v>
      </c>
      <c r="O26" s="88">
        <f t="shared" si="0"/>
        <v>43994</v>
      </c>
      <c r="P26" s="173" t="s">
        <v>3784</v>
      </c>
      <c r="Q26" s="73">
        <f t="shared" si="1"/>
        <v>1</v>
      </c>
    </row>
    <row r="27" spans="1:27" s="60" customFormat="1">
      <c r="A27" s="182" t="s">
        <v>627</v>
      </c>
      <c r="B27" s="182"/>
      <c r="C27" s="182" t="s">
        <v>1290</v>
      </c>
      <c r="D27" s="182" t="s">
        <v>2380</v>
      </c>
      <c r="E27" s="182" t="s">
        <v>2381</v>
      </c>
      <c r="F27" s="182" t="s">
        <v>1908</v>
      </c>
      <c r="G27" s="182" t="s">
        <v>18</v>
      </c>
      <c r="H27" s="182" t="s">
        <v>30</v>
      </c>
      <c r="I27" s="182">
        <v>330</v>
      </c>
      <c r="J27" s="182" t="s">
        <v>3659</v>
      </c>
      <c r="K27" s="147">
        <v>9.1666666666666661</v>
      </c>
      <c r="L27" s="147">
        <v>9.9166666666666661</v>
      </c>
      <c r="M27" s="229"/>
      <c r="N27" s="133">
        <v>4</v>
      </c>
      <c r="O27" s="88">
        <f t="shared" si="0"/>
        <v>43995</v>
      </c>
      <c r="P27" s="173" t="s">
        <v>3745</v>
      </c>
      <c r="Q27" s="73">
        <f t="shared" si="1"/>
        <v>7</v>
      </c>
    </row>
    <row r="28" spans="1:27" s="60" customFormat="1">
      <c r="A28" s="182" t="s">
        <v>486</v>
      </c>
      <c r="B28" s="182"/>
      <c r="C28" s="182" t="s">
        <v>1290</v>
      </c>
      <c r="D28" s="182" t="s">
        <v>2231</v>
      </c>
      <c r="E28" s="182" t="s">
        <v>2232</v>
      </c>
      <c r="F28" s="182" t="s">
        <v>1908</v>
      </c>
      <c r="G28" s="182" t="s">
        <v>18</v>
      </c>
      <c r="H28" s="182" t="s">
        <v>30</v>
      </c>
      <c r="I28" s="182">
        <v>315</v>
      </c>
      <c r="J28" s="182" t="s">
        <v>639</v>
      </c>
      <c r="K28" s="147">
        <v>8.75</v>
      </c>
      <c r="L28" s="147">
        <v>9.5</v>
      </c>
      <c r="M28" s="229"/>
      <c r="N28" s="133">
        <v>6</v>
      </c>
      <c r="O28" s="88">
        <f t="shared" si="0"/>
        <v>43997</v>
      </c>
      <c r="P28" s="173" t="s">
        <v>3785</v>
      </c>
      <c r="Q28" s="73">
        <f t="shared" si="1"/>
        <v>7</v>
      </c>
    </row>
    <row r="29" spans="1:27" s="60" customFormat="1">
      <c r="A29" s="182" t="s">
        <v>824</v>
      </c>
      <c r="B29" s="182"/>
      <c r="C29" s="182" t="s">
        <v>1290</v>
      </c>
      <c r="D29" s="182" t="s">
        <v>2972</v>
      </c>
      <c r="E29" s="182" t="s">
        <v>2973</v>
      </c>
      <c r="F29" s="182" t="s">
        <v>1908</v>
      </c>
      <c r="G29" s="182" t="s">
        <v>18</v>
      </c>
      <c r="H29" s="182" t="s">
        <v>30</v>
      </c>
      <c r="I29" s="182">
        <v>115</v>
      </c>
      <c r="J29" s="182" t="s">
        <v>3659</v>
      </c>
      <c r="K29" s="147">
        <v>3.1944444444444446</v>
      </c>
      <c r="L29" s="147">
        <v>3.9444444444444446</v>
      </c>
      <c r="M29" s="229"/>
      <c r="N29" s="133">
        <v>7</v>
      </c>
      <c r="O29" s="88">
        <f t="shared" si="0"/>
        <v>43998</v>
      </c>
      <c r="P29" s="173" t="s">
        <v>3679</v>
      </c>
      <c r="Q29" s="73">
        <f t="shared" si="1"/>
        <v>3</v>
      </c>
    </row>
    <row r="30" spans="1:27" s="60" customFormat="1">
      <c r="A30" s="182" t="s">
        <v>2084</v>
      </c>
      <c r="B30" s="182" t="s">
        <v>343</v>
      </c>
      <c r="C30" s="182" t="s">
        <v>1290</v>
      </c>
      <c r="D30" s="182" t="s">
        <v>2085</v>
      </c>
      <c r="E30" s="182" t="s">
        <v>2086</v>
      </c>
      <c r="F30" s="182" t="s">
        <v>1908</v>
      </c>
      <c r="G30" s="182" t="s">
        <v>18</v>
      </c>
      <c r="H30" s="182" t="s">
        <v>1298</v>
      </c>
      <c r="I30" s="182">
        <v>107</v>
      </c>
      <c r="J30" s="182" t="s">
        <v>3659</v>
      </c>
      <c r="K30" s="147">
        <v>2.9722222222222223</v>
      </c>
      <c r="L30" s="147">
        <v>3.7222222222222223</v>
      </c>
      <c r="M30" s="229"/>
      <c r="N30" s="133">
        <v>7</v>
      </c>
      <c r="O30" s="88">
        <f t="shared" si="0"/>
        <v>43998</v>
      </c>
      <c r="P30" s="173" t="s">
        <v>3786</v>
      </c>
      <c r="Q30" s="73">
        <f t="shared" si="1"/>
        <v>3</v>
      </c>
    </row>
    <row r="31" spans="1:27" s="60" customFormat="1">
      <c r="A31" s="182" t="s">
        <v>2940</v>
      </c>
      <c r="B31" s="182" t="s">
        <v>343</v>
      </c>
      <c r="C31" s="182" t="s">
        <v>1290</v>
      </c>
      <c r="D31" s="182" t="s">
        <v>2941</v>
      </c>
      <c r="E31" s="182" t="s">
        <v>2942</v>
      </c>
      <c r="F31" s="182" t="s">
        <v>1908</v>
      </c>
      <c r="G31" s="182" t="s">
        <v>18</v>
      </c>
      <c r="H31" s="182" t="s">
        <v>1298</v>
      </c>
      <c r="I31" s="182">
        <v>82</v>
      </c>
      <c r="J31" s="182" t="s">
        <v>3665</v>
      </c>
      <c r="K31" s="147">
        <v>2.2777777777777777</v>
      </c>
      <c r="L31" s="147">
        <v>3.0277777777777777</v>
      </c>
      <c r="M31" s="229"/>
      <c r="N31" s="133">
        <v>8</v>
      </c>
      <c r="O31" s="88">
        <f t="shared" si="0"/>
        <v>43999</v>
      </c>
      <c r="P31" s="173" t="s">
        <v>3762</v>
      </c>
      <c r="Q31" s="73">
        <f t="shared" si="1"/>
        <v>2</v>
      </c>
    </row>
    <row r="32" spans="1:27" s="60" customFormat="1">
      <c r="A32" s="182" t="s">
        <v>482</v>
      </c>
      <c r="B32" s="182" t="s">
        <v>1463</v>
      </c>
      <c r="C32" s="182" t="s">
        <v>1290</v>
      </c>
      <c r="D32" s="182" t="s">
        <v>2227</v>
      </c>
      <c r="E32" s="182" t="s">
        <v>2228</v>
      </c>
      <c r="F32" s="182" t="s">
        <v>2229</v>
      </c>
      <c r="G32" s="182" t="s">
        <v>18</v>
      </c>
      <c r="H32" s="182" t="s">
        <v>30</v>
      </c>
      <c r="I32" s="182">
        <v>207</v>
      </c>
      <c r="J32" s="182" t="s">
        <v>3659</v>
      </c>
      <c r="K32" s="147">
        <v>5.75</v>
      </c>
      <c r="L32" s="147">
        <v>6.5</v>
      </c>
      <c r="M32" s="229"/>
      <c r="N32" s="133">
        <v>8</v>
      </c>
      <c r="O32" s="88">
        <f t="shared" si="0"/>
        <v>43999</v>
      </c>
      <c r="P32" s="179" t="s">
        <v>3787</v>
      </c>
      <c r="Q32" s="73">
        <f t="shared" si="1"/>
        <v>5</v>
      </c>
    </row>
    <row r="33" spans="1:27" s="60" customFormat="1">
      <c r="A33" s="182" t="s">
        <v>1902</v>
      </c>
      <c r="B33" s="182" t="s">
        <v>1903</v>
      </c>
      <c r="C33" s="182" t="s">
        <v>1290</v>
      </c>
      <c r="D33" s="182" t="s">
        <v>1906</v>
      </c>
      <c r="E33" s="182" t="s">
        <v>1907</v>
      </c>
      <c r="F33" s="182" t="s">
        <v>1908</v>
      </c>
      <c r="G33" s="182" t="s">
        <v>18</v>
      </c>
      <c r="H33" s="182" t="s">
        <v>1298</v>
      </c>
      <c r="I33" s="182">
        <v>110</v>
      </c>
      <c r="J33" s="182" t="s">
        <v>3659</v>
      </c>
      <c r="K33" s="147">
        <v>3.0555555555555554</v>
      </c>
      <c r="L33" s="147">
        <v>3.8055555555555554</v>
      </c>
      <c r="M33" s="229"/>
      <c r="N33" s="73">
        <v>9</v>
      </c>
      <c r="O33" s="88">
        <f t="shared" si="0"/>
        <v>44000</v>
      </c>
      <c r="P33" s="154" t="s">
        <v>3679</v>
      </c>
      <c r="Q33" s="73">
        <f t="shared" si="1"/>
        <v>3</v>
      </c>
      <c r="R33" s="154"/>
      <c r="S33" s="154"/>
      <c r="T33" s="154"/>
      <c r="U33" s="154"/>
      <c r="V33" s="154"/>
      <c r="W33" s="154"/>
      <c r="X33" s="154"/>
      <c r="Y33" s="154"/>
      <c r="Z33" s="154"/>
      <c r="AA33" s="154"/>
    </row>
    <row r="34" spans="1:27" s="60" customFormat="1">
      <c r="A34" s="182" t="s">
        <v>2838</v>
      </c>
      <c r="B34" s="182" t="s">
        <v>343</v>
      </c>
      <c r="C34" s="182" t="s">
        <v>1290</v>
      </c>
      <c r="D34" s="182" t="s">
        <v>3788</v>
      </c>
      <c r="E34" s="182" t="s">
        <v>2839</v>
      </c>
      <c r="F34" s="182" t="s">
        <v>3789</v>
      </c>
      <c r="G34" s="182" t="s">
        <v>18</v>
      </c>
      <c r="H34" s="182" t="s">
        <v>1298</v>
      </c>
      <c r="I34" s="182">
        <v>150</v>
      </c>
      <c r="J34" s="182" t="s">
        <v>3659</v>
      </c>
      <c r="K34" s="147">
        <v>4.166666666666667</v>
      </c>
      <c r="L34" s="147">
        <v>4.916666666666667</v>
      </c>
      <c r="M34" s="229"/>
      <c r="N34" s="133">
        <v>9</v>
      </c>
      <c r="O34" s="88">
        <f t="shared" si="0"/>
        <v>44000</v>
      </c>
      <c r="P34" s="173" t="s">
        <v>3717</v>
      </c>
      <c r="Q34" s="73">
        <f t="shared" si="1"/>
        <v>3</v>
      </c>
    </row>
    <row r="35" spans="1:27" s="60" customFormat="1">
      <c r="A35" s="182" t="s">
        <v>1299</v>
      </c>
      <c r="B35" s="182" t="s">
        <v>1300</v>
      </c>
      <c r="C35" s="182" t="s">
        <v>1290</v>
      </c>
      <c r="D35" s="182" t="s">
        <v>3790</v>
      </c>
      <c r="E35" s="182" t="s">
        <v>1301</v>
      </c>
      <c r="F35" s="182" t="s">
        <v>3791</v>
      </c>
      <c r="G35" s="182" t="s">
        <v>18</v>
      </c>
      <c r="H35" s="182" t="s">
        <v>30</v>
      </c>
      <c r="I35" s="182">
        <v>85</v>
      </c>
      <c r="J35" s="182" t="s">
        <v>3665</v>
      </c>
      <c r="K35" s="147">
        <v>2.3611111111111112</v>
      </c>
      <c r="L35" s="147">
        <v>3.1111111111111112</v>
      </c>
      <c r="M35" s="229"/>
      <c r="N35" s="133">
        <v>10</v>
      </c>
      <c r="O35" s="88">
        <f t="shared" si="0"/>
        <v>44001</v>
      </c>
      <c r="P35" s="154" t="s">
        <v>3662</v>
      </c>
      <c r="Q35" s="73">
        <f t="shared" si="1"/>
        <v>2</v>
      </c>
      <c r="R35" s="154"/>
      <c r="S35" s="154"/>
      <c r="T35" s="154"/>
      <c r="U35" s="154"/>
      <c r="V35" s="154"/>
      <c r="W35" s="154"/>
      <c r="X35" s="154"/>
      <c r="Y35" s="154"/>
      <c r="Z35" s="154"/>
      <c r="AA35" s="154"/>
    </row>
    <row r="36" spans="1:27" s="60" customFormat="1">
      <c r="A36" s="182" t="s">
        <v>2818</v>
      </c>
      <c r="B36" s="182" t="s">
        <v>2819</v>
      </c>
      <c r="C36" s="182" t="s">
        <v>1290</v>
      </c>
      <c r="D36" s="182" t="s">
        <v>3792</v>
      </c>
      <c r="E36" s="182" t="s">
        <v>2820</v>
      </c>
      <c r="F36" s="182" t="s">
        <v>3793</v>
      </c>
      <c r="G36" s="182" t="s">
        <v>18</v>
      </c>
      <c r="H36" s="182" t="s">
        <v>30</v>
      </c>
      <c r="I36" s="182">
        <v>40</v>
      </c>
      <c r="J36" s="182" t="s">
        <v>3659</v>
      </c>
      <c r="K36" s="147">
        <v>1.1111111111111112</v>
      </c>
      <c r="L36" s="147">
        <v>1.8611111111111112</v>
      </c>
      <c r="M36" s="229"/>
      <c r="N36" s="133">
        <v>10</v>
      </c>
      <c r="O36" s="88">
        <f t="shared" si="0"/>
        <v>44001</v>
      </c>
      <c r="P36" s="154" t="s">
        <v>3794</v>
      </c>
      <c r="Q36" s="73">
        <f t="shared" si="1"/>
        <v>1</v>
      </c>
      <c r="R36" s="154"/>
      <c r="S36" s="154"/>
      <c r="T36" s="154"/>
      <c r="U36" s="154"/>
      <c r="V36" s="154"/>
      <c r="W36" s="154"/>
      <c r="X36" s="154"/>
      <c r="Y36" s="154"/>
      <c r="Z36" s="154"/>
      <c r="AA36" s="154"/>
    </row>
    <row r="37" spans="1:27" s="60" customFormat="1">
      <c r="A37" s="182" t="s">
        <v>1843</v>
      </c>
      <c r="B37" s="182" t="s">
        <v>343</v>
      </c>
      <c r="C37" s="182" t="s">
        <v>1290</v>
      </c>
      <c r="D37" s="182" t="s">
        <v>3795</v>
      </c>
      <c r="E37" s="182" t="s">
        <v>1844</v>
      </c>
      <c r="F37" s="182" t="s">
        <v>3796</v>
      </c>
      <c r="G37" s="182" t="s">
        <v>18</v>
      </c>
      <c r="H37" s="182" t="s">
        <v>30</v>
      </c>
      <c r="I37" s="182">
        <v>110</v>
      </c>
      <c r="J37" s="182" t="s">
        <v>3659</v>
      </c>
      <c r="K37" s="147">
        <v>3.0555555555555554</v>
      </c>
      <c r="L37" s="147">
        <v>3.8055555555555554</v>
      </c>
      <c r="M37" s="229"/>
      <c r="N37" s="133">
        <v>10</v>
      </c>
      <c r="O37" s="88">
        <f t="shared" si="0"/>
        <v>44001</v>
      </c>
      <c r="P37" s="154" t="s">
        <v>3797</v>
      </c>
      <c r="Q37" s="73">
        <f t="shared" si="1"/>
        <v>3</v>
      </c>
      <c r="R37" s="154"/>
      <c r="S37" s="154"/>
      <c r="T37" s="154"/>
      <c r="U37" s="154"/>
      <c r="V37" s="154"/>
      <c r="W37" s="154"/>
      <c r="X37" s="154"/>
      <c r="Y37" s="154"/>
      <c r="Z37" s="154"/>
      <c r="AA37" s="154"/>
    </row>
    <row r="38" spans="1:27" s="60" customFormat="1">
      <c r="A38" s="182" t="s">
        <v>3239</v>
      </c>
      <c r="B38" s="182" t="s">
        <v>1300</v>
      </c>
      <c r="C38" s="182" t="s">
        <v>1290</v>
      </c>
      <c r="D38" s="182" t="s">
        <v>3798</v>
      </c>
      <c r="E38" s="182" t="s">
        <v>3240</v>
      </c>
      <c r="F38" s="182" t="s">
        <v>3791</v>
      </c>
      <c r="G38" s="182" t="s">
        <v>18</v>
      </c>
      <c r="H38" s="182" t="s">
        <v>30</v>
      </c>
      <c r="I38" s="182">
        <v>50</v>
      </c>
      <c r="J38" s="182" t="s">
        <v>3665</v>
      </c>
      <c r="K38" s="147">
        <v>1.3888888888888888</v>
      </c>
      <c r="L38" s="147">
        <v>2.1388888888888888</v>
      </c>
      <c r="M38" s="229"/>
      <c r="N38" s="133">
        <v>11</v>
      </c>
      <c r="O38" s="88">
        <f t="shared" si="0"/>
        <v>44002</v>
      </c>
      <c r="P38" s="154" t="s">
        <v>3779</v>
      </c>
      <c r="Q38" s="73">
        <f t="shared" si="1"/>
        <v>1</v>
      </c>
      <c r="R38" s="154"/>
      <c r="S38" s="154"/>
      <c r="T38" s="154"/>
      <c r="U38" s="154"/>
      <c r="V38" s="154"/>
      <c r="W38" s="154"/>
      <c r="X38" s="154"/>
      <c r="Y38" s="154"/>
      <c r="Z38" s="154"/>
      <c r="AA38" s="154"/>
    </row>
    <row r="39" spans="1:27" s="60" customFormat="1">
      <c r="A39" s="182" t="s">
        <v>2327</v>
      </c>
      <c r="B39" s="182"/>
      <c r="C39" s="182" t="s">
        <v>1290</v>
      </c>
      <c r="D39" s="182" t="s">
        <v>3799</v>
      </c>
      <c r="E39" s="182" t="s">
        <v>2328</v>
      </c>
      <c r="F39" s="182" t="s">
        <v>3800</v>
      </c>
      <c r="G39" s="182" t="s">
        <v>18</v>
      </c>
      <c r="H39" s="182" t="s">
        <v>30</v>
      </c>
      <c r="I39" s="182">
        <v>50</v>
      </c>
      <c r="J39" s="182" t="s">
        <v>3659</v>
      </c>
      <c r="K39" s="147">
        <v>1.3888888888888888</v>
      </c>
      <c r="L39" s="147">
        <v>2.1388888888888888</v>
      </c>
      <c r="M39" s="229"/>
      <c r="N39" s="133">
        <v>11</v>
      </c>
      <c r="O39" s="88">
        <f t="shared" si="0"/>
        <v>44002</v>
      </c>
      <c r="P39" s="154" t="s">
        <v>3801</v>
      </c>
      <c r="Q39" s="73">
        <f t="shared" si="1"/>
        <v>1</v>
      </c>
      <c r="R39" s="154"/>
      <c r="S39" s="154"/>
      <c r="T39" s="154"/>
      <c r="U39" s="154"/>
      <c r="V39" s="154"/>
      <c r="W39" s="154"/>
      <c r="X39" s="154"/>
      <c r="Y39" s="154"/>
      <c r="Z39" s="154"/>
      <c r="AA39" s="154"/>
    </row>
    <row r="40" spans="1:27" s="60" customFormat="1">
      <c r="A40" s="182" t="s">
        <v>1302</v>
      </c>
      <c r="B40" s="182" t="s">
        <v>1303</v>
      </c>
      <c r="C40" s="182" t="s">
        <v>1290</v>
      </c>
      <c r="D40" s="182" t="s">
        <v>3802</v>
      </c>
      <c r="E40" s="182" t="s">
        <v>1304</v>
      </c>
      <c r="F40" s="182" t="s">
        <v>3803</v>
      </c>
      <c r="G40" s="182" t="s">
        <v>18</v>
      </c>
      <c r="H40" s="182" t="s">
        <v>1298</v>
      </c>
      <c r="I40" s="182">
        <v>144</v>
      </c>
      <c r="J40" s="182" t="s">
        <v>3659</v>
      </c>
      <c r="K40" s="147">
        <v>4</v>
      </c>
      <c r="L40" s="147">
        <v>4.75</v>
      </c>
      <c r="M40" s="229"/>
      <c r="N40" s="133">
        <v>11</v>
      </c>
      <c r="O40" s="88">
        <f t="shared" si="0"/>
        <v>44002</v>
      </c>
      <c r="P40" s="173" t="s">
        <v>3804</v>
      </c>
      <c r="Q40" s="73">
        <f t="shared" si="1"/>
        <v>3</v>
      </c>
    </row>
    <row r="41" spans="1:27" s="60" customFormat="1">
      <c r="A41" s="182" t="s">
        <v>3159</v>
      </c>
      <c r="B41" s="182" t="s">
        <v>1300</v>
      </c>
      <c r="C41" s="182" t="s">
        <v>1290</v>
      </c>
      <c r="D41" s="182" t="s">
        <v>3805</v>
      </c>
      <c r="E41" s="182" t="s">
        <v>3160</v>
      </c>
      <c r="F41" s="182" t="s">
        <v>3796</v>
      </c>
      <c r="G41" s="182" t="s">
        <v>18</v>
      </c>
      <c r="H41" s="182" t="s">
        <v>30</v>
      </c>
      <c r="I41" s="182">
        <v>120</v>
      </c>
      <c r="J41" s="182" t="s">
        <v>3659</v>
      </c>
      <c r="K41" s="147">
        <v>3.3333333333333335</v>
      </c>
      <c r="L41" s="147">
        <v>4.0833333333333339</v>
      </c>
      <c r="M41" s="229"/>
      <c r="N41" s="133">
        <v>13</v>
      </c>
      <c r="O41" s="88">
        <f t="shared" si="0"/>
        <v>44004</v>
      </c>
      <c r="P41" s="154" t="s">
        <v>3662</v>
      </c>
      <c r="Q41" s="73">
        <f t="shared" si="1"/>
        <v>3</v>
      </c>
      <c r="R41" s="154"/>
      <c r="S41" s="154"/>
      <c r="T41" s="154"/>
      <c r="U41" s="154"/>
      <c r="V41" s="154"/>
      <c r="W41" s="154"/>
      <c r="X41" s="154"/>
      <c r="Y41" s="154"/>
      <c r="Z41" s="154"/>
      <c r="AA41" s="154"/>
    </row>
    <row r="42" spans="1:27" s="69" customFormat="1">
      <c r="A42" s="183" t="s">
        <v>1470</v>
      </c>
      <c r="B42" s="183" t="s">
        <v>343</v>
      </c>
      <c r="C42" s="183" t="s">
        <v>1290</v>
      </c>
      <c r="D42" s="183" t="s">
        <v>1472</v>
      </c>
      <c r="E42" s="183" t="s">
        <v>1473</v>
      </c>
      <c r="F42" s="183" t="s">
        <v>1474</v>
      </c>
      <c r="G42" s="183" t="s">
        <v>18</v>
      </c>
      <c r="H42" s="183" t="s">
        <v>1298</v>
      </c>
      <c r="I42" s="183">
        <v>155</v>
      </c>
      <c r="J42" s="183" t="s">
        <v>3665</v>
      </c>
      <c r="K42" s="65">
        <v>4.3055555555555554</v>
      </c>
      <c r="L42" s="65">
        <v>5.0555555555555554</v>
      </c>
      <c r="M42" s="230">
        <v>12</v>
      </c>
      <c r="N42" s="153">
        <v>1</v>
      </c>
      <c r="O42" s="87">
        <f t="shared" si="0"/>
        <v>43992</v>
      </c>
      <c r="P42" s="156" t="s">
        <v>3689</v>
      </c>
      <c r="Q42" s="75">
        <f t="shared" si="1"/>
        <v>4</v>
      </c>
      <c r="R42" s="156"/>
      <c r="S42" s="156" t="s">
        <v>3661</v>
      </c>
      <c r="T42" s="156">
        <v>2</v>
      </c>
      <c r="U42" s="156"/>
      <c r="V42" s="156"/>
      <c r="W42" s="156"/>
      <c r="X42" s="156"/>
      <c r="Y42" s="156"/>
      <c r="Z42" s="156"/>
      <c r="AA42" s="156"/>
    </row>
    <row r="43" spans="1:27" s="69" customFormat="1">
      <c r="A43" s="183" t="s">
        <v>829</v>
      </c>
      <c r="B43" s="183"/>
      <c r="C43" s="183" t="s">
        <v>1290</v>
      </c>
      <c r="D43" s="183" t="s">
        <v>2986</v>
      </c>
      <c r="E43" s="183" t="s">
        <v>2987</v>
      </c>
      <c r="F43" s="183" t="s">
        <v>1474</v>
      </c>
      <c r="G43" s="183" t="s">
        <v>18</v>
      </c>
      <c r="H43" s="183" t="s">
        <v>30</v>
      </c>
      <c r="I43" s="183">
        <v>100</v>
      </c>
      <c r="J43" s="183" t="s">
        <v>3659</v>
      </c>
      <c r="K43" s="65">
        <v>2.7777777777777777</v>
      </c>
      <c r="L43" s="65">
        <v>3.5277777777777777</v>
      </c>
      <c r="M43" s="231"/>
      <c r="N43" s="153">
        <v>2</v>
      </c>
      <c r="O43" s="87">
        <f t="shared" si="0"/>
        <v>43993</v>
      </c>
      <c r="P43" s="156" t="s">
        <v>3679</v>
      </c>
      <c r="Q43" s="75">
        <f t="shared" si="1"/>
        <v>2</v>
      </c>
      <c r="R43" s="156"/>
      <c r="S43" s="156"/>
      <c r="T43" s="156"/>
      <c r="U43" s="156"/>
      <c r="V43" s="156"/>
      <c r="W43" s="156"/>
      <c r="X43" s="156"/>
      <c r="Y43" s="156"/>
      <c r="Z43" s="156"/>
      <c r="AA43" s="156"/>
    </row>
    <row r="44" spans="1:27" s="69" customFormat="1">
      <c r="A44" s="183" t="s">
        <v>2065</v>
      </c>
      <c r="B44" s="183" t="s">
        <v>2066</v>
      </c>
      <c r="C44" s="183" t="s">
        <v>1294</v>
      </c>
      <c r="D44" s="183" t="s">
        <v>3806</v>
      </c>
      <c r="E44" s="183" t="s">
        <v>2067</v>
      </c>
      <c r="F44" s="183" t="s">
        <v>3807</v>
      </c>
      <c r="G44" s="183" t="s">
        <v>18</v>
      </c>
      <c r="H44" s="183" t="s">
        <v>1298</v>
      </c>
      <c r="I44" s="183">
        <v>181</v>
      </c>
      <c r="J44" s="183" t="s">
        <v>3659</v>
      </c>
      <c r="K44" s="65">
        <v>5.0277777777777777</v>
      </c>
      <c r="L44" s="65">
        <v>5.7777777777777777</v>
      </c>
      <c r="M44" s="231"/>
      <c r="N44" s="75">
        <v>2</v>
      </c>
      <c r="O44" s="87">
        <f t="shared" si="0"/>
        <v>43993</v>
      </c>
      <c r="P44" s="177" t="s">
        <v>3808</v>
      </c>
      <c r="Q44" s="75">
        <f t="shared" si="1"/>
        <v>4</v>
      </c>
    </row>
    <row r="45" spans="1:27" s="69" customFormat="1">
      <c r="A45" s="183" t="s">
        <v>516</v>
      </c>
      <c r="B45" s="183"/>
      <c r="C45" s="183" t="s">
        <v>1290</v>
      </c>
      <c r="D45" s="183" t="s">
        <v>2265</v>
      </c>
      <c r="E45" s="183" t="s">
        <v>2266</v>
      </c>
      <c r="F45" s="183" t="s">
        <v>2267</v>
      </c>
      <c r="G45" s="183" t="s">
        <v>18</v>
      </c>
      <c r="H45" s="183" t="s">
        <v>30</v>
      </c>
      <c r="I45" s="183">
        <v>94</v>
      </c>
      <c r="J45" s="183" t="s">
        <v>3659</v>
      </c>
      <c r="K45" s="65">
        <v>2.6111111111111112</v>
      </c>
      <c r="L45" s="65">
        <v>3.3611111111111112</v>
      </c>
      <c r="M45" s="231"/>
      <c r="N45" s="75">
        <v>3</v>
      </c>
      <c r="O45" s="87">
        <f t="shared" si="0"/>
        <v>43994</v>
      </c>
      <c r="P45" s="177" t="s">
        <v>3679</v>
      </c>
      <c r="Q45" s="75">
        <f t="shared" si="1"/>
        <v>2</v>
      </c>
    </row>
    <row r="46" spans="1:27" s="69" customFormat="1">
      <c r="A46" s="183" t="s">
        <v>2731</v>
      </c>
      <c r="B46" s="183" t="s">
        <v>1312</v>
      </c>
      <c r="C46" s="183" t="s">
        <v>1294</v>
      </c>
      <c r="D46" s="183" t="s">
        <v>2733</v>
      </c>
      <c r="E46" s="183" t="s">
        <v>2734</v>
      </c>
      <c r="F46" s="183" t="s">
        <v>2735</v>
      </c>
      <c r="G46" s="183" t="s">
        <v>18</v>
      </c>
      <c r="H46" s="183" t="s">
        <v>1298</v>
      </c>
      <c r="I46" s="183">
        <v>134</v>
      </c>
      <c r="J46" s="183" t="s">
        <v>3659</v>
      </c>
      <c r="K46" s="65">
        <v>3.7222222222222223</v>
      </c>
      <c r="L46" s="65">
        <v>4.4722222222222223</v>
      </c>
      <c r="M46" s="231"/>
      <c r="N46" s="75">
        <v>3</v>
      </c>
      <c r="O46" s="87">
        <f t="shared" si="0"/>
        <v>43994</v>
      </c>
      <c r="P46" s="156" t="s">
        <v>3717</v>
      </c>
      <c r="Q46" s="75">
        <f t="shared" si="1"/>
        <v>3</v>
      </c>
      <c r="R46" s="156"/>
      <c r="S46" s="156"/>
      <c r="T46" s="156"/>
      <c r="U46" s="156"/>
      <c r="V46" s="156"/>
      <c r="W46" s="156"/>
      <c r="X46" s="156"/>
      <c r="Y46" s="156"/>
      <c r="Z46" s="156"/>
      <c r="AA46" s="156"/>
    </row>
    <row r="47" spans="1:27" s="69" customFormat="1">
      <c r="A47" s="183" t="s">
        <v>2815</v>
      </c>
      <c r="B47" s="183" t="s">
        <v>343</v>
      </c>
      <c r="C47" s="183" t="s">
        <v>1294</v>
      </c>
      <c r="D47" s="183" t="s">
        <v>2816</v>
      </c>
      <c r="E47" s="183" t="s">
        <v>2817</v>
      </c>
      <c r="F47" s="183" t="s">
        <v>2735</v>
      </c>
      <c r="G47" s="183" t="s">
        <v>18</v>
      </c>
      <c r="H47" s="183" t="s">
        <v>1298</v>
      </c>
      <c r="I47" s="183">
        <v>140</v>
      </c>
      <c r="J47" s="183" t="s">
        <v>3659</v>
      </c>
      <c r="K47" s="65">
        <v>3.8888888888888888</v>
      </c>
      <c r="L47" s="65">
        <v>4.6388888888888893</v>
      </c>
      <c r="M47" s="231"/>
      <c r="N47" s="75">
        <v>4</v>
      </c>
      <c r="O47" s="87">
        <f t="shared" si="0"/>
        <v>43995</v>
      </c>
      <c r="P47" s="177" t="s">
        <v>3660</v>
      </c>
      <c r="Q47" s="75">
        <f t="shared" si="1"/>
        <v>3</v>
      </c>
    </row>
    <row r="48" spans="1:27" s="69" customFormat="1">
      <c r="A48" s="183" t="s">
        <v>361</v>
      </c>
      <c r="B48" s="183"/>
      <c r="C48" s="183" t="s">
        <v>1294</v>
      </c>
      <c r="D48" s="183" t="s">
        <v>2023</v>
      </c>
      <c r="E48" s="183" t="s">
        <v>2024</v>
      </c>
      <c r="F48" s="183" t="s">
        <v>1469</v>
      </c>
      <c r="G48" s="183" t="s">
        <v>18</v>
      </c>
      <c r="H48" s="183" t="s">
        <v>19</v>
      </c>
      <c r="I48" s="183">
        <v>100</v>
      </c>
      <c r="J48" s="183" t="s">
        <v>3659</v>
      </c>
      <c r="K48" s="65">
        <v>2.7777777777777777</v>
      </c>
      <c r="L48" s="65">
        <v>3.5277777777777777</v>
      </c>
      <c r="M48" s="231"/>
      <c r="N48" s="75">
        <v>6</v>
      </c>
      <c r="O48" s="87">
        <f t="shared" si="0"/>
        <v>43997</v>
      </c>
      <c r="P48" s="177" t="s">
        <v>3679</v>
      </c>
      <c r="Q48" s="75">
        <f t="shared" si="1"/>
        <v>2</v>
      </c>
    </row>
    <row r="49" spans="1:27" s="69" customFormat="1">
      <c r="A49" s="183" t="s">
        <v>1462</v>
      </c>
      <c r="B49" s="183" t="s">
        <v>1463</v>
      </c>
      <c r="C49" s="183" t="s">
        <v>1294</v>
      </c>
      <c r="D49" s="183" t="s">
        <v>1467</v>
      </c>
      <c r="E49" s="183" t="s">
        <v>1468</v>
      </c>
      <c r="F49" s="183" t="s">
        <v>1469</v>
      </c>
      <c r="G49" s="183" t="s">
        <v>18</v>
      </c>
      <c r="H49" s="183" t="s">
        <v>30</v>
      </c>
      <c r="I49" s="183">
        <v>170</v>
      </c>
      <c r="J49" s="183" t="s">
        <v>3659</v>
      </c>
      <c r="K49" s="65">
        <v>4.7222222222222223</v>
      </c>
      <c r="L49" s="65">
        <v>5.4722222222222223</v>
      </c>
      <c r="M49" s="231"/>
      <c r="N49" s="75">
        <v>7</v>
      </c>
      <c r="O49" s="87">
        <f t="shared" si="0"/>
        <v>43998</v>
      </c>
      <c r="P49" s="177" t="s">
        <v>3676</v>
      </c>
      <c r="Q49" s="75">
        <f t="shared" si="1"/>
        <v>4</v>
      </c>
    </row>
    <row r="50" spans="1:27" s="69" customFormat="1">
      <c r="A50" s="183" t="s">
        <v>1613</v>
      </c>
      <c r="B50" s="183" t="s">
        <v>1303</v>
      </c>
      <c r="C50" s="183" t="s">
        <v>1294</v>
      </c>
      <c r="D50" s="183" t="s">
        <v>1614</v>
      </c>
      <c r="E50" s="183" t="s">
        <v>1615</v>
      </c>
      <c r="F50" s="183" t="s">
        <v>1469</v>
      </c>
      <c r="G50" s="183" t="s">
        <v>18</v>
      </c>
      <c r="H50" s="183" t="s">
        <v>1298</v>
      </c>
      <c r="I50" s="183">
        <v>120</v>
      </c>
      <c r="J50" s="183" t="s">
        <v>3659</v>
      </c>
      <c r="K50" s="65">
        <v>3.3333333333333335</v>
      </c>
      <c r="L50" s="65">
        <v>4.0833333333333339</v>
      </c>
      <c r="M50" s="231"/>
      <c r="N50" s="75">
        <v>8</v>
      </c>
      <c r="O50" s="87">
        <f t="shared" si="0"/>
        <v>43999</v>
      </c>
      <c r="P50" s="177" t="s">
        <v>3662</v>
      </c>
      <c r="Q50" s="75">
        <f t="shared" si="1"/>
        <v>3</v>
      </c>
    </row>
    <row r="51" spans="1:27" s="69" customFormat="1">
      <c r="A51" s="183" t="s">
        <v>3192</v>
      </c>
      <c r="B51" s="183" t="s">
        <v>1312</v>
      </c>
      <c r="C51" s="183" t="s">
        <v>1294</v>
      </c>
      <c r="D51" s="183" t="s">
        <v>3193</v>
      </c>
      <c r="E51" s="183" t="s">
        <v>3194</v>
      </c>
      <c r="F51" s="183" t="s">
        <v>1469</v>
      </c>
      <c r="G51" s="183" t="s">
        <v>18</v>
      </c>
      <c r="H51" s="183" t="s">
        <v>1298</v>
      </c>
      <c r="I51" s="183">
        <v>94</v>
      </c>
      <c r="J51" s="183" t="s">
        <v>3659</v>
      </c>
      <c r="K51" s="65">
        <v>2.6111111111111112</v>
      </c>
      <c r="L51" s="65">
        <v>3.3611111111111112</v>
      </c>
      <c r="M51" s="231"/>
      <c r="N51" s="75">
        <v>10</v>
      </c>
      <c r="O51" s="87">
        <f t="shared" si="0"/>
        <v>44001</v>
      </c>
      <c r="P51" s="156" t="s">
        <v>3679</v>
      </c>
      <c r="Q51" s="75">
        <f t="shared" si="1"/>
        <v>2</v>
      </c>
      <c r="R51" s="156"/>
      <c r="S51" s="156"/>
      <c r="T51" s="156"/>
      <c r="U51" s="156"/>
      <c r="V51" s="156"/>
      <c r="W51" s="156"/>
      <c r="X51" s="156"/>
      <c r="Y51" s="156"/>
      <c r="Z51" s="156"/>
      <c r="AA51" s="156"/>
    </row>
    <row r="52" spans="1:27" s="69" customFormat="1">
      <c r="A52" s="183" t="s">
        <v>1706</v>
      </c>
      <c r="B52" s="183" t="s">
        <v>1303</v>
      </c>
      <c r="C52" s="183" t="s">
        <v>1294</v>
      </c>
      <c r="D52" s="183" t="s">
        <v>3809</v>
      </c>
      <c r="E52" s="183" t="s">
        <v>1708</v>
      </c>
      <c r="F52" s="183" t="s">
        <v>3810</v>
      </c>
      <c r="G52" s="183" t="s">
        <v>18</v>
      </c>
      <c r="H52" s="183" t="s">
        <v>1298</v>
      </c>
      <c r="I52" s="183">
        <v>176</v>
      </c>
      <c r="J52" s="183" t="s">
        <v>3659</v>
      </c>
      <c r="K52" s="65">
        <v>4.8888888888888893</v>
      </c>
      <c r="L52" s="65">
        <v>5.6388888888888893</v>
      </c>
      <c r="M52" s="231"/>
      <c r="N52" s="153">
        <v>10</v>
      </c>
      <c r="O52" s="87">
        <f t="shared" si="0"/>
        <v>44001</v>
      </c>
      <c r="P52" s="156" t="s">
        <v>3808</v>
      </c>
      <c r="Q52" s="75">
        <f t="shared" si="1"/>
        <v>4</v>
      </c>
      <c r="R52" s="156"/>
      <c r="S52" s="156"/>
      <c r="T52" s="156"/>
      <c r="U52" s="156"/>
      <c r="V52" s="156"/>
      <c r="W52" s="156"/>
      <c r="X52" s="156"/>
      <c r="Y52" s="156"/>
      <c r="Z52" s="156"/>
      <c r="AA52" s="156"/>
    </row>
    <row r="53" spans="1:27" s="69" customFormat="1">
      <c r="A53" s="183" t="s">
        <v>2774</v>
      </c>
      <c r="B53" s="183"/>
      <c r="C53" s="183" t="s">
        <v>1294</v>
      </c>
      <c r="D53" s="183" t="s">
        <v>3811</v>
      </c>
      <c r="E53" s="183" t="s">
        <v>2775</v>
      </c>
      <c r="F53" s="183" t="s">
        <v>3812</v>
      </c>
      <c r="G53" s="183" t="s">
        <v>18</v>
      </c>
      <c r="H53" s="183" t="s">
        <v>30</v>
      </c>
      <c r="I53" s="183">
        <v>100</v>
      </c>
      <c r="J53" s="183" t="s">
        <v>3665</v>
      </c>
      <c r="K53" s="65">
        <v>2.7777777777777777</v>
      </c>
      <c r="L53" s="65">
        <v>3.5277777777777777</v>
      </c>
      <c r="M53" s="231"/>
      <c r="N53" s="153">
        <v>11</v>
      </c>
      <c r="O53" s="87">
        <f t="shared" si="0"/>
        <v>44002</v>
      </c>
      <c r="P53" s="156" t="s">
        <v>3679</v>
      </c>
      <c r="Q53" s="75">
        <f t="shared" si="1"/>
        <v>2</v>
      </c>
      <c r="R53" s="156"/>
      <c r="S53" s="156"/>
      <c r="T53" s="156"/>
      <c r="U53" s="156"/>
      <c r="V53" s="156"/>
      <c r="W53" s="156"/>
      <c r="X53" s="156"/>
      <c r="Y53" s="156"/>
      <c r="Z53" s="156"/>
      <c r="AA53" s="156"/>
    </row>
    <row r="54" spans="1:27" s="69" customFormat="1">
      <c r="A54" s="183" t="s">
        <v>600</v>
      </c>
      <c r="B54" s="183" t="s">
        <v>2329</v>
      </c>
      <c r="C54" s="183" t="s">
        <v>1294</v>
      </c>
      <c r="D54" s="183" t="s">
        <v>2348</v>
      </c>
      <c r="E54" s="183" t="s">
        <v>2349</v>
      </c>
      <c r="F54" s="183" t="s">
        <v>2350</v>
      </c>
      <c r="G54" s="183" t="s">
        <v>18</v>
      </c>
      <c r="H54" s="183" t="s">
        <v>1298</v>
      </c>
      <c r="I54" s="183">
        <v>100</v>
      </c>
      <c r="J54" s="183" t="s">
        <v>3659</v>
      </c>
      <c r="K54" s="65">
        <v>2.7777777777777777</v>
      </c>
      <c r="L54" s="65">
        <v>3.5277777777777777</v>
      </c>
      <c r="M54" s="231"/>
      <c r="N54" s="153">
        <v>11</v>
      </c>
      <c r="O54" s="87">
        <f t="shared" si="0"/>
        <v>44002</v>
      </c>
      <c r="P54" s="156" t="s">
        <v>3704</v>
      </c>
      <c r="Q54" s="75">
        <f t="shared" si="1"/>
        <v>2</v>
      </c>
      <c r="R54" s="156"/>
      <c r="S54" s="156"/>
      <c r="T54" s="156"/>
      <c r="U54" s="156"/>
      <c r="V54" s="156"/>
      <c r="W54" s="156"/>
      <c r="X54" s="156"/>
      <c r="Y54" s="156"/>
      <c r="Z54" s="156"/>
      <c r="AA54" s="156"/>
    </row>
    <row r="55" spans="1:27" s="69" customFormat="1">
      <c r="A55" s="183" t="s">
        <v>3207</v>
      </c>
      <c r="B55" s="183" t="s">
        <v>1312</v>
      </c>
      <c r="C55" s="183" t="s">
        <v>1294</v>
      </c>
      <c r="D55" s="183" t="s">
        <v>3208</v>
      </c>
      <c r="E55" s="183" t="s">
        <v>3209</v>
      </c>
      <c r="F55" s="183" t="s">
        <v>2374</v>
      </c>
      <c r="G55" s="183" t="s">
        <v>18</v>
      </c>
      <c r="H55" s="183" t="s">
        <v>1298</v>
      </c>
      <c r="I55" s="183">
        <v>96</v>
      </c>
      <c r="J55" s="183" t="s">
        <v>3659</v>
      </c>
      <c r="K55" s="65">
        <v>2.6666666666666665</v>
      </c>
      <c r="L55" s="65">
        <v>3.4166666666666665</v>
      </c>
      <c r="M55" s="231"/>
      <c r="N55" s="75">
        <v>13</v>
      </c>
      <c r="O55" s="87">
        <f t="shared" si="0"/>
        <v>44004</v>
      </c>
      <c r="P55" s="177" t="s">
        <v>3679</v>
      </c>
      <c r="Q55" s="75">
        <f t="shared" si="1"/>
        <v>2</v>
      </c>
    </row>
    <row r="56" spans="1:27" s="69" customFormat="1">
      <c r="A56" s="183" t="s">
        <v>2371</v>
      </c>
      <c r="B56" s="183" t="s">
        <v>343</v>
      </c>
      <c r="C56" s="183" t="s">
        <v>1294</v>
      </c>
      <c r="D56" s="183" t="s">
        <v>2372</v>
      </c>
      <c r="E56" s="183" t="s">
        <v>2373</v>
      </c>
      <c r="F56" s="183" t="s">
        <v>2374</v>
      </c>
      <c r="G56" s="183" t="s">
        <v>18</v>
      </c>
      <c r="H56" s="183" t="s">
        <v>1298</v>
      </c>
      <c r="I56" s="183">
        <v>85</v>
      </c>
      <c r="J56" s="183" t="s">
        <v>3659</v>
      </c>
      <c r="K56" s="65">
        <v>2.3611111111111112</v>
      </c>
      <c r="L56" s="65">
        <v>3.1111111111111112</v>
      </c>
      <c r="M56" s="231"/>
      <c r="N56" s="153">
        <v>13</v>
      </c>
      <c r="O56" s="87">
        <f t="shared" si="0"/>
        <v>44004</v>
      </c>
      <c r="P56" s="177" t="s">
        <v>3765</v>
      </c>
      <c r="Q56" s="75">
        <f t="shared" si="1"/>
        <v>2</v>
      </c>
    </row>
    <row r="57" spans="1:27" s="78" customFormat="1">
      <c r="A57" s="184" t="s">
        <v>3307</v>
      </c>
      <c r="B57" s="184" t="s">
        <v>343</v>
      </c>
      <c r="C57" s="184" t="s">
        <v>1818</v>
      </c>
      <c r="D57" s="184" t="s">
        <v>3309</v>
      </c>
      <c r="E57" s="184" t="s">
        <v>3310</v>
      </c>
      <c r="F57" s="184" t="s">
        <v>3311</v>
      </c>
      <c r="G57" s="184" t="s">
        <v>18</v>
      </c>
      <c r="H57" s="184" t="s">
        <v>1298</v>
      </c>
      <c r="I57" s="184">
        <v>110</v>
      </c>
      <c r="J57" s="184" t="s">
        <v>3659</v>
      </c>
      <c r="K57" s="76">
        <v>3.0555555555555554</v>
      </c>
      <c r="L57" s="76">
        <v>3.8055555555555554</v>
      </c>
      <c r="M57" s="232">
        <v>13</v>
      </c>
      <c r="N57" s="77">
        <v>1</v>
      </c>
      <c r="O57" s="86">
        <f t="shared" si="0"/>
        <v>43992</v>
      </c>
      <c r="P57" s="187" t="s">
        <v>3679</v>
      </c>
      <c r="Q57" s="79">
        <f t="shared" si="1"/>
        <v>3</v>
      </c>
      <c r="S57" s="212" t="s">
        <v>3661</v>
      </c>
      <c r="T57" s="78">
        <v>3</v>
      </c>
    </row>
    <row r="58" spans="1:27" s="78" customFormat="1">
      <c r="A58" s="184" t="s">
        <v>1292</v>
      </c>
      <c r="B58" s="184" t="s">
        <v>343</v>
      </c>
      <c r="C58" s="184" t="s">
        <v>1294</v>
      </c>
      <c r="D58" s="184" t="s">
        <v>1295</v>
      </c>
      <c r="E58" s="184" t="s">
        <v>1296</v>
      </c>
      <c r="F58" s="184" t="s">
        <v>1297</v>
      </c>
      <c r="G58" s="184" t="s">
        <v>18</v>
      </c>
      <c r="H58" s="184" t="s">
        <v>1298</v>
      </c>
      <c r="I58" s="184">
        <v>140</v>
      </c>
      <c r="J58" s="184" t="s">
        <v>3659</v>
      </c>
      <c r="K58" s="76">
        <v>3.8888888888888888</v>
      </c>
      <c r="L58" s="76">
        <v>4.6388888888888893</v>
      </c>
      <c r="M58" s="233"/>
      <c r="N58" s="79">
        <v>2</v>
      </c>
      <c r="O58" s="86">
        <f t="shared" si="0"/>
        <v>43993</v>
      </c>
      <c r="P58" s="187" t="s">
        <v>3660</v>
      </c>
      <c r="Q58" s="79">
        <f t="shared" si="1"/>
        <v>3</v>
      </c>
    </row>
    <row r="59" spans="1:27" s="78" customFormat="1">
      <c r="A59" s="184" t="s">
        <v>2218</v>
      </c>
      <c r="B59" s="184" t="s">
        <v>1312</v>
      </c>
      <c r="C59" s="184" t="s">
        <v>1818</v>
      </c>
      <c r="D59" s="184" t="s">
        <v>2219</v>
      </c>
      <c r="E59" s="184" t="s">
        <v>2220</v>
      </c>
      <c r="F59" s="184" t="s">
        <v>1821</v>
      </c>
      <c r="G59" s="184" t="s">
        <v>18</v>
      </c>
      <c r="H59" s="184" t="s">
        <v>1298</v>
      </c>
      <c r="I59" s="184">
        <v>70</v>
      </c>
      <c r="J59" s="184" t="s">
        <v>3659</v>
      </c>
      <c r="K59" s="76">
        <v>1.9444444444444444</v>
      </c>
      <c r="L59" s="76">
        <v>2.6944444444444446</v>
      </c>
      <c r="M59" s="233"/>
      <c r="N59" s="77">
        <v>2</v>
      </c>
      <c r="O59" s="86">
        <f t="shared" si="0"/>
        <v>43993</v>
      </c>
      <c r="P59" s="187" t="s">
        <v>3813</v>
      </c>
      <c r="Q59" s="79">
        <f t="shared" si="1"/>
        <v>2</v>
      </c>
    </row>
    <row r="60" spans="1:27" s="78" customFormat="1">
      <c r="A60" s="184" t="s">
        <v>3161</v>
      </c>
      <c r="B60" s="184" t="s">
        <v>1300</v>
      </c>
      <c r="C60" s="184" t="s">
        <v>1818</v>
      </c>
      <c r="D60" s="184" t="s">
        <v>3163</v>
      </c>
      <c r="E60" s="184" t="s">
        <v>3164</v>
      </c>
      <c r="F60" s="184" t="s">
        <v>1821</v>
      </c>
      <c r="G60" s="184" t="s">
        <v>18</v>
      </c>
      <c r="H60" s="184" t="s">
        <v>30</v>
      </c>
      <c r="I60" s="184">
        <v>40</v>
      </c>
      <c r="J60" s="184" t="s">
        <v>3659</v>
      </c>
      <c r="K60" s="76">
        <v>1.1111111111111112</v>
      </c>
      <c r="L60" s="76">
        <v>1.8611111111111112</v>
      </c>
      <c r="M60" s="233"/>
      <c r="N60" s="77">
        <v>3</v>
      </c>
      <c r="O60" s="86">
        <f t="shared" si="0"/>
        <v>43994</v>
      </c>
      <c r="P60" s="187" t="s">
        <v>3814</v>
      </c>
      <c r="Q60" s="79">
        <f t="shared" si="1"/>
        <v>1</v>
      </c>
    </row>
    <row r="61" spans="1:27" s="78" customFormat="1">
      <c r="A61" s="187" t="s">
        <v>287</v>
      </c>
      <c r="B61" s="184" t="s">
        <v>1527</v>
      </c>
      <c r="C61" s="184" t="s">
        <v>1818</v>
      </c>
      <c r="D61" s="184" t="s">
        <v>1819</v>
      </c>
      <c r="E61" s="184" t="s">
        <v>1820</v>
      </c>
      <c r="F61" s="184" t="s">
        <v>1821</v>
      </c>
      <c r="G61" s="184" t="s">
        <v>18</v>
      </c>
      <c r="H61" s="184" t="s">
        <v>30</v>
      </c>
      <c r="I61" s="184">
        <v>30</v>
      </c>
      <c r="J61" s="184" t="s">
        <v>3659</v>
      </c>
      <c r="K61" s="76">
        <v>0.83333333333333337</v>
      </c>
      <c r="L61" s="76">
        <v>1.5833333333333335</v>
      </c>
      <c r="M61" s="233"/>
      <c r="N61" s="77">
        <v>3</v>
      </c>
      <c r="O61" s="86">
        <f t="shared" si="0"/>
        <v>43994</v>
      </c>
      <c r="P61" s="187" t="s">
        <v>3815</v>
      </c>
      <c r="Q61" s="79">
        <f t="shared" si="1"/>
        <v>1</v>
      </c>
    </row>
    <row r="62" spans="1:27" s="78" customFormat="1">
      <c r="A62" s="184" t="s">
        <v>1593</v>
      </c>
      <c r="B62" s="184" t="s">
        <v>343</v>
      </c>
      <c r="C62" s="184" t="s">
        <v>1458</v>
      </c>
      <c r="D62" s="184" t="s">
        <v>1594</v>
      </c>
      <c r="E62" s="184" t="s">
        <v>1595</v>
      </c>
      <c r="F62" s="184" t="s">
        <v>1592</v>
      </c>
      <c r="G62" s="184" t="s">
        <v>18</v>
      </c>
      <c r="H62" s="184" t="s">
        <v>1298</v>
      </c>
      <c r="I62" s="184">
        <v>180</v>
      </c>
      <c r="J62" s="184" t="s">
        <v>3659</v>
      </c>
      <c r="K62" s="76">
        <v>5</v>
      </c>
      <c r="L62" s="76">
        <v>5.75</v>
      </c>
      <c r="M62" s="233"/>
      <c r="N62" s="77">
        <v>3</v>
      </c>
      <c r="O62" s="86">
        <f t="shared" si="0"/>
        <v>43994</v>
      </c>
      <c r="P62" s="187" t="s">
        <v>3755</v>
      </c>
      <c r="Q62" s="79">
        <f t="shared" si="1"/>
        <v>4</v>
      </c>
    </row>
    <row r="63" spans="1:27" s="252" customFormat="1">
      <c r="A63" s="140" t="s">
        <v>191</v>
      </c>
      <c r="B63" s="140"/>
      <c r="C63" s="140" t="s">
        <v>1458</v>
      </c>
      <c r="D63" s="140" t="s">
        <v>1590</v>
      </c>
      <c r="E63" s="140" t="s">
        <v>1591</v>
      </c>
      <c r="F63" s="140" t="s">
        <v>1592</v>
      </c>
      <c r="G63" s="140" t="s">
        <v>18</v>
      </c>
      <c r="H63" s="140" t="s">
        <v>30</v>
      </c>
      <c r="I63" s="140">
        <v>130</v>
      </c>
      <c r="J63" s="140" t="s">
        <v>3816</v>
      </c>
      <c r="K63" s="164"/>
      <c r="L63" s="164"/>
      <c r="M63" s="254"/>
      <c r="N63" s="165"/>
      <c r="O63" s="129"/>
      <c r="P63" s="253"/>
      <c r="Q63" s="269"/>
    </row>
    <row r="64" spans="1:27" s="78" customFormat="1">
      <c r="A64" s="184" t="s">
        <v>1719</v>
      </c>
      <c r="B64" s="184" t="s">
        <v>343</v>
      </c>
      <c r="C64" s="184" t="s">
        <v>1458</v>
      </c>
      <c r="D64" s="184" t="s">
        <v>1720</v>
      </c>
      <c r="E64" s="184" t="s">
        <v>1721</v>
      </c>
      <c r="F64" s="184" t="s">
        <v>1461</v>
      </c>
      <c r="G64" s="184" t="s">
        <v>18</v>
      </c>
      <c r="H64" s="184" t="s">
        <v>1298</v>
      </c>
      <c r="I64" s="184">
        <v>150</v>
      </c>
      <c r="J64" s="184" t="s">
        <v>3659</v>
      </c>
      <c r="K64" s="76">
        <v>4.166666666666667</v>
      </c>
      <c r="L64" s="76">
        <v>4.916666666666667</v>
      </c>
      <c r="M64" s="233"/>
      <c r="N64" s="77">
        <v>6</v>
      </c>
      <c r="O64" s="86">
        <f t="shared" si="0"/>
        <v>43997</v>
      </c>
      <c r="P64" s="187" t="s">
        <v>3660</v>
      </c>
      <c r="Q64" s="79">
        <f t="shared" si="1"/>
        <v>3</v>
      </c>
    </row>
    <row r="65" spans="1:27" s="78" customFormat="1">
      <c r="A65" s="184" t="s">
        <v>178</v>
      </c>
      <c r="B65" s="184"/>
      <c r="C65" s="184" t="s">
        <v>1458</v>
      </c>
      <c r="D65" s="184" t="s">
        <v>1568</v>
      </c>
      <c r="E65" s="184" t="s">
        <v>1569</v>
      </c>
      <c r="F65" s="184" t="s">
        <v>1461</v>
      </c>
      <c r="G65" s="184" t="s">
        <v>18</v>
      </c>
      <c r="H65" s="184" t="s">
        <v>30</v>
      </c>
      <c r="I65" s="184">
        <v>80</v>
      </c>
      <c r="J65" s="184" t="s">
        <v>3659</v>
      </c>
      <c r="K65" s="76">
        <v>2.2222222222222223</v>
      </c>
      <c r="L65" s="76">
        <v>2.9722222222222223</v>
      </c>
      <c r="M65" s="233"/>
      <c r="N65" s="77">
        <v>6</v>
      </c>
      <c r="O65" s="86">
        <f t="shared" si="0"/>
        <v>43997</v>
      </c>
      <c r="P65" s="187" t="s">
        <v>3813</v>
      </c>
      <c r="Q65" s="79">
        <f t="shared" si="1"/>
        <v>2</v>
      </c>
    </row>
    <row r="66" spans="1:27" s="78" customFormat="1">
      <c r="A66" s="184" t="s">
        <v>1757</v>
      </c>
      <c r="B66" s="184" t="s">
        <v>1303</v>
      </c>
      <c r="C66" s="184" t="s">
        <v>1458</v>
      </c>
      <c r="D66" s="184" t="s">
        <v>3817</v>
      </c>
      <c r="E66" s="184" t="s">
        <v>1759</v>
      </c>
      <c r="F66" s="184" t="s">
        <v>3818</v>
      </c>
      <c r="G66" s="184" t="s">
        <v>18</v>
      </c>
      <c r="H66" s="184" t="s">
        <v>1298</v>
      </c>
      <c r="I66" s="184">
        <v>175</v>
      </c>
      <c r="J66" s="184" t="s">
        <v>3659</v>
      </c>
      <c r="K66" s="76">
        <v>4.8611111111111107</v>
      </c>
      <c r="L66" s="76">
        <v>5.6111111111111107</v>
      </c>
      <c r="M66" s="233"/>
      <c r="N66" s="79">
        <v>7</v>
      </c>
      <c r="O66" s="86">
        <f t="shared" ref="O66:O94" si="2">$O$1+N66</f>
        <v>43998</v>
      </c>
      <c r="P66" s="157" t="s">
        <v>3676</v>
      </c>
      <c r="Q66" s="79">
        <f t="shared" ref="Q66:Q108" si="3">ROUNDUP(I66/$R$2,0)</f>
        <v>4</v>
      </c>
      <c r="R66" s="157"/>
      <c r="S66" s="157"/>
      <c r="T66" s="157"/>
      <c r="U66" s="157"/>
      <c r="V66" s="157"/>
      <c r="W66" s="157"/>
      <c r="X66" s="157"/>
      <c r="Y66" s="157"/>
      <c r="Z66" s="157"/>
      <c r="AA66" s="157"/>
    </row>
    <row r="67" spans="1:27" s="78" customFormat="1">
      <c r="A67" s="184" t="s">
        <v>745</v>
      </c>
      <c r="B67" s="184"/>
      <c r="C67" s="184" t="s">
        <v>1458</v>
      </c>
      <c r="D67" s="184" t="s">
        <v>2724</v>
      </c>
      <c r="E67" s="184" t="s">
        <v>2725</v>
      </c>
      <c r="F67" s="184" t="s">
        <v>2726</v>
      </c>
      <c r="G67" s="184" t="s">
        <v>18</v>
      </c>
      <c r="H67" s="184" t="s">
        <v>19</v>
      </c>
      <c r="I67" s="184">
        <v>95</v>
      </c>
      <c r="J67" s="184" t="s">
        <v>3659</v>
      </c>
      <c r="K67" s="76">
        <v>2.6388888888888888</v>
      </c>
      <c r="L67" s="76">
        <v>3.3888888888888888</v>
      </c>
      <c r="M67" s="233"/>
      <c r="N67" s="79">
        <v>8</v>
      </c>
      <c r="O67" s="86">
        <f t="shared" si="2"/>
        <v>43999</v>
      </c>
      <c r="P67" s="157" t="s">
        <v>3679</v>
      </c>
      <c r="Q67" s="79">
        <f t="shared" si="3"/>
        <v>2</v>
      </c>
      <c r="R67" s="157"/>
      <c r="S67" s="157"/>
      <c r="T67" s="157"/>
      <c r="U67" s="157"/>
      <c r="V67" s="157"/>
      <c r="W67" s="157"/>
      <c r="X67" s="157"/>
      <c r="Y67" s="157"/>
      <c r="Z67" s="157"/>
      <c r="AA67" s="157"/>
    </row>
    <row r="68" spans="1:27" s="78" customFormat="1">
      <c r="A68" s="184" t="s">
        <v>118</v>
      </c>
      <c r="B68" s="184" t="s">
        <v>1265</v>
      </c>
      <c r="C68" s="184" t="s">
        <v>1458</v>
      </c>
      <c r="D68" s="184" t="s">
        <v>1459</v>
      </c>
      <c r="E68" s="184" t="s">
        <v>1460</v>
      </c>
      <c r="F68" s="184" t="s">
        <v>1461</v>
      </c>
      <c r="G68" s="184" t="s">
        <v>18</v>
      </c>
      <c r="H68" s="184" t="s">
        <v>30</v>
      </c>
      <c r="I68" s="184">
        <v>150</v>
      </c>
      <c r="J68" s="184" t="s">
        <v>3659</v>
      </c>
      <c r="K68" s="76">
        <v>4.166666666666667</v>
      </c>
      <c r="L68" s="76">
        <v>4.916666666666667</v>
      </c>
      <c r="M68" s="233"/>
      <c r="N68" s="77">
        <v>8</v>
      </c>
      <c r="O68" s="86">
        <f t="shared" si="2"/>
        <v>43999</v>
      </c>
      <c r="P68" s="187" t="s">
        <v>3717</v>
      </c>
      <c r="Q68" s="79">
        <f t="shared" si="3"/>
        <v>3</v>
      </c>
    </row>
    <row r="69" spans="1:27" s="78" customFormat="1">
      <c r="A69" s="184" t="s">
        <v>582</v>
      </c>
      <c r="B69" s="184" t="s">
        <v>2329</v>
      </c>
      <c r="C69" s="184" t="s">
        <v>1458</v>
      </c>
      <c r="D69" s="184" t="s">
        <v>2331</v>
      </c>
      <c r="E69" s="184" t="s">
        <v>2332</v>
      </c>
      <c r="F69" s="184" t="s">
        <v>1461</v>
      </c>
      <c r="G69" s="184" t="s">
        <v>18</v>
      </c>
      <c r="H69" s="184" t="s">
        <v>1298</v>
      </c>
      <c r="I69" s="184">
        <v>90</v>
      </c>
      <c r="J69" s="184" t="s">
        <v>3659</v>
      </c>
      <c r="K69" s="76">
        <v>2.5</v>
      </c>
      <c r="L69" s="76">
        <v>3.25</v>
      </c>
      <c r="M69" s="233"/>
      <c r="N69" s="79">
        <v>9</v>
      </c>
      <c r="O69" s="86">
        <f t="shared" si="2"/>
        <v>44000</v>
      </c>
      <c r="P69" s="187" t="s">
        <v>3762</v>
      </c>
      <c r="Q69" s="79">
        <f t="shared" si="3"/>
        <v>2</v>
      </c>
    </row>
    <row r="70" spans="1:27" s="78" customFormat="1">
      <c r="A70" s="184" t="s">
        <v>1766</v>
      </c>
      <c r="B70" s="184" t="s">
        <v>343</v>
      </c>
      <c r="C70" s="184" t="s">
        <v>1458</v>
      </c>
      <c r="D70" s="184" t="s">
        <v>1768</v>
      </c>
      <c r="E70" s="184" t="s">
        <v>1769</v>
      </c>
      <c r="F70" s="184" t="s">
        <v>1770</v>
      </c>
      <c r="G70" s="184" t="s">
        <v>18</v>
      </c>
      <c r="H70" s="184" t="s">
        <v>1298</v>
      </c>
      <c r="I70" s="184">
        <v>124</v>
      </c>
      <c r="J70" s="184" t="s">
        <v>3659</v>
      </c>
      <c r="K70" s="76">
        <v>3.4444444444444446</v>
      </c>
      <c r="L70" s="76">
        <v>4.1944444444444446</v>
      </c>
      <c r="M70" s="233"/>
      <c r="N70" s="79">
        <v>9</v>
      </c>
      <c r="O70" s="86">
        <f t="shared" si="2"/>
        <v>44000</v>
      </c>
      <c r="P70" s="187" t="s">
        <v>3819</v>
      </c>
      <c r="Q70" s="79">
        <f t="shared" si="3"/>
        <v>3</v>
      </c>
    </row>
    <row r="71" spans="1:27" s="78" customFormat="1">
      <c r="A71" s="184" t="s">
        <v>283</v>
      </c>
      <c r="B71" s="184"/>
      <c r="C71" s="184" t="s">
        <v>1458</v>
      </c>
      <c r="D71" s="184" t="s">
        <v>1813</v>
      </c>
      <c r="E71" s="184" t="s">
        <v>1814</v>
      </c>
      <c r="F71" s="184" t="s">
        <v>1770</v>
      </c>
      <c r="G71" s="184" t="s">
        <v>18</v>
      </c>
      <c r="H71" s="184" t="s">
        <v>30</v>
      </c>
      <c r="I71" s="184">
        <v>75</v>
      </c>
      <c r="J71" s="184" t="s">
        <v>3659</v>
      </c>
      <c r="K71" s="76">
        <v>2.0833333333333335</v>
      </c>
      <c r="L71" s="76">
        <v>2.8333333333333335</v>
      </c>
      <c r="M71" s="233"/>
      <c r="N71" s="77">
        <v>10</v>
      </c>
      <c r="O71" s="86">
        <f t="shared" si="2"/>
        <v>44001</v>
      </c>
      <c r="P71" s="187" t="s">
        <v>3724</v>
      </c>
      <c r="Q71" s="79">
        <f t="shared" si="3"/>
        <v>2</v>
      </c>
    </row>
    <row r="72" spans="1:27" s="78" customFormat="1">
      <c r="A72" s="184" t="s">
        <v>2390</v>
      </c>
      <c r="B72" s="184" t="s">
        <v>343</v>
      </c>
      <c r="C72" s="184" t="s">
        <v>1911</v>
      </c>
      <c r="D72" s="184" t="s">
        <v>2393</v>
      </c>
      <c r="E72" s="184" t="s">
        <v>2394</v>
      </c>
      <c r="F72" s="184" t="s">
        <v>2395</v>
      </c>
      <c r="G72" s="184" t="s">
        <v>18</v>
      </c>
      <c r="H72" s="184" t="s">
        <v>1298</v>
      </c>
      <c r="I72" s="184">
        <v>180</v>
      </c>
      <c r="J72" s="184" t="s">
        <v>3659</v>
      </c>
      <c r="K72" s="76">
        <v>5</v>
      </c>
      <c r="L72" s="76">
        <v>5.75</v>
      </c>
      <c r="M72" s="233"/>
      <c r="N72" s="77">
        <v>10</v>
      </c>
      <c r="O72" s="86">
        <f t="shared" si="2"/>
        <v>44001</v>
      </c>
      <c r="P72" s="187" t="s">
        <v>3820</v>
      </c>
      <c r="Q72" s="79">
        <f t="shared" si="3"/>
        <v>4</v>
      </c>
    </row>
    <row r="73" spans="1:27" s="78" customFormat="1">
      <c r="A73" s="184" t="s">
        <v>2952</v>
      </c>
      <c r="B73" s="184" t="s">
        <v>1312</v>
      </c>
      <c r="C73" s="184" t="s">
        <v>1911</v>
      </c>
      <c r="D73" s="184" t="s">
        <v>2953</v>
      </c>
      <c r="E73" s="184" t="s">
        <v>2954</v>
      </c>
      <c r="F73" s="184" t="s">
        <v>2395</v>
      </c>
      <c r="G73" s="184" t="s">
        <v>18</v>
      </c>
      <c r="H73" s="184" t="s">
        <v>1298</v>
      </c>
      <c r="I73" s="184">
        <v>90</v>
      </c>
      <c r="J73" s="184" t="s">
        <v>3659</v>
      </c>
      <c r="K73" s="76">
        <v>2.5</v>
      </c>
      <c r="L73" s="76">
        <v>3.25</v>
      </c>
      <c r="M73" s="233"/>
      <c r="N73" s="77">
        <v>11</v>
      </c>
      <c r="O73" s="86">
        <f t="shared" si="2"/>
        <v>44002</v>
      </c>
      <c r="P73" s="187" t="s">
        <v>3679</v>
      </c>
      <c r="Q73" s="79">
        <f t="shared" si="3"/>
        <v>2</v>
      </c>
    </row>
    <row r="74" spans="1:27" s="78" customFormat="1">
      <c r="A74" s="184" t="s">
        <v>3821</v>
      </c>
      <c r="B74" s="184" t="s">
        <v>1903</v>
      </c>
      <c r="C74" s="184" t="s">
        <v>1290</v>
      </c>
      <c r="D74" s="184">
        <v>3177873451</v>
      </c>
      <c r="E74" s="184" t="s">
        <v>3822</v>
      </c>
      <c r="F74" s="184" t="s">
        <v>3823</v>
      </c>
      <c r="G74" s="184" t="s">
        <v>18</v>
      </c>
      <c r="H74" s="184" t="s">
        <v>30</v>
      </c>
      <c r="I74" s="184">
        <v>123</v>
      </c>
      <c r="J74" s="184"/>
      <c r="K74" s="76">
        <f>I74/$B$121</f>
        <v>3.4166666666666665</v>
      </c>
      <c r="L74" s="76">
        <f>K74+($B$118+$B$119)/60</f>
        <v>4.1666666666666661</v>
      </c>
      <c r="M74" s="233"/>
      <c r="N74" s="77">
        <v>11</v>
      </c>
      <c r="O74" s="86">
        <f t="shared" si="2"/>
        <v>44002</v>
      </c>
      <c r="P74" s="212" t="s">
        <v>3824</v>
      </c>
      <c r="Q74" s="79">
        <f t="shared" si="3"/>
        <v>3</v>
      </c>
    </row>
    <row r="75" spans="1:27" s="374" customFormat="1">
      <c r="A75" s="369" t="s">
        <v>6941</v>
      </c>
      <c r="B75" s="369" t="s">
        <v>1303</v>
      </c>
      <c r="C75" s="369" t="s">
        <v>1294</v>
      </c>
      <c r="D75" s="369">
        <v>3177703434</v>
      </c>
      <c r="E75" s="369" t="s">
        <v>6942</v>
      </c>
      <c r="F75" s="369" t="s">
        <v>6943</v>
      </c>
      <c r="G75" s="369" t="s">
        <v>18</v>
      </c>
      <c r="H75" s="369" t="s">
        <v>30</v>
      </c>
      <c r="I75" s="369">
        <v>164</v>
      </c>
      <c r="J75" s="369"/>
      <c r="K75" s="370">
        <f>I75/$B$121</f>
        <v>4.5555555555555554</v>
      </c>
      <c r="L75" s="370">
        <f>K75+($B$118+$B$119)/60</f>
        <v>5.3055555555555554</v>
      </c>
      <c r="M75" s="371"/>
      <c r="N75" s="372">
        <v>13</v>
      </c>
      <c r="O75" s="373">
        <f t="shared" si="2"/>
        <v>44004</v>
      </c>
      <c r="P75" s="374" t="s">
        <v>3850</v>
      </c>
      <c r="Q75" s="375">
        <f t="shared" si="3"/>
        <v>4</v>
      </c>
    </row>
    <row r="76" spans="1:27" s="82" customFormat="1">
      <c r="A76" s="185" t="s">
        <v>353</v>
      </c>
      <c r="B76" s="185"/>
      <c r="C76" s="185" t="s">
        <v>1911</v>
      </c>
      <c r="D76" s="185" t="s">
        <v>2016</v>
      </c>
      <c r="E76" s="185" t="s">
        <v>2017</v>
      </c>
      <c r="F76" s="185" t="s">
        <v>2018</v>
      </c>
      <c r="G76" s="185" t="s">
        <v>18</v>
      </c>
      <c r="H76" s="185" t="s">
        <v>30</v>
      </c>
      <c r="I76" s="185">
        <v>95</v>
      </c>
      <c r="J76" s="185" t="s">
        <v>3659</v>
      </c>
      <c r="K76" s="80">
        <v>2.6388888888888888</v>
      </c>
      <c r="L76" s="80">
        <v>3.3888888888888888</v>
      </c>
      <c r="M76" s="234">
        <v>14</v>
      </c>
      <c r="N76" s="81">
        <v>1</v>
      </c>
      <c r="O76" s="85">
        <f t="shared" si="2"/>
        <v>43992</v>
      </c>
      <c r="P76" s="178" t="s">
        <v>3679</v>
      </c>
      <c r="Q76" s="83">
        <f t="shared" si="3"/>
        <v>2</v>
      </c>
      <c r="S76" s="213" t="s">
        <v>3661</v>
      </c>
      <c r="T76" s="82">
        <v>3</v>
      </c>
    </row>
    <row r="77" spans="1:27" s="82" customFormat="1">
      <c r="A77" s="185" t="s">
        <v>2491</v>
      </c>
      <c r="B77" s="185" t="s">
        <v>2423</v>
      </c>
      <c r="C77" s="185" t="s">
        <v>1911</v>
      </c>
      <c r="D77" s="185" t="s">
        <v>2492</v>
      </c>
      <c r="E77" s="185" t="s">
        <v>2493</v>
      </c>
      <c r="F77" s="185" t="s">
        <v>2395</v>
      </c>
      <c r="G77" s="185" t="s">
        <v>18</v>
      </c>
      <c r="H77" s="185" t="s">
        <v>1298</v>
      </c>
      <c r="I77" s="185">
        <v>90</v>
      </c>
      <c r="J77" s="185" t="s">
        <v>3659</v>
      </c>
      <c r="K77" s="80">
        <v>2.5</v>
      </c>
      <c r="L77" s="80">
        <v>3.25</v>
      </c>
      <c r="M77" s="80"/>
      <c r="N77" s="81">
        <v>2</v>
      </c>
      <c r="O77" s="85">
        <f t="shared" si="2"/>
        <v>43993</v>
      </c>
      <c r="P77" s="178" t="s">
        <v>3762</v>
      </c>
      <c r="Q77" s="83">
        <f t="shared" si="3"/>
        <v>2</v>
      </c>
    </row>
    <row r="78" spans="1:27" s="82" customFormat="1">
      <c r="A78" s="185" t="s">
        <v>902</v>
      </c>
      <c r="B78" s="185" t="s">
        <v>1300</v>
      </c>
      <c r="C78" s="185" t="s">
        <v>1911</v>
      </c>
      <c r="D78" s="185" t="s">
        <v>3165</v>
      </c>
      <c r="E78" s="185" t="s">
        <v>3166</v>
      </c>
      <c r="F78" s="185" t="s">
        <v>2018</v>
      </c>
      <c r="G78" s="185" t="s">
        <v>18</v>
      </c>
      <c r="H78" s="185" t="s">
        <v>30</v>
      </c>
      <c r="I78" s="185">
        <v>78</v>
      </c>
      <c r="J78" s="185" t="s">
        <v>3659</v>
      </c>
      <c r="K78" s="80">
        <v>2.1666666666666665</v>
      </c>
      <c r="L78" s="80">
        <v>2.9166666666666665</v>
      </c>
      <c r="M78" s="80"/>
      <c r="N78" s="83">
        <v>2</v>
      </c>
      <c r="O78" s="85">
        <f t="shared" si="2"/>
        <v>43993</v>
      </c>
      <c r="P78" s="178" t="s">
        <v>3668</v>
      </c>
      <c r="Q78" s="83">
        <f t="shared" si="3"/>
        <v>2</v>
      </c>
    </row>
    <row r="79" spans="1:27" s="82" customFormat="1">
      <c r="A79" s="185" t="s">
        <v>1418</v>
      </c>
      <c r="B79" s="185" t="s">
        <v>1303</v>
      </c>
      <c r="C79" s="185" t="s">
        <v>1420</v>
      </c>
      <c r="D79" s="185" t="s">
        <v>3825</v>
      </c>
      <c r="E79" s="185" t="s">
        <v>1421</v>
      </c>
      <c r="F79" s="185" t="s">
        <v>3826</v>
      </c>
      <c r="G79" s="185" t="s">
        <v>18</v>
      </c>
      <c r="H79" s="185" t="s">
        <v>1298</v>
      </c>
      <c r="I79" s="185">
        <v>159</v>
      </c>
      <c r="J79" s="185" t="s">
        <v>3659</v>
      </c>
      <c r="K79" s="80">
        <v>4.416666666666667</v>
      </c>
      <c r="L79" s="80">
        <v>5.166666666666667</v>
      </c>
      <c r="M79" s="80"/>
      <c r="N79" s="83">
        <v>3</v>
      </c>
      <c r="O79" s="85">
        <f t="shared" si="2"/>
        <v>43994</v>
      </c>
      <c r="P79" s="178" t="s">
        <v>3689</v>
      </c>
      <c r="Q79" s="83">
        <f t="shared" si="3"/>
        <v>4</v>
      </c>
    </row>
    <row r="80" spans="1:27" s="82" customFormat="1">
      <c r="A80" s="185" t="s">
        <v>2049</v>
      </c>
      <c r="B80" s="185" t="s">
        <v>343</v>
      </c>
      <c r="C80" s="185" t="s">
        <v>1420</v>
      </c>
      <c r="D80" s="185" t="s">
        <v>2050</v>
      </c>
      <c r="E80" s="185" t="s">
        <v>2051</v>
      </c>
      <c r="F80" s="185" t="s">
        <v>2045</v>
      </c>
      <c r="G80" s="185" t="s">
        <v>18</v>
      </c>
      <c r="H80" s="185" t="s">
        <v>1298</v>
      </c>
      <c r="I80" s="185">
        <v>125</v>
      </c>
      <c r="J80" s="185" t="s">
        <v>3659</v>
      </c>
      <c r="K80" s="80">
        <v>3.4722222222222223</v>
      </c>
      <c r="L80" s="80">
        <v>4.2222222222222223</v>
      </c>
      <c r="M80" s="80"/>
      <c r="N80" s="81">
        <v>4</v>
      </c>
      <c r="O80" s="85">
        <f t="shared" si="2"/>
        <v>43995</v>
      </c>
      <c r="P80" s="178" t="s">
        <v>3662</v>
      </c>
      <c r="Q80" s="83">
        <f t="shared" si="3"/>
        <v>3</v>
      </c>
    </row>
    <row r="81" spans="1:27" s="82" customFormat="1">
      <c r="A81" s="185" t="s">
        <v>374</v>
      </c>
      <c r="B81" s="185"/>
      <c r="C81" s="185" t="s">
        <v>1420</v>
      </c>
      <c r="D81" s="185" t="s">
        <v>2053</v>
      </c>
      <c r="E81" s="185" t="s">
        <v>2054</v>
      </c>
      <c r="F81" s="185" t="s">
        <v>2055</v>
      </c>
      <c r="G81" s="185" t="s">
        <v>18</v>
      </c>
      <c r="H81" s="185" t="s">
        <v>30</v>
      </c>
      <c r="I81" s="185">
        <v>300</v>
      </c>
      <c r="J81" s="185" t="s">
        <v>3659</v>
      </c>
      <c r="K81" s="80">
        <v>8.3333333333333339</v>
      </c>
      <c r="L81" s="80">
        <v>9.0833333333333339</v>
      </c>
      <c r="M81" s="80"/>
      <c r="N81" s="83">
        <v>6</v>
      </c>
      <c r="O81" s="85">
        <f t="shared" si="2"/>
        <v>43997</v>
      </c>
      <c r="P81" s="178" t="s">
        <v>3699</v>
      </c>
      <c r="Q81" s="83">
        <f t="shared" si="3"/>
        <v>6</v>
      </c>
    </row>
    <row r="82" spans="1:27" s="82" customFormat="1">
      <c r="A82" s="185" t="s">
        <v>2042</v>
      </c>
      <c r="B82" s="185" t="s">
        <v>1303</v>
      </c>
      <c r="C82" s="185" t="s">
        <v>1420</v>
      </c>
      <c r="D82" s="185" t="s">
        <v>2043</v>
      </c>
      <c r="E82" s="185" t="s">
        <v>2044</v>
      </c>
      <c r="F82" s="185" t="s">
        <v>2045</v>
      </c>
      <c r="G82" s="185" t="s">
        <v>18</v>
      </c>
      <c r="H82" s="185" t="s">
        <v>1298</v>
      </c>
      <c r="I82" s="185">
        <v>110</v>
      </c>
      <c r="J82" s="185" t="s">
        <v>3659</v>
      </c>
      <c r="K82" s="80">
        <v>3.0555555555555554</v>
      </c>
      <c r="L82" s="80">
        <v>3.8055555555555554</v>
      </c>
      <c r="M82" s="80"/>
      <c r="N82" s="83">
        <v>7</v>
      </c>
      <c r="O82" s="85">
        <f t="shared" si="2"/>
        <v>43998</v>
      </c>
      <c r="P82" s="178" t="s">
        <v>3679</v>
      </c>
      <c r="Q82" s="83">
        <f t="shared" si="3"/>
        <v>3</v>
      </c>
    </row>
    <row r="83" spans="1:27" s="82" customFormat="1">
      <c r="A83" s="185" t="s">
        <v>474</v>
      </c>
      <c r="B83" s="185" t="s">
        <v>1265</v>
      </c>
      <c r="C83" s="185" t="s">
        <v>1420</v>
      </c>
      <c r="D83" s="185" t="s">
        <v>2216</v>
      </c>
      <c r="E83" s="185" t="s">
        <v>2217</v>
      </c>
      <c r="F83" s="185" t="s">
        <v>1858</v>
      </c>
      <c r="G83" s="185" t="s">
        <v>18</v>
      </c>
      <c r="H83" s="185" t="s">
        <v>30</v>
      </c>
      <c r="I83" s="185">
        <v>145</v>
      </c>
      <c r="J83" s="185" t="s">
        <v>3659</v>
      </c>
      <c r="K83" s="80">
        <v>4.0277777777777777</v>
      </c>
      <c r="L83" s="80">
        <v>4.7777777777777777</v>
      </c>
      <c r="M83" s="80"/>
      <c r="N83" s="81">
        <v>7</v>
      </c>
      <c r="O83" s="85">
        <f t="shared" si="2"/>
        <v>43998</v>
      </c>
      <c r="P83" s="178" t="s">
        <v>3717</v>
      </c>
      <c r="Q83" s="83">
        <f t="shared" si="3"/>
        <v>3</v>
      </c>
    </row>
    <row r="84" spans="1:27" s="82" customFormat="1">
      <c r="A84" s="185" t="s">
        <v>1855</v>
      </c>
      <c r="B84" s="185" t="s">
        <v>343</v>
      </c>
      <c r="C84" s="185" t="s">
        <v>1420</v>
      </c>
      <c r="D84" s="185" t="s">
        <v>1856</v>
      </c>
      <c r="E84" s="185" t="s">
        <v>1857</v>
      </c>
      <c r="F84" s="185" t="s">
        <v>1858</v>
      </c>
      <c r="G84" s="185" t="s">
        <v>18</v>
      </c>
      <c r="H84" s="185" t="s">
        <v>1298</v>
      </c>
      <c r="I84" s="185">
        <v>93</v>
      </c>
      <c r="J84" s="185" t="s">
        <v>3659</v>
      </c>
      <c r="K84" s="80">
        <v>2.5833333333333335</v>
      </c>
      <c r="L84" s="80">
        <v>3.3333333333333335</v>
      </c>
      <c r="M84" s="80"/>
      <c r="N84" s="83">
        <v>8</v>
      </c>
      <c r="O84" s="85">
        <f t="shared" si="2"/>
        <v>43999</v>
      </c>
      <c r="P84" s="178" t="s">
        <v>3679</v>
      </c>
      <c r="Q84" s="83">
        <f t="shared" si="3"/>
        <v>2</v>
      </c>
    </row>
    <row r="85" spans="1:27" s="82" customFormat="1">
      <c r="A85" s="185" t="s">
        <v>495</v>
      </c>
      <c r="B85" s="185"/>
      <c r="C85" s="185" t="s">
        <v>1420</v>
      </c>
      <c r="D85" s="185" t="s">
        <v>2238</v>
      </c>
      <c r="E85" s="185" t="s">
        <v>2239</v>
      </c>
      <c r="F85" s="185" t="s">
        <v>1858</v>
      </c>
      <c r="G85" s="185" t="s">
        <v>18</v>
      </c>
      <c r="H85" s="185" t="s">
        <v>30</v>
      </c>
      <c r="I85" s="185">
        <v>325</v>
      </c>
      <c r="J85" s="185" t="s">
        <v>3659</v>
      </c>
      <c r="K85" s="80">
        <v>9.0277777777777786</v>
      </c>
      <c r="L85" s="80">
        <v>9.7777777777777786</v>
      </c>
      <c r="M85" s="80"/>
      <c r="N85" s="83">
        <v>9</v>
      </c>
      <c r="O85" s="85">
        <f t="shared" si="2"/>
        <v>44000</v>
      </c>
      <c r="P85" s="178" t="s">
        <v>3745</v>
      </c>
      <c r="Q85" s="83">
        <f t="shared" si="3"/>
        <v>7</v>
      </c>
    </row>
    <row r="86" spans="1:27" s="82" customFormat="1">
      <c r="A86" s="185" t="s">
        <v>2158</v>
      </c>
      <c r="B86" s="185" t="s">
        <v>2148</v>
      </c>
      <c r="C86" s="185" t="s">
        <v>1420</v>
      </c>
      <c r="D86" s="185" t="s">
        <v>2159</v>
      </c>
      <c r="E86" s="185" t="s">
        <v>2160</v>
      </c>
      <c r="F86" s="185" t="s">
        <v>1858</v>
      </c>
      <c r="G86" s="185" t="s">
        <v>18</v>
      </c>
      <c r="H86" s="185" t="s">
        <v>1298</v>
      </c>
      <c r="I86" s="185">
        <v>25</v>
      </c>
      <c r="J86" s="185" t="s">
        <v>3665</v>
      </c>
      <c r="K86" s="80">
        <v>0.69444444444444442</v>
      </c>
      <c r="L86" s="80">
        <v>1.4444444444444444</v>
      </c>
      <c r="M86" s="80"/>
      <c r="N86" s="81">
        <v>10</v>
      </c>
      <c r="O86" s="85">
        <f t="shared" si="2"/>
        <v>44001</v>
      </c>
      <c r="P86" s="178" t="s">
        <v>3814</v>
      </c>
      <c r="Q86" s="83">
        <f t="shared" si="3"/>
        <v>1</v>
      </c>
    </row>
    <row r="87" spans="1:27" s="82" customFormat="1">
      <c r="A87" s="185" t="s">
        <v>2582</v>
      </c>
      <c r="B87" s="185" t="s">
        <v>1303</v>
      </c>
      <c r="C87" s="185" t="s">
        <v>1381</v>
      </c>
      <c r="D87" s="185" t="s">
        <v>3827</v>
      </c>
      <c r="E87" s="185" t="s">
        <v>2584</v>
      </c>
      <c r="F87" s="185" t="s">
        <v>3828</v>
      </c>
      <c r="G87" s="185" t="s">
        <v>18</v>
      </c>
      <c r="H87" s="185" t="s">
        <v>1298</v>
      </c>
      <c r="I87" s="185">
        <v>133</v>
      </c>
      <c r="J87" s="185" t="s">
        <v>3659</v>
      </c>
      <c r="K87" s="80">
        <v>3.6944444444444446</v>
      </c>
      <c r="L87" s="80">
        <v>4.4444444444444446</v>
      </c>
      <c r="M87" s="80"/>
      <c r="N87" s="81">
        <v>10</v>
      </c>
      <c r="O87" s="85">
        <f t="shared" si="2"/>
        <v>44001</v>
      </c>
      <c r="P87" s="178" t="s">
        <v>3829</v>
      </c>
      <c r="Q87" s="83">
        <f t="shared" si="3"/>
        <v>3</v>
      </c>
    </row>
    <row r="88" spans="1:27" s="82" customFormat="1">
      <c r="A88" s="185" t="s">
        <v>1409</v>
      </c>
      <c r="B88" s="185" t="s">
        <v>1312</v>
      </c>
      <c r="C88" s="185" t="s">
        <v>1381</v>
      </c>
      <c r="D88" s="185" t="s">
        <v>1411</v>
      </c>
      <c r="E88" s="185" t="s">
        <v>1412</v>
      </c>
      <c r="F88" s="185" t="s">
        <v>1413</v>
      </c>
      <c r="G88" s="185" t="s">
        <v>18</v>
      </c>
      <c r="H88" s="185" t="s">
        <v>1298</v>
      </c>
      <c r="I88" s="185">
        <v>122</v>
      </c>
      <c r="J88" s="185" t="s">
        <v>3665</v>
      </c>
      <c r="K88" s="80">
        <v>3.3888888888888888</v>
      </c>
      <c r="L88" s="80">
        <v>4.1388888888888893</v>
      </c>
      <c r="M88" s="80"/>
      <c r="N88" s="81">
        <v>10</v>
      </c>
      <c r="O88" s="85">
        <f t="shared" si="2"/>
        <v>44001</v>
      </c>
      <c r="P88" s="178" t="s">
        <v>3830</v>
      </c>
      <c r="Q88" s="83">
        <f t="shared" si="3"/>
        <v>3</v>
      </c>
    </row>
    <row r="89" spans="1:27" s="82" customFormat="1">
      <c r="A89" s="185" t="s">
        <v>1815</v>
      </c>
      <c r="B89" s="185" t="s">
        <v>1561</v>
      </c>
      <c r="C89" s="185" t="s">
        <v>1381</v>
      </c>
      <c r="D89" s="185" t="s">
        <v>3831</v>
      </c>
      <c r="E89" s="185" t="s">
        <v>1816</v>
      </c>
      <c r="F89" s="185" t="s">
        <v>3832</v>
      </c>
      <c r="G89" s="185" t="s">
        <v>18</v>
      </c>
      <c r="H89" s="185" t="s">
        <v>30</v>
      </c>
      <c r="I89" s="185">
        <v>130</v>
      </c>
      <c r="J89" s="185" t="s">
        <v>3659</v>
      </c>
      <c r="K89" s="80">
        <v>3.6111111111111112</v>
      </c>
      <c r="L89" s="80">
        <v>4.3611111111111107</v>
      </c>
      <c r="M89" s="80"/>
      <c r="N89" s="81">
        <v>11</v>
      </c>
      <c r="O89" s="85">
        <f t="shared" si="2"/>
        <v>44002</v>
      </c>
      <c r="P89" s="178" t="s">
        <v>3660</v>
      </c>
      <c r="Q89" s="83">
        <f t="shared" si="3"/>
        <v>3</v>
      </c>
    </row>
    <row r="90" spans="1:27" s="82" customFormat="1">
      <c r="A90" s="185" t="s">
        <v>1005</v>
      </c>
      <c r="B90" s="185" t="s">
        <v>2119</v>
      </c>
      <c r="C90" s="185" t="s">
        <v>1381</v>
      </c>
      <c r="D90" s="185" t="s">
        <v>2127</v>
      </c>
      <c r="E90" s="185" t="s">
        <v>2128</v>
      </c>
      <c r="F90" s="185" t="s">
        <v>1413</v>
      </c>
      <c r="G90" s="185" t="s">
        <v>18</v>
      </c>
      <c r="H90" s="185" t="s">
        <v>30</v>
      </c>
      <c r="I90" s="185">
        <v>95</v>
      </c>
      <c r="J90" s="185" t="s">
        <v>3665</v>
      </c>
      <c r="K90" s="80">
        <v>2.6388888888888888</v>
      </c>
      <c r="L90" s="80">
        <v>3.3888888888888888</v>
      </c>
      <c r="M90" s="80"/>
      <c r="N90" s="81">
        <v>11</v>
      </c>
      <c r="O90" s="85">
        <f t="shared" si="2"/>
        <v>44002</v>
      </c>
      <c r="P90" s="178" t="s">
        <v>3685</v>
      </c>
      <c r="Q90" s="83">
        <f t="shared" si="3"/>
        <v>2</v>
      </c>
    </row>
    <row r="91" spans="1:27" s="82" customFormat="1">
      <c r="A91" s="185" t="s">
        <v>98</v>
      </c>
      <c r="B91" s="185" t="s">
        <v>1323</v>
      </c>
      <c r="C91" s="185" t="s">
        <v>1381</v>
      </c>
      <c r="D91" s="185" t="s">
        <v>3833</v>
      </c>
      <c r="E91" s="185" t="s">
        <v>1382</v>
      </c>
      <c r="F91" s="185" t="s">
        <v>3834</v>
      </c>
      <c r="G91" s="185" t="s">
        <v>18</v>
      </c>
      <c r="H91" s="185" t="s">
        <v>30</v>
      </c>
      <c r="I91" s="185">
        <v>68</v>
      </c>
      <c r="J91" s="185" t="s">
        <v>3659</v>
      </c>
      <c r="K91" s="80">
        <v>1.8888888888888888</v>
      </c>
      <c r="L91" s="80">
        <v>2.6388888888888888</v>
      </c>
      <c r="M91" s="80"/>
      <c r="N91" s="83">
        <v>11</v>
      </c>
      <c r="O91" s="85">
        <f t="shared" si="2"/>
        <v>44002</v>
      </c>
      <c r="P91" s="158" t="s">
        <v>3835</v>
      </c>
      <c r="Q91" s="83">
        <f t="shared" si="3"/>
        <v>2</v>
      </c>
      <c r="R91" s="158"/>
      <c r="S91" s="158"/>
      <c r="T91" s="158"/>
      <c r="U91" s="158"/>
      <c r="V91" s="158"/>
      <c r="W91" s="158"/>
      <c r="X91" s="158"/>
      <c r="Y91" s="158"/>
      <c r="Z91" s="158"/>
      <c r="AA91" s="158"/>
    </row>
    <row r="92" spans="1:27" s="82" customFormat="1">
      <c r="A92" s="185" t="s">
        <v>1916</v>
      </c>
      <c r="B92" s="185" t="s">
        <v>1903</v>
      </c>
      <c r="C92" s="185" t="s">
        <v>1918</v>
      </c>
      <c r="D92" s="185" t="s">
        <v>1920</v>
      </c>
      <c r="E92" s="185" t="s">
        <v>1921</v>
      </c>
      <c r="F92" s="185" t="s">
        <v>1922</v>
      </c>
      <c r="G92" s="185" t="s">
        <v>18</v>
      </c>
      <c r="H92" s="185" t="s">
        <v>1298</v>
      </c>
      <c r="I92" s="185">
        <v>128</v>
      </c>
      <c r="J92" s="185" t="s">
        <v>3659</v>
      </c>
      <c r="K92" s="80">
        <v>3.5555555555555554</v>
      </c>
      <c r="L92" s="80">
        <v>4.3055555555555554</v>
      </c>
      <c r="M92" s="80"/>
      <c r="N92" s="83">
        <v>13</v>
      </c>
      <c r="O92" s="85">
        <f t="shared" si="2"/>
        <v>44004</v>
      </c>
      <c r="P92" s="178" t="s">
        <v>3662</v>
      </c>
      <c r="Q92" s="83">
        <f t="shared" si="3"/>
        <v>3</v>
      </c>
    </row>
    <row r="93" spans="1:27" s="82" customFormat="1">
      <c r="A93" s="185" t="s">
        <v>1198</v>
      </c>
      <c r="B93" s="185" t="s">
        <v>1527</v>
      </c>
      <c r="C93" s="185" t="s">
        <v>1918</v>
      </c>
      <c r="D93" s="185" t="s">
        <v>2997</v>
      </c>
      <c r="E93" s="185" t="s">
        <v>2998</v>
      </c>
      <c r="F93" s="185" t="s">
        <v>1922</v>
      </c>
      <c r="G93" s="185" t="s">
        <v>18</v>
      </c>
      <c r="H93" s="185" t="s">
        <v>30</v>
      </c>
      <c r="I93" s="185">
        <v>45</v>
      </c>
      <c r="J93" s="185" t="s">
        <v>3659</v>
      </c>
      <c r="K93" s="80">
        <v>1.25</v>
      </c>
      <c r="L93" s="80">
        <v>2</v>
      </c>
      <c r="M93" s="80"/>
      <c r="N93" s="81">
        <v>13</v>
      </c>
      <c r="O93" s="85">
        <f t="shared" si="2"/>
        <v>44004</v>
      </c>
      <c r="P93" s="158" t="s">
        <v>3836</v>
      </c>
      <c r="Q93" s="83">
        <f t="shared" si="3"/>
        <v>1</v>
      </c>
      <c r="R93" s="158"/>
      <c r="S93" s="158"/>
      <c r="T93" s="158"/>
      <c r="U93" s="158"/>
      <c r="V93" s="158"/>
      <c r="W93" s="158"/>
      <c r="X93" s="158"/>
      <c r="Y93" s="158"/>
      <c r="Z93" s="158"/>
      <c r="AA93" s="158"/>
    </row>
    <row r="94" spans="1:27" s="82" customFormat="1">
      <c r="A94" s="185" t="s">
        <v>2946</v>
      </c>
      <c r="B94" s="185" t="s">
        <v>1312</v>
      </c>
      <c r="C94" s="185" t="s">
        <v>1918</v>
      </c>
      <c r="D94" s="185" t="s">
        <v>2947</v>
      </c>
      <c r="E94" s="185" t="s">
        <v>2948</v>
      </c>
      <c r="F94" s="185" t="s">
        <v>1922</v>
      </c>
      <c r="G94" s="185" t="s">
        <v>18</v>
      </c>
      <c r="H94" s="185" t="s">
        <v>1298</v>
      </c>
      <c r="I94" s="185">
        <v>40</v>
      </c>
      <c r="J94" s="185" t="s">
        <v>3659</v>
      </c>
      <c r="K94" s="80">
        <v>1.1111111111111112</v>
      </c>
      <c r="L94" s="80">
        <v>1.8611111111111112</v>
      </c>
      <c r="M94" s="80"/>
      <c r="N94" s="81">
        <v>13</v>
      </c>
      <c r="O94" s="85">
        <f t="shared" si="2"/>
        <v>44004</v>
      </c>
      <c r="P94" s="178" t="s">
        <v>3837</v>
      </c>
      <c r="Q94" s="83">
        <f t="shared" si="3"/>
        <v>1</v>
      </c>
    </row>
    <row r="95" spans="1:27" s="350" customFormat="1">
      <c r="A95" s="348" t="s">
        <v>1029</v>
      </c>
      <c r="B95" s="348" t="s">
        <v>3659</v>
      </c>
      <c r="C95" s="348" t="s">
        <v>1818</v>
      </c>
      <c r="D95" s="348" t="s">
        <v>3281</v>
      </c>
      <c r="E95" s="348" t="s">
        <v>3282</v>
      </c>
      <c r="F95" s="348" t="s">
        <v>1821</v>
      </c>
      <c r="G95" s="348" t="s">
        <v>91</v>
      </c>
      <c r="H95" s="348" t="s">
        <v>30</v>
      </c>
      <c r="I95" s="348">
        <v>100</v>
      </c>
      <c r="J95" s="348" t="s">
        <v>3659</v>
      </c>
      <c r="K95" s="349">
        <v>6.25</v>
      </c>
      <c r="L95" s="349">
        <v>8.75</v>
      </c>
      <c r="M95" s="349" t="s">
        <v>3505</v>
      </c>
      <c r="N95" s="351">
        <v>6</v>
      </c>
      <c r="O95" s="360">
        <v>44010</v>
      </c>
      <c r="P95" s="350" t="s">
        <v>6940</v>
      </c>
      <c r="Q95" s="350">
        <f t="shared" si="3"/>
        <v>2</v>
      </c>
    </row>
    <row r="96" spans="1:27" s="350" customFormat="1">
      <c r="A96" s="348" t="s">
        <v>635</v>
      </c>
      <c r="B96" s="348" t="s">
        <v>3659</v>
      </c>
      <c r="C96" s="348" t="s">
        <v>1294</v>
      </c>
      <c r="D96" s="348" t="s">
        <v>2388</v>
      </c>
      <c r="E96" s="348" t="s">
        <v>2389</v>
      </c>
      <c r="F96" s="348" t="s">
        <v>1560</v>
      </c>
      <c r="G96" s="348" t="s">
        <v>91</v>
      </c>
      <c r="H96" s="348" t="s">
        <v>30</v>
      </c>
      <c r="I96" s="348">
        <v>45</v>
      </c>
      <c r="J96" s="348" t="s">
        <v>3665</v>
      </c>
      <c r="K96" s="349">
        <v>3.125</v>
      </c>
      <c r="L96" s="349">
        <v>5.625</v>
      </c>
      <c r="M96" s="349" t="s">
        <v>3505</v>
      </c>
      <c r="N96" s="351">
        <v>1</v>
      </c>
      <c r="O96" s="360">
        <v>44005</v>
      </c>
      <c r="P96" s="350" t="s">
        <v>3850</v>
      </c>
      <c r="Q96" s="350">
        <f t="shared" si="3"/>
        <v>1</v>
      </c>
    </row>
    <row r="97" spans="1:17" s="350" customFormat="1">
      <c r="A97" s="348" t="s">
        <v>2035</v>
      </c>
      <c r="B97" s="348" t="s">
        <v>1288</v>
      </c>
      <c r="C97" s="348" t="s">
        <v>1918</v>
      </c>
      <c r="D97" s="348" t="s">
        <v>2037</v>
      </c>
      <c r="E97" s="348" t="s">
        <v>2038</v>
      </c>
      <c r="F97" s="348" t="s">
        <v>1922</v>
      </c>
      <c r="G97" s="348" t="s">
        <v>91</v>
      </c>
      <c r="H97" s="348" t="s">
        <v>30</v>
      </c>
      <c r="I97" s="348">
        <v>70</v>
      </c>
      <c r="J97" s="348" t="s">
        <v>3659</v>
      </c>
      <c r="K97" s="349">
        <v>6.25</v>
      </c>
      <c r="L97" s="349">
        <v>8.75</v>
      </c>
      <c r="M97" s="349" t="s">
        <v>3505</v>
      </c>
      <c r="N97" s="351">
        <v>2</v>
      </c>
      <c r="O97" s="360">
        <v>44006</v>
      </c>
      <c r="P97" s="350" t="s">
        <v>6940</v>
      </c>
      <c r="Q97" s="350">
        <f t="shared" si="3"/>
        <v>2</v>
      </c>
    </row>
    <row r="98" spans="1:17" s="350" customFormat="1">
      <c r="A98" s="348" t="s">
        <v>749</v>
      </c>
      <c r="B98" s="348" t="s">
        <v>3659</v>
      </c>
      <c r="C98" s="348" t="s">
        <v>1918</v>
      </c>
      <c r="D98" s="348" t="s">
        <v>2728</v>
      </c>
      <c r="E98" s="348" t="s">
        <v>2729</v>
      </c>
      <c r="F98" s="348" t="s">
        <v>2730</v>
      </c>
      <c r="G98" s="348" t="s">
        <v>91</v>
      </c>
      <c r="H98" s="348" t="s">
        <v>30</v>
      </c>
      <c r="I98" s="348">
        <v>50</v>
      </c>
      <c r="J98" s="348" t="s">
        <v>3665</v>
      </c>
      <c r="K98" s="349">
        <v>3.125</v>
      </c>
      <c r="L98" s="349">
        <v>5.625</v>
      </c>
      <c r="M98" s="349" t="s">
        <v>3505</v>
      </c>
      <c r="N98" s="351">
        <v>3</v>
      </c>
      <c r="O98" s="360">
        <v>44007</v>
      </c>
      <c r="P98" s="350" t="s">
        <v>3850</v>
      </c>
      <c r="Q98" s="350">
        <f t="shared" si="3"/>
        <v>1</v>
      </c>
    </row>
    <row r="99" spans="1:17" s="350" customFormat="1">
      <c r="A99" s="348" t="s">
        <v>2046</v>
      </c>
      <c r="B99" s="348" t="s">
        <v>1288</v>
      </c>
      <c r="C99" s="348" t="s">
        <v>1420</v>
      </c>
      <c r="D99" s="348" t="s">
        <v>2047</v>
      </c>
      <c r="E99" s="348" t="s">
        <v>2048</v>
      </c>
      <c r="F99" s="348" t="s">
        <v>2045</v>
      </c>
      <c r="G99" s="348" t="s">
        <v>91</v>
      </c>
      <c r="H99" s="348" t="s">
        <v>30</v>
      </c>
      <c r="I99" s="348">
        <v>230</v>
      </c>
      <c r="J99" s="348" t="s">
        <v>3659</v>
      </c>
      <c r="K99" s="349">
        <v>15.625</v>
      </c>
      <c r="L99" s="349">
        <v>18.125</v>
      </c>
      <c r="M99" s="349" t="s">
        <v>3505</v>
      </c>
      <c r="N99" s="351" t="s">
        <v>6938</v>
      </c>
      <c r="O99" s="360" t="s">
        <v>6947</v>
      </c>
      <c r="P99" s="350" t="s">
        <v>6940</v>
      </c>
      <c r="Q99" s="350">
        <f t="shared" si="3"/>
        <v>5</v>
      </c>
    </row>
    <row r="100" spans="1:17" s="368" customFormat="1">
      <c r="A100" s="355" t="s">
        <v>1781</v>
      </c>
      <c r="B100" s="355" t="s">
        <v>1288</v>
      </c>
      <c r="C100" s="355" t="s">
        <v>1290</v>
      </c>
      <c r="D100" s="355" t="s">
        <v>1783</v>
      </c>
      <c r="E100" s="355" t="s">
        <v>1784</v>
      </c>
      <c r="F100" s="355" t="s">
        <v>1785</v>
      </c>
      <c r="G100" s="355" t="s">
        <v>91</v>
      </c>
      <c r="H100" s="355" t="s">
        <v>30</v>
      </c>
      <c r="I100" s="355">
        <v>200</v>
      </c>
      <c r="J100" s="355" t="s">
        <v>3665</v>
      </c>
      <c r="K100" s="356">
        <v>12.5</v>
      </c>
      <c r="L100" s="356">
        <v>15</v>
      </c>
      <c r="M100" s="356" t="s">
        <v>3515</v>
      </c>
      <c r="N100" s="357" t="s">
        <v>6925</v>
      </c>
      <c r="O100" s="361" t="s">
        <v>3734</v>
      </c>
      <c r="P100" s="368" t="s">
        <v>3863</v>
      </c>
      <c r="Q100" s="368">
        <f t="shared" si="3"/>
        <v>4</v>
      </c>
    </row>
    <row r="101" spans="1:17" s="368" customFormat="1">
      <c r="A101" s="355" t="s">
        <v>1211</v>
      </c>
      <c r="B101" s="355" t="s">
        <v>3659</v>
      </c>
      <c r="C101" s="355" t="s">
        <v>1290</v>
      </c>
      <c r="D101" s="355" t="s">
        <v>3236</v>
      </c>
      <c r="E101" s="355" t="s">
        <v>3237</v>
      </c>
      <c r="F101" s="355" t="s">
        <v>3238</v>
      </c>
      <c r="G101" s="355" t="s">
        <v>91</v>
      </c>
      <c r="H101" s="355" t="s">
        <v>30</v>
      </c>
      <c r="I101" s="355">
        <v>170</v>
      </c>
      <c r="J101" s="355" t="s">
        <v>3659</v>
      </c>
      <c r="K101" s="356">
        <v>12.5</v>
      </c>
      <c r="L101" s="356">
        <v>15</v>
      </c>
      <c r="M101" s="356" t="s">
        <v>3515</v>
      </c>
      <c r="N101" s="357" t="s">
        <v>6924</v>
      </c>
      <c r="O101" s="361" t="s">
        <v>6922</v>
      </c>
      <c r="P101" s="368" t="s">
        <v>3863</v>
      </c>
      <c r="Q101" s="368">
        <f t="shared" si="3"/>
        <v>4</v>
      </c>
    </row>
    <row r="102" spans="1:17" s="368" customFormat="1">
      <c r="A102" s="355" t="s">
        <v>170</v>
      </c>
      <c r="B102" s="355" t="s">
        <v>1288</v>
      </c>
      <c r="C102" s="355" t="s">
        <v>1294</v>
      </c>
      <c r="D102" s="355" t="s">
        <v>1558</v>
      </c>
      <c r="E102" s="355" t="s">
        <v>1559</v>
      </c>
      <c r="F102" s="355" t="s">
        <v>1560</v>
      </c>
      <c r="G102" s="355" t="s">
        <v>91</v>
      </c>
      <c r="H102" s="355" t="s">
        <v>30</v>
      </c>
      <c r="I102" s="355">
        <v>160</v>
      </c>
      <c r="J102" s="355" t="s">
        <v>3659</v>
      </c>
      <c r="K102" s="356">
        <v>12.5</v>
      </c>
      <c r="L102" s="356">
        <v>15</v>
      </c>
      <c r="M102" s="356" t="s">
        <v>3515</v>
      </c>
      <c r="N102" s="357" t="s">
        <v>6946</v>
      </c>
      <c r="O102" s="361" t="s">
        <v>6928</v>
      </c>
      <c r="P102" s="368" t="s">
        <v>3863</v>
      </c>
      <c r="Q102" s="368">
        <f t="shared" si="3"/>
        <v>4</v>
      </c>
    </row>
    <row r="103" spans="1:17" s="380" customFormat="1">
      <c r="A103" s="376" t="s">
        <v>1826</v>
      </c>
      <c r="B103" s="376" t="s">
        <v>1288</v>
      </c>
      <c r="C103" s="376" t="s">
        <v>1290</v>
      </c>
      <c r="D103" s="376" t="s">
        <v>1829</v>
      </c>
      <c r="E103" s="376" t="s">
        <v>1830</v>
      </c>
      <c r="F103" s="376" t="s">
        <v>1785</v>
      </c>
      <c r="G103" s="376" t="s">
        <v>91</v>
      </c>
      <c r="H103" s="376" t="s">
        <v>30</v>
      </c>
      <c r="I103" s="376">
        <v>150</v>
      </c>
      <c r="J103" s="376" t="s">
        <v>3665</v>
      </c>
      <c r="K103" s="377">
        <v>9.375</v>
      </c>
      <c r="L103" s="377">
        <v>11.875</v>
      </c>
      <c r="M103" s="377" t="s">
        <v>6931</v>
      </c>
      <c r="N103" s="378">
        <v>1</v>
      </c>
      <c r="O103" s="379">
        <v>44005</v>
      </c>
      <c r="P103" s="380" t="s">
        <v>3985</v>
      </c>
      <c r="Q103" s="380">
        <f t="shared" si="3"/>
        <v>3</v>
      </c>
    </row>
    <row r="104" spans="1:17" s="380" customFormat="1">
      <c r="A104" s="376" t="s">
        <v>1287</v>
      </c>
      <c r="B104" s="376" t="s">
        <v>1288</v>
      </c>
      <c r="C104" s="376" t="s">
        <v>1290</v>
      </c>
      <c r="D104" s="376" t="s">
        <v>3838</v>
      </c>
      <c r="E104" s="376" t="s">
        <v>3839</v>
      </c>
      <c r="F104" s="376" t="s">
        <v>3840</v>
      </c>
      <c r="G104" s="376" t="s">
        <v>91</v>
      </c>
      <c r="H104" s="376" t="s">
        <v>30</v>
      </c>
      <c r="I104" s="376">
        <v>140</v>
      </c>
      <c r="J104" s="376" t="s">
        <v>3665</v>
      </c>
      <c r="K104" s="377">
        <v>9.375</v>
      </c>
      <c r="L104" s="377">
        <v>11.875</v>
      </c>
      <c r="M104" s="377" t="s">
        <v>6931</v>
      </c>
      <c r="N104" s="378">
        <v>3</v>
      </c>
      <c r="O104" s="379">
        <v>44007</v>
      </c>
      <c r="P104" s="380" t="s">
        <v>3985</v>
      </c>
      <c r="Q104" s="380">
        <f t="shared" si="3"/>
        <v>3</v>
      </c>
    </row>
    <row r="105" spans="1:17" s="380" customFormat="1">
      <c r="A105" s="376" t="s">
        <v>3259</v>
      </c>
      <c r="B105" s="376" t="s">
        <v>1288</v>
      </c>
      <c r="C105" s="376" t="s">
        <v>1290</v>
      </c>
      <c r="D105" s="376" t="s">
        <v>3260</v>
      </c>
      <c r="E105" s="376" t="s">
        <v>3261</v>
      </c>
      <c r="F105" s="376" t="s">
        <v>1932</v>
      </c>
      <c r="G105" s="376" t="s">
        <v>91</v>
      </c>
      <c r="H105" s="376" t="s">
        <v>30</v>
      </c>
      <c r="I105" s="376">
        <v>120</v>
      </c>
      <c r="J105" s="376" t="s">
        <v>3665</v>
      </c>
      <c r="K105" s="377">
        <v>9.375</v>
      </c>
      <c r="L105" s="377">
        <v>11.875</v>
      </c>
      <c r="M105" s="377" t="s">
        <v>6931</v>
      </c>
      <c r="N105" s="378">
        <v>5</v>
      </c>
      <c r="O105" s="379">
        <v>44009</v>
      </c>
      <c r="P105" s="380" t="s">
        <v>3985</v>
      </c>
      <c r="Q105" s="380">
        <f t="shared" si="3"/>
        <v>3</v>
      </c>
    </row>
    <row r="106" spans="1:17" s="380" customFormat="1">
      <c r="A106" s="376" t="s">
        <v>2925</v>
      </c>
      <c r="B106" s="376" t="s">
        <v>1288</v>
      </c>
      <c r="C106" s="376" t="s">
        <v>1290</v>
      </c>
      <c r="D106" s="376" t="s">
        <v>2927</v>
      </c>
      <c r="E106" s="376" t="s">
        <v>2928</v>
      </c>
      <c r="F106" s="376" t="s">
        <v>2837</v>
      </c>
      <c r="G106" s="376" t="s">
        <v>91</v>
      </c>
      <c r="H106" s="376" t="s">
        <v>30</v>
      </c>
      <c r="I106" s="376">
        <v>110</v>
      </c>
      <c r="J106" s="376" t="s">
        <v>3659</v>
      </c>
      <c r="K106" s="377">
        <v>9.375</v>
      </c>
      <c r="L106" s="377">
        <v>11.875</v>
      </c>
      <c r="M106" s="377" t="s">
        <v>6931</v>
      </c>
      <c r="N106" s="378">
        <v>6</v>
      </c>
      <c r="O106" s="379">
        <v>44010</v>
      </c>
      <c r="P106" s="380" t="s">
        <v>3985</v>
      </c>
      <c r="Q106" s="380">
        <f t="shared" si="3"/>
        <v>3</v>
      </c>
    </row>
    <row r="107" spans="1:17" s="380" customFormat="1">
      <c r="A107" s="376" t="s">
        <v>469</v>
      </c>
      <c r="B107" s="376" t="s">
        <v>1288</v>
      </c>
      <c r="C107" s="376" t="s">
        <v>1290</v>
      </c>
      <c r="D107" s="376" t="s">
        <v>2213</v>
      </c>
      <c r="E107" s="376" t="s">
        <v>2214</v>
      </c>
      <c r="F107" s="376" t="s">
        <v>1505</v>
      </c>
      <c r="G107" s="376" t="s">
        <v>91</v>
      </c>
      <c r="H107" s="376" t="s">
        <v>30</v>
      </c>
      <c r="I107" s="376">
        <v>80</v>
      </c>
      <c r="J107" s="376" t="s">
        <v>3659</v>
      </c>
      <c r="K107" s="377">
        <v>6.25</v>
      </c>
      <c r="L107" s="377">
        <v>8.75</v>
      </c>
      <c r="M107" s="377" t="s">
        <v>6931</v>
      </c>
      <c r="N107" s="378">
        <v>2</v>
      </c>
      <c r="O107" s="379">
        <v>44006</v>
      </c>
      <c r="P107" s="380" t="s">
        <v>6940</v>
      </c>
      <c r="Q107" s="380">
        <f t="shared" si="3"/>
        <v>2</v>
      </c>
    </row>
    <row r="108" spans="1:17" s="380" customFormat="1">
      <c r="A108" s="376" t="s">
        <v>266</v>
      </c>
      <c r="B108" s="376" t="s">
        <v>3659</v>
      </c>
      <c r="C108" s="376" t="s">
        <v>1290</v>
      </c>
      <c r="D108" s="376" t="s">
        <v>1771</v>
      </c>
      <c r="E108" s="376" t="s">
        <v>1772</v>
      </c>
      <c r="F108" s="376" t="s">
        <v>1773</v>
      </c>
      <c r="G108" s="376" t="s">
        <v>91</v>
      </c>
      <c r="H108" s="376" t="s">
        <v>30</v>
      </c>
      <c r="I108" s="376">
        <v>60</v>
      </c>
      <c r="J108" s="376" t="s">
        <v>3659</v>
      </c>
      <c r="K108" s="377">
        <v>6.25</v>
      </c>
      <c r="L108" s="377">
        <v>8.75</v>
      </c>
      <c r="M108" s="377" t="s">
        <v>6931</v>
      </c>
      <c r="N108" s="378">
        <v>4</v>
      </c>
      <c r="O108" s="379">
        <v>44008</v>
      </c>
      <c r="P108" s="380" t="s">
        <v>6940</v>
      </c>
      <c r="Q108" s="380">
        <f t="shared" si="3"/>
        <v>2</v>
      </c>
    </row>
    <row r="109" spans="1:17" s="385" customFormat="1">
      <c r="A109" s="381" t="s">
        <v>613</v>
      </c>
      <c r="B109" s="381"/>
      <c r="C109" s="381" t="s">
        <v>1294</v>
      </c>
      <c r="D109" s="381" t="s">
        <v>2361</v>
      </c>
      <c r="E109" s="381" t="s">
        <v>2362</v>
      </c>
      <c r="F109" s="381" t="s">
        <v>1469</v>
      </c>
      <c r="G109" s="381" t="s">
        <v>91</v>
      </c>
      <c r="H109" s="381" t="s">
        <v>19</v>
      </c>
      <c r="I109" s="381">
        <v>175</v>
      </c>
      <c r="J109" s="381" t="s">
        <v>6945</v>
      </c>
      <c r="K109" s="382">
        <f>E119/I114</f>
        <v>12.5</v>
      </c>
      <c r="L109" s="382">
        <v>15</v>
      </c>
      <c r="M109" s="377" t="s">
        <v>6931</v>
      </c>
      <c r="N109" s="383">
        <v>7</v>
      </c>
      <c r="O109" s="384" t="s">
        <v>6948</v>
      </c>
      <c r="P109" s="385" t="s">
        <v>3863</v>
      </c>
      <c r="Q109" s="383">
        <f>ROUNDUP(I109/$R$2,0)</f>
        <v>4</v>
      </c>
    </row>
    <row r="110" spans="1:17">
      <c r="A110" s="180" t="s">
        <v>796</v>
      </c>
      <c r="B110" s="180" t="s">
        <v>2880</v>
      </c>
      <c r="C110" s="180" t="s">
        <v>1818</v>
      </c>
      <c r="D110" s="180" t="s">
        <v>2882</v>
      </c>
      <c r="E110" s="180" t="s">
        <v>2883</v>
      </c>
      <c r="F110" s="180" t="s">
        <v>1821</v>
      </c>
      <c r="G110" s="180" t="s">
        <v>54</v>
      </c>
      <c r="H110" s="180" t="s">
        <v>3659</v>
      </c>
      <c r="I110" s="180" t="s">
        <v>3659</v>
      </c>
      <c r="J110" s="180" t="s">
        <v>3659</v>
      </c>
      <c r="K110" s="29"/>
      <c r="L110" s="29"/>
      <c r="M110" s="29"/>
      <c r="O110" s="129"/>
    </row>
    <row r="111" spans="1:17">
      <c r="A111" s="180" t="s">
        <v>2665</v>
      </c>
      <c r="B111" s="180" t="s">
        <v>3659</v>
      </c>
      <c r="C111" s="180" t="s">
        <v>1420</v>
      </c>
      <c r="D111" s="180" t="s">
        <v>2666</v>
      </c>
      <c r="E111" s="180" t="s">
        <v>2667</v>
      </c>
      <c r="F111" s="180" t="s">
        <v>1858</v>
      </c>
      <c r="G111" s="180" t="s">
        <v>54</v>
      </c>
      <c r="H111" s="180"/>
      <c r="I111" s="180">
        <v>360</v>
      </c>
      <c r="J111" s="180" t="s">
        <v>3659</v>
      </c>
      <c r="O111" s="129"/>
    </row>
    <row r="112" spans="1:17" hidden="1">
      <c r="A112" s="180" t="str">
        <f ca="1">IFERROR(__xludf.DUMMYFUNCTION("""COMPUTED_VALUE"""),"")</f>
        <v/>
      </c>
      <c r="B112" s="180" t="str">
        <f ca="1">IFERROR(__xludf.DUMMYFUNCTION("""COMPUTED_VALUE"""),"")</f>
        <v/>
      </c>
      <c r="C112" s="180" t="str">
        <f ca="1">IFERROR(__xludf.DUMMYFUNCTION("""COMPUTED_VALUE"""),"")</f>
        <v/>
      </c>
      <c r="D112" s="180" t="str">
        <f ca="1">IFERROR(__xludf.DUMMYFUNCTION("""COMPUTED_VALUE"""),"")</f>
        <v/>
      </c>
      <c r="E112" s="180" t="str">
        <f ca="1">IFERROR(__xludf.DUMMYFUNCTION("""COMPUTED_VALUE"""),"")</f>
        <v/>
      </c>
      <c r="F112" s="180" t="str">
        <f ca="1">IFERROR(__xludf.DUMMYFUNCTION("""COMPUTED_VALUE"""),"")</f>
        <v/>
      </c>
      <c r="G112" s="180" t="str">
        <f ca="1">IFERROR(__xludf.DUMMYFUNCTION("""COMPUTED_VALUE"""),"")</f>
        <v/>
      </c>
      <c r="H112" s="180" t="str">
        <f ca="1">IFERROR(__xludf.DUMMYFUNCTION("""COMPUTED_VALUE"""),"")</f>
        <v/>
      </c>
      <c r="I112" s="180" t="str">
        <f ca="1">IFERROR(__xludf.DUMMYFUNCTION("""COMPUTED_VALUE"""),"")</f>
        <v/>
      </c>
      <c r="J112" s="180" t="str">
        <f ca="1">IFERROR(__xludf.DUMMYFUNCTION("""COMPUTED_VALUE"""),"")</f>
        <v/>
      </c>
    </row>
    <row r="113" spans="1:23" ht="15.75" hidden="1" thickBot="1">
      <c r="A113" s="180" t="str">
        <f ca="1">IFERROR(__xludf.DUMMYFUNCTION("""COMPUTED_VALUE"""),"")</f>
        <v/>
      </c>
      <c r="B113" s="180" t="str">
        <f ca="1">IFERROR(__xludf.DUMMYFUNCTION("""COMPUTED_VALUE"""),"")</f>
        <v/>
      </c>
      <c r="C113" s="180" t="str">
        <f ca="1">IFERROR(__xludf.DUMMYFUNCTION("""COMPUTED_VALUE"""),"")</f>
        <v/>
      </c>
      <c r="D113" s="180" t="str">
        <f ca="1">IFERROR(__xludf.DUMMYFUNCTION("""COMPUTED_VALUE"""),"")</f>
        <v/>
      </c>
      <c r="E113" s="180" t="str">
        <f ca="1">IFERROR(__xludf.DUMMYFUNCTION("""COMPUTED_VALUE"""),"")</f>
        <v/>
      </c>
      <c r="F113" s="180" t="str">
        <f ca="1">IFERROR(__xludf.DUMMYFUNCTION("""COMPUTED_VALUE"""),"")</f>
        <v/>
      </c>
      <c r="G113" s="180" t="str">
        <f ca="1">IFERROR(__xludf.DUMMYFUNCTION("""COMPUTED_VALUE"""),"")</f>
        <v/>
      </c>
      <c r="H113" s="180" t="str">
        <f ca="1">IFERROR(__xludf.DUMMYFUNCTION("""COMPUTED_VALUE"""),"")</f>
        <v/>
      </c>
      <c r="I113" s="180" t="str">
        <f ca="1">IFERROR(__xludf.DUMMYFUNCTION("""COMPUTED_VALUE"""),"")</f>
        <v/>
      </c>
      <c r="J113" s="180" t="str">
        <f ca="1">IFERROR(__xludf.DUMMYFUNCTION("""COMPUTED_VALUE"""),"")</f>
        <v/>
      </c>
    </row>
    <row r="114" spans="1:23" ht="15.75" hidden="1" thickBot="1">
      <c r="A114" s="414" t="s">
        <v>3695</v>
      </c>
      <c r="B114" s="415"/>
      <c r="C114" s="180" t="str">
        <f ca="1">IFERROR(__xludf.DUMMYFUNCTION("""COMPUTED_VALUE"""),"")</f>
        <v/>
      </c>
      <c r="D114" s="414" t="s">
        <v>3696</v>
      </c>
      <c r="E114" s="416"/>
      <c r="F114" s="416"/>
      <c r="G114" s="415"/>
      <c r="H114" s="180" t="str">
        <f ca="1">IFERROR(__xludf.DUMMYFUNCTION("""COMPUTED_VALUE"""),"")</f>
        <v/>
      </c>
      <c r="I114" s="134">
        <v>60</v>
      </c>
      <c r="J114" s="134" t="s">
        <v>3697</v>
      </c>
      <c r="L114" s="159">
        <v>43992</v>
      </c>
      <c r="M114" s="159"/>
      <c r="N114" s="159">
        <v>43993</v>
      </c>
      <c r="O114" s="159"/>
      <c r="P114" s="159">
        <v>43994</v>
      </c>
      <c r="Q114" s="159"/>
      <c r="R114" s="159">
        <v>43995</v>
      </c>
      <c r="S114" s="159"/>
      <c r="T114" s="159">
        <v>43997</v>
      </c>
      <c r="U114" s="159"/>
      <c r="V114" s="159">
        <v>43998</v>
      </c>
      <c r="W114" s="159"/>
    </row>
    <row r="115" spans="1:23" hidden="1">
      <c r="A115" s="43"/>
      <c r="B115" s="36" t="s">
        <v>3365</v>
      </c>
      <c r="C115" s="180" t="str">
        <f ca="1">IFERROR(__xludf.DUMMYFUNCTION("""COMPUTED_VALUE"""),"")</f>
        <v/>
      </c>
      <c r="D115" s="43"/>
      <c r="E115" s="44" t="s">
        <v>3366</v>
      </c>
      <c r="F115" s="50" t="s">
        <v>3367</v>
      </c>
      <c r="G115" s="36"/>
      <c r="K115" s="28"/>
      <c r="L115" s="134">
        <f>SUM(I2:I3,I22,I42,I57,I76)</f>
        <v>787</v>
      </c>
      <c r="M115" s="134">
        <f>SUM(Q2:Q3,Q22,Q42,Q57,Q76)</f>
        <v>19</v>
      </c>
      <c r="N115" s="134">
        <f>SUM(I4:I5,I23:I24,I43:I44,I58:I59,I77:I78)</f>
        <v>993</v>
      </c>
      <c r="O115" s="134">
        <f>SUM(Q4:Q5,Q23:Q24,Q43:Q44,Q58:Q59,Q77:Q78)</f>
        <v>23</v>
      </c>
      <c r="P115" s="134">
        <f>SUM(I6:I7,I25:I26,I45:I46,I60:I61,I79)</f>
        <v>747</v>
      </c>
      <c r="Q115" s="134">
        <f>SUM(Q6:Q7,Q25:Q26,Q45:Q46,Q60:Q61,Q79)</f>
        <v>18</v>
      </c>
      <c r="R115" s="134">
        <f>SUM(I8:I9,I27,I63,I47,I80)</f>
        <v>1000</v>
      </c>
      <c r="S115" s="134">
        <f>SUM(Q8:Q9,Q27,Q63,Q47,Q80)</f>
        <v>19</v>
      </c>
      <c r="T115" s="134">
        <f>SUM(I10,I28,I48,I64:I65,I81)</f>
        <v>1110</v>
      </c>
      <c r="U115" s="134">
        <f>SUM(Q10,Q28,Q48,Q64:Q65,Q81)</f>
        <v>24</v>
      </c>
      <c r="V115" s="134">
        <f>SUM(I11:I12,I29:I30,I49,I66,I82:I83)</f>
        <v>1072</v>
      </c>
      <c r="W115" s="134">
        <f>SUM(Q11:Q12,Q29:Q30,Q49,Q66,Q82:Q83)</f>
        <v>25</v>
      </c>
    </row>
    <row r="116" spans="1:23" hidden="1">
      <c r="A116" s="45" t="s">
        <v>3368</v>
      </c>
      <c r="B116" s="48">
        <v>5</v>
      </c>
      <c r="C116" s="180" t="str">
        <f ca="1">IFERROR(__xludf.DUMMYFUNCTION("""COMPUTED_VALUE"""),"")</f>
        <v/>
      </c>
      <c r="D116" s="45" t="s">
        <v>3369</v>
      </c>
      <c r="E116" s="27">
        <f>(50/$F$119)*60</f>
        <v>187.5</v>
      </c>
      <c r="F116" s="37">
        <v>15</v>
      </c>
      <c r="G116" s="38" t="s">
        <v>3370</v>
      </c>
      <c r="K116" s="28"/>
      <c r="L116" s="134" t="str">
        <f ca="1">IFERROR(__xludf.DUMMYFUNCTION("""COMPUTED_VALUE"""),"")</f>
        <v/>
      </c>
      <c r="M116" s="134" t="str">
        <f ca="1">IFERROR(__xludf.DUMMYFUNCTION("""COMPUTED_VALUE"""),"")</f>
        <v/>
      </c>
      <c r="N116" s="134"/>
      <c r="V116" s="31"/>
      <c r="W116"/>
    </row>
    <row r="117" spans="1:23" hidden="1">
      <c r="A117" s="45" t="s">
        <v>3371</v>
      </c>
      <c r="B117" s="48">
        <v>3</v>
      </c>
      <c r="C117" s="180" t="str">
        <f ca="1">IFERROR(__xludf.DUMMYFUNCTION("""COMPUTED_VALUE"""),"")</f>
        <v/>
      </c>
      <c r="D117" s="45" t="s">
        <v>3372</v>
      </c>
      <c r="E117" s="27">
        <f>(100/$F$119)*60</f>
        <v>375</v>
      </c>
      <c r="F117" s="37">
        <v>5</v>
      </c>
      <c r="G117" s="38" t="s">
        <v>3373</v>
      </c>
      <c r="K117" s="28"/>
      <c r="L117" s="135" t="str">
        <f ca="1">IFERROR(__xludf.DUMMYFUNCTION("""COMPUTED_VALUE"""),"")</f>
        <v/>
      </c>
      <c r="M117" s="135" t="str">
        <f ca="1">IFERROR(__xludf.DUMMYFUNCTION("""COMPUTED_VALUE"""),"")</f>
        <v/>
      </c>
      <c r="N117" s="135"/>
    </row>
    <row r="118" spans="1:23" hidden="1">
      <c r="A118" s="45" t="s">
        <v>3374</v>
      </c>
      <c r="B118" s="48">
        <v>15</v>
      </c>
      <c r="C118" s="180" t="str">
        <f ca="1">IFERROR(__xludf.DUMMYFUNCTION("""COMPUTED_VALUE"""),"")</f>
        <v/>
      </c>
      <c r="D118" s="45" t="s">
        <v>3375</v>
      </c>
      <c r="E118" s="27">
        <f>(150/$F$119)*60</f>
        <v>562.5</v>
      </c>
      <c r="F118" s="37">
        <v>5.5</v>
      </c>
      <c r="G118" s="38" t="s">
        <v>3376</v>
      </c>
      <c r="K118" s="28"/>
      <c r="L118" s="135" t="str">
        <f ca="1">IFERROR(__xludf.DUMMYFUNCTION("""COMPUTED_VALUE"""),"")</f>
        <v/>
      </c>
      <c r="M118" s="135" t="str">
        <f ca="1">IFERROR(__xludf.DUMMYFUNCTION("""COMPUTED_VALUE"""),"")</f>
        <v/>
      </c>
      <c r="N118" s="135"/>
    </row>
    <row r="119" spans="1:23" hidden="1">
      <c r="A119" s="45" t="s">
        <v>3377</v>
      </c>
      <c r="B119" s="48">
        <v>30</v>
      </c>
      <c r="C119" s="180" t="str">
        <f ca="1">IFERROR(__xludf.DUMMYFUNCTION("""COMPUTED_VALUE"""),"")</f>
        <v/>
      </c>
      <c r="D119" s="45" t="s">
        <v>3378</v>
      </c>
      <c r="E119" s="27">
        <f>(200/$F$119)*60</f>
        <v>750</v>
      </c>
      <c r="F119" s="37">
        <f>ROUNDDOWN(F118*3,0)</f>
        <v>16</v>
      </c>
      <c r="G119" s="38" t="s">
        <v>3698</v>
      </c>
      <c r="K119" s="28"/>
      <c r="L119" s="159">
        <v>43999</v>
      </c>
      <c r="M119" s="159"/>
      <c r="N119" s="159">
        <v>44000</v>
      </c>
      <c r="O119" s="159"/>
      <c r="P119" s="159">
        <v>44001</v>
      </c>
      <c r="Q119" s="159"/>
      <c r="R119" s="159">
        <v>44002</v>
      </c>
      <c r="S119" s="159"/>
      <c r="T119" s="159">
        <v>44004</v>
      </c>
      <c r="U119" s="159"/>
    </row>
    <row r="120" spans="1:23" hidden="1">
      <c r="A120" s="45"/>
      <c r="B120" s="48"/>
      <c r="C120" s="180" t="str">
        <f ca="1">IFERROR(__xludf.DUMMYFUNCTION("""COMPUTED_VALUE"""),"")</f>
        <v/>
      </c>
      <c r="D120" s="45" t="s">
        <v>3381</v>
      </c>
      <c r="E120" s="27">
        <f>(250/$F$119)*60</f>
        <v>937.5</v>
      </c>
      <c r="F120" s="37">
        <v>45</v>
      </c>
      <c r="G120" s="38" t="s">
        <v>3382</v>
      </c>
      <c r="K120" s="28"/>
      <c r="L120" s="128">
        <f>SUM(I13:I15,I31:I32,I50,I67:I68,I84)</f>
        <v>951</v>
      </c>
      <c r="M120" s="128">
        <f>SUM(Q13:Q15,Q31:Q32,Q50,Q67:Q68,Q84)</f>
        <v>23</v>
      </c>
      <c r="N120" s="128">
        <f>SUM(I16:I17,I33:I34,I109,I69:I70,I85)</f>
        <v>1158</v>
      </c>
      <c r="O120" s="128">
        <f>SUM(Q16:Q17,Q33:Q34,Q109,Q69:Q70,Q85)</f>
        <v>26</v>
      </c>
      <c r="P120" s="128">
        <f>SUM(I18,I37,I52,I51,I35,I36,I71,I72,I86,I87)</f>
        <v>1064</v>
      </c>
      <c r="Q120" s="128">
        <f>SUM(Q18,Q37,Q52,Q51,Q35,Q36,Q71,Q72,Q86,Q87)</f>
        <v>25</v>
      </c>
      <c r="R120" s="128">
        <f>SUM(I19,I20,I39:I40,I38,I54,I53,I73,I91,I90,I89)</f>
        <v>969</v>
      </c>
      <c r="S120" s="128">
        <f>SUM(Q19,Q20,Q39:Q40,Q38,Q54,Q53,Q73,Q91,Q90,Q89)</f>
        <v>21</v>
      </c>
      <c r="T120" s="128">
        <f>SUM(I21,I41,I92:I94,I55,I56)</f>
        <v>765</v>
      </c>
      <c r="U120" s="128">
        <f>SUM(Q21,Q41,Q92:Q94,Q55,Q56)</f>
        <v>18</v>
      </c>
    </row>
    <row r="121" spans="1:23" hidden="1">
      <c r="A121" s="45" t="s">
        <v>3380</v>
      </c>
      <c r="B121" s="48">
        <f>(60/B116)*B117</f>
        <v>36</v>
      </c>
      <c r="C121" s="180" t="str">
        <f ca="1">IFERROR(__xludf.DUMMYFUNCTION("""COMPUTED_VALUE"""),"")</f>
        <v/>
      </c>
      <c r="D121" s="45" t="s">
        <v>3385</v>
      </c>
      <c r="E121" s="27">
        <f>(300/$F$119)*60</f>
        <v>1125</v>
      </c>
      <c r="F121" s="39">
        <v>60</v>
      </c>
      <c r="G121" s="40" t="s">
        <v>3386</v>
      </c>
      <c r="K121" s="28"/>
      <c r="L121" s="28"/>
      <c r="M121" s="28"/>
      <c r="N121" s="28"/>
    </row>
    <row r="122" spans="1:23" ht="15.75" hidden="1" thickBot="1">
      <c r="A122" s="46" t="s">
        <v>3383</v>
      </c>
      <c r="B122" s="49" t="s">
        <v>3384</v>
      </c>
      <c r="C122" s="180" t="str">
        <f ca="1">IFERROR(__xludf.DUMMYFUNCTION("""COMPUTED_VALUE"""),"")</f>
        <v/>
      </c>
      <c r="D122" s="46" t="s">
        <v>3387</v>
      </c>
      <c r="E122" s="47">
        <f>(350/$F$119)*60</f>
        <v>1312.5</v>
      </c>
      <c r="F122" s="41">
        <v>45</v>
      </c>
      <c r="G122" s="42" t="s">
        <v>3388</v>
      </c>
      <c r="K122" s="28"/>
      <c r="N122" s="159"/>
    </row>
    <row r="123" spans="1:23" hidden="1">
      <c r="A123" s="180" t="str">
        <f ca="1">IFERROR(__xludf.DUMMYFUNCTION("""COMPUTED_VALUE"""),"")</f>
        <v/>
      </c>
      <c r="B123" s="180" t="str">
        <f ca="1">IFERROR(__xludf.DUMMYFUNCTION("""COMPUTED_VALUE"""),"")</f>
        <v/>
      </c>
      <c r="C123" s="180" t="str">
        <f ca="1">IFERROR(__xludf.DUMMYFUNCTION("""COMPUTED_VALUE"""),"")</f>
        <v/>
      </c>
      <c r="D123" s="180" t="str">
        <f ca="1">IFERROR(__xludf.DUMMYFUNCTION("""COMPUTED_VALUE"""),"")</f>
        <v/>
      </c>
      <c r="E123" s="180" t="str">
        <f ca="1">IFERROR(__xludf.DUMMYFUNCTION("""COMPUTED_VALUE"""),"")</f>
        <v/>
      </c>
      <c r="F123"/>
      <c r="G123"/>
      <c r="K123" s="28"/>
      <c r="N123" s="134"/>
    </row>
    <row r="124" spans="1:23" hidden="1">
      <c r="A124" s="180" t="str">
        <f ca="1">IFERROR(__xludf.DUMMYFUNCTION("""COMPUTED_VALUE"""),"")</f>
        <v/>
      </c>
      <c r="B124" s="180" t="str">
        <f ca="1">IFERROR(__xludf.DUMMYFUNCTION("""COMPUTED_VALUE"""),"")</f>
        <v/>
      </c>
      <c r="C124" s="180" t="str">
        <f ca="1">IFERROR(__xludf.DUMMYFUNCTION("""COMPUTED_VALUE"""),"")</f>
        <v/>
      </c>
      <c r="D124" s="180" t="str">
        <f ca="1">IFERROR(__xludf.DUMMYFUNCTION("""COMPUTED_VALUE"""),"")</f>
        <v/>
      </c>
      <c r="E124" s="180" t="str">
        <f ca="1">IFERROR(__xludf.DUMMYFUNCTION("""COMPUTED_VALUE"""),"")</f>
        <v/>
      </c>
      <c r="F124" s="180" t="str">
        <f ca="1">IFERROR(__xludf.DUMMYFUNCTION("""COMPUTED_VALUE"""),"")</f>
        <v/>
      </c>
      <c r="G124" s="180" t="str">
        <f ca="1">IFERROR(__xludf.DUMMYFUNCTION("""COMPUTED_VALUE"""),"")</f>
        <v/>
      </c>
      <c r="H124" s="180" t="str">
        <f ca="1">IFERROR(__xludf.DUMMYFUNCTION("""COMPUTED_VALUE"""),"")</f>
        <v/>
      </c>
      <c r="I124" s="180" t="str">
        <f ca="1">IFERROR(__xludf.DUMMYFUNCTION("""COMPUTED_VALUE"""),"")</f>
        <v/>
      </c>
      <c r="J124" s="180" t="str">
        <f ca="1">IFERROR(__xludf.DUMMYFUNCTION("""COMPUTED_VALUE"""),"")</f>
        <v/>
      </c>
      <c r="L124" s="134" t="str">
        <f ca="1">IFERROR(__xludf.DUMMYFUNCTION("""COMPUTED_VALUE"""),"")</f>
        <v/>
      </c>
      <c r="M124" s="134" t="str">
        <f ca="1">IFERROR(__xludf.DUMMYFUNCTION("""COMPUTED_VALUE"""),"")</f>
        <v/>
      </c>
      <c r="N124" s="134"/>
    </row>
    <row r="125" spans="1:23">
      <c r="A125" s="180" t="str">
        <f ca="1">IFERROR(__xludf.DUMMYFUNCTION("""COMPUTED_VALUE"""),"")</f>
        <v/>
      </c>
      <c r="B125" s="180" t="str">
        <f ca="1">IFERROR(__xludf.DUMMYFUNCTION("""COMPUTED_VALUE"""),"")</f>
        <v/>
      </c>
      <c r="C125" s="180" t="str">
        <f ca="1">IFERROR(__xludf.DUMMYFUNCTION("""COMPUTED_VALUE"""),"")</f>
        <v/>
      </c>
      <c r="D125" s="180" t="str">
        <f ca="1">IFERROR(__xludf.DUMMYFUNCTION("""COMPUTED_VALUE"""),"")</f>
        <v/>
      </c>
      <c r="E125" s="180" t="str">
        <f ca="1">IFERROR(__xludf.DUMMYFUNCTION("""COMPUTED_VALUE"""),"")</f>
        <v/>
      </c>
      <c r="F125" s="180" t="str">
        <f ca="1">IFERROR(__xludf.DUMMYFUNCTION("""COMPUTED_VALUE"""),"")</f>
        <v/>
      </c>
      <c r="G125" s="180" t="str">
        <f ca="1">IFERROR(__xludf.DUMMYFUNCTION("""COMPUTED_VALUE"""),"")</f>
        <v/>
      </c>
      <c r="H125" s="180" t="str">
        <f ca="1">IFERROR(__xludf.DUMMYFUNCTION("""COMPUTED_VALUE"""),"")</f>
        <v/>
      </c>
      <c r="I125" s="180" t="str">
        <f ca="1">IFERROR(__xludf.DUMMYFUNCTION("""COMPUTED_VALUE"""),"")</f>
        <v/>
      </c>
      <c r="J125" s="180" t="str">
        <f ca="1">IFERROR(__xludf.DUMMYFUNCTION("""COMPUTED_VALUE"""),"")</f>
        <v/>
      </c>
      <c r="L125" s="135" t="str">
        <f ca="1">IFERROR(__xludf.DUMMYFUNCTION("""COMPUTED_VALUE"""),"")</f>
        <v/>
      </c>
      <c r="M125" s="135" t="str">
        <f ca="1">IFERROR(__xludf.DUMMYFUNCTION("""COMPUTED_VALUE"""),"")</f>
        <v/>
      </c>
      <c r="N125" s="135"/>
    </row>
    <row r="126" spans="1:23">
      <c r="A126" s="180" t="str">
        <f ca="1">IFERROR(__xludf.DUMMYFUNCTION("""COMPUTED_VALUE"""),"")</f>
        <v/>
      </c>
      <c r="B126" s="180" t="str">
        <f ca="1">IFERROR(__xludf.DUMMYFUNCTION("""COMPUTED_VALUE"""),"")</f>
        <v/>
      </c>
      <c r="C126" s="180" t="str">
        <f ca="1">IFERROR(__xludf.DUMMYFUNCTION("""COMPUTED_VALUE"""),"")</f>
        <v/>
      </c>
      <c r="D126" s="180" t="str">
        <f ca="1">IFERROR(__xludf.DUMMYFUNCTION("""COMPUTED_VALUE"""),"")</f>
        <v/>
      </c>
      <c r="E126" s="180" t="str">
        <f ca="1">IFERROR(__xludf.DUMMYFUNCTION("""COMPUTED_VALUE"""),"")</f>
        <v/>
      </c>
      <c r="F126" s="180" t="str">
        <f ca="1">IFERROR(__xludf.DUMMYFUNCTION("""COMPUTED_VALUE"""),"")</f>
        <v/>
      </c>
      <c r="G126" s="180" t="str">
        <f ca="1">IFERROR(__xludf.DUMMYFUNCTION("""COMPUTED_VALUE"""),"")</f>
        <v/>
      </c>
      <c r="H126" s="180" t="str">
        <f ca="1">IFERROR(__xludf.DUMMYFUNCTION("""COMPUTED_VALUE"""),"")</f>
        <v/>
      </c>
      <c r="I126" s="180" t="str">
        <f ca="1">IFERROR(__xludf.DUMMYFUNCTION("""COMPUTED_VALUE"""),"")</f>
        <v/>
      </c>
      <c r="J126" s="180" t="str">
        <f ca="1">IFERROR(__xludf.DUMMYFUNCTION("""COMPUTED_VALUE"""),"")</f>
        <v/>
      </c>
      <c r="L126" s="135" t="str">
        <f ca="1">IFERROR(__xludf.DUMMYFUNCTION("""COMPUTED_VALUE"""),"")</f>
        <v/>
      </c>
      <c r="M126" s="135" t="str">
        <f ca="1">IFERROR(__xludf.DUMMYFUNCTION("""COMPUTED_VALUE"""),"")</f>
        <v/>
      </c>
      <c r="N126" s="135"/>
    </row>
    <row r="127" spans="1:23">
      <c r="A127" s="180" t="str">
        <f ca="1">IFERROR(__xludf.DUMMYFUNCTION("""COMPUTED_VALUE"""),"")</f>
        <v/>
      </c>
      <c r="B127" s="180" t="str">
        <f ca="1">IFERROR(__xludf.DUMMYFUNCTION("""COMPUTED_VALUE"""),"")</f>
        <v/>
      </c>
      <c r="C127" s="180" t="str">
        <f ca="1">IFERROR(__xludf.DUMMYFUNCTION("""COMPUTED_VALUE"""),"")</f>
        <v/>
      </c>
      <c r="D127" s="180" t="str">
        <f ca="1">IFERROR(__xludf.DUMMYFUNCTION("""COMPUTED_VALUE"""),"")</f>
        <v/>
      </c>
      <c r="E127" s="180" t="str">
        <f ca="1">IFERROR(__xludf.DUMMYFUNCTION("""COMPUTED_VALUE"""),"")</f>
        <v/>
      </c>
      <c r="F127" s="180" t="str">
        <f ca="1">IFERROR(__xludf.DUMMYFUNCTION("""COMPUTED_VALUE"""),"")</f>
        <v/>
      </c>
      <c r="G127" s="180" t="str">
        <f ca="1">IFERROR(__xludf.DUMMYFUNCTION("""COMPUTED_VALUE"""),"")</f>
        <v/>
      </c>
      <c r="H127" s="180" t="str">
        <f ca="1">IFERROR(__xludf.DUMMYFUNCTION("""COMPUTED_VALUE"""),"")</f>
        <v/>
      </c>
      <c r="I127" s="180" t="str">
        <f ca="1">IFERROR(__xludf.DUMMYFUNCTION("""COMPUTED_VALUE"""),"")</f>
        <v/>
      </c>
      <c r="J127" s="180" t="str">
        <f ca="1">IFERROR(__xludf.DUMMYFUNCTION("""COMPUTED_VALUE"""),"")</f>
        <v/>
      </c>
      <c r="N127" s="159"/>
    </row>
    <row r="128" spans="1:23">
      <c r="A128" s="180" t="str">
        <f ca="1">IFERROR(__xludf.DUMMYFUNCTION("""COMPUTED_VALUE"""),"")</f>
        <v/>
      </c>
      <c r="B128" s="180" t="str">
        <f ca="1">IFERROR(__xludf.DUMMYFUNCTION("""COMPUTED_VALUE"""),"")</f>
        <v/>
      </c>
      <c r="C128" s="180" t="str">
        <f ca="1">IFERROR(__xludf.DUMMYFUNCTION("""COMPUTED_VALUE"""),"")</f>
        <v/>
      </c>
      <c r="D128" s="180" t="str">
        <f ca="1">IFERROR(__xludf.DUMMYFUNCTION("""COMPUTED_VALUE"""),"")</f>
        <v/>
      </c>
      <c r="E128" s="180" t="str">
        <f ca="1">IFERROR(__xludf.DUMMYFUNCTION("""COMPUTED_VALUE"""),"")</f>
        <v/>
      </c>
      <c r="F128" s="180" t="str">
        <f ca="1">IFERROR(__xludf.DUMMYFUNCTION("""COMPUTED_VALUE"""),"")</f>
        <v/>
      </c>
      <c r="G128" s="180" t="str">
        <f ca="1">IFERROR(__xludf.DUMMYFUNCTION("""COMPUTED_VALUE"""),"")</f>
        <v/>
      </c>
      <c r="H128" s="180" t="str">
        <f ca="1">IFERROR(__xludf.DUMMYFUNCTION("""COMPUTED_VALUE"""),"")</f>
        <v/>
      </c>
      <c r="I128" s="180" t="str">
        <f ca="1">IFERROR(__xludf.DUMMYFUNCTION("""COMPUTED_VALUE"""),"")</f>
        <v/>
      </c>
      <c r="J128" s="180" t="str">
        <f ca="1">IFERROR(__xludf.DUMMYFUNCTION("""COMPUTED_VALUE"""),"")</f>
        <v/>
      </c>
      <c r="N128" s="128"/>
    </row>
    <row r="129" spans="1:14">
      <c r="A129" s="180" t="str">
        <f ca="1">IFERROR(__xludf.DUMMYFUNCTION("""COMPUTED_VALUE"""),"")</f>
        <v/>
      </c>
      <c r="B129" s="180" t="str">
        <f ca="1">IFERROR(__xludf.DUMMYFUNCTION("""COMPUTED_VALUE"""),"")</f>
        <v/>
      </c>
      <c r="C129" s="180" t="str">
        <f ca="1">IFERROR(__xludf.DUMMYFUNCTION("""COMPUTED_VALUE"""),"")</f>
        <v/>
      </c>
      <c r="D129" s="180" t="str">
        <f ca="1">IFERROR(__xludf.DUMMYFUNCTION("""COMPUTED_VALUE"""),"")</f>
        <v/>
      </c>
      <c r="E129" s="180" t="str">
        <f ca="1">IFERROR(__xludf.DUMMYFUNCTION("""COMPUTED_VALUE"""),"")</f>
        <v/>
      </c>
      <c r="F129" s="180" t="str">
        <f ca="1">IFERROR(__xludf.DUMMYFUNCTION("""COMPUTED_VALUE"""),"")</f>
        <v/>
      </c>
      <c r="G129" s="180" t="str">
        <f ca="1">IFERROR(__xludf.DUMMYFUNCTION("""COMPUTED_VALUE"""),"")</f>
        <v/>
      </c>
      <c r="H129" s="180" t="str">
        <f ca="1">IFERROR(__xludf.DUMMYFUNCTION("""COMPUTED_VALUE"""),"")</f>
        <v/>
      </c>
      <c r="I129" s="180" t="str">
        <f ca="1">IFERROR(__xludf.DUMMYFUNCTION("""COMPUTED_VALUE"""),"")</f>
        <v/>
      </c>
      <c r="J129" s="180" t="str">
        <f ca="1">IFERROR(__xludf.DUMMYFUNCTION("""COMPUTED_VALUE"""),"")</f>
        <v/>
      </c>
      <c r="N129"/>
    </row>
    <row r="130" spans="1:14">
      <c r="A130" s="180" t="str">
        <f ca="1">IFERROR(__xludf.DUMMYFUNCTION("""COMPUTED_VALUE"""),"")</f>
        <v/>
      </c>
      <c r="B130" s="180" t="str">
        <f ca="1">IFERROR(__xludf.DUMMYFUNCTION("""COMPUTED_VALUE"""),"")</f>
        <v/>
      </c>
      <c r="C130" s="180" t="str">
        <f ca="1">IFERROR(__xludf.DUMMYFUNCTION("""COMPUTED_VALUE"""),"")</f>
        <v/>
      </c>
      <c r="D130" s="180" t="str">
        <f ca="1">IFERROR(__xludf.DUMMYFUNCTION("""COMPUTED_VALUE"""),"")</f>
        <v/>
      </c>
      <c r="E130" s="180" t="str">
        <f ca="1">IFERROR(__xludf.DUMMYFUNCTION("""COMPUTED_VALUE"""),"")</f>
        <v/>
      </c>
      <c r="F130" s="180" t="str">
        <f ca="1">IFERROR(__xludf.DUMMYFUNCTION("""COMPUTED_VALUE"""),"")</f>
        <v/>
      </c>
      <c r="G130" s="180" t="str">
        <f ca="1">IFERROR(__xludf.DUMMYFUNCTION("""COMPUTED_VALUE"""),"")</f>
        <v/>
      </c>
      <c r="H130" s="180" t="str">
        <f ca="1">IFERROR(__xludf.DUMMYFUNCTION("""COMPUTED_VALUE"""),"")</f>
        <v/>
      </c>
      <c r="I130" s="180" t="str">
        <f ca="1">IFERROR(__xludf.DUMMYFUNCTION("""COMPUTED_VALUE"""),"")</f>
        <v/>
      </c>
      <c r="J130" s="180" t="str">
        <f ca="1">IFERROR(__xludf.DUMMYFUNCTION("""COMPUTED_VALUE"""),"")</f>
        <v/>
      </c>
      <c r="N130" s="159"/>
    </row>
    <row r="131" spans="1:14">
      <c r="A131" s="180" t="str">
        <f ca="1">IFERROR(__xludf.DUMMYFUNCTION("""COMPUTED_VALUE"""),"")</f>
        <v/>
      </c>
      <c r="B131" s="180" t="str">
        <f ca="1">IFERROR(__xludf.DUMMYFUNCTION("""COMPUTED_VALUE"""),"")</f>
        <v/>
      </c>
      <c r="C131" s="180" t="str">
        <f ca="1">IFERROR(__xludf.DUMMYFUNCTION("""COMPUTED_VALUE"""),"")</f>
        <v/>
      </c>
      <c r="D131" s="180" t="str">
        <f ca="1">IFERROR(__xludf.DUMMYFUNCTION("""COMPUTED_VALUE"""),"")</f>
        <v/>
      </c>
      <c r="E131" s="180" t="str">
        <f ca="1">IFERROR(__xludf.DUMMYFUNCTION("""COMPUTED_VALUE"""),"")</f>
        <v/>
      </c>
      <c r="F131" s="180" t="str">
        <f ca="1">IFERROR(__xludf.DUMMYFUNCTION("""COMPUTED_VALUE"""),"")</f>
        <v/>
      </c>
      <c r="G131" s="180" t="str">
        <f ca="1">IFERROR(__xludf.DUMMYFUNCTION("""COMPUTED_VALUE"""),"")</f>
        <v/>
      </c>
      <c r="H131" s="180" t="str">
        <f ca="1">IFERROR(__xludf.DUMMYFUNCTION("""COMPUTED_VALUE"""),"")</f>
        <v/>
      </c>
      <c r="I131" s="180" t="str">
        <f ca="1">IFERROR(__xludf.DUMMYFUNCTION("""COMPUTED_VALUE"""),"")</f>
        <v/>
      </c>
      <c r="J131" s="180" t="str">
        <f ca="1">IFERROR(__xludf.DUMMYFUNCTION("""COMPUTED_VALUE"""),"")</f>
        <v/>
      </c>
      <c r="N131" s="134"/>
    </row>
    <row r="132" spans="1:14">
      <c r="A132" s="180" t="str">
        <f ca="1">IFERROR(__xludf.DUMMYFUNCTION("""COMPUTED_VALUE"""),"")</f>
        <v/>
      </c>
      <c r="B132" s="180" t="str">
        <f ca="1">IFERROR(__xludf.DUMMYFUNCTION("""COMPUTED_VALUE"""),"")</f>
        <v/>
      </c>
      <c r="C132" s="180" t="str">
        <f ca="1">IFERROR(__xludf.DUMMYFUNCTION("""COMPUTED_VALUE"""),"")</f>
        <v/>
      </c>
      <c r="D132" s="180" t="str">
        <f ca="1">IFERROR(__xludf.DUMMYFUNCTION("""COMPUTED_VALUE"""),"")</f>
        <v/>
      </c>
      <c r="E132" s="180" t="str">
        <f ca="1">IFERROR(__xludf.DUMMYFUNCTION("""COMPUTED_VALUE"""),"")</f>
        <v/>
      </c>
      <c r="F132" s="180" t="str">
        <f ca="1">IFERROR(__xludf.DUMMYFUNCTION("""COMPUTED_VALUE"""),"")</f>
        <v/>
      </c>
      <c r="G132" s="180" t="str">
        <f ca="1">IFERROR(__xludf.DUMMYFUNCTION("""COMPUTED_VALUE"""),"")</f>
        <v/>
      </c>
      <c r="H132" s="180" t="str">
        <f ca="1">IFERROR(__xludf.DUMMYFUNCTION("""COMPUTED_VALUE"""),"")</f>
        <v/>
      </c>
      <c r="I132" s="180" t="str">
        <f ca="1">IFERROR(__xludf.DUMMYFUNCTION("""COMPUTED_VALUE"""),"")</f>
        <v/>
      </c>
      <c r="J132" s="180" t="str">
        <f ca="1">IFERROR(__xludf.DUMMYFUNCTION("""COMPUTED_VALUE"""),"")</f>
        <v/>
      </c>
      <c r="N132"/>
    </row>
    <row r="133" spans="1:14">
      <c r="A133" s="180" t="str">
        <f ca="1">IFERROR(__xludf.DUMMYFUNCTION("""COMPUTED_VALUE"""),"")</f>
        <v/>
      </c>
      <c r="B133" s="180" t="str">
        <f ca="1">IFERROR(__xludf.DUMMYFUNCTION("""COMPUTED_VALUE"""),"")</f>
        <v/>
      </c>
      <c r="C133" s="180" t="str">
        <f ca="1">IFERROR(__xludf.DUMMYFUNCTION("""COMPUTED_VALUE"""),"")</f>
        <v/>
      </c>
      <c r="D133" s="180" t="str">
        <f ca="1">IFERROR(__xludf.DUMMYFUNCTION("""COMPUTED_VALUE"""),"")</f>
        <v/>
      </c>
      <c r="E133" s="180" t="str">
        <f ca="1">IFERROR(__xludf.DUMMYFUNCTION("""COMPUTED_VALUE"""),"")</f>
        <v/>
      </c>
      <c r="F133" s="180" t="str">
        <f ca="1">IFERROR(__xludf.DUMMYFUNCTION("""COMPUTED_VALUE"""),"")</f>
        <v/>
      </c>
      <c r="G133" s="180" t="str">
        <f ca="1">IFERROR(__xludf.DUMMYFUNCTION("""COMPUTED_VALUE"""),"")</f>
        <v/>
      </c>
      <c r="H133" s="180" t="str">
        <f ca="1">IFERROR(__xludf.DUMMYFUNCTION("""COMPUTED_VALUE"""),"")</f>
        <v/>
      </c>
      <c r="I133" s="180" t="str">
        <f ca="1">IFERROR(__xludf.DUMMYFUNCTION("""COMPUTED_VALUE"""),"")</f>
        <v/>
      </c>
      <c r="J133" s="180" t="str">
        <f ca="1">IFERROR(__xludf.DUMMYFUNCTION("""COMPUTED_VALUE"""),"")</f>
        <v/>
      </c>
      <c r="L133" s="135"/>
      <c r="M133" s="135"/>
      <c r="N133" s="135"/>
    </row>
    <row r="134" spans="1:14">
      <c r="A134" s="180" t="str">
        <f ca="1">IFERROR(__xludf.DUMMYFUNCTION("""COMPUTED_VALUE"""),"")</f>
        <v/>
      </c>
      <c r="B134" s="180" t="str">
        <f ca="1">IFERROR(__xludf.DUMMYFUNCTION("""COMPUTED_VALUE"""),"")</f>
        <v/>
      </c>
      <c r="C134" s="180" t="str">
        <f ca="1">IFERROR(__xludf.DUMMYFUNCTION("""COMPUTED_VALUE"""),"")</f>
        <v/>
      </c>
      <c r="D134" s="180" t="str">
        <f ca="1">IFERROR(__xludf.DUMMYFUNCTION("""COMPUTED_VALUE"""),"")</f>
        <v/>
      </c>
      <c r="E134" s="180" t="str">
        <f ca="1">IFERROR(__xludf.DUMMYFUNCTION("""COMPUTED_VALUE"""),"")</f>
        <v/>
      </c>
      <c r="F134" s="180" t="str">
        <f ca="1">IFERROR(__xludf.DUMMYFUNCTION("""COMPUTED_VALUE"""),"")</f>
        <v/>
      </c>
      <c r="G134" s="180" t="str">
        <f ca="1">IFERROR(__xludf.DUMMYFUNCTION("""COMPUTED_VALUE"""),"")</f>
        <v/>
      </c>
      <c r="H134" s="180" t="str">
        <f ca="1">IFERROR(__xludf.DUMMYFUNCTION("""COMPUTED_VALUE"""),"")</f>
        <v/>
      </c>
      <c r="I134" s="180" t="str">
        <f ca="1">IFERROR(__xludf.DUMMYFUNCTION("""COMPUTED_VALUE"""),"")</f>
        <v/>
      </c>
      <c r="J134" s="180" t="str">
        <f ca="1">IFERROR(__xludf.DUMMYFUNCTION("""COMPUTED_VALUE"""),"")</f>
        <v/>
      </c>
      <c r="L134" s="135"/>
      <c r="M134" s="135"/>
      <c r="N134" s="135"/>
    </row>
    <row r="135" spans="1:14">
      <c r="A135" s="180" t="str">
        <f ca="1">IFERROR(__xludf.DUMMYFUNCTION("""COMPUTED_VALUE"""),"")</f>
        <v/>
      </c>
      <c r="B135" s="180" t="str">
        <f ca="1">IFERROR(__xludf.DUMMYFUNCTION("""COMPUTED_VALUE"""),"")</f>
        <v/>
      </c>
      <c r="C135" s="180" t="str">
        <f ca="1">IFERROR(__xludf.DUMMYFUNCTION("""COMPUTED_VALUE"""),"")</f>
        <v/>
      </c>
      <c r="D135" s="180" t="str">
        <f ca="1">IFERROR(__xludf.DUMMYFUNCTION("""COMPUTED_VALUE"""),"")</f>
        <v/>
      </c>
      <c r="E135" s="180" t="str">
        <f ca="1">IFERROR(__xludf.DUMMYFUNCTION("""COMPUTED_VALUE"""),"")</f>
        <v/>
      </c>
      <c r="F135" s="180" t="str">
        <f ca="1">IFERROR(__xludf.DUMMYFUNCTION("""COMPUTED_VALUE"""),"")</f>
        <v/>
      </c>
      <c r="G135" s="180" t="str">
        <f ca="1">IFERROR(__xludf.DUMMYFUNCTION("""COMPUTED_VALUE"""),"")</f>
        <v/>
      </c>
      <c r="H135" s="180" t="str">
        <f ca="1">IFERROR(__xludf.DUMMYFUNCTION("""COMPUTED_VALUE"""),"")</f>
        <v/>
      </c>
      <c r="I135" s="180" t="str">
        <f ca="1">IFERROR(__xludf.DUMMYFUNCTION("""COMPUTED_VALUE"""),"")</f>
        <v/>
      </c>
      <c r="J135" s="180" t="str">
        <f ca="1">IFERROR(__xludf.DUMMYFUNCTION("""COMPUTED_VALUE"""),"")</f>
        <v/>
      </c>
      <c r="N135" s="159"/>
    </row>
    <row r="136" spans="1:14">
      <c r="A136" s="180" t="str">
        <f ca="1">IFERROR(__xludf.DUMMYFUNCTION("""COMPUTED_VALUE"""),"")</f>
        <v/>
      </c>
      <c r="B136" s="180" t="str">
        <f ca="1">IFERROR(__xludf.DUMMYFUNCTION("""COMPUTED_VALUE"""),"")</f>
        <v/>
      </c>
      <c r="C136" s="180" t="str">
        <f ca="1">IFERROR(__xludf.DUMMYFUNCTION("""COMPUTED_VALUE"""),"")</f>
        <v/>
      </c>
      <c r="D136" s="180" t="str">
        <f ca="1">IFERROR(__xludf.DUMMYFUNCTION("""COMPUTED_VALUE"""),"")</f>
        <v/>
      </c>
      <c r="E136" s="180" t="str">
        <f ca="1">IFERROR(__xludf.DUMMYFUNCTION("""COMPUTED_VALUE"""),"")</f>
        <v/>
      </c>
      <c r="F136" s="180" t="str">
        <f ca="1">IFERROR(__xludf.DUMMYFUNCTION("""COMPUTED_VALUE"""),"")</f>
        <v/>
      </c>
      <c r="G136" s="180" t="str">
        <f ca="1">IFERROR(__xludf.DUMMYFUNCTION("""COMPUTED_VALUE"""),"")</f>
        <v/>
      </c>
      <c r="H136" s="180" t="str">
        <f ca="1">IFERROR(__xludf.DUMMYFUNCTION("""COMPUTED_VALUE"""),"")</f>
        <v/>
      </c>
      <c r="I136" s="180" t="str">
        <f ca="1">IFERROR(__xludf.DUMMYFUNCTION("""COMPUTED_VALUE"""),"")</f>
        <v/>
      </c>
      <c r="J136" s="180" t="str">
        <f ca="1">IFERROR(__xludf.DUMMYFUNCTION("""COMPUTED_VALUE"""),"")</f>
        <v/>
      </c>
      <c r="N136" s="128"/>
    </row>
    <row r="137" spans="1:14">
      <c r="A137" s="180" t="str">
        <f ca="1">IFERROR(__xludf.DUMMYFUNCTION("""COMPUTED_VALUE"""),"")</f>
        <v/>
      </c>
      <c r="B137" s="180" t="str">
        <f ca="1">IFERROR(__xludf.DUMMYFUNCTION("""COMPUTED_VALUE"""),"")</f>
        <v/>
      </c>
      <c r="C137" s="180" t="str">
        <f ca="1">IFERROR(__xludf.DUMMYFUNCTION("""COMPUTED_VALUE"""),"")</f>
        <v/>
      </c>
      <c r="D137" s="180" t="str">
        <f ca="1">IFERROR(__xludf.DUMMYFUNCTION("""COMPUTED_VALUE"""),"")</f>
        <v/>
      </c>
      <c r="E137" s="180" t="str">
        <f ca="1">IFERROR(__xludf.DUMMYFUNCTION("""COMPUTED_VALUE"""),"")</f>
        <v/>
      </c>
      <c r="F137" s="180" t="str">
        <f ca="1">IFERROR(__xludf.DUMMYFUNCTION("""COMPUTED_VALUE"""),"")</f>
        <v/>
      </c>
      <c r="G137" s="180" t="str">
        <f ca="1">IFERROR(__xludf.DUMMYFUNCTION("""COMPUTED_VALUE"""),"")</f>
        <v/>
      </c>
      <c r="H137" s="180" t="str">
        <f ca="1">IFERROR(__xludf.DUMMYFUNCTION("""COMPUTED_VALUE"""),"")</f>
        <v/>
      </c>
      <c r="I137" s="180" t="str">
        <f ca="1">IFERROR(__xludf.DUMMYFUNCTION("""COMPUTED_VALUE"""),"")</f>
        <v/>
      </c>
      <c r="J137" s="180" t="str">
        <f ca="1">IFERROR(__xludf.DUMMYFUNCTION("""COMPUTED_VALUE"""),"")</f>
        <v/>
      </c>
      <c r="N137"/>
    </row>
    <row r="138" spans="1:14">
      <c r="A138" s="180" t="str">
        <f ca="1">IFERROR(__xludf.DUMMYFUNCTION("""COMPUTED_VALUE"""),"")</f>
        <v/>
      </c>
      <c r="B138" s="180" t="str">
        <f ca="1">IFERROR(__xludf.DUMMYFUNCTION("""COMPUTED_VALUE"""),"")</f>
        <v/>
      </c>
      <c r="C138" s="180" t="str">
        <f ca="1">IFERROR(__xludf.DUMMYFUNCTION("""COMPUTED_VALUE"""),"")</f>
        <v/>
      </c>
      <c r="D138" s="180" t="str">
        <f ca="1">IFERROR(__xludf.DUMMYFUNCTION("""COMPUTED_VALUE"""),"")</f>
        <v/>
      </c>
      <c r="E138" s="180" t="str">
        <f ca="1">IFERROR(__xludf.DUMMYFUNCTION("""COMPUTED_VALUE"""),"")</f>
        <v/>
      </c>
      <c r="F138" s="180" t="str">
        <f ca="1">IFERROR(__xludf.DUMMYFUNCTION("""COMPUTED_VALUE"""),"")</f>
        <v/>
      </c>
      <c r="G138" s="180" t="str">
        <f ca="1">IFERROR(__xludf.DUMMYFUNCTION("""COMPUTED_VALUE"""),"")</f>
        <v/>
      </c>
      <c r="H138" s="180" t="str">
        <f ca="1">IFERROR(__xludf.DUMMYFUNCTION("""COMPUTED_VALUE"""),"")</f>
        <v/>
      </c>
      <c r="I138" s="180" t="str">
        <f ca="1">IFERROR(__xludf.DUMMYFUNCTION("""COMPUTED_VALUE"""),"")</f>
        <v/>
      </c>
      <c r="J138" s="180" t="str">
        <f ca="1">IFERROR(__xludf.DUMMYFUNCTION("""COMPUTED_VALUE"""),"")</f>
        <v/>
      </c>
      <c r="N138" s="159"/>
    </row>
    <row r="139" spans="1:14">
      <c r="A139" s="180" t="str">
        <f ca="1">IFERROR(__xludf.DUMMYFUNCTION("""COMPUTED_VALUE"""),"")</f>
        <v/>
      </c>
      <c r="B139" s="180" t="str">
        <f ca="1">IFERROR(__xludf.DUMMYFUNCTION("""COMPUTED_VALUE"""),"")</f>
        <v/>
      </c>
      <c r="C139" s="180" t="str">
        <f ca="1">IFERROR(__xludf.DUMMYFUNCTION("""COMPUTED_VALUE"""),"")</f>
        <v/>
      </c>
      <c r="D139" s="180" t="str">
        <f ca="1">IFERROR(__xludf.DUMMYFUNCTION("""COMPUTED_VALUE"""),"")</f>
        <v/>
      </c>
      <c r="E139" s="180" t="str">
        <f ca="1">IFERROR(__xludf.DUMMYFUNCTION("""COMPUTED_VALUE"""),"")</f>
        <v/>
      </c>
      <c r="F139" s="180" t="str">
        <f ca="1">IFERROR(__xludf.DUMMYFUNCTION("""COMPUTED_VALUE"""),"")</f>
        <v/>
      </c>
      <c r="G139" s="180" t="str">
        <f ca="1">IFERROR(__xludf.DUMMYFUNCTION("""COMPUTED_VALUE"""),"")</f>
        <v/>
      </c>
      <c r="H139" s="180" t="str">
        <f ca="1">IFERROR(__xludf.DUMMYFUNCTION("""COMPUTED_VALUE"""),"")</f>
        <v/>
      </c>
      <c r="I139" s="180" t="str">
        <f ca="1">IFERROR(__xludf.DUMMYFUNCTION("""COMPUTED_VALUE"""),"")</f>
        <v/>
      </c>
      <c r="J139" s="180" t="str">
        <f ca="1">IFERROR(__xludf.DUMMYFUNCTION("""COMPUTED_VALUE"""),"")</f>
        <v/>
      </c>
      <c r="N139" s="134"/>
    </row>
    <row r="140" spans="1:14">
      <c r="A140" s="180" t="str">
        <f ca="1">IFERROR(__xludf.DUMMYFUNCTION("""COMPUTED_VALUE"""),"")</f>
        <v/>
      </c>
      <c r="B140" s="180" t="str">
        <f ca="1">IFERROR(__xludf.DUMMYFUNCTION("""COMPUTED_VALUE"""),"")</f>
        <v/>
      </c>
      <c r="C140" s="180" t="str">
        <f ca="1">IFERROR(__xludf.DUMMYFUNCTION("""COMPUTED_VALUE"""),"")</f>
        <v/>
      </c>
      <c r="D140" s="180" t="str">
        <f ca="1">IFERROR(__xludf.DUMMYFUNCTION("""COMPUTED_VALUE"""),"")</f>
        <v/>
      </c>
      <c r="E140" s="180" t="str">
        <f ca="1">IFERROR(__xludf.DUMMYFUNCTION("""COMPUTED_VALUE"""),"")</f>
        <v/>
      </c>
      <c r="F140" s="180" t="str">
        <f ca="1">IFERROR(__xludf.DUMMYFUNCTION("""COMPUTED_VALUE"""),"")</f>
        <v/>
      </c>
      <c r="G140" s="180" t="str">
        <f ca="1">IFERROR(__xludf.DUMMYFUNCTION("""COMPUTED_VALUE"""),"")</f>
        <v/>
      </c>
      <c r="H140" s="180" t="str">
        <f ca="1">IFERROR(__xludf.DUMMYFUNCTION("""COMPUTED_VALUE"""),"")</f>
        <v/>
      </c>
      <c r="I140" s="180" t="str">
        <f ca="1">IFERROR(__xludf.DUMMYFUNCTION("""COMPUTED_VALUE"""),"")</f>
        <v/>
      </c>
      <c r="J140" s="180" t="str">
        <f ca="1">IFERROR(__xludf.DUMMYFUNCTION("""COMPUTED_VALUE"""),"")</f>
        <v/>
      </c>
      <c r="N140"/>
    </row>
    <row r="141" spans="1:14">
      <c r="A141" s="180" t="str">
        <f ca="1">IFERROR(__xludf.DUMMYFUNCTION("""COMPUTED_VALUE"""),"")</f>
        <v/>
      </c>
      <c r="B141" s="180" t="str">
        <f ca="1">IFERROR(__xludf.DUMMYFUNCTION("""COMPUTED_VALUE"""),"")</f>
        <v/>
      </c>
      <c r="C141" s="180" t="str">
        <f ca="1">IFERROR(__xludf.DUMMYFUNCTION("""COMPUTED_VALUE"""),"")</f>
        <v/>
      </c>
      <c r="D141" s="180" t="str">
        <f ca="1">IFERROR(__xludf.DUMMYFUNCTION("""COMPUTED_VALUE"""),"")</f>
        <v/>
      </c>
      <c r="E141" s="180" t="str">
        <f ca="1">IFERROR(__xludf.DUMMYFUNCTION("""COMPUTED_VALUE"""),"")</f>
        <v/>
      </c>
      <c r="F141" s="180" t="str">
        <f ca="1">IFERROR(__xludf.DUMMYFUNCTION("""COMPUTED_VALUE"""),"")</f>
        <v/>
      </c>
      <c r="G141" s="180" t="str">
        <f ca="1">IFERROR(__xludf.DUMMYFUNCTION("""COMPUTED_VALUE"""),"")</f>
        <v/>
      </c>
      <c r="H141" s="180" t="str">
        <f ca="1">IFERROR(__xludf.DUMMYFUNCTION("""COMPUTED_VALUE"""),"")</f>
        <v/>
      </c>
      <c r="I141" s="180" t="str">
        <f ca="1">IFERROR(__xludf.DUMMYFUNCTION("""COMPUTED_VALUE"""),"")</f>
        <v/>
      </c>
      <c r="J141" s="180" t="str">
        <f ca="1">IFERROR(__xludf.DUMMYFUNCTION("""COMPUTED_VALUE"""),"")</f>
        <v/>
      </c>
      <c r="L141" s="135"/>
      <c r="M141" s="135"/>
      <c r="N141" s="135"/>
    </row>
    <row r="142" spans="1:14">
      <c r="A142" s="180" t="str">
        <f ca="1">IFERROR(__xludf.DUMMYFUNCTION("""COMPUTED_VALUE"""),"")</f>
        <v/>
      </c>
      <c r="B142" s="180" t="str">
        <f ca="1">IFERROR(__xludf.DUMMYFUNCTION("""COMPUTED_VALUE"""),"")</f>
        <v/>
      </c>
      <c r="C142" s="180" t="str">
        <f ca="1">IFERROR(__xludf.DUMMYFUNCTION("""COMPUTED_VALUE"""),"")</f>
        <v/>
      </c>
      <c r="D142" s="180" t="str">
        <f ca="1">IFERROR(__xludf.DUMMYFUNCTION("""COMPUTED_VALUE"""),"")</f>
        <v/>
      </c>
      <c r="E142" s="180" t="str">
        <f ca="1">IFERROR(__xludf.DUMMYFUNCTION("""COMPUTED_VALUE"""),"")</f>
        <v/>
      </c>
      <c r="F142" s="180" t="str">
        <f ca="1">IFERROR(__xludf.DUMMYFUNCTION("""COMPUTED_VALUE"""),"")</f>
        <v/>
      </c>
      <c r="G142" s="180" t="str">
        <f ca="1">IFERROR(__xludf.DUMMYFUNCTION("""COMPUTED_VALUE"""),"")</f>
        <v/>
      </c>
      <c r="H142" s="180" t="str">
        <f ca="1">IFERROR(__xludf.DUMMYFUNCTION("""COMPUTED_VALUE"""),"")</f>
        <v/>
      </c>
      <c r="I142" s="180" t="str">
        <f ca="1">IFERROR(__xludf.DUMMYFUNCTION("""COMPUTED_VALUE"""),"")</f>
        <v/>
      </c>
      <c r="J142" s="180" t="str">
        <f ca="1">IFERROR(__xludf.DUMMYFUNCTION("""COMPUTED_VALUE"""),"")</f>
        <v/>
      </c>
      <c r="L142" s="135"/>
      <c r="M142" s="135"/>
      <c r="N142" s="135"/>
    </row>
    <row r="143" spans="1:14">
      <c r="A143" s="180" t="str">
        <f ca="1">IFERROR(__xludf.DUMMYFUNCTION("""COMPUTED_VALUE"""),"")</f>
        <v/>
      </c>
      <c r="B143" s="180" t="str">
        <f ca="1">IFERROR(__xludf.DUMMYFUNCTION("""COMPUTED_VALUE"""),"")</f>
        <v/>
      </c>
      <c r="C143" s="180" t="str">
        <f ca="1">IFERROR(__xludf.DUMMYFUNCTION("""COMPUTED_VALUE"""),"")</f>
        <v/>
      </c>
      <c r="D143" s="180" t="str">
        <f ca="1">IFERROR(__xludf.DUMMYFUNCTION("""COMPUTED_VALUE"""),"")</f>
        <v/>
      </c>
      <c r="E143" s="180" t="str">
        <f ca="1">IFERROR(__xludf.DUMMYFUNCTION("""COMPUTED_VALUE"""),"")</f>
        <v/>
      </c>
      <c r="F143" s="180" t="str">
        <f ca="1">IFERROR(__xludf.DUMMYFUNCTION("""COMPUTED_VALUE"""),"")</f>
        <v/>
      </c>
      <c r="G143" s="180" t="str">
        <f ca="1">IFERROR(__xludf.DUMMYFUNCTION("""COMPUTED_VALUE"""),"")</f>
        <v/>
      </c>
      <c r="H143" s="180" t="str">
        <f ca="1">IFERROR(__xludf.DUMMYFUNCTION("""COMPUTED_VALUE"""),"")</f>
        <v/>
      </c>
      <c r="I143" s="180" t="str">
        <f ca="1">IFERROR(__xludf.DUMMYFUNCTION("""COMPUTED_VALUE"""),"")</f>
        <v/>
      </c>
      <c r="J143" s="180" t="str">
        <f ca="1">IFERROR(__xludf.DUMMYFUNCTION("""COMPUTED_VALUE"""),"")</f>
        <v/>
      </c>
      <c r="N143" s="159"/>
    </row>
    <row r="144" spans="1:14">
      <c r="A144" s="180" t="str">
        <f ca="1">IFERROR(__xludf.DUMMYFUNCTION("""COMPUTED_VALUE"""),"")</f>
        <v/>
      </c>
      <c r="B144" s="180" t="str">
        <f ca="1">IFERROR(__xludf.DUMMYFUNCTION("""COMPUTED_VALUE"""),"")</f>
        <v/>
      </c>
      <c r="C144" s="180" t="str">
        <f ca="1">IFERROR(__xludf.DUMMYFUNCTION("""COMPUTED_VALUE"""),"")</f>
        <v/>
      </c>
      <c r="D144" s="180" t="str">
        <f ca="1">IFERROR(__xludf.DUMMYFUNCTION("""COMPUTED_VALUE"""),"")</f>
        <v/>
      </c>
      <c r="E144" s="180" t="str">
        <f ca="1">IFERROR(__xludf.DUMMYFUNCTION("""COMPUTED_VALUE"""),"")</f>
        <v/>
      </c>
      <c r="F144" s="180" t="str">
        <f ca="1">IFERROR(__xludf.DUMMYFUNCTION("""COMPUTED_VALUE"""),"")</f>
        <v/>
      </c>
      <c r="G144" s="180" t="str">
        <f ca="1">IFERROR(__xludf.DUMMYFUNCTION("""COMPUTED_VALUE"""),"")</f>
        <v/>
      </c>
      <c r="H144" s="180" t="str">
        <f ca="1">IFERROR(__xludf.DUMMYFUNCTION("""COMPUTED_VALUE"""),"")</f>
        <v/>
      </c>
      <c r="I144" s="180" t="str">
        <f ca="1">IFERROR(__xludf.DUMMYFUNCTION("""COMPUTED_VALUE"""),"")</f>
        <v/>
      </c>
      <c r="J144" s="180" t="str">
        <f ca="1">IFERROR(__xludf.DUMMYFUNCTION("""COMPUTED_VALUE"""),"")</f>
        <v/>
      </c>
      <c r="N144" s="128"/>
    </row>
    <row r="145" spans="1:14">
      <c r="A145" s="180" t="str">
        <f ca="1">IFERROR(__xludf.DUMMYFUNCTION("""COMPUTED_VALUE"""),"")</f>
        <v/>
      </c>
      <c r="B145" s="180" t="str">
        <f ca="1">IFERROR(__xludf.DUMMYFUNCTION("""COMPUTED_VALUE"""),"")</f>
        <v/>
      </c>
      <c r="C145" s="180" t="str">
        <f ca="1">IFERROR(__xludf.DUMMYFUNCTION("""COMPUTED_VALUE"""),"")</f>
        <v/>
      </c>
      <c r="D145" s="180" t="str">
        <f ca="1">IFERROR(__xludf.DUMMYFUNCTION("""COMPUTED_VALUE"""),"")</f>
        <v/>
      </c>
      <c r="E145" s="180" t="str">
        <f ca="1">IFERROR(__xludf.DUMMYFUNCTION("""COMPUTED_VALUE"""),"")</f>
        <v/>
      </c>
      <c r="F145" s="180" t="str">
        <f ca="1">IFERROR(__xludf.DUMMYFUNCTION("""COMPUTED_VALUE"""),"")</f>
        <v/>
      </c>
      <c r="G145" s="180" t="str">
        <f ca="1">IFERROR(__xludf.DUMMYFUNCTION("""COMPUTED_VALUE"""),"")</f>
        <v/>
      </c>
      <c r="H145" s="180" t="str">
        <f ca="1">IFERROR(__xludf.DUMMYFUNCTION("""COMPUTED_VALUE"""),"")</f>
        <v/>
      </c>
      <c r="I145" s="180" t="str">
        <f ca="1">IFERROR(__xludf.DUMMYFUNCTION("""COMPUTED_VALUE"""),"")</f>
        <v/>
      </c>
      <c r="J145" s="180" t="str">
        <f ca="1">IFERROR(__xludf.DUMMYFUNCTION("""COMPUTED_VALUE"""),"")</f>
        <v/>
      </c>
      <c r="N145"/>
    </row>
    <row r="146" spans="1:14">
      <c r="A146" s="180" t="str">
        <f ca="1">IFERROR(__xludf.DUMMYFUNCTION("""COMPUTED_VALUE"""),"")</f>
        <v/>
      </c>
      <c r="B146" s="180" t="str">
        <f ca="1">IFERROR(__xludf.DUMMYFUNCTION("""COMPUTED_VALUE"""),"")</f>
        <v/>
      </c>
      <c r="C146" s="180" t="str">
        <f ca="1">IFERROR(__xludf.DUMMYFUNCTION("""COMPUTED_VALUE"""),"")</f>
        <v/>
      </c>
      <c r="D146" s="180" t="str">
        <f ca="1">IFERROR(__xludf.DUMMYFUNCTION("""COMPUTED_VALUE"""),"")</f>
        <v/>
      </c>
      <c r="E146" s="180" t="str">
        <f ca="1">IFERROR(__xludf.DUMMYFUNCTION("""COMPUTED_VALUE"""),"")</f>
        <v/>
      </c>
      <c r="F146" s="180" t="str">
        <f ca="1">IFERROR(__xludf.DUMMYFUNCTION("""COMPUTED_VALUE"""),"")</f>
        <v/>
      </c>
      <c r="G146" s="180" t="str">
        <f ca="1">IFERROR(__xludf.DUMMYFUNCTION("""COMPUTED_VALUE"""),"")</f>
        <v/>
      </c>
      <c r="H146" s="180" t="str">
        <f ca="1">IFERROR(__xludf.DUMMYFUNCTION("""COMPUTED_VALUE"""),"")</f>
        <v/>
      </c>
      <c r="I146" s="180" t="str">
        <f ca="1">IFERROR(__xludf.DUMMYFUNCTION("""COMPUTED_VALUE"""),"")</f>
        <v/>
      </c>
      <c r="J146" s="180" t="str">
        <f ca="1">IFERROR(__xludf.DUMMYFUNCTION("""COMPUTED_VALUE"""),"")</f>
        <v/>
      </c>
      <c r="N146" s="159"/>
    </row>
    <row r="147" spans="1:14">
      <c r="A147" s="180" t="str">
        <f ca="1">IFERROR(__xludf.DUMMYFUNCTION("""COMPUTED_VALUE"""),"")</f>
        <v/>
      </c>
      <c r="B147" s="180" t="str">
        <f ca="1">IFERROR(__xludf.DUMMYFUNCTION("""COMPUTED_VALUE"""),"")</f>
        <v/>
      </c>
      <c r="C147" s="180" t="str">
        <f ca="1">IFERROR(__xludf.DUMMYFUNCTION("""COMPUTED_VALUE"""),"")</f>
        <v/>
      </c>
      <c r="D147" s="180" t="str">
        <f ca="1">IFERROR(__xludf.DUMMYFUNCTION("""COMPUTED_VALUE"""),"")</f>
        <v/>
      </c>
      <c r="E147" s="180" t="str">
        <f ca="1">IFERROR(__xludf.DUMMYFUNCTION("""COMPUTED_VALUE"""),"")</f>
        <v/>
      </c>
      <c r="F147" s="180" t="str">
        <f ca="1">IFERROR(__xludf.DUMMYFUNCTION("""COMPUTED_VALUE"""),"")</f>
        <v/>
      </c>
      <c r="G147" s="180" t="str">
        <f ca="1">IFERROR(__xludf.DUMMYFUNCTION("""COMPUTED_VALUE"""),"")</f>
        <v/>
      </c>
      <c r="H147" s="180" t="str">
        <f ca="1">IFERROR(__xludf.DUMMYFUNCTION("""COMPUTED_VALUE"""),"")</f>
        <v/>
      </c>
      <c r="I147" s="180" t="str">
        <f ca="1">IFERROR(__xludf.DUMMYFUNCTION("""COMPUTED_VALUE"""),"")</f>
        <v/>
      </c>
      <c r="J147" s="180" t="str">
        <f ca="1">IFERROR(__xludf.DUMMYFUNCTION("""COMPUTED_VALUE"""),"")</f>
        <v/>
      </c>
      <c r="N147" s="134"/>
    </row>
    <row r="148" spans="1:14">
      <c r="A148" s="180" t="str">
        <f ca="1">IFERROR(__xludf.DUMMYFUNCTION("""COMPUTED_VALUE"""),"")</f>
        <v/>
      </c>
      <c r="B148" s="180" t="str">
        <f ca="1">IFERROR(__xludf.DUMMYFUNCTION("""COMPUTED_VALUE"""),"")</f>
        <v/>
      </c>
      <c r="C148" s="180" t="str">
        <f ca="1">IFERROR(__xludf.DUMMYFUNCTION("""COMPUTED_VALUE"""),"")</f>
        <v/>
      </c>
      <c r="D148" s="180" t="str">
        <f ca="1">IFERROR(__xludf.DUMMYFUNCTION("""COMPUTED_VALUE"""),"")</f>
        <v/>
      </c>
      <c r="E148" s="180" t="str">
        <f ca="1">IFERROR(__xludf.DUMMYFUNCTION("""COMPUTED_VALUE"""),"")</f>
        <v/>
      </c>
      <c r="F148" s="180" t="str">
        <f ca="1">IFERROR(__xludf.DUMMYFUNCTION("""COMPUTED_VALUE"""),"")</f>
        <v/>
      </c>
      <c r="G148" s="180" t="str">
        <f ca="1">IFERROR(__xludf.DUMMYFUNCTION("""COMPUTED_VALUE"""),"")</f>
        <v/>
      </c>
      <c r="H148" s="180" t="str">
        <f ca="1">IFERROR(__xludf.DUMMYFUNCTION("""COMPUTED_VALUE"""),"")</f>
        <v/>
      </c>
      <c r="I148" s="180" t="str">
        <f ca="1">IFERROR(__xludf.DUMMYFUNCTION("""COMPUTED_VALUE"""),"")</f>
        <v/>
      </c>
      <c r="J148" s="180" t="str">
        <f ca="1">IFERROR(__xludf.DUMMYFUNCTION("""COMPUTED_VALUE"""),"")</f>
        <v/>
      </c>
      <c r="N148"/>
    </row>
    <row r="149" spans="1:14">
      <c r="A149" s="180" t="str">
        <f ca="1">IFERROR(__xludf.DUMMYFUNCTION("""COMPUTED_VALUE"""),"")</f>
        <v/>
      </c>
      <c r="B149" s="180" t="str">
        <f ca="1">IFERROR(__xludf.DUMMYFUNCTION("""COMPUTED_VALUE"""),"")</f>
        <v/>
      </c>
      <c r="C149" s="180" t="str">
        <f ca="1">IFERROR(__xludf.DUMMYFUNCTION("""COMPUTED_VALUE"""),"")</f>
        <v/>
      </c>
      <c r="D149" s="180" t="str">
        <f ca="1">IFERROR(__xludf.DUMMYFUNCTION("""COMPUTED_VALUE"""),"")</f>
        <v/>
      </c>
      <c r="E149" s="180" t="str">
        <f ca="1">IFERROR(__xludf.DUMMYFUNCTION("""COMPUTED_VALUE"""),"")</f>
        <v/>
      </c>
      <c r="F149" s="180" t="str">
        <f ca="1">IFERROR(__xludf.DUMMYFUNCTION("""COMPUTED_VALUE"""),"")</f>
        <v/>
      </c>
      <c r="G149" s="180" t="str">
        <f ca="1">IFERROR(__xludf.DUMMYFUNCTION("""COMPUTED_VALUE"""),"")</f>
        <v/>
      </c>
      <c r="H149" s="180" t="str">
        <f ca="1">IFERROR(__xludf.DUMMYFUNCTION("""COMPUTED_VALUE"""),"")</f>
        <v/>
      </c>
      <c r="I149" s="180" t="str">
        <f ca="1">IFERROR(__xludf.DUMMYFUNCTION("""COMPUTED_VALUE"""),"")</f>
        <v/>
      </c>
      <c r="J149" s="180" t="str">
        <f ca="1">IFERROR(__xludf.DUMMYFUNCTION("""COMPUTED_VALUE"""),"")</f>
        <v/>
      </c>
      <c r="L149" s="135"/>
      <c r="M149" s="135"/>
      <c r="N149" s="135"/>
    </row>
    <row r="150" spans="1:14">
      <c r="A150" s="180" t="str">
        <f ca="1">IFERROR(__xludf.DUMMYFUNCTION("""COMPUTED_VALUE"""),"")</f>
        <v/>
      </c>
      <c r="B150" s="180" t="str">
        <f ca="1">IFERROR(__xludf.DUMMYFUNCTION("""COMPUTED_VALUE"""),"")</f>
        <v/>
      </c>
      <c r="C150" s="180" t="str">
        <f ca="1">IFERROR(__xludf.DUMMYFUNCTION("""COMPUTED_VALUE"""),"")</f>
        <v/>
      </c>
      <c r="D150" s="180" t="str">
        <f ca="1">IFERROR(__xludf.DUMMYFUNCTION("""COMPUTED_VALUE"""),"")</f>
        <v/>
      </c>
      <c r="E150" s="180" t="str">
        <f ca="1">IFERROR(__xludf.DUMMYFUNCTION("""COMPUTED_VALUE"""),"")</f>
        <v/>
      </c>
      <c r="F150" s="180" t="str">
        <f ca="1">IFERROR(__xludf.DUMMYFUNCTION("""COMPUTED_VALUE"""),"")</f>
        <v/>
      </c>
      <c r="G150" s="180" t="str">
        <f ca="1">IFERROR(__xludf.DUMMYFUNCTION("""COMPUTED_VALUE"""),"")</f>
        <v/>
      </c>
      <c r="H150" s="180" t="str">
        <f ca="1">IFERROR(__xludf.DUMMYFUNCTION("""COMPUTED_VALUE"""),"")</f>
        <v/>
      </c>
      <c r="I150" s="180" t="str">
        <f ca="1">IFERROR(__xludf.DUMMYFUNCTION("""COMPUTED_VALUE"""),"")</f>
        <v/>
      </c>
      <c r="J150" s="180" t="str">
        <f ca="1">IFERROR(__xludf.DUMMYFUNCTION("""COMPUTED_VALUE"""),"")</f>
        <v/>
      </c>
      <c r="L150" s="135"/>
      <c r="M150" s="135"/>
      <c r="N150" s="135"/>
    </row>
    <row r="151" spans="1:14">
      <c r="A151" s="180" t="str">
        <f ca="1">IFERROR(__xludf.DUMMYFUNCTION("""COMPUTED_VALUE"""),"")</f>
        <v/>
      </c>
      <c r="B151" s="180" t="str">
        <f ca="1">IFERROR(__xludf.DUMMYFUNCTION("""COMPUTED_VALUE"""),"")</f>
        <v/>
      </c>
      <c r="C151" s="180" t="str">
        <f ca="1">IFERROR(__xludf.DUMMYFUNCTION("""COMPUTED_VALUE"""),"")</f>
        <v/>
      </c>
      <c r="D151" s="180" t="str">
        <f ca="1">IFERROR(__xludf.DUMMYFUNCTION("""COMPUTED_VALUE"""),"")</f>
        <v/>
      </c>
      <c r="E151" s="180" t="str">
        <f ca="1">IFERROR(__xludf.DUMMYFUNCTION("""COMPUTED_VALUE"""),"")</f>
        <v/>
      </c>
      <c r="F151" s="180" t="str">
        <f ca="1">IFERROR(__xludf.DUMMYFUNCTION("""COMPUTED_VALUE"""),"")</f>
        <v/>
      </c>
      <c r="G151" s="180" t="str">
        <f ca="1">IFERROR(__xludf.DUMMYFUNCTION("""COMPUTED_VALUE"""),"")</f>
        <v/>
      </c>
      <c r="H151" s="180" t="str">
        <f ca="1">IFERROR(__xludf.DUMMYFUNCTION("""COMPUTED_VALUE"""),"")</f>
        <v/>
      </c>
      <c r="I151" s="180" t="str">
        <f ca="1">IFERROR(__xludf.DUMMYFUNCTION("""COMPUTED_VALUE"""),"")</f>
        <v/>
      </c>
      <c r="J151" s="180" t="str">
        <f ca="1">IFERROR(__xludf.DUMMYFUNCTION("""COMPUTED_VALUE"""),"")</f>
        <v/>
      </c>
      <c r="N151" s="159"/>
    </row>
    <row r="152" spans="1:14">
      <c r="A152" s="180" t="str">
        <f ca="1">IFERROR(__xludf.DUMMYFUNCTION("""COMPUTED_VALUE"""),"")</f>
        <v/>
      </c>
      <c r="B152" s="180" t="str">
        <f ca="1">IFERROR(__xludf.DUMMYFUNCTION("""COMPUTED_VALUE"""),"")</f>
        <v/>
      </c>
      <c r="C152" s="180" t="str">
        <f ca="1">IFERROR(__xludf.DUMMYFUNCTION("""COMPUTED_VALUE"""),"")</f>
        <v/>
      </c>
      <c r="D152" s="180" t="str">
        <f ca="1">IFERROR(__xludf.DUMMYFUNCTION("""COMPUTED_VALUE"""),"")</f>
        <v/>
      </c>
      <c r="E152" s="180" t="str">
        <f ca="1">IFERROR(__xludf.DUMMYFUNCTION("""COMPUTED_VALUE"""),"")</f>
        <v/>
      </c>
      <c r="F152" s="180" t="str">
        <f ca="1">IFERROR(__xludf.DUMMYFUNCTION("""COMPUTED_VALUE"""),"")</f>
        <v/>
      </c>
      <c r="G152" s="180" t="str">
        <f ca="1">IFERROR(__xludf.DUMMYFUNCTION("""COMPUTED_VALUE"""),"")</f>
        <v/>
      </c>
      <c r="H152" s="180" t="str">
        <f ca="1">IFERROR(__xludf.DUMMYFUNCTION("""COMPUTED_VALUE"""),"")</f>
        <v/>
      </c>
      <c r="I152" s="180" t="str">
        <f ca="1">IFERROR(__xludf.DUMMYFUNCTION("""COMPUTED_VALUE"""),"")</f>
        <v/>
      </c>
      <c r="J152" s="180" t="str">
        <f ca="1">IFERROR(__xludf.DUMMYFUNCTION("""COMPUTED_VALUE"""),"")</f>
        <v/>
      </c>
      <c r="N152" s="128"/>
    </row>
    <row r="153" spans="1:14">
      <c r="A153" s="180" t="str">
        <f ca="1">IFERROR(__xludf.DUMMYFUNCTION("""COMPUTED_VALUE"""),"")</f>
        <v/>
      </c>
      <c r="B153" s="180" t="str">
        <f ca="1">IFERROR(__xludf.DUMMYFUNCTION("""COMPUTED_VALUE"""),"")</f>
        <v/>
      </c>
      <c r="C153" s="180" t="str">
        <f ca="1">IFERROR(__xludf.DUMMYFUNCTION("""COMPUTED_VALUE"""),"")</f>
        <v/>
      </c>
      <c r="D153" s="180" t="str">
        <f ca="1">IFERROR(__xludf.DUMMYFUNCTION("""COMPUTED_VALUE"""),"")</f>
        <v/>
      </c>
      <c r="E153" s="180" t="str">
        <f ca="1">IFERROR(__xludf.DUMMYFUNCTION("""COMPUTED_VALUE"""),"")</f>
        <v/>
      </c>
      <c r="F153" s="180" t="str">
        <f ca="1">IFERROR(__xludf.DUMMYFUNCTION("""COMPUTED_VALUE"""),"")</f>
        <v/>
      </c>
      <c r="G153" s="180" t="str">
        <f ca="1">IFERROR(__xludf.DUMMYFUNCTION("""COMPUTED_VALUE"""),"")</f>
        <v/>
      </c>
      <c r="H153" s="180" t="str">
        <f ca="1">IFERROR(__xludf.DUMMYFUNCTION("""COMPUTED_VALUE"""),"")</f>
        <v/>
      </c>
      <c r="I153" s="180" t="str">
        <f ca="1">IFERROR(__xludf.DUMMYFUNCTION("""COMPUTED_VALUE"""),"")</f>
        <v/>
      </c>
      <c r="J153" s="180" t="str">
        <f ca="1">IFERROR(__xludf.DUMMYFUNCTION("""COMPUTED_VALUE"""),"")</f>
        <v/>
      </c>
      <c r="N153"/>
    </row>
    <row r="154" spans="1:14">
      <c r="A154" s="180" t="str">
        <f ca="1">IFERROR(__xludf.DUMMYFUNCTION("""COMPUTED_VALUE"""),"")</f>
        <v/>
      </c>
      <c r="B154" s="180" t="str">
        <f ca="1">IFERROR(__xludf.DUMMYFUNCTION("""COMPUTED_VALUE"""),"")</f>
        <v/>
      </c>
      <c r="C154" s="180" t="str">
        <f ca="1">IFERROR(__xludf.DUMMYFUNCTION("""COMPUTED_VALUE"""),"")</f>
        <v/>
      </c>
      <c r="D154" s="180" t="str">
        <f ca="1">IFERROR(__xludf.DUMMYFUNCTION("""COMPUTED_VALUE"""),"")</f>
        <v/>
      </c>
      <c r="E154" s="180" t="str">
        <f ca="1">IFERROR(__xludf.DUMMYFUNCTION("""COMPUTED_VALUE"""),"")</f>
        <v/>
      </c>
      <c r="F154" s="180" t="str">
        <f ca="1">IFERROR(__xludf.DUMMYFUNCTION("""COMPUTED_VALUE"""),"")</f>
        <v/>
      </c>
      <c r="G154" s="180" t="str">
        <f ca="1">IFERROR(__xludf.DUMMYFUNCTION("""COMPUTED_VALUE"""),"")</f>
        <v/>
      </c>
      <c r="H154" s="180" t="str">
        <f ca="1">IFERROR(__xludf.DUMMYFUNCTION("""COMPUTED_VALUE"""),"")</f>
        <v/>
      </c>
      <c r="I154" s="180" t="str">
        <f ca="1">IFERROR(__xludf.DUMMYFUNCTION("""COMPUTED_VALUE"""),"")</f>
        <v/>
      </c>
      <c r="J154" s="180" t="str">
        <f ca="1">IFERROR(__xludf.DUMMYFUNCTION("""COMPUTED_VALUE"""),"")</f>
        <v/>
      </c>
      <c r="N154" s="159"/>
    </row>
    <row r="155" spans="1:14">
      <c r="A155" s="180" t="str">
        <f ca="1">IFERROR(__xludf.DUMMYFUNCTION("""COMPUTED_VALUE"""),"")</f>
        <v/>
      </c>
      <c r="B155" s="180" t="str">
        <f ca="1">IFERROR(__xludf.DUMMYFUNCTION("""COMPUTED_VALUE"""),"")</f>
        <v/>
      </c>
      <c r="C155" s="180" t="str">
        <f ca="1">IFERROR(__xludf.DUMMYFUNCTION("""COMPUTED_VALUE"""),"")</f>
        <v/>
      </c>
      <c r="D155" s="180" t="str">
        <f ca="1">IFERROR(__xludf.DUMMYFUNCTION("""COMPUTED_VALUE"""),"")</f>
        <v/>
      </c>
      <c r="E155" s="180" t="str">
        <f ca="1">IFERROR(__xludf.DUMMYFUNCTION("""COMPUTED_VALUE"""),"")</f>
        <v/>
      </c>
      <c r="F155" s="180" t="str">
        <f ca="1">IFERROR(__xludf.DUMMYFUNCTION("""COMPUTED_VALUE"""),"")</f>
        <v/>
      </c>
      <c r="G155" s="180" t="str">
        <f ca="1">IFERROR(__xludf.DUMMYFUNCTION("""COMPUTED_VALUE"""),"")</f>
        <v/>
      </c>
      <c r="H155" s="180" t="str">
        <f ca="1">IFERROR(__xludf.DUMMYFUNCTION("""COMPUTED_VALUE"""),"")</f>
        <v/>
      </c>
      <c r="I155" s="180" t="str">
        <f ca="1">IFERROR(__xludf.DUMMYFUNCTION("""COMPUTED_VALUE"""),"")</f>
        <v/>
      </c>
      <c r="J155" s="180" t="str">
        <f ca="1">IFERROR(__xludf.DUMMYFUNCTION("""COMPUTED_VALUE"""),"")</f>
        <v/>
      </c>
      <c r="N155" s="134"/>
    </row>
    <row r="156" spans="1:14">
      <c r="A156" s="180" t="str">
        <f ca="1">IFERROR(__xludf.DUMMYFUNCTION("""COMPUTED_VALUE"""),"")</f>
        <v/>
      </c>
      <c r="B156" s="180" t="str">
        <f ca="1">IFERROR(__xludf.DUMMYFUNCTION("""COMPUTED_VALUE"""),"")</f>
        <v/>
      </c>
      <c r="C156" s="180" t="str">
        <f ca="1">IFERROR(__xludf.DUMMYFUNCTION("""COMPUTED_VALUE"""),"")</f>
        <v/>
      </c>
      <c r="D156" s="180" t="str">
        <f ca="1">IFERROR(__xludf.DUMMYFUNCTION("""COMPUTED_VALUE"""),"")</f>
        <v/>
      </c>
      <c r="E156" s="180" t="str">
        <f ca="1">IFERROR(__xludf.DUMMYFUNCTION("""COMPUTED_VALUE"""),"")</f>
        <v/>
      </c>
      <c r="F156" s="180" t="str">
        <f ca="1">IFERROR(__xludf.DUMMYFUNCTION("""COMPUTED_VALUE"""),"")</f>
        <v/>
      </c>
      <c r="G156" s="180" t="str">
        <f ca="1">IFERROR(__xludf.DUMMYFUNCTION("""COMPUTED_VALUE"""),"")</f>
        <v/>
      </c>
      <c r="H156" s="180" t="str">
        <f ca="1">IFERROR(__xludf.DUMMYFUNCTION("""COMPUTED_VALUE"""),"")</f>
        <v/>
      </c>
      <c r="I156" s="180" t="str">
        <f ca="1">IFERROR(__xludf.DUMMYFUNCTION("""COMPUTED_VALUE"""),"")</f>
        <v/>
      </c>
      <c r="J156" s="180" t="str">
        <f ca="1">IFERROR(__xludf.DUMMYFUNCTION("""COMPUTED_VALUE"""),"")</f>
        <v/>
      </c>
    </row>
    <row r="157" spans="1:14">
      <c r="A157" s="180" t="str">
        <f ca="1">IFERROR(__xludf.DUMMYFUNCTION("""COMPUTED_VALUE"""),"")</f>
        <v/>
      </c>
      <c r="B157" s="180" t="str">
        <f ca="1">IFERROR(__xludf.DUMMYFUNCTION("""COMPUTED_VALUE"""),"")</f>
        <v/>
      </c>
      <c r="C157" s="180" t="str">
        <f ca="1">IFERROR(__xludf.DUMMYFUNCTION("""COMPUTED_VALUE"""),"")</f>
        <v/>
      </c>
      <c r="D157" s="180" t="str">
        <f ca="1">IFERROR(__xludf.DUMMYFUNCTION("""COMPUTED_VALUE"""),"")</f>
        <v/>
      </c>
      <c r="E157" s="180" t="str">
        <f ca="1">IFERROR(__xludf.DUMMYFUNCTION("""COMPUTED_VALUE"""),"")</f>
        <v/>
      </c>
      <c r="F157" s="180" t="str">
        <f ca="1">IFERROR(__xludf.DUMMYFUNCTION("""COMPUTED_VALUE"""),"")</f>
        <v/>
      </c>
      <c r="G157" s="180" t="str">
        <f ca="1">IFERROR(__xludf.DUMMYFUNCTION("""COMPUTED_VALUE"""),"")</f>
        <v/>
      </c>
      <c r="H157" s="180" t="str">
        <f ca="1">IFERROR(__xludf.DUMMYFUNCTION("""COMPUTED_VALUE"""),"")</f>
        <v/>
      </c>
      <c r="I157" s="180" t="str">
        <f ca="1">IFERROR(__xludf.DUMMYFUNCTION("""COMPUTED_VALUE"""),"")</f>
        <v/>
      </c>
      <c r="J157" s="180" t="str">
        <f ca="1">IFERROR(__xludf.DUMMYFUNCTION("""COMPUTED_VALUE"""),"")</f>
        <v/>
      </c>
    </row>
    <row r="158" spans="1:14">
      <c r="A158" s="180" t="str">
        <f ca="1">IFERROR(__xludf.DUMMYFUNCTION("""COMPUTED_VALUE"""),"")</f>
        <v/>
      </c>
      <c r="B158" s="180" t="str">
        <f ca="1">IFERROR(__xludf.DUMMYFUNCTION("""COMPUTED_VALUE"""),"")</f>
        <v/>
      </c>
      <c r="C158" s="180" t="str">
        <f ca="1">IFERROR(__xludf.DUMMYFUNCTION("""COMPUTED_VALUE"""),"")</f>
        <v/>
      </c>
      <c r="D158" s="180" t="str">
        <f ca="1">IFERROR(__xludf.DUMMYFUNCTION("""COMPUTED_VALUE"""),"")</f>
        <v/>
      </c>
      <c r="E158" s="180" t="str">
        <f ca="1">IFERROR(__xludf.DUMMYFUNCTION("""COMPUTED_VALUE"""),"")</f>
        <v/>
      </c>
      <c r="F158" s="180" t="str">
        <f ca="1">IFERROR(__xludf.DUMMYFUNCTION("""COMPUTED_VALUE"""),"")</f>
        <v/>
      </c>
      <c r="G158" s="180" t="str">
        <f ca="1">IFERROR(__xludf.DUMMYFUNCTION("""COMPUTED_VALUE"""),"")</f>
        <v/>
      </c>
      <c r="H158" s="180" t="str">
        <f ca="1">IFERROR(__xludf.DUMMYFUNCTION("""COMPUTED_VALUE"""),"")</f>
        <v/>
      </c>
      <c r="I158" s="180" t="str">
        <f ca="1">IFERROR(__xludf.DUMMYFUNCTION("""COMPUTED_VALUE"""),"")</f>
        <v/>
      </c>
      <c r="J158" s="180" t="str">
        <f ca="1">IFERROR(__xludf.DUMMYFUNCTION("""COMPUTED_VALUE"""),"")</f>
        <v/>
      </c>
    </row>
    <row r="159" spans="1:14">
      <c r="A159" s="180" t="str">
        <f ca="1">IFERROR(__xludf.DUMMYFUNCTION("""COMPUTED_VALUE"""),"")</f>
        <v/>
      </c>
      <c r="B159" s="180" t="str">
        <f ca="1">IFERROR(__xludf.DUMMYFUNCTION("""COMPUTED_VALUE"""),"")</f>
        <v/>
      </c>
      <c r="C159" s="180" t="str">
        <f ca="1">IFERROR(__xludf.DUMMYFUNCTION("""COMPUTED_VALUE"""),"")</f>
        <v/>
      </c>
      <c r="D159" s="180" t="str">
        <f ca="1">IFERROR(__xludf.DUMMYFUNCTION("""COMPUTED_VALUE"""),"")</f>
        <v/>
      </c>
      <c r="E159" s="180" t="str">
        <f ca="1">IFERROR(__xludf.DUMMYFUNCTION("""COMPUTED_VALUE"""),"")</f>
        <v/>
      </c>
      <c r="F159" s="180" t="str">
        <f ca="1">IFERROR(__xludf.DUMMYFUNCTION("""COMPUTED_VALUE"""),"")</f>
        <v/>
      </c>
      <c r="G159" s="180" t="str">
        <f ca="1">IFERROR(__xludf.DUMMYFUNCTION("""COMPUTED_VALUE"""),"")</f>
        <v/>
      </c>
      <c r="H159" s="180" t="str">
        <f ca="1">IFERROR(__xludf.DUMMYFUNCTION("""COMPUTED_VALUE"""),"")</f>
        <v/>
      </c>
      <c r="I159" s="180" t="str">
        <f ca="1">IFERROR(__xludf.DUMMYFUNCTION("""COMPUTED_VALUE"""),"")</f>
        <v/>
      </c>
      <c r="J159" s="180" t="str">
        <f ca="1">IFERROR(__xludf.DUMMYFUNCTION("""COMPUTED_VALUE"""),"")</f>
        <v/>
      </c>
    </row>
    <row r="160" spans="1:14">
      <c r="A160" s="180" t="str">
        <f ca="1">IFERROR(__xludf.DUMMYFUNCTION("""COMPUTED_VALUE"""),"")</f>
        <v/>
      </c>
      <c r="B160" s="180" t="str">
        <f ca="1">IFERROR(__xludf.DUMMYFUNCTION("""COMPUTED_VALUE"""),"")</f>
        <v/>
      </c>
      <c r="C160" s="180" t="str">
        <f ca="1">IFERROR(__xludf.DUMMYFUNCTION("""COMPUTED_VALUE"""),"")</f>
        <v/>
      </c>
      <c r="D160" s="180" t="str">
        <f ca="1">IFERROR(__xludf.DUMMYFUNCTION("""COMPUTED_VALUE"""),"")</f>
        <v/>
      </c>
      <c r="E160" s="180" t="str">
        <f ca="1">IFERROR(__xludf.DUMMYFUNCTION("""COMPUTED_VALUE"""),"")</f>
        <v/>
      </c>
      <c r="F160" s="180" t="str">
        <f ca="1">IFERROR(__xludf.DUMMYFUNCTION("""COMPUTED_VALUE"""),"")</f>
        <v/>
      </c>
      <c r="G160" s="180" t="str">
        <f ca="1">IFERROR(__xludf.DUMMYFUNCTION("""COMPUTED_VALUE"""),"")</f>
        <v/>
      </c>
      <c r="H160" s="180" t="str">
        <f ca="1">IFERROR(__xludf.DUMMYFUNCTION("""COMPUTED_VALUE"""),"")</f>
        <v/>
      </c>
      <c r="I160" s="180" t="str">
        <f ca="1">IFERROR(__xludf.DUMMYFUNCTION("""COMPUTED_VALUE"""),"")</f>
        <v/>
      </c>
      <c r="J160" s="180" t="str">
        <f ca="1">IFERROR(__xludf.DUMMYFUNCTION("""COMPUTED_VALUE"""),"")</f>
        <v/>
      </c>
    </row>
    <row r="161" spans="1:10">
      <c r="A161" s="180" t="str">
        <f ca="1">IFERROR(__xludf.DUMMYFUNCTION("""COMPUTED_VALUE"""),"")</f>
        <v/>
      </c>
      <c r="B161" s="180" t="str">
        <f ca="1">IFERROR(__xludf.DUMMYFUNCTION("""COMPUTED_VALUE"""),"")</f>
        <v/>
      </c>
      <c r="C161" s="180" t="str">
        <f ca="1">IFERROR(__xludf.DUMMYFUNCTION("""COMPUTED_VALUE"""),"")</f>
        <v/>
      </c>
      <c r="D161" s="180" t="str">
        <f ca="1">IFERROR(__xludf.DUMMYFUNCTION("""COMPUTED_VALUE"""),"")</f>
        <v/>
      </c>
      <c r="E161" s="180" t="str">
        <f ca="1">IFERROR(__xludf.DUMMYFUNCTION("""COMPUTED_VALUE"""),"")</f>
        <v/>
      </c>
      <c r="F161" s="180" t="str">
        <f ca="1">IFERROR(__xludf.DUMMYFUNCTION("""COMPUTED_VALUE"""),"")</f>
        <v/>
      </c>
      <c r="G161" s="180" t="str">
        <f ca="1">IFERROR(__xludf.DUMMYFUNCTION("""COMPUTED_VALUE"""),"")</f>
        <v/>
      </c>
      <c r="H161" s="180" t="str">
        <f ca="1">IFERROR(__xludf.DUMMYFUNCTION("""COMPUTED_VALUE"""),"")</f>
        <v/>
      </c>
      <c r="I161" s="180" t="str">
        <f ca="1">IFERROR(__xludf.DUMMYFUNCTION("""COMPUTED_VALUE"""),"")</f>
        <v/>
      </c>
      <c r="J161" s="180" t="str">
        <f ca="1">IFERROR(__xludf.DUMMYFUNCTION("""COMPUTED_VALUE"""),"")</f>
        <v/>
      </c>
    </row>
    <row r="162" spans="1:10">
      <c r="A162" s="180" t="str">
        <f ca="1">IFERROR(__xludf.DUMMYFUNCTION("""COMPUTED_VALUE"""),"")</f>
        <v/>
      </c>
      <c r="B162" s="180" t="str">
        <f ca="1">IFERROR(__xludf.DUMMYFUNCTION("""COMPUTED_VALUE"""),"")</f>
        <v/>
      </c>
      <c r="C162" s="180" t="str">
        <f ca="1">IFERROR(__xludf.DUMMYFUNCTION("""COMPUTED_VALUE"""),"")</f>
        <v/>
      </c>
      <c r="D162" s="180" t="str">
        <f ca="1">IFERROR(__xludf.DUMMYFUNCTION("""COMPUTED_VALUE"""),"")</f>
        <v/>
      </c>
      <c r="E162" s="180" t="str">
        <f ca="1">IFERROR(__xludf.DUMMYFUNCTION("""COMPUTED_VALUE"""),"")</f>
        <v/>
      </c>
      <c r="F162" s="180" t="str">
        <f ca="1">IFERROR(__xludf.DUMMYFUNCTION("""COMPUTED_VALUE"""),"")</f>
        <v/>
      </c>
      <c r="G162" s="180" t="str">
        <f ca="1">IFERROR(__xludf.DUMMYFUNCTION("""COMPUTED_VALUE"""),"")</f>
        <v/>
      </c>
      <c r="H162" s="180" t="str">
        <f ca="1">IFERROR(__xludf.DUMMYFUNCTION("""COMPUTED_VALUE"""),"")</f>
        <v/>
      </c>
      <c r="I162" s="180" t="str">
        <f ca="1">IFERROR(__xludf.DUMMYFUNCTION("""COMPUTED_VALUE"""),"")</f>
        <v/>
      </c>
      <c r="J162" s="180" t="str">
        <f ca="1">IFERROR(__xludf.DUMMYFUNCTION("""COMPUTED_VALUE"""),"")</f>
        <v/>
      </c>
    </row>
    <row r="163" spans="1:10">
      <c r="A163" s="180" t="str">
        <f ca="1">IFERROR(__xludf.DUMMYFUNCTION("""COMPUTED_VALUE"""),"")</f>
        <v/>
      </c>
      <c r="B163" s="180" t="str">
        <f ca="1">IFERROR(__xludf.DUMMYFUNCTION("""COMPUTED_VALUE"""),"")</f>
        <v/>
      </c>
      <c r="C163" s="180" t="str">
        <f ca="1">IFERROR(__xludf.DUMMYFUNCTION("""COMPUTED_VALUE"""),"")</f>
        <v/>
      </c>
      <c r="D163" s="180" t="str">
        <f ca="1">IFERROR(__xludf.DUMMYFUNCTION("""COMPUTED_VALUE"""),"")</f>
        <v/>
      </c>
      <c r="E163" s="180" t="str">
        <f ca="1">IFERROR(__xludf.DUMMYFUNCTION("""COMPUTED_VALUE"""),"")</f>
        <v/>
      </c>
      <c r="F163" s="180" t="str">
        <f ca="1">IFERROR(__xludf.DUMMYFUNCTION("""COMPUTED_VALUE"""),"")</f>
        <v/>
      </c>
      <c r="G163" s="180" t="str">
        <f ca="1">IFERROR(__xludf.DUMMYFUNCTION("""COMPUTED_VALUE"""),"")</f>
        <v/>
      </c>
      <c r="H163" s="180" t="str">
        <f ca="1">IFERROR(__xludf.DUMMYFUNCTION("""COMPUTED_VALUE"""),"")</f>
        <v/>
      </c>
      <c r="I163" s="180" t="str">
        <f ca="1">IFERROR(__xludf.DUMMYFUNCTION("""COMPUTED_VALUE"""),"")</f>
        <v/>
      </c>
      <c r="J163" s="180" t="str">
        <f ca="1">IFERROR(__xludf.DUMMYFUNCTION("""COMPUTED_VALUE"""),"")</f>
        <v/>
      </c>
    </row>
    <row r="164" spans="1:10">
      <c r="A164" s="180" t="str">
        <f ca="1">IFERROR(__xludf.DUMMYFUNCTION("""COMPUTED_VALUE"""),"")</f>
        <v/>
      </c>
      <c r="B164" s="180" t="str">
        <f ca="1">IFERROR(__xludf.DUMMYFUNCTION("""COMPUTED_VALUE"""),"")</f>
        <v/>
      </c>
      <c r="C164" s="180" t="str">
        <f ca="1">IFERROR(__xludf.DUMMYFUNCTION("""COMPUTED_VALUE"""),"")</f>
        <v/>
      </c>
      <c r="D164" s="180" t="str">
        <f ca="1">IFERROR(__xludf.DUMMYFUNCTION("""COMPUTED_VALUE"""),"")</f>
        <v/>
      </c>
      <c r="E164" s="180" t="str">
        <f ca="1">IFERROR(__xludf.DUMMYFUNCTION("""COMPUTED_VALUE"""),"")</f>
        <v/>
      </c>
      <c r="F164" s="180" t="str">
        <f ca="1">IFERROR(__xludf.DUMMYFUNCTION("""COMPUTED_VALUE"""),"")</f>
        <v/>
      </c>
      <c r="G164" s="180" t="str">
        <f ca="1">IFERROR(__xludf.DUMMYFUNCTION("""COMPUTED_VALUE"""),"")</f>
        <v/>
      </c>
      <c r="H164" s="180" t="str">
        <f ca="1">IFERROR(__xludf.DUMMYFUNCTION("""COMPUTED_VALUE"""),"")</f>
        <v/>
      </c>
      <c r="I164" s="180" t="str">
        <f ca="1">IFERROR(__xludf.DUMMYFUNCTION("""COMPUTED_VALUE"""),"")</f>
        <v/>
      </c>
      <c r="J164" s="180" t="str">
        <f ca="1">IFERROR(__xludf.DUMMYFUNCTION("""COMPUTED_VALUE"""),"")</f>
        <v/>
      </c>
    </row>
    <row r="165" spans="1:10">
      <c r="A165" s="180" t="str">
        <f ca="1">IFERROR(__xludf.DUMMYFUNCTION("""COMPUTED_VALUE"""),"")</f>
        <v/>
      </c>
      <c r="B165" s="180" t="str">
        <f ca="1">IFERROR(__xludf.DUMMYFUNCTION("""COMPUTED_VALUE"""),"")</f>
        <v/>
      </c>
      <c r="C165" s="180" t="str">
        <f ca="1">IFERROR(__xludf.DUMMYFUNCTION("""COMPUTED_VALUE"""),"")</f>
        <v/>
      </c>
      <c r="D165" s="180" t="str">
        <f ca="1">IFERROR(__xludf.DUMMYFUNCTION("""COMPUTED_VALUE"""),"")</f>
        <v/>
      </c>
      <c r="E165" s="180" t="str">
        <f ca="1">IFERROR(__xludf.DUMMYFUNCTION("""COMPUTED_VALUE"""),"")</f>
        <v/>
      </c>
      <c r="F165" s="180" t="str">
        <f ca="1">IFERROR(__xludf.DUMMYFUNCTION("""COMPUTED_VALUE"""),"")</f>
        <v/>
      </c>
      <c r="G165" s="180" t="str">
        <f ca="1">IFERROR(__xludf.DUMMYFUNCTION("""COMPUTED_VALUE"""),"")</f>
        <v/>
      </c>
      <c r="H165" s="180" t="str">
        <f ca="1">IFERROR(__xludf.DUMMYFUNCTION("""COMPUTED_VALUE"""),"")</f>
        <v/>
      </c>
      <c r="I165" s="180" t="str">
        <f ca="1">IFERROR(__xludf.DUMMYFUNCTION("""COMPUTED_VALUE"""),"")</f>
        <v/>
      </c>
      <c r="J165" s="180" t="str">
        <f ca="1">IFERROR(__xludf.DUMMYFUNCTION("""COMPUTED_VALUE"""),"")</f>
        <v/>
      </c>
    </row>
    <row r="166" spans="1:10">
      <c r="A166" s="180" t="str">
        <f ca="1">IFERROR(__xludf.DUMMYFUNCTION("""COMPUTED_VALUE"""),"")</f>
        <v/>
      </c>
      <c r="B166" s="180" t="str">
        <f ca="1">IFERROR(__xludf.DUMMYFUNCTION("""COMPUTED_VALUE"""),"")</f>
        <v/>
      </c>
      <c r="C166" s="180" t="str">
        <f ca="1">IFERROR(__xludf.DUMMYFUNCTION("""COMPUTED_VALUE"""),"")</f>
        <v/>
      </c>
      <c r="D166" s="180" t="str">
        <f ca="1">IFERROR(__xludf.DUMMYFUNCTION("""COMPUTED_VALUE"""),"")</f>
        <v/>
      </c>
      <c r="E166" s="180" t="str">
        <f ca="1">IFERROR(__xludf.DUMMYFUNCTION("""COMPUTED_VALUE"""),"")</f>
        <v/>
      </c>
      <c r="F166" s="180" t="str">
        <f ca="1">IFERROR(__xludf.DUMMYFUNCTION("""COMPUTED_VALUE"""),"")</f>
        <v/>
      </c>
      <c r="G166" s="180" t="str">
        <f ca="1">IFERROR(__xludf.DUMMYFUNCTION("""COMPUTED_VALUE"""),"")</f>
        <v/>
      </c>
      <c r="H166" s="180" t="str">
        <f ca="1">IFERROR(__xludf.DUMMYFUNCTION("""COMPUTED_VALUE"""),"")</f>
        <v/>
      </c>
      <c r="I166" s="180" t="str">
        <f ca="1">IFERROR(__xludf.DUMMYFUNCTION("""COMPUTED_VALUE"""),"")</f>
        <v/>
      </c>
      <c r="J166" s="180" t="str">
        <f ca="1">IFERROR(__xludf.DUMMYFUNCTION("""COMPUTED_VALUE"""),"")</f>
        <v/>
      </c>
    </row>
    <row r="167" spans="1:10">
      <c r="A167" s="180" t="str">
        <f ca="1">IFERROR(__xludf.DUMMYFUNCTION("""COMPUTED_VALUE"""),"")</f>
        <v/>
      </c>
      <c r="B167" s="180" t="str">
        <f ca="1">IFERROR(__xludf.DUMMYFUNCTION("""COMPUTED_VALUE"""),"")</f>
        <v/>
      </c>
      <c r="C167" s="180" t="str">
        <f ca="1">IFERROR(__xludf.DUMMYFUNCTION("""COMPUTED_VALUE"""),"")</f>
        <v/>
      </c>
      <c r="D167" s="180" t="str">
        <f ca="1">IFERROR(__xludf.DUMMYFUNCTION("""COMPUTED_VALUE"""),"")</f>
        <v/>
      </c>
      <c r="E167" s="180" t="str">
        <f ca="1">IFERROR(__xludf.DUMMYFUNCTION("""COMPUTED_VALUE"""),"")</f>
        <v/>
      </c>
      <c r="F167" s="180" t="str">
        <f ca="1">IFERROR(__xludf.DUMMYFUNCTION("""COMPUTED_VALUE"""),"")</f>
        <v/>
      </c>
      <c r="G167" s="180" t="str">
        <f ca="1">IFERROR(__xludf.DUMMYFUNCTION("""COMPUTED_VALUE"""),"")</f>
        <v/>
      </c>
      <c r="H167" s="180" t="str">
        <f ca="1">IFERROR(__xludf.DUMMYFUNCTION("""COMPUTED_VALUE"""),"")</f>
        <v/>
      </c>
      <c r="I167" s="180" t="str">
        <f ca="1">IFERROR(__xludf.DUMMYFUNCTION("""COMPUTED_VALUE"""),"")</f>
        <v/>
      </c>
      <c r="J167" s="180" t="str">
        <f ca="1">IFERROR(__xludf.DUMMYFUNCTION("""COMPUTED_VALUE"""),"")</f>
        <v/>
      </c>
    </row>
    <row r="168" spans="1:10">
      <c r="A168" s="180" t="str">
        <f ca="1">IFERROR(__xludf.DUMMYFUNCTION("""COMPUTED_VALUE"""),"")</f>
        <v/>
      </c>
      <c r="B168" s="180" t="str">
        <f ca="1">IFERROR(__xludf.DUMMYFUNCTION("""COMPUTED_VALUE"""),"")</f>
        <v/>
      </c>
      <c r="C168" s="180" t="str">
        <f ca="1">IFERROR(__xludf.DUMMYFUNCTION("""COMPUTED_VALUE"""),"")</f>
        <v/>
      </c>
      <c r="D168" s="180" t="str">
        <f ca="1">IFERROR(__xludf.DUMMYFUNCTION("""COMPUTED_VALUE"""),"")</f>
        <v/>
      </c>
      <c r="E168" s="180" t="str">
        <f ca="1">IFERROR(__xludf.DUMMYFUNCTION("""COMPUTED_VALUE"""),"")</f>
        <v/>
      </c>
      <c r="F168" s="180" t="str">
        <f ca="1">IFERROR(__xludf.DUMMYFUNCTION("""COMPUTED_VALUE"""),"")</f>
        <v/>
      </c>
      <c r="G168" s="180" t="str">
        <f ca="1">IFERROR(__xludf.DUMMYFUNCTION("""COMPUTED_VALUE"""),"")</f>
        <v/>
      </c>
      <c r="H168" s="180" t="str">
        <f ca="1">IFERROR(__xludf.DUMMYFUNCTION("""COMPUTED_VALUE"""),"")</f>
        <v/>
      </c>
      <c r="I168" s="180" t="str">
        <f ca="1">IFERROR(__xludf.DUMMYFUNCTION("""COMPUTED_VALUE"""),"")</f>
        <v/>
      </c>
      <c r="J168" s="180" t="str">
        <f ca="1">IFERROR(__xludf.DUMMYFUNCTION("""COMPUTED_VALUE"""),"")</f>
        <v/>
      </c>
    </row>
    <row r="169" spans="1:10">
      <c r="A169" s="180" t="str">
        <f ca="1">IFERROR(__xludf.DUMMYFUNCTION("""COMPUTED_VALUE"""),"")</f>
        <v/>
      </c>
      <c r="B169" s="180" t="str">
        <f ca="1">IFERROR(__xludf.DUMMYFUNCTION("""COMPUTED_VALUE"""),"")</f>
        <v/>
      </c>
      <c r="C169" s="180" t="str">
        <f ca="1">IFERROR(__xludf.DUMMYFUNCTION("""COMPUTED_VALUE"""),"")</f>
        <v/>
      </c>
      <c r="D169" s="180" t="str">
        <f ca="1">IFERROR(__xludf.DUMMYFUNCTION("""COMPUTED_VALUE"""),"")</f>
        <v/>
      </c>
      <c r="E169" s="180" t="str">
        <f ca="1">IFERROR(__xludf.DUMMYFUNCTION("""COMPUTED_VALUE"""),"")</f>
        <v/>
      </c>
      <c r="F169" s="180" t="str">
        <f ca="1">IFERROR(__xludf.DUMMYFUNCTION("""COMPUTED_VALUE"""),"")</f>
        <v/>
      </c>
      <c r="G169" s="180" t="str">
        <f ca="1">IFERROR(__xludf.DUMMYFUNCTION("""COMPUTED_VALUE"""),"")</f>
        <v/>
      </c>
      <c r="H169" s="180" t="str">
        <f ca="1">IFERROR(__xludf.DUMMYFUNCTION("""COMPUTED_VALUE"""),"")</f>
        <v/>
      </c>
      <c r="I169" s="180" t="str">
        <f ca="1">IFERROR(__xludf.DUMMYFUNCTION("""COMPUTED_VALUE"""),"")</f>
        <v/>
      </c>
      <c r="J169" s="180" t="str">
        <f ca="1">IFERROR(__xludf.DUMMYFUNCTION("""COMPUTED_VALUE"""),"")</f>
        <v/>
      </c>
    </row>
    <row r="170" spans="1:10">
      <c r="A170" s="180" t="str">
        <f ca="1">IFERROR(__xludf.DUMMYFUNCTION("""COMPUTED_VALUE"""),"")</f>
        <v/>
      </c>
      <c r="B170" s="180" t="str">
        <f ca="1">IFERROR(__xludf.DUMMYFUNCTION("""COMPUTED_VALUE"""),"")</f>
        <v/>
      </c>
      <c r="C170" s="180" t="str">
        <f ca="1">IFERROR(__xludf.DUMMYFUNCTION("""COMPUTED_VALUE"""),"")</f>
        <v/>
      </c>
      <c r="D170" s="180" t="str">
        <f ca="1">IFERROR(__xludf.DUMMYFUNCTION("""COMPUTED_VALUE"""),"")</f>
        <v/>
      </c>
      <c r="E170" s="180" t="str">
        <f ca="1">IFERROR(__xludf.DUMMYFUNCTION("""COMPUTED_VALUE"""),"")</f>
        <v/>
      </c>
      <c r="F170" s="180" t="str">
        <f ca="1">IFERROR(__xludf.DUMMYFUNCTION("""COMPUTED_VALUE"""),"")</f>
        <v/>
      </c>
      <c r="G170" s="180" t="str">
        <f ca="1">IFERROR(__xludf.DUMMYFUNCTION("""COMPUTED_VALUE"""),"")</f>
        <v/>
      </c>
      <c r="H170" s="180" t="str">
        <f ca="1">IFERROR(__xludf.DUMMYFUNCTION("""COMPUTED_VALUE"""),"")</f>
        <v/>
      </c>
      <c r="I170" s="180" t="str">
        <f ca="1">IFERROR(__xludf.DUMMYFUNCTION("""COMPUTED_VALUE"""),"")</f>
        <v/>
      </c>
      <c r="J170" s="180" t="str">
        <f ca="1">IFERROR(__xludf.DUMMYFUNCTION("""COMPUTED_VALUE"""),"")</f>
        <v/>
      </c>
    </row>
    <row r="171" spans="1:10">
      <c r="A171" s="180" t="str">
        <f ca="1">IFERROR(__xludf.DUMMYFUNCTION("""COMPUTED_VALUE"""),"")</f>
        <v/>
      </c>
      <c r="B171" s="180" t="str">
        <f ca="1">IFERROR(__xludf.DUMMYFUNCTION("""COMPUTED_VALUE"""),"")</f>
        <v/>
      </c>
      <c r="C171" s="180" t="str">
        <f ca="1">IFERROR(__xludf.DUMMYFUNCTION("""COMPUTED_VALUE"""),"")</f>
        <v/>
      </c>
      <c r="D171" s="180" t="str">
        <f ca="1">IFERROR(__xludf.DUMMYFUNCTION("""COMPUTED_VALUE"""),"")</f>
        <v/>
      </c>
      <c r="E171" s="180" t="str">
        <f ca="1">IFERROR(__xludf.DUMMYFUNCTION("""COMPUTED_VALUE"""),"")</f>
        <v/>
      </c>
      <c r="F171" s="180" t="str">
        <f ca="1">IFERROR(__xludf.DUMMYFUNCTION("""COMPUTED_VALUE"""),"")</f>
        <v/>
      </c>
      <c r="G171" s="180" t="str">
        <f ca="1">IFERROR(__xludf.DUMMYFUNCTION("""COMPUTED_VALUE"""),"")</f>
        <v/>
      </c>
      <c r="H171" s="180" t="str">
        <f ca="1">IFERROR(__xludf.DUMMYFUNCTION("""COMPUTED_VALUE"""),"")</f>
        <v/>
      </c>
      <c r="I171" s="180" t="str">
        <f ca="1">IFERROR(__xludf.DUMMYFUNCTION("""COMPUTED_VALUE"""),"")</f>
        <v/>
      </c>
      <c r="J171" s="180" t="str">
        <f ca="1">IFERROR(__xludf.DUMMYFUNCTION("""COMPUTED_VALUE"""),"")</f>
        <v/>
      </c>
    </row>
    <row r="172" spans="1:10">
      <c r="A172" s="180" t="str">
        <f ca="1">IFERROR(__xludf.DUMMYFUNCTION("""COMPUTED_VALUE"""),"")</f>
        <v/>
      </c>
      <c r="B172" s="180" t="str">
        <f ca="1">IFERROR(__xludf.DUMMYFUNCTION("""COMPUTED_VALUE"""),"")</f>
        <v/>
      </c>
      <c r="C172" s="180" t="str">
        <f ca="1">IFERROR(__xludf.DUMMYFUNCTION("""COMPUTED_VALUE"""),"")</f>
        <v/>
      </c>
      <c r="D172" s="180" t="str">
        <f ca="1">IFERROR(__xludf.DUMMYFUNCTION("""COMPUTED_VALUE"""),"")</f>
        <v/>
      </c>
      <c r="E172" s="180" t="str">
        <f ca="1">IFERROR(__xludf.DUMMYFUNCTION("""COMPUTED_VALUE"""),"")</f>
        <v/>
      </c>
      <c r="F172" s="180" t="str">
        <f ca="1">IFERROR(__xludf.DUMMYFUNCTION("""COMPUTED_VALUE"""),"")</f>
        <v/>
      </c>
      <c r="G172" s="180" t="str">
        <f ca="1">IFERROR(__xludf.DUMMYFUNCTION("""COMPUTED_VALUE"""),"")</f>
        <v/>
      </c>
      <c r="H172" s="180" t="str">
        <f ca="1">IFERROR(__xludf.DUMMYFUNCTION("""COMPUTED_VALUE"""),"")</f>
        <v/>
      </c>
      <c r="I172" s="180" t="str">
        <f ca="1">IFERROR(__xludf.DUMMYFUNCTION("""COMPUTED_VALUE"""),"")</f>
        <v/>
      </c>
      <c r="J172" s="180" t="str">
        <f ca="1">IFERROR(__xludf.DUMMYFUNCTION("""COMPUTED_VALUE"""),"")</f>
        <v/>
      </c>
    </row>
    <row r="173" spans="1:10">
      <c r="A173" s="180" t="str">
        <f ca="1">IFERROR(__xludf.DUMMYFUNCTION("""COMPUTED_VALUE"""),"")</f>
        <v/>
      </c>
      <c r="B173" s="180" t="str">
        <f ca="1">IFERROR(__xludf.DUMMYFUNCTION("""COMPUTED_VALUE"""),"")</f>
        <v/>
      </c>
      <c r="C173" s="180" t="str">
        <f ca="1">IFERROR(__xludf.DUMMYFUNCTION("""COMPUTED_VALUE"""),"")</f>
        <v/>
      </c>
      <c r="D173" s="180" t="str">
        <f ca="1">IFERROR(__xludf.DUMMYFUNCTION("""COMPUTED_VALUE"""),"")</f>
        <v/>
      </c>
      <c r="E173" s="180" t="str">
        <f ca="1">IFERROR(__xludf.DUMMYFUNCTION("""COMPUTED_VALUE"""),"")</f>
        <v/>
      </c>
      <c r="F173" s="180" t="str">
        <f ca="1">IFERROR(__xludf.DUMMYFUNCTION("""COMPUTED_VALUE"""),"")</f>
        <v/>
      </c>
      <c r="G173" s="180" t="str">
        <f ca="1">IFERROR(__xludf.DUMMYFUNCTION("""COMPUTED_VALUE"""),"")</f>
        <v/>
      </c>
      <c r="H173" s="180" t="str">
        <f ca="1">IFERROR(__xludf.DUMMYFUNCTION("""COMPUTED_VALUE"""),"")</f>
        <v/>
      </c>
      <c r="I173" s="180" t="str">
        <f ca="1">IFERROR(__xludf.DUMMYFUNCTION("""COMPUTED_VALUE"""),"")</f>
        <v/>
      </c>
      <c r="J173" s="180" t="str">
        <f ca="1">IFERROR(__xludf.DUMMYFUNCTION("""COMPUTED_VALUE"""),"")</f>
        <v/>
      </c>
    </row>
    <row r="174" spans="1:10">
      <c r="A174" s="180" t="str">
        <f ca="1">IFERROR(__xludf.DUMMYFUNCTION("""COMPUTED_VALUE"""),"")</f>
        <v/>
      </c>
      <c r="B174" s="180" t="str">
        <f ca="1">IFERROR(__xludf.DUMMYFUNCTION("""COMPUTED_VALUE"""),"")</f>
        <v/>
      </c>
      <c r="C174" s="180" t="str">
        <f ca="1">IFERROR(__xludf.DUMMYFUNCTION("""COMPUTED_VALUE"""),"")</f>
        <v/>
      </c>
      <c r="D174" s="180" t="str">
        <f ca="1">IFERROR(__xludf.DUMMYFUNCTION("""COMPUTED_VALUE"""),"")</f>
        <v/>
      </c>
      <c r="E174" s="180" t="str">
        <f ca="1">IFERROR(__xludf.DUMMYFUNCTION("""COMPUTED_VALUE"""),"")</f>
        <v/>
      </c>
      <c r="F174" s="180" t="str">
        <f ca="1">IFERROR(__xludf.DUMMYFUNCTION("""COMPUTED_VALUE"""),"")</f>
        <v/>
      </c>
      <c r="G174" s="180" t="str">
        <f ca="1">IFERROR(__xludf.DUMMYFUNCTION("""COMPUTED_VALUE"""),"")</f>
        <v/>
      </c>
      <c r="H174" s="180" t="str">
        <f ca="1">IFERROR(__xludf.DUMMYFUNCTION("""COMPUTED_VALUE"""),"")</f>
        <v/>
      </c>
      <c r="I174" s="180" t="str">
        <f ca="1">IFERROR(__xludf.DUMMYFUNCTION("""COMPUTED_VALUE"""),"")</f>
        <v/>
      </c>
      <c r="J174" s="180" t="str">
        <f ca="1">IFERROR(__xludf.DUMMYFUNCTION("""COMPUTED_VALUE"""),"")</f>
        <v/>
      </c>
    </row>
    <row r="175" spans="1:10">
      <c r="A175" s="180" t="str">
        <f ca="1">IFERROR(__xludf.DUMMYFUNCTION("""COMPUTED_VALUE"""),"")</f>
        <v/>
      </c>
      <c r="B175" s="180" t="str">
        <f ca="1">IFERROR(__xludf.DUMMYFUNCTION("""COMPUTED_VALUE"""),"")</f>
        <v/>
      </c>
      <c r="C175" s="180" t="str">
        <f ca="1">IFERROR(__xludf.DUMMYFUNCTION("""COMPUTED_VALUE"""),"")</f>
        <v/>
      </c>
      <c r="D175" s="180" t="str">
        <f ca="1">IFERROR(__xludf.DUMMYFUNCTION("""COMPUTED_VALUE"""),"")</f>
        <v/>
      </c>
      <c r="E175" s="180" t="str">
        <f ca="1">IFERROR(__xludf.DUMMYFUNCTION("""COMPUTED_VALUE"""),"")</f>
        <v/>
      </c>
      <c r="F175" s="180" t="str">
        <f ca="1">IFERROR(__xludf.DUMMYFUNCTION("""COMPUTED_VALUE"""),"")</f>
        <v/>
      </c>
      <c r="G175" s="180" t="str">
        <f ca="1">IFERROR(__xludf.DUMMYFUNCTION("""COMPUTED_VALUE"""),"")</f>
        <v/>
      </c>
      <c r="H175" s="180" t="str">
        <f ca="1">IFERROR(__xludf.DUMMYFUNCTION("""COMPUTED_VALUE"""),"")</f>
        <v/>
      </c>
      <c r="I175" s="180" t="str">
        <f ca="1">IFERROR(__xludf.DUMMYFUNCTION("""COMPUTED_VALUE"""),"")</f>
        <v/>
      </c>
      <c r="J175" s="180" t="str">
        <f ca="1">IFERROR(__xludf.DUMMYFUNCTION("""COMPUTED_VALUE"""),"")</f>
        <v/>
      </c>
    </row>
    <row r="176" spans="1:10">
      <c r="A176" s="180" t="str">
        <f ca="1">IFERROR(__xludf.DUMMYFUNCTION("""COMPUTED_VALUE"""),"")</f>
        <v/>
      </c>
      <c r="B176" s="180" t="str">
        <f ca="1">IFERROR(__xludf.DUMMYFUNCTION("""COMPUTED_VALUE"""),"")</f>
        <v/>
      </c>
      <c r="C176" s="180" t="str">
        <f ca="1">IFERROR(__xludf.DUMMYFUNCTION("""COMPUTED_VALUE"""),"")</f>
        <v/>
      </c>
      <c r="D176" s="180" t="str">
        <f ca="1">IFERROR(__xludf.DUMMYFUNCTION("""COMPUTED_VALUE"""),"")</f>
        <v/>
      </c>
      <c r="E176" s="180" t="str">
        <f ca="1">IFERROR(__xludf.DUMMYFUNCTION("""COMPUTED_VALUE"""),"")</f>
        <v/>
      </c>
      <c r="F176" s="180" t="str">
        <f ca="1">IFERROR(__xludf.DUMMYFUNCTION("""COMPUTED_VALUE"""),"")</f>
        <v/>
      </c>
      <c r="G176" s="180" t="str">
        <f ca="1">IFERROR(__xludf.DUMMYFUNCTION("""COMPUTED_VALUE"""),"")</f>
        <v/>
      </c>
      <c r="H176" s="180" t="str">
        <f ca="1">IFERROR(__xludf.DUMMYFUNCTION("""COMPUTED_VALUE"""),"")</f>
        <v/>
      </c>
      <c r="I176" s="180" t="str">
        <f ca="1">IFERROR(__xludf.DUMMYFUNCTION("""COMPUTED_VALUE"""),"")</f>
        <v/>
      </c>
      <c r="J176" s="180" t="str">
        <f ca="1">IFERROR(__xludf.DUMMYFUNCTION("""COMPUTED_VALUE"""),"")</f>
        <v/>
      </c>
    </row>
    <row r="177" spans="1:10">
      <c r="A177" s="180" t="str">
        <f ca="1">IFERROR(__xludf.DUMMYFUNCTION("""COMPUTED_VALUE"""),"")</f>
        <v/>
      </c>
      <c r="B177" s="180" t="str">
        <f ca="1">IFERROR(__xludf.DUMMYFUNCTION("""COMPUTED_VALUE"""),"")</f>
        <v/>
      </c>
      <c r="C177" s="180" t="str">
        <f ca="1">IFERROR(__xludf.DUMMYFUNCTION("""COMPUTED_VALUE"""),"")</f>
        <v/>
      </c>
      <c r="D177" s="180" t="str">
        <f ca="1">IFERROR(__xludf.DUMMYFUNCTION("""COMPUTED_VALUE"""),"")</f>
        <v/>
      </c>
      <c r="E177" s="180" t="str">
        <f ca="1">IFERROR(__xludf.DUMMYFUNCTION("""COMPUTED_VALUE"""),"")</f>
        <v/>
      </c>
      <c r="F177" s="180" t="str">
        <f ca="1">IFERROR(__xludf.DUMMYFUNCTION("""COMPUTED_VALUE"""),"")</f>
        <v/>
      </c>
      <c r="G177" s="180" t="str">
        <f ca="1">IFERROR(__xludf.DUMMYFUNCTION("""COMPUTED_VALUE"""),"")</f>
        <v/>
      </c>
      <c r="H177" s="180" t="str">
        <f ca="1">IFERROR(__xludf.DUMMYFUNCTION("""COMPUTED_VALUE"""),"")</f>
        <v/>
      </c>
      <c r="I177" s="180" t="str">
        <f ca="1">IFERROR(__xludf.DUMMYFUNCTION("""COMPUTED_VALUE"""),"")</f>
        <v/>
      </c>
      <c r="J177" s="180" t="str">
        <f ca="1">IFERROR(__xludf.DUMMYFUNCTION("""COMPUTED_VALUE"""),"")</f>
        <v/>
      </c>
    </row>
    <row r="178" spans="1:10">
      <c r="A178" s="180" t="str">
        <f ca="1">IFERROR(__xludf.DUMMYFUNCTION("""COMPUTED_VALUE"""),"")</f>
        <v/>
      </c>
      <c r="B178" s="180" t="str">
        <f ca="1">IFERROR(__xludf.DUMMYFUNCTION("""COMPUTED_VALUE"""),"")</f>
        <v/>
      </c>
      <c r="C178" s="180" t="str">
        <f ca="1">IFERROR(__xludf.DUMMYFUNCTION("""COMPUTED_VALUE"""),"")</f>
        <v/>
      </c>
      <c r="D178" s="180" t="str">
        <f ca="1">IFERROR(__xludf.DUMMYFUNCTION("""COMPUTED_VALUE"""),"")</f>
        <v/>
      </c>
      <c r="E178" s="180" t="str">
        <f ca="1">IFERROR(__xludf.DUMMYFUNCTION("""COMPUTED_VALUE"""),"")</f>
        <v/>
      </c>
      <c r="F178" s="180" t="str">
        <f ca="1">IFERROR(__xludf.DUMMYFUNCTION("""COMPUTED_VALUE"""),"")</f>
        <v/>
      </c>
      <c r="G178" s="180" t="str">
        <f ca="1">IFERROR(__xludf.DUMMYFUNCTION("""COMPUTED_VALUE"""),"")</f>
        <v/>
      </c>
      <c r="H178" s="180" t="str">
        <f ca="1">IFERROR(__xludf.DUMMYFUNCTION("""COMPUTED_VALUE"""),"")</f>
        <v/>
      </c>
      <c r="I178" s="180" t="str">
        <f ca="1">IFERROR(__xludf.DUMMYFUNCTION("""COMPUTED_VALUE"""),"")</f>
        <v/>
      </c>
      <c r="J178" s="180" t="str">
        <f ca="1">IFERROR(__xludf.DUMMYFUNCTION("""COMPUTED_VALUE"""),"")</f>
        <v/>
      </c>
    </row>
    <row r="179" spans="1:10">
      <c r="A179" s="180" t="str">
        <f ca="1">IFERROR(__xludf.DUMMYFUNCTION("""COMPUTED_VALUE"""),"")</f>
        <v/>
      </c>
      <c r="B179" s="180" t="str">
        <f ca="1">IFERROR(__xludf.DUMMYFUNCTION("""COMPUTED_VALUE"""),"")</f>
        <v/>
      </c>
      <c r="C179" s="180" t="str">
        <f ca="1">IFERROR(__xludf.DUMMYFUNCTION("""COMPUTED_VALUE"""),"")</f>
        <v/>
      </c>
      <c r="D179" s="180" t="str">
        <f ca="1">IFERROR(__xludf.DUMMYFUNCTION("""COMPUTED_VALUE"""),"")</f>
        <v/>
      </c>
      <c r="E179" s="180" t="str">
        <f ca="1">IFERROR(__xludf.DUMMYFUNCTION("""COMPUTED_VALUE"""),"")</f>
        <v/>
      </c>
      <c r="F179" s="180" t="str">
        <f ca="1">IFERROR(__xludf.DUMMYFUNCTION("""COMPUTED_VALUE"""),"")</f>
        <v/>
      </c>
      <c r="G179" s="180" t="str">
        <f ca="1">IFERROR(__xludf.DUMMYFUNCTION("""COMPUTED_VALUE"""),"")</f>
        <v/>
      </c>
      <c r="H179" s="180" t="str">
        <f ca="1">IFERROR(__xludf.DUMMYFUNCTION("""COMPUTED_VALUE"""),"")</f>
        <v/>
      </c>
      <c r="I179" s="180" t="str">
        <f ca="1">IFERROR(__xludf.DUMMYFUNCTION("""COMPUTED_VALUE"""),"")</f>
        <v/>
      </c>
      <c r="J179" s="180" t="str">
        <f ca="1">IFERROR(__xludf.DUMMYFUNCTION("""COMPUTED_VALUE"""),"")</f>
        <v/>
      </c>
    </row>
    <row r="180" spans="1:10">
      <c r="A180" s="180" t="str">
        <f ca="1">IFERROR(__xludf.DUMMYFUNCTION("""COMPUTED_VALUE"""),"")</f>
        <v/>
      </c>
      <c r="B180" s="180" t="str">
        <f ca="1">IFERROR(__xludf.DUMMYFUNCTION("""COMPUTED_VALUE"""),"")</f>
        <v/>
      </c>
      <c r="C180" s="180" t="str">
        <f ca="1">IFERROR(__xludf.DUMMYFUNCTION("""COMPUTED_VALUE"""),"")</f>
        <v/>
      </c>
      <c r="D180" s="180" t="str">
        <f ca="1">IFERROR(__xludf.DUMMYFUNCTION("""COMPUTED_VALUE"""),"")</f>
        <v/>
      </c>
      <c r="E180" s="180" t="str">
        <f ca="1">IFERROR(__xludf.DUMMYFUNCTION("""COMPUTED_VALUE"""),"")</f>
        <v/>
      </c>
      <c r="F180" s="180" t="str">
        <f ca="1">IFERROR(__xludf.DUMMYFUNCTION("""COMPUTED_VALUE"""),"")</f>
        <v/>
      </c>
      <c r="G180" s="180" t="str">
        <f ca="1">IFERROR(__xludf.DUMMYFUNCTION("""COMPUTED_VALUE"""),"")</f>
        <v/>
      </c>
      <c r="H180" s="180" t="str">
        <f ca="1">IFERROR(__xludf.DUMMYFUNCTION("""COMPUTED_VALUE"""),"")</f>
        <v/>
      </c>
      <c r="I180" s="180" t="str">
        <f ca="1">IFERROR(__xludf.DUMMYFUNCTION("""COMPUTED_VALUE"""),"")</f>
        <v/>
      </c>
      <c r="J180" s="180" t="str">
        <f ca="1">IFERROR(__xludf.DUMMYFUNCTION("""COMPUTED_VALUE"""),"")</f>
        <v/>
      </c>
    </row>
    <row r="181" spans="1:10">
      <c r="A181" s="180" t="str">
        <f ca="1">IFERROR(__xludf.DUMMYFUNCTION("""COMPUTED_VALUE"""),"")</f>
        <v/>
      </c>
      <c r="B181" s="180" t="str">
        <f ca="1">IFERROR(__xludf.DUMMYFUNCTION("""COMPUTED_VALUE"""),"")</f>
        <v/>
      </c>
      <c r="C181" s="180" t="str">
        <f ca="1">IFERROR(__xludf.DUMMYFUNCTION("""COMPUTED_VALUE"""),"")</f>
        <v/>
      </c>
      <c r="D181" s="180" t="str">
        <f ca="1">IFERROR(__xludf.DUMMYFUNCTION("""COMPUTED_VALUE"""),"")</f>
        <v/>
      </c>
      <c r="E181" s="180" t="str">
        <f ca="1">IFERROR(__xludf.DUMMYFUNCTION("""COMPUTED_VALUE"""),"")</f>
        <v/>
      </c>
      <c r="F181" s="180" t="str">
        <f ca="1">IFERROR(__xludf.DUMMYFUNCTION("""COMPUTED_VALUE"""),"")</f>
        <v/>
      </c>
      <c r="G181" s="180" t="str">
        <f ca="1">IFERROR(__xludf.DUMMYFUNCTION("""COMPUTED_VALUE"""),"")</f>
        <v/>
      </c>
      <c r="H181" s="180" t="str">
        <f ca="1">IFERROR(__xludf.DUMMYFUNCTION("""COMPUTED_VALUE"""),"")</f>
        <v/>
      </c>
      <c r="I181" s="180" t="str">
        <f ca="1">IFERROR(__xludf.DUMMYFUNCTION("""COMPUTED_VALUE"""),"")</f>
        <v/>
      </c>
      <c r="J181" s="180" t="str">
        <f ca="1">IFERROR(__xludf.DUMMYFUNCTION("""COMPUTED_VALUE"""),"")</f>
        <v/>
      </c>
    </row>
    <row r="182" spans="1:10">
      <c r="A182" s="180" t="str">
        <f ca="1">IFERROR(__xludf.DUMMYFUNCTION("""COMPUTED_VALUE"""),"")</f>
        <v/>
      </c>
      <c r="B182" s="180" t="str">
        <f ca="1">IFERROR(__xludf.DUMMYFUNCTION("""COMPUTED_VALUE"""),"")</f>
        <v/>
      </c>
      <c r="C182" s="180" t="str">
        <f ca="1">IFERROR(__xludf.DUMMYFUNCTION("""COMPUTED_VALUE"""),"")</f>
        <v/>
      </c>
      <c r="D182" s="180" t="str">
        <f ca="1">IFERROR(__xludf.DUMMYFUNCTION("""COMPUTED_VALUE"""),"")</f>
        <v/>
      </c>
      <c r="E182" s="180" t="str">
        <f ca="1">IFERROR(__xludf.DUMMYFUNCTION("""COMPUTED_VALUE"""),"")</f>
        <v/>
      </c>
      <c r="F182" s="180" t="str">
        <f ca="1">IFERROR(__xludf.DUMMYFUNCTION("""COMPUTED_VALUE"""),"")</f>
        <v/>
      </c>
      <c r="G182" s="180" t="str">
        <f ca="1">IFERROR(__xludf.DUMMYFUNCTION("""COMPUTED_VALUE"""),"")</f>
        <v/>
      </c>
      <c r="H182" s="180" t="str">
        <f ca="1">IFERROR(__xludf.DUMMYFUNCTION("""COMPUTED_VALUE"""),"")</f>
        <v/>
      </c>
      <c r="I182" s="180" t="str">
        <f ca="1">IFERROR(__xludf.DUMMYFUNCTION("""COMPUTED_VALUE"""),"")</f>
        <v/>
      </c>
      <c r="J182" s="180" t="str">
        <f ca="1">IFERROR(__xludf.DUMMYFUNCTION("""COMPUTED_VALUE"""),"")</f>
        <v/>
      </c>
    </row>
    <row r="183" spans="1:10">
      <c r="A183" s="180" t="str">
        <f ca="1">IFERROR(__xludf.DUMMYFUNCTION("""COMPUTED_VALUE"""),"")</f>
        <v/>
      </c>
      <c r="B183" s="180" t="str">
        <f ca="1">IFERROR(__xludf.DUMMYFUNCTION("""COMPUTED_VALUE"""),"")</f>
        <v/>
      </c>
      <c r="C183" s="180" t="str">
        <f ca="1">IFERROR(__xludf.DUMMYFUNCTION("""COMPUTED_VALUE"""),"")</f>
        <v/>
      </c>
      <c r="D183" s="180" t="str">
        <f ca="1">IFERROR(__xludf.DUMMYFUNCTION("""COMPUTED_VALUE"""),"")</f>
        <v/>
      </c>
      <c r="E183" s="180" t="str">
        <f ca="1">IFERROR(__xludf.DUMMYFUNCTION("""COMPUTED_VALUE"""),"")</f>
        <v/>
      </c>
      <c r="F183" s="180" t="str">
        <f ca="1">IFERROR(__xludf.DUMMYFUNCTION("""COMPUTED_VALUE"""),"")</f>
        <v/>
      </c>
      <c r="G183" s="180" t="str">
        <f ca="1">IFERROR(__xludf.DUMMYFUNCTION("""COMPUTED_VALUE"""),"")</f>
        <v/>
      </c>
      <c r="H183" s="180" t="str">
        <f ca="1">IFERROR(__xludf.DUMMYFUNCTION("""COMPUTED_VALUE"""),"")</f>
        <v/>
      </c>
      <c r="I183" s="180" t="str">
        <f ca="1">IFERROR(__xludf.DUMMYFUNCTION("""COMPUTED_VALUE"""),"")</f>
        <v/>
      </c>
      <c r="J183" s="180" t="str">
        <f ca="1">IFERROR(__xludf.DUMMYFUNCTION("""COMPUTED_VALUE"""),"")</f>
        <v/>
      </c>
    </row>
    <row r="184" spans="1:10">
      <c r="A184" s="180" t="str">
        <f ca="1">IFERROR(__xludf.DUMMYFUNCTION("""COMPUTED_VALUE"""),"")</f>
        <v/>
      </c>
      <c r="B184" s="180" t="str">
        <f ca="1">IFERROR(__xludf.DUMMYFUNCTION("""COMPUTED_VALUE"""),"")</f>
        <v/>
      </c>
      <c r="C184" s="180" t="str">
        <f ca="1">IFERROR(__xludf.DUMMYFUNCTION("""COMPUTED_VALUE"""),"")</f>
        <v/>
      </c>
      <c r="D184" s="180" t="str">
        <f ca="1">IFERROR(__xludf.DUMMYFUNCTION("""COMPUTED_VALUE"""),"")</f>
        <v/>
      </c>
      <c r="E184" s="180" t="str">
        <f ca="1">IFERROR(__xludf.DUMMYFUNCTION("""COMPUTED_VALUE"""),"")</f>
        <v/>
      </c>
      <c r="F184" s="180" t="str">
        <f ca="1">IFERROR(__xludf.DUMMYFUNCTION("""COMPUTED_VALUE"""),"")</f>
        <v/>
      </c>
      <c r="G184" s="180" t="str">
        <f ca="1">IFERROR(__xludf.DUMMYFUNCTION("""COMPUTED_VALUE"""),"")</f>
        <v/>
      </c>
      <c r="H184" s="180" t="str">
        <f ca="1">IFERROR(__xludf.DUMMYFUNCTION("""COMPUTED_VALUE"""),"")</f>
        <v/>
      </c>
      <c r="I184" s="180" t="str">
        <f ca="1">IFERROR(__xludf.DUMMYFUNCTION("""COMPUTED_VALUE"""),"")</f>
        <v/>
      </c>
      <c r="J184" s="180" t="str">
        <f ca="1">IFERROR(__xludf.DUMMYFUNCTION("""COMPUTED_VALUE"""),"")</f>
        <v/>
      </c>
    </row>
    <row r="185" spans="1:10">
      <c r="A185" s="180" t="str">
        <f ca="1">IFERROR(__xludf.DUMMYFUNCTION("""COMPUTED_VALUE"""),"")</f>
        <v/>
      </c>
      <c r="B185" s="180" t="str">
        <f ca="1">IFERROR(__xludf.DUMMYFUNCTION("""COMPUTED_VALUE"""),"")</f>
        <v/>
      </c>
      <c r="C185" s="180" t="str">
        <f ca="1">IFERROR(__xludf.DUMMYFUNCTION("""COMPUTED_VALUE"""),"")</f>
        <v/>
      </c>
      <c r="D185" s="180" t="str">
        <f ca="1">IFERROR(__xludf.DUMMYFUNCTION("""COMPUTED_VALUE"""),"")</f>
        <v/>
      </c>
      <c r="E185" s="180" t="str">
        <f ca="1">IFERROR(__xludf.DUMMYFUNCTION("""COMPUTED_VALUE"""),"")</f>
        <v/>
      </c>
      <c r="F185" s="180" t="str">
        <f ca="1">IFERROR(__xludf.DUMMYFUNCTION("""COMPUTED_VALUE"""),"")</f>
        <v/>
      </c>
      <c r="G185" s="180" t="str">
        <f ca="1">IFERROR(__xludf.DUMMYFUNCTION("""COMPUTED_VALUE"""),"")</f>
        <v/>
      </c>
      <c r="H185" s="180" t="str">
        <f ca="1">IFERROR(__xludf.DUMMYFUNCTION("""COMPUTED_VALUE"""),"")</f>
        <v/>
      </c>
      <c r="I185" s="180" t="str">
        <f ca="1">IFERROR(__xludf.DUMMYFUNCTION("""COMPUTED_VALUE"""),"")</f>
        <v/>
      </c>
      <c r="J185" s="180" t="str">
        <f ca="1">IFERROR(__xludf.DUMMYFUNCTION("""COMPUTED_VALUE"""),"")</f>
        <v/>
      </c>
    </row>
    <row r="186" spans="1:10">
      <c r="A186" s="180" t="str">
        <f ca="1">IFERROR(__xludf.DUMMYFUNCTION("""COMPUTED_VALUE"""),"")</f>
        <v/>
      </c>
      <c r="B186" s="180" t="str">
        <f ca="1">IFERROR(__xludf.DUMMYFUNCTION("""COMPUTED_VALUE"""),"")</f>
        <v/>
      </c>
      <c r="C186" s="180" t="str">
        <f ca="1">IFERROR(__xludf.DUMMYFUNCTION("""COMPUTED_VALUE"""),"")</f>
        <v/>
      </c>
      <c r="D186" s="180" t="str">
        <f ca="1">IFERROR(__xludf.DUMMYFUNCTION("""COMPUTED_VALUE"""),"")</f>
        <v/>
      </c>
      <c r="E186" s="180" t="str">
        <f ca="1">IFERROR(__xludf.DUMMYFUNCTION("""COMPUTED_VALUE"""),"")</f>
        <v/>
      </c>
      <c r="F186" s="180" t="str">
        <f ca="1">IFERROR(__xludf.DUMMYFUNCTION("""COMPUTED_VALUE"""),"")</f>
        <v/>
      </c>
      <c r="G186" s="180" t="str">
        <f ca="1">IFERROR(__xludf.DUMMYFUNCTION("""COMPUTED_VALUE"""),"")</f>
        <v/>
      </c>
      <c r="H186" s="180" t="str">
        <f ca="1">IFERROR(__xludf.DUMMYFUNCTION("""COMPUTED_VALUE"""),"")</f>
        <v/>
      </c>
      <c r="I186" s="180" t="str">
        <f ca="1">IFERROR(__xludf.DUMMYFUNCTION("""COMPUTED_VALUE"""),"")</f>
        <v/>
      </c>
      <c r="J186" s="180" t="str">
        <f ca="1">IFERROR(__xludf.DUMMYFUNCTION("""COMPUTED_VALUE"""),"")</f>
        <v/>
      </c>
    </row>
    <row r="187" spans="1:10">
      <c r="A187" s="180" t="str">
        <f ca="1">IFERROR(__xludf.DUMMYFUNCTION("""COMPUTED_VALUE"""),"")</f>
        <v/>
      </c>
      <c r="B187" s="180" t="str">
        <f ca="1">IFERROR(__xludf.DUMMYFUNCTION("""COMPUTED_VALUE"""),"")</f>
        <v/>
      </c>
      <c r="C187" s="180" t="str">
        <f ca="1">IFERROR(__xludf.DUMMYFUNCTION("""COMPUTED_VALUE"""),"")</f>
        <v/>
      </c>
      <c r="D187" s="180" t="str">
        <f ca="1">IFERROR(__xludf.DUMMYFUNCTION("""COMPUTED_VALUE"""),"")</f>
        <v/>
      </c>
      <c r="E187" s="180" t="str">
        <f ca="1">IFERROR(__xludf.DUMMYFUNCTION("""COMPUTED_VALUE"""),"")</f>
        <v/>
      </c>
      <c r="F187" s="180" t="str">
        <f ca="1">IFERROR(__xludf.DUMMYFUNCTION("""COMPUTED_VALUE"""),"")</f>
        <v/>
      </c>
      <c r="G187" s="180" t="str">
        <f ca="1">IFERROR(__xludf.DUMMYFUNCTION("""COMPUTED_VALUE"""),"")</f>
        <v/>
      </c>
      <c r="H187" s="180" t="str">
        <f ca="1">IFERROR(__xludf.DUMMYFUNCTION("""COMPUTED_VALUE"""),"")</f>
        <v/>
      </c>
      <c r="I187" s="180" t="str">
        <f ca="1">IFERROR(__xludf.DUMMYFUNCTION("""COMPUTED_VALUE"""),"")</f>
        <v/>
      </c>
      <c r="J187" s="180" t="str">
        <f ca="1">IFERROR(__xludf.DUMMYFUNCTION("""COMPUTED_VALUE"""),"")</f>
        <v/>
      </c>
    </row>
    <row r="188" spans="1:10">
      <c r="A188" s="180" t="str">
        <f ca="1">IFERROR(__xludf.DUMMYFUNCTION("""COMPUTED_VALUE"""),"")</f>
        <v/>
      </c>
      <c r="B188" s="180" t="str">
        <f ca="1">IFERROR(__xludf.DUMMYFUNCTION("""COMPUTED_VALUE"""),"")</f>
        <v/>
      </c>
      <c r="C188" s="180" t="str">
        <f ca="1">IFERROR(__xludf.DUMMYFUNCTION("""COMPUTED_VALUE"""),"")</f>
        <v/>
      </c>
      <c r="D188" s="180" t="str">
        <f ca="1">IFERROR(__xludf.DUMMYFUNCTION("""COMPUTED_VALUE"""),"")</f>
        <v/>
      </c>
      <c r="E188" s="180" t="str">
        <f ca="1">IFERROR(__xludf.DUMMYFUNCTION("""COMPUTED_VALUE"""),"")</f>
        <v/>
      </c>
      <c r="F188" s="180" t="str">
        <f ca="1">IFERROR(__xludf.DUMMYFUNCTION("""COMPUTED_VALUE"""),"")</f>
        <v/>
      </c>
      <c r="G188" s="180" t="str">
        <f ca="1">IFERROR(__xludf.DUMMYFUNCTION("""COMPUTED_VALUE"""),"")</f>
        <v/>
      </c>
      <c r="H188" s="180" t="str">
        <f ca="1">IFERROR(__xludf.DUMMYFUNCTION("""COMPUTED_VALUE"""),"")</f>
        <v/>
      </c>
      <c r="I188" s="180" t="str">
        <f ca="1">IFERROR(__xludf.DUMMYFUNCTION("""COMPUTED_VALUE"""),"")</f>
        <v/>
      </c>
      <c r="J188" s="180" t="str">
        <f ca="1">IFERROR(__xludf.DUMMYFUNCTION("""COMPUTED_VALUE"""),"")</f>
        <v/>
      </c>
    </row>
    <row r="189" spans="1:10">
      <c r="A189" s="180" t="str">
        <f ca="1">IFERROR(__xludf.DUMMYFUNCTION("""COMPUTED_VALUE"""),"")</f>
        <v/>
      </c>
      <c r="B189" s="180" t="str">
        <f ca="1">IFERROR(__xludf.DUMMYFUNCTION("""COMPUTED_VALUE"""),"")</f>
        <v/>
      </c>
      <c r="C189" s="180" t="str">
        <f ca="1">IFERROR(__xludf.DUMMYFUNCTION("""COMPUTED_VALUE"""),"")</f>
        <v/>
      </c>
      <c r="D189" s="180" t="str">
        <f ca="1">IFERROR(__xludf.DUMMYFUNCTION("""COMPUTED_VALUE"""),"")</f>
        <v/>
      </c>
      <c r="E189" s="180" t="str">
        <f ca="1">IFERROR(__xludf.DUMMYFUNCTION("""COMPUTED_VALUE"""),"")</f>
        <v/>
      </c>
      <c r="F189" s="180" t="str">
        <f ca="1">IFERROR(__xludf.DUMMYFUNCTION("""COMPUTED_VALUE"""),"")</f>
        <v/>
      </c>
      <c r="G189" s="180" t="str">
        <f ca="1">IFERROR(__xludf.DUMMYFUNCTION("""COMPUTED_VALUE"""),"")</f>
        <v/>
      </c>
      <c r="H189" s="180" t="str">
        <f ca="1">IFERROR(__xludf.DUMMYFUNCTION("""COMPUTED_VALUE"""),"")</f>
        <v/>
      </c>
      <c r="I189" s="180" t="str">
        <f ca="1">IFERROR(__xludf.DUMMYFUNCTION("""COMPUTED_VALUE"""),"")</f>
        <v/>
      </c>
      <c r="J189" s="180" t="str">
        <f ca="1">IFERROR(__xludf.DUMMYFUNCTION("""COMPUTED_VALUE"""),"")</f>
        <v/>
      </c>
    </row>
    <row r="190" spans="1:10">
      <c r="A190" s="180" t="str">
        <f ca="1">IFERROR(__xludf.DUMMYFUNCTION("""COMPUTED_VALUE"""),"")</f>
        <v/>
      </c>
      <c r="B190" s="180" t="str">
        <f ca="1">IFERROR(__xludf.DUMMYFUNCTION("""COMPUTED_VALUE"""),"")</f>
        <v/>
      </c>
      <c r="C190" s="180" t="str">
        <f ca="1">IFERROR(__xludf.DUMMYFUNCTION("""COMPUTED_VALUE"""),"")</f>
        <v/>
      </c>
      <c r="D190" s="180" t="str">
        <f ca="1">IFERROR(__xludf.DUMMYFUNCTION("""COMPUTED_VALUE"""),"")</f>
        <v/>
      </c>
      <c r="E190" s="180" t="str">
        <f ca="1">IFERROR(__xludf.DUMMYFUNCTION("""COMPUTED_VALUE"""),"")</f>
        <v/>
      </c>
      <c r="F190" s="180" t="str">
        <f ca="1">IFERROR(__xludf.DUMMYFUNCTION("""COMPUTED_VALUE"""),"")</f>
        <v/>
      </c>
      <c r="G190" s="180" t="str">
        <f ca="1">IFERROR(__xludf.DUMMYFUNCTION("""COMPUTED_VALUE"""),"")</f>
        <v/>
      </c>
      <c r="H190" s="180" t="str">
        <f ca="1">IFERROR(__xludf.DUMMYFUNCTION("""COMPUTED_VALUE"""),"")</f>
        <v/>
      </c>
      <c r="I190" s="180" t="str">
        <f ca="1">IFERROR(__xludf.DUMMYFUNCTION("""COMPUTED_VALUE"""),"")</f>
        <v/>
      </c>
      <c r="J190" s="180" t="str">
        <f ca="1">IFERROR(__xludf.DUMMYFUNCTION("""COMPUTED_VALUE"""),"")</f>
        <v/>
      </c>
    </row>
    <row r="191" spans="1:10">
      <c r="A191" s="180" t="str">
        <f ca="1">IFERROR(__xludf.DUMMYFUNCTION("""COMPUTED_VALUE"""),"")</f>
        <v/>
      </c>
      <c r="B191" s="180" t="str">
        <f ca="1">IFERROR(__xludf.DUMMYFUNCTION("""COMPUTED_VALUE"""),"")</f>
        <v/>
      </c>
      <c r="C191" s="180" t="str">
        <f ca="1">IFERROR(__xludf.DUMMYFUNCTION("""COMPUTED_VALUE"""),"")</f>
        <v/>
      </c>
      <c r="D191" s="180" t="str">
        <f ca="1">IFERROR(__xludf.DUMMYFUNCTION("""COMPUTED_VALUE"""),"")</f>
        <v/>
      </c>
      <c r="E191" s="180" t="str">
        <f ca="1">IFERROR(__xludf.DUMMYFUNCTION("""COMPUTED_VALUE"""),"")</f>
        <v/>
      </c>
      <c r="F191" s="180" t="str">
        <f ca="1">IFERROR(__xludf.DUMMYFUNCTION("""COMPUTED_VALUE"""),"")</f>
        <v/>
      </c>
      <c r="G191" s="180" t="str">
        <f ca="1">IFERROR(__xludf.DUMMYFUNCTION("""COMPUTED_VALUE"""),"")</f>
        <v/>
      </c>
      <c r="H191" s="180" t="str">
        <f ca="1">IFERROR(__xludf.DUMMYFUNCTION("""COMPUTED_VALUE"""),"")</f>
        <v/>
      </c>
      <c r="I191" s="180" t="str">
        <f ca="1">IFERROR(__xludf.DUMMYFUNCTION("""COMPUTED_VALUE"""),"")</f>
        <v/>
      </c>
      <c r="J191" s="180" t="str">
        <f ca="1">IFERROR(__xludf.DUMMYFUNCTION("""COMPUTED_VALUE"""),"")</f>
        <v/>
      </c>
    </row>
    <row r="192" spans="1:10">
      <c r="A192" s="180" t="str">
        <f ca="1">IFERROR(__xludf.DUMMYFUNCTION("""COMPUTED_VALUE"""),"")</f>
        <v/>
      </c>
      <c r="B192" s="180" t="str">
        <f ca="1">IFERROR(__xludf.DUMMYFUNCTION("""COMPUTED_VALUE"""),"")</f>
        <v/>
      </c>
      <c r="C192" s="180" t="str">
        <f ca="1">IFERROR(__xludf.DUMMYFUNCTION("""COMPUTED_VALUE"""),"")</f>
        <v/>
      </c>
      <c r="D192" s="180" t="str">
        <f ca="1">IFERROR(__xludf.DUMMYFUNCTION("""COMPUTED_VALUE"""),"")</f>
        <v/>
      </c>
      <c r="E192" s="180" t="str">
        <f ca="1">IFERROR(__xludf.DUMMYFUNCTION("""COMPUTED_VALUE"""),"")</f>
        <v/>
      </c>
      <c r="F192" s="180" t="str">
        <f ca="1">IFERROR(__xludf.DUMMYFUNCTION("""COMPUTED_VALUE"""),"")</f>
        <v/>
      </c>
      <c r="G192" s="180" t="str">
        <f ca="1">IFERROR(__xludf.DUMMYFUNCTION("""COMPUTED_VALUE"""),"")</f>
        <v/>
      </c>
      <c r="H192" s="180" t="str">
        <f ca="1">IFERROR(__xludf.DUMMYFUNCTION("""COMPUTED_VALUE"""),"")</f>
        <v/>
      </c>
      <c r="I192" s="180" t="str">
        <f ca="1">IFERROR(__xludf.DUMMYFUNCTION("""COMPUTED_VALUE"""),"")</f>
        <v/>
      </c>
      <c r="J192" s="180" t="str">
        <f ca="1">IFERROR(__xludf.DUMMYFUNCTION("""COMPUTED_VALUE"""),"")</f>
        <v/>
      </c>
    </row>
    <row r="193" spans="1:10">
      <c r="A193" s="180" t="str">
        <f ca="1">IFERROR(__xludf.DUMMYFUNCTION("""COMPUTED_VALUE"""),"")</f>
        <v/>
      </c>
      <c r="B193" s="180" t="str">
        <f ca="1">IFERROR(__xludf.DUMMYFUNCTION("""COMPUTED_VALUE"""),"")</f>
        <v/>
      </c>
      <c r="C193" s="180" t="str">
        <f ca="1">IFERROR(__xludf.DUMMYFUNCTION("""COMPUTED_VALUE"""),"")</f>
        <v/>
      </c>
      <c r="D193" s="180" t="str">
        <f ca="1">IFERROR(__xludf.DUMMYFUNCTION("""COMPUTED_VALUE"""),"")</f>
        <v/>
      </c>
      <c r="E193" s="180" t="str">
        <f ca="1">IFERROR(__xludf.DUMMYFUNCTION("""COMPUTED_VALUE"""),"")</f>
        <v/>
      </c>
      <c r="F193" s="180" t="str">
        <f ca="1">IFERROR(__xludf.DUMMYFUNCTION("""COMPUTED_VALUE"""),"")</f>
        <v/>
      </c>
      <c r="G193" s="180" t="str">
        <f ca="1">IFERROR(__xludf.DUMMYFUNCTION("""COMPUTED_VALUE"""),"")</f>
        <v/>
      </c>
      <c r="H193" s="180" t="str">
        <f ca="1">IFERROR(__xludf.DUMMYFUNCTION("""COMPUTED_VALUE"""),"")</f>
        <v/>
      </c>
      <c r="I193" s="180" t="str">
        <f ca="1">IFERROR(__xludf.DUMMYFUNCTION("""COMPUTED_VALUE"""),"")</f>
        <v/>
      </c>
      <c r="J193" s="180" t="str">
        <f ca="1">IFERROR(__xludf.DUMMYFUNCTION("""COMPUTED_VALUE"""),"")</f>
        <v/>
      </c>
    </row>
    <row r="194" spans="1:10">
      <c r="A194" s="180" t="str">
        <f ca="1">IFERROR(__xludf.DUMMYFUNCTION("""COMPUTED_VALUE"""),"")</f>
        <v/>
      </c>
      <c r="B194" s="180" t="str">
        <f ca="1">IFERROR(__xludf.DUMMYFUNCTION("""COMPUTED_VALUE"""),"")</f>
        <v/>
      </c>
      <c r="C194" s="180" t="str">
        <f ca="1">IFERROR(__xludf.DUMMYFUNCTION("""COMPUTED_VALUE"""),"")</f>
        <v/>
      </c>
      <c r="D194" s="180" t="str">
        <f ca="1">IFERROR(__xludf.DUMMYFUNCTION("""COMPUTED_VALUE"""),"")</f>
        <v/>
      </c>
      <c r="E194" s="180" t="str">
        <f ca="1">IFERROR(__xludf.DUMMYFUNCTION("""COMPUTED_VALUE"""),"")</f>
        <v/>
      </c>
      <c r="F194" s="180" t="str">
        <f ca="1">IFERROR(__xludf.DUMMYFUNCTION("""COMPUTED_VALUE"""),"")</f>
        <v/>
      </c>
      <c r="G194" s="180" t="str">
        <f ca="1">IFERROR(__xludf.DUMMYFUNCTION("""COMPUTED_VALUE"""),"")</f>
        <v/>
      </c>
      <c r="H194" s="180" t="str">
        <f ca="1">IFERROR(__xludf.DUMMYFUNCTION("""COMPUTED_VALUE"""),"")</f>
        <v/>
      </c>
      <c r="I194" s="180" t="str">
        <f ca="1">IFERROR(__xludf.DUMMYFUNCTION("""COMPUTED_VALUE"""),"")</f>
        <v/>
      </c>
      <c r="J194" s="180" t="str">
        <f ca="1">IFERROR(__xludf.DUMMYFUNCTION("""COMPUTED_VALUE"""),"")</f>
        <v/>
      </c>
    </row>
    <row r="195" spans="1:10">
      <c r="A195" s="180" t="str">
        <f ca="1">IFERROR(__xludf.DUMMYFUNCTION("""COMPUTED_VALUE"""),"")</f>
        <v/>
      </c>
      <c r="B195" s="180" t="str">
        <f ca="1">IFERROR(__xludf.DUMMYFUNCTION("""COMPUTED_VALUE"""),"")</f>
        <v/>
      </c>
      <c r="C195" s="180" t="str">
        <f ca="1">IFERROR(__xludf.DUMMYFUNCTION("""COMPUTED_VALUE"""),"")</f>
        <v/>
      </c>
      <c r="D195" s="180" t="str">
        <f ca="1">IFERROR(__xludf.DUMMYFUNCTION("""COMPUTED_VALUE"""),"")</f>
        <v/>
      </c>
      <c r="E195" s="180" t="str">
        <f ca="1">IFERROR(__xludf.DUMMYFUNCTION("""COMPUTED_VALUE"""),"")</f>
        <v/>
      </c>
      <c r="F195" s="180" t="str">
        <f ca="1">IFERROR(__xludf.DUMMYFUNCTION("""COMPUTED_VALUE"""),"")</f>
        <v/>
      </c>
      <c r="G195" s="180" t="str">
        <f ca="1">IFERROR(__xludf.DUMMYFUNCTION("""COMPUTED_VALUE"""),"")</f>
        <v/>
      </c>
      <c r="H195" s="180" t="str">
        <f ca="1">IFERROR(__xludf.DUMMYFUNCTION("""COMPUTED_VALUE"""),"")</f>
        <v/>
      </c>
      <c r="I195" s="180" t="str">
        <f ca="1">IFERROR(__xludf.DUMMYFUNCTION("""COMPUTED_VALUE"""),"")</f>
        <v/>
      </c>
      <c r="J195" s="180" t="str">
        <f ca="1">IFERROR(__xludf.DUMMYFUNCTION("""COMPUTED_VALUE"""),"")</f>
        <v/>
      </c>
    </row>
    <row r="196" spans="1:10">
      <c r="A196" s="180" t="str">
        <f ca="1">IFERROR(__xludf.DUMMYFUNCTION("""COMPUTED_VALUE"""),"")</f>
        <v/>
      </c>
      <c r="B196" s="180" t="str">
        <f ca="1">IFERROR(__xludf.DUMMYFUNCTION("""COMPUTED_VALUE"""),"")</f>
        <v/>
      </c>
      <c r="C196" s="180" t="str">
        <f ca="1">IFERROR(__xludf.DUMMYFUNCTION("""COMPUTED_VALUE"""),"")</f>
        <v/>
      </c>
      <c r="D196" s="180" t="str">
        <f ca="1">IFERROR(__xludf.DUMMYFUNCTION("""COMPUTED_VALUE"""),"")</f>
        <v/>
      </c>
      <c r="E196" s="180" t="str">
        <f ca="1">IFERROR(__xludf.DUMMYFUNCTION("""COMPUTED_VALUE"""),"")</f>
        <v/>
      </c>
      <c r="F196" s="180" t="str">
        <f ca="1">IFERROR(__xludf.DUMMYFUNCTION("""COMPUTED_VALUE"""),"")</f>
        <v/>
      </c>
      <c r="G196" s="180" t="str">
        <f ca="1">IFERROR(__xludf.DUMMYFUNCTION("""COMPUTED_VALUE"""),"")</f>
        <v/>
      </c>
      <c r="H196" s="180" t="str">
        <f ca="1">IFERROR(__xludf.DUMMYFUNCTION("""COMPUTED_VALUE"""),"")</f>
        <v/>
      </c>
      <c r="I196" s="180" t="str">
        <f ca="1">IFERROR(__xludf.DUMMYFUNCTION("""COMPUTED_VALUE"""),"")</f>
        <v/>
      </c>
      <c r="J196" s="180" t="str">
        <f ca="1">IFERROR(__xludf.DUMMYFUNCTION("""COMPUTED_VALUE"""),"")</f>
        <v/>
      </c>
    </row>
    <row r="197" spans="1:10">
      <c r="A197" s="180" t="str">
        <f ca="1">IFERROR(__xludf.DUMMYFUNCTION("""COMPUTED_VALUE"""),"")</f>
        <v/>
      </c>
      <c r="B197" s="180" t="str">
        <f ca="1">IFERROR(__xludf.DUMMYFUNCTION("""COMPUTED_VALUE"""),"")</f>
        <v/>
      </c>
      <c r="C197" s="180" t="str">
        <f ca="1">IFERROR(__xludf.DUMMYFUNCTION("""COMPUTED_VALUE"""),"")</f>
        <v/>
      </c>
      <c r="D197" s="180" t="str">
        <f ca="1">IFERROR(__xludf.DUMMYFUNCTION("""COMPUTED_VALUE"""),"")</f>
        <v/>
      </c>
      <c r="E197" s="180" t="str">
        <f ca="1">IFERROR(__xludf.DUMMYFUNCTION("""COMPUTED_VALUE"""),"")</f>
        <v/>
      </c>
      <c r="F197" s="180" t="str">
        <f ca="1">IFERROR(__xludf.DUMMYFUNCTION("""COMPUTED_VALUE"""),"")</f>
        <v/>
      </c>
      <c r="G197" s="180" t="str">
        <f ca="1">IFERROR(__xludf.DUMMYFUNCTION("""COMPUTED_VALUE"""),"")</f>
        <v/>
      </c>
      <c r="H197" s="180" t="str">
        <f ca="1">IFERROR(__xludf.DUMMYFUNCTION("""COMPUTED_VALUE"""),"")</f>
        <v/>
      </c>
      <c r="I197" s="180" t="str">
        <f ca="1">IFERROR(__xludf.DUMMYFUNCTION("""COMPUTED_VALUE"""),"")</f>
        <v/>
      </c>
      <c r="J197" s="180" t="str">
        <f ca="1">IFERROR(__xludf.DUMMYFUNCTION("""COMPUTED_VALUE"""),"")</f>
        <v/>
      </c>
    </row>
    <row r="198" spans="1:10">
      <c r="A198" s="180" t="str">
        <f ca="1">IFERROR(__xludf.DUMMYFUNCTION("""COMPUTED_VALUE"""),"")</f>
        <v/>
      </c>
      <c r="B198" s="180" t="str">
        <f ca="1">IFERROR(__xludf.DUMMYFUNCTION("""COMPUTED_VALUE"""),"")</f>
        <v/>
      </c>
      <c r="C198" s="180" t="str">
        <f ca="1">IFERROR(__xludf.DUMMYFUNCTION("""COMPUTED_VALUE"""),"")</f>
        <v/>
      </c>
      <c r="D198" s="180" t="str">
        <f ca="1">IFERROR(__xludf.DUMMYFUNCTION("""COMPUTED_VALUE"""),"")</f>
        <v/>
      </c>
      <c r="E198" s="180" t="str">
        <f ca="1">IFERROR(__xludf.DUMMYFUNCTION("""COMPUTED_VALUE"""),"")</f>
        <v/>
      </c>
      <c r="F198" s="180" t="str">
        <f ca="1">IFERROR(__xludf.DUMMYFUNCTION("""COMPUTED_VALUE"""),"")</f>
        <v/>
      </c>
      <c r="G198" s="180" t="str">
        <f ca="1">IFERROR(__xludf.DUMMYFUNCTION("""COMPUTED_VALUE"""),"")</f>
        <v/>
      </c>
      <c r="H198" s="180" t="str">
        <f ca="1">IFERROR(__xludf.DUMMYFUNCTION("""COMPUTED_VALUE"""),"")</f>
        <v/>
      </c>
      <c r="I198" s="180" t="str">
        <f ca="1">IFERROR(__xludf.DUMMYFUNCTION("""COMPUTED_VALUE"""),"")</f>
        <v/>
      </c>
      <c r="J198" s="180" t="str">
        <f ca="1">IFERROR(__xludf.DUMMYFUNCTION("""COMPUTED_VALUE"""),"")</f>
        <v/>
      </c>
    </row>
    <row r="199" spans="1:10">
      <c r="A199" s="180" t="str">
        <f ca="1">IFERROR(__xludf.DUMMYFUNCTION("""COMPUTED_VALUE"""),"")</f>
        <v/>
      </c>
      <c r="B199" s="180" t="str">
        <f ca="1">IFERROR(__xludf.DUMMYFUNCTION("""COMPUTED_VALUE"""),"")</f>
        <v/>
      </c>
      <c r="C199" s="180" t="str">
        <f ca="1">IFERROR(__xludf.DUMMYFUNCTION("""COMPUTED_VALUE"""),"")</f>
        <v/>
      </c>
      <c r="D199" s="180" t="str">
        <f ca="1">IFERROR(__xludf.DUMMYFUNCTION("""COMPUTED_VALUE"""),"")</f>
        <v/>
      </c>
      <c r="E199" s="180" t="str">
        <f ca="1">IFERROR(__xludf.DUMMYFUNCTION("""COMPUTED_VALUE"""),"")</f>
        <v/>
      </c>
      <c r="F199" s="180" t="str">
        <f ca="1">IFERROR(__xludf.DUMMYFUNCTION("""COMPUTED_VALUE"""),"")</f>
        <v/>
      </c>
      <c r="G199" s="180" t="str">
        <f ca="1">IFERROR(__xludf.DUMMYFUNCTION("""COMPUTED_VALUE"""),"")</f>
        <v/>
      </c>
      <c r="H199" s="180" t="str">
        <f ca="1">IFERROR(__xludf.DUMMYFUNCTION("""COMPUTED_VALUE"""),"")</f>
        <v/>
      </c>
      <c r="I199" s="180" t="str">
        <f ca="1">IFERROR(__xludf.DUMMYFUNCTION("""COMPUTED_VALUE"""),"")</f>
        <v/>
      </c>
      <c r="J199" s="180" t="str">
        <f ca="1">IFERROR(__xludf.DUMMYFUNCTION("""COMPUTED_VALUE"""),"")</f>
        <v/>
      </c>
    </row>
    <row r="200" spans="1:10">
      <c r="A200" s="180" t="str">
        <f ca="1">IFERROR(__xludf.DUMMYFUNCTION("""COMPUTED_VALUE"""),"")</f>
        <v/>
      </c>
      <c r="B200" s="180" t="str">
        <f ca="1">IFERROR(__xludf.DUMMYFUNCTION("""COMPUTED_VALUE"""),"")</f>
        <v/>
      </c>
      <c r="C200" s="180" t="str">
        <f ca="1">IFERROR(__xludf.DUMMYFUNCTION("""COMPUTED_VALUE"""),"")</f>
        <v/>
      </c>
      <c r="D200" s="180" t="str">
        <f ca="1">IFERROR(__xludf.DUMMYFUNCTION("""COMPUTED_VALUE"""),"")</f>
        <v/>
      </c>
      <c r="E200" s="180" t="str">
        <f ca="1">IFERROR(__xludf.DUMMYFUNCTION("""COMPUTED_VALUE"""),"")</f>
        <v/>
      </c>
      <c r="F200" s="180" t="str">
        <f ca="1">IFERROR(__xludf.DUMMYFUNCTION("""COMPUTED_VALUE"""),"")</f>
        <v/>
      </c>
      <c r="G200" s="180" t="str">
        <f ca="1">IFERROR(__xludf.DUMMYFUNCTION("""COMPUTED_VALUE"""),"")</f>
        <v/>
      </c>
      <c r="H200" s="180" t="str">
        <f ca="1">IFERROR(__xludf.DUMMYFUNCTION("""COMPUTED_VALUE"""),"")</f>
        <v/>
      </c>
      <c r="I200" s="180" t="str">
        <f ca="1">IFERROR(__xludf.DUMMYFUNCTION("""COMPUTED_VALUE"""),"")</f>
        <v/>
      </c>
      <c r="J200" s="180" t="str">
        <f ca="1">IFERROR(__xludf.DUMMYFUNCTION("""COMPUTED_VALUE"""),"")</f>
        <v/>
      </c>
    </row>
    <row r="201" spans="1:10">
      <c r="A201" s="180" t="str">
        <f ca="1">IFERROR(__xludf.DUMMYFUNCTION("""COMPUTED_VALUE"""),"")</f>
        <v/>
      </c>
      <c r="B201" s="180" t="str">
        <f ca="1">IFERROR(__xludf.DUMMYFUNCTION("""COMPUTED_VALUE"""),"")</f>
        <v/>
      </c>
      <c r="C201" s="180" t="str">
        <f ca="1">IFERROR(__xludf.DUMMYFUNCTION("""COMPUTED_VALUE"""),"")</f>
        <v/>
      </c>
      <c r="D201" s="180" t="str">
        <f ca="1">IFERROR(__xludf.DUMMYFUNCTION("""COMPUTED_VALUE"""),"")</f>
        <v/>
      </c>
      <c r="E201" s="180" t="str">
        <f ca="1">IFERROR(__xludf.DUMMYFUNCTION("""COMPUTED_VALUE"""),"")</f>
        <v/>
      </c>
      <c r="F201" s="180" t="str">
        <f ca="1">IFERROR(__xludf.DUMMYFUNCTION("""COMPUTED_VALUE"""),"")</f>
        <v/>
      </c>
      <c r="G201" s="180" t="str">
        <f ca="1">IFERROR(__xludf.DUMMYFUNCTION("""COMPUTED_VALUE"""),"")</f>
        <v/>
      </c>
      <c r="H201" s="180" t="str">
        <f ca="1">IFERROR(__xludf.DUMMYFUNCTION("""COMPUTED_VALUE"""),"")</f>
        <v/>
      </c>
      <c r="I201" s="180" t="str">
        <f ca="1">IFERROR(__xludf.DUMMYFUNCTION("""COMPUTED_VALUE"""),"")</f>
        <v/>
      </c>
      <c r="J201" s="180" t="str">
        <f ca="1">IFERROR(__xludf.DUMMYFUNCTION("""COMPUTED_VALUE"""),"")</f>
        <v/>
      </c>
    </row>
    <row r="202" spans="1:10">
      <c r="A202" s="180" t="str">
        <f ca="1">IFERROR(__xludf.DUMMYFUNCTION("""COMPUTED_VALUE"""),"")</f>
        <v/>
      </c>
      <c r="B202" s="180" t="str">
        <f ca="1">IFERROR(__xludf.DUMMYFUNCTION("""COMPUTED_VALUE"""),"")</f>
        <v/>
      </c>
      <c r="C202" s="180" t="str">
        <f ca="1">IFERROR(__xludf.DUMMYFUNCTION("""COMPUTED_VALUE"""),"")</f>
        <v/>
      </c>
      <c r="D202" s="180" t="str">
        <f ca="1">IFERROR(__xludf.DUMMYFUNCTION("""COMPUTED_VALUE"""),"")</f>
        <v/>
      </c>
      <c r="E202" s="180" t="str">
        <f ca="1">IFERROR(__xludf.DUMMYFUNCTION("""COMPUTED_VALUE"""),"")</f>
        <v/>
      </c>
      <c r="F202" s="180" t="str">
        <f ca="1">IFERROR(__xludf.DUMMYFUNCTION("""COMPUTED_VALUE"""),"")</f>
        <v/>
      </c>
      <c r="G202" s="180" t="str">
        <f ca="1">IFERROR(__xludf.DUMMYFUNCTION("""COMPUTED_VALUE"""),"")</f>
        <v/>
      </c>
      <c r="H202" s="180" t="str">
        <f ca="1">IFERROR(__xludf.DUMMYFUNCTION("""COMPUTED_VALUE"""),"")</f>
        <v/>
      </c>
      <c r="I202" s="180" t="str">
        <f ca="1">IFERROR(__xludf.DUMMYFUNCTION("""COMPUTED_VALUE"""),"")</f>
        <v/>
      </c>
      <c r="J202" s="180" t="str">
        <f ca="1">IFERROR(__xludf.DUMMYFUNCTION("""COMPUTED_VALUE"""),"")</f>
        <v/>
      </c>
    </row>
    <row r="203" spans="1:10">
      <c r="A203" s="180" t="str">
        <f ca="1">IFERROR(__xludf.DUMMYFUNCTION("""COMPUTED_VALUE"""),"")</f>
        <v/>
      </c>
      <c r="B203" s="180" t="str">
        <f ca="1">IFERROR(__xludf.DUMMYFUNCTION("""COMPUTED_VALUE"""),"")</f>
        <v/>
      </c>
      <c r="C203" s="180" t="str">
        <f ca="1">IFERROR(__xludf.DUMMYFUNCTION("""COMPUTED_VALUE"""),"")</f>
        <v/>
      </c>
      <c r="D203" s="180" t="str">
        <f ca="1">IFERROR(__xludf.DUMMYFUNCTION("""COMPUTED_VALUE"""),"")</f>
        <v/>
      </c>
      <c r="E203" s="180" t="str">
        <f ca="1">IFERROR(__xludf.DUMMYFUNCTION("""COMPUTED_VALUE"""),"")</f>
        <v/>
      </c>
      <c r="F203" s="180" t="str">
        <f ca="1">IFERROR(__xludf.DUMMYFUNCTION("""COMPUTED_VALUE"""),"")</f>
        <v/>
      </c>
      <c r="G203" s="180" t="str">
        <f ca="1">IFERROR(__xludf.DUMMYFUNCTION("""COMPUTED_VALUE"""),"")</f>
        <v/>
      </c>
      <c r="H203" s="180" t="str">
        <f ca="1">IFERROR(__xludf.DUMMYFUNCTION("""COMPUTED_VALUE"""),"")</f>
        <v/>
      </c>
      <c r="I203" s="180" t="str">
        <f ca="1">IFERROR(__xludf.DUMMYFUNCTION("""COMPUTED_VALUE"""),"")</f>
        <v/>
      </c>
      <c r="J203" s="180" t="str">
        <f ca="1">IFERROR(__xludf.DUMMYFUNCTION("""COMPUTED_VALUE"""),"")</f>
        <v/>
      </c>
    </row>
    <row r="204" spans="1:10">
      <c r="A204" s="180" t="str">
        <f ca="1">IFERROR(__xludf.DUMMYFUNCTION("""COMPUTED_VALUE"""),"")</f>
        <v/>
      </c>
      <c r="B204" s="180" t="str">
        <f ca="1">IFERROR(__xludf.DUMMYFUNCTION("""COMPUTED_VALUE"""),"")</f>
        <v/>
      </c>
      <c r="C204" s="180" t="str">
        <f ca="1">IFERROR(__xludf.DUMMYFUNCTION("""COMPUTED_VALUE"""),"")</f>
        <v/>
      </c>
      <c r="D204" s="180" t="str">
        <f ca="1">IFERROR(__xludf.DUMMYFUNCTION("""COMPUTED_VALUE"""),"")</f>
        <v/>
      </c>
      <c r="E204" s="180" t="str">
        <f ca="1">IFERROR(__xludf.DUMMYFUNCTION("""COMPUTED_VALUE"""),"")</f>
        <v/>
      </c>
      <c r="F204" s="180" t="str">
        <f ca="1">IFERROR(__xludf.DUMMYFUNCTION("""COMPUTED_VALUE"""),"")</f>
        <v/>
      </c>
      <c r="G204" s="180" t="str">
        <f ca="1">IFERROR(__xludf.DUMMYFUNCTION("""COMPUTED_VALUE"""),"")</f>
        <v/>
      </c>
      <c r="H204" s="180" t="str">
        <f ca="1">IFERROR(__xludf.DUMMYFUNCTION("""COMPUTED_VALUE"""),"")</f>
        <v/>
      </c>
      <c r="I204" s="180" t="str">
        <f ca="1">IFERROR(__xludf.DUMMYFUNCTION("""COMPUTED_VALUE"""),"")</f>
        <v/>
      </c>
      <c r="J204" s="180" t="str">
        <f ca="1">IFERROR(__xludf.DUMMYFUNCTION("""COMPUTED_VALUE"""),"")</f>
        <v/>
      </c>
    </row>
    <row r="205" spans="1:10">
      <c r="A205" s="180" t="str">
        <f ca="1">IFERROR(__xludf.DUMMYFUNCTION("""COMPUTED_VALUE"""),"")</f>
        <v/>
      </c>
      <c r="B205" s="180" t="str">
        <f ca="1">IFERROR(__xludf.DUMMYFUNCTION("""COMPUTED_VALUE"""),"")</f>
        <v/>
      </c>
      <c r="C205" s="180" t="str">
        <f ca="1">IFERROR(__xludf.DUMMYFUNCTION("""COMPUTED_VALUE"""),"")</f>
        <v/>
      </c>
      <c r="D205" s="180" t="str">
        <f ca="1">IFERROR(__xludf.DUMMYFUNCTION("""COMPUTED_VALUE"""),"")</f>
        <v/>
      </c>
      <c r="E205" s="180" t="str">
        <f ca="1">IFERROR(__xludf.DUMMYFUNCTION("""COMPUTED_VALUE"""),"")</f>
        <v/>
      </c>
      <c r="F205" s="180" t="str">
        <f ca="1">IFERROR(__xludf.DUMMYFUNCTION("""COMPUTED_VALUE"""),"")</f>
        <v/>
      </c>
      <c r="G205" s="180" t="str">
        <f ca="1">IFERROR(__xludf.DUMMYFUNCTION("""COMPUTED_VALUE"""),"")</f>
        <v/>
      </c>
      <c r="H205" s="180" t="str">
        <f ca="1">IFERROR(__xludf.DUMMYFUNCTION("""COMPUTED_VALUE"""),"")</f>
        <v/>
      </c>
      <c r="I205" s="180" t="str">
        <f ca="1">IFERROR(__xludf.DUMMYFUNCTION("""COMPUTED_VALUE"""),"")</f>
        <v/>
      </c>
      <c r="J205" s="180" t="str">
        <f ca="1">IFERROR(__xludf.DUMMYFUNCTION("""COMPUTED_VALUE"""),"")</f>
        <v/>
      </c>
    </row>
    <row r="206" spans="1:10">
      <c r="A206" s="180" t="str">
        <f ca="1">IFERROR(__xludf.DUMMYFUNCTION("""COMPUTED_VALUE"""),"")</f>
        <v/>
      </c>
      <c r="B206" s="180" t="str">
        <f ca="1">IFERROR(__xludf.DUMMYFUNCTION("""COMPUTED_VALUE"""),"")</f>
        <v/>
      </c>
      <c r="C206" s="180" t="str">
        <f ca="1">IFERROR(__xludf.DUMMYFUNCTION("""COMPUTED_VALUE"""),"")</f>
        <v/>
      </c>
      <c r="D206" s="180" t="str">
        <f ca="1">IFERROR(__xludf.DUMMYFUNCTION("""COMPUTED_VALUE"""),"")</f>
        <v/>
      </c>
      <c r="E206" s="180" t="str">
        <f ca="1">IFERROR(__xludf.DUMMYFUNCTION("""COMPUTED_VALUE"""),"")</f>
        <v/>
      </c>
      <c r="F206" s="180" t="str">
        <f ca="1">IFERROR(__xludf.DUMMYFUNCTION("""COMPUTED_VALUE"""),"")</f>
        <v/>
      </c>
      <c r="G206" s="180" t="str">
        <f ca="1">IFERROR(__xludf.DUMMYFUNCTION("""COMPUTED_VALUE"""),"")</f>
        <v/>
      </c>
      <c r="H206" s="180" t="str">
        <f ca="1">IFERROR(__xludf.DUMMYFUNCTION("""COMPUTED_VALUE"""),"")</f>
        <v/>
      </c>
      <c r="I206" s="180" t="str">
        <f ca="1">IFERROR(__xludf.DUMMYFUNCTION("""COMPUTED_VALUE"""),"")</f>
        <v/>
      </c>
      <c r="J206" s="180" t="str">
        <f ca="1">IFERROR(__xludf.DUMMYFUNCTION("""COMPUTED_VALUE"""),"")</f>
        <v/>
      </c>
    </row>
    <row r="207" spans="1:10">
      <c r="A207" s="180" t="str">
        <f ca="1">IFERROR(__xludf.DUMMYFUNCTION("""COMPUTED_VALUE"""),"")</f>
        <v/>
      </c>
      <c r="B207" s="180" t="str">
        <f ca="1">IFERROR(__xludf.DUMMYFUNCTION("""COMPUTED_VALUE"""),"")</f>
        <v/>
      </c>
      <c r="C207" s="180" t="str">
        <f ca="1">IFERROR(__xludf.DUMMYFUNCTION("""COMPUTED_VALUE"""),"")</f>
        <v/>
      </c>
      <c r="D207" s="180" t="str">
        <f ca="1">IFERROR(__xludf.DUMMYFUNCTION("""COMPUTED_VALUE"""),"")</f>
        <v/>
      </c>
      <c r="E207" s="180" t="str">
        <f ca="1">IFERROR(__xludf.DUMMYFUNCTION("""COMPUTED_VALUE"""),"")</f>
        <v/>
      </c>
      <c r="F207" s="180" t="str">
        <f ca="1">IFERROR(__xludf.DUMMYFUNCTION("""COMPUTED_VALUE"""),"")</f>
        <v/>
      </c>
      <c r="G207" s="180" t="str">
        <f ca="1">IFERROR(__xludf.DUMMYFUNCTION("""COMPUTED_VALUE"""),"")</f>
        <v/>
      </c>
      <c r="H207" s="180" t="str">
        <f ca="1">IFERROR(__xludf.DUMMYFUNCTION("""COMPUTED_VALUE"""),"")</f>
        <v/>
      </c>
      <c r="I207" s="180" t="str">
        <f ca="1">IFERROR(__xludf.DUMMYFUNCTION("""COMPUTED_VALUE"""),"")</f>
        <v/>
      </c>
      <c r="J207" s="180" t="str">
        <f ca="1">IFERROR(__xludf.DUMMYFUNCTION("""COMPUTED_VALUE"""),"")</f>
        <v/>
      </c>
    </row>
    <row r="208" spans="1:10">
      <c r="A208" s="180" t="str">
        <f ca="1">IFERROR(__xludf.DUMMYFUNCTION("""COMPUTED_VALUE"""),"")</f>
        <v/>
      </c>
      <c r="B208" s="180" t="str">
        <f ca="1">IFERROR(__xludf.DUMMYFUNCTION("""COMPUTED_VALUE"""),"")</f>
        <v/>
      </c>
      <c r="C208" s="180" t="str">
        <f ca="1">IFERROR(__xludf.DUMMYFUNCTION("""COMPUTED_VALUE"""),"")</f>
        <v/>
      </c>
      <c r="D208" s="180" t="str">
        <f ca="1">IFERROR(__xludf.DUMMYFUNCTION("""COMPUTED_VALUE"""),"")</f>
        <v/>
      </c>
      <c r="E208" s="180" t="str">
        <f ca="1">IFERROR(__xludf.DUMMYFUNCTION("""COMPUTED_VALUE"""),"")</f>
        <v/>
      </c>
      <c r="F208" s="180" t="str">
        <f ca="1">IFERROR(__xludf.DUMMYFUNCTION("""COMPUTED_VALUE"""),"")</f>
        <v/>
      </c>
      <c r="G208" s="180" t="str">
        <f ca="1">IFERROR(__xludf.DUMMYFUNCTION("""COMPUTED_VALUE"""),"")</f>
        <v/>
      </c>
      <c r="H208" s="180" t="str">
        <f ca="1">IFERROR(__xludf.DUMMYFUNCTION("""COMPUTED_VALUE"""),"")</f>
        <v/>
      </c>
      <c r="I208" s="180" t="str">
        <f ca="1">IFERROR(__xludf.DUMMYFUNCTION("""COMPUTED_VALUE"""),"")</f>
        <v/>
      </c>
      <c r="J208" s="180" t="str">
        <f ca="1">IFERROR(__xludf.DUMMYFUNCTION("""COMPUTED_VALUE"""),"")</f>
        <v/>
      </c>
    </row>
    <row r="209" spans="1:10">
      <c r="A209" s="180" t="str">
        <f ca="1">IFERROR(__xludf.DUMMYFUNCTION("""COMPUTED_VALUE"""),"")</f>
        <v/>
      </c>
      <c r="B209" s="180" t="str">
        <f ca="1">IFERROR(__xludf.DUMMYFUNCTION("""COMPUTED_VALUE"""),"")</f>
        <v/>
      </c>
      <c r="C209" s="180" t="str">
        <f ca="1">IFERROR(__xludf.DUMMYFUNCTION("""COMPUTED_VALUE"""),"")</f>
        <v/>
      </c>
      <c r="D209" s="180" t="str">
        <f ca="1">IFERROR(__xludf.DUMMYFUNCTION("""COMPUTED_VALUE"""),"")</f>
        <v/>
      </c>
      <c r="E209" s="180" t="str">
        <f ca="1">IFERROR(__xludf.DUMMYFUNCTION("""COMPUTED_VALUE"""),"")</f>
        <v/>
      </c>
      <c r="F209" s="180" t="str">
        <f ca="1">IFERROR(__xludf.DUMMYFUNCTION("""COMPUTED_VALUE"""),"")</f>
        <v/>
      </c>
      <c r="G209" s="180" t="str">
        <f ca="1">IFERROR(__xludf.DUMMYFUNCTION("""COMPUTED_VALUE"""),"")</f>
        <v/>
      </c>
      <c r="H209" s="180" t="str">
        <f ca="1">IFERROR(__xludf.DUMMYFUNCTION("""COMPUTED_VALUE"""),"")</f>
        <v/>
      </c>
      <c r="I209" s="180" t="str">
        <f ca="1">IFERROR(__xludf.DUMMYFUNCTION("""COMPUTED_VALUE"""),"")</f>
        <v/>
      </c>
      <c r="J209" s="180" t="str">
        <f ca="1">IFERROR(__xludf.DUMMYFUNCTION("""COMPUTED_VALUE"""),"")</f>
        <v/>
      </c>
    </row>
    <row r="210" spans="1:10">
      <c r="A210" s="180" t="str">
        <f ca="1">IFERROR(__xludf.DUMMYFUNCTION("""COMPUTED_VALUE"""),"")</f>
        <v/>
      </c>
      <c r="B210" s="180" t="str">
        <f ca="1">IFERROR(__xludf.DUMMYFUNCTION("""COMPUTED_VALUE"""),"")</f>
        <v/>
      </c>
      <c r="C210" s="180" t="str">
        <f ca="1">IFERROR(__xludf.DUMMYFUNCTION("""COMPUTED_VALUE"""),"")</f>
        <v/>
      </c>
      <c r="D210" s="180" t="str">
        <f ca="1">IFERROR(__xludf.DUMMYFUNCTION("""COMPUTED_VALUE"""),"")</f>
        <v/>
      </c>
      <c r="E210" s="180" t="str">
        <f ca="1">IFERROR(__xludf.DUMMYFUNCTION("""COMPUTED_VALUE"""),"")</f>
        <v/>
      </c>
      <c r="F210" s="180" t="str">
        <f ca="1">IFERROR(__xludf.DUMMYFUNCTION("""COMPUTED_VALUE"""),"")</f>
        <v/>
      </c>
      <c r="G210" s="180" t="str">
        <f ca="1">IFERROR(__xludf.DUMMYFUNCTION("""COMPUTED_VALUE"""),"")</f>
        <v/>
      </c>
      <c r="H210" s="180" t="str">
        <f ca="1">IFERROR(__xludf.DUMMYFUNCTION("""COMPUTED_VALUE"""),"")</f>
        <v/>
      </c>
      <c r="I210" s="180" t="str">
        <f ca="1">IFERROR(__xludf.DUMMYFUNCTION("""COMPUTED_VALUE"""),"")</f>
        <v/>
      </c>
      <c r="J210" s="180" t="str">
        <f ca="1">IFERROR(__xludf.DUMMYFUNCTION("""COMPUTED_VALUE"""),"")</f>
        <v/>
      </c>
    </row>
    <row r="211" spans="1:10">
      <c r="A211" s="180" t="str">
        <f ca="1">IFERROR(__xludf.DUMMYFUNCTION("""COMPUTED_VALUE"""),"")</f>
        <v/>
      </c>
      <c r="B211" s="180" t="str">
        <f ca="1">IFERROR(__xludf.DUMMYFUNCTION("""COMPUTED_VALUE"""),"")</f>
        <v/>
      </c>
      <c r="C211" s="180" t="str">
        <f ca="1">IFERROR(__xludf.DUMMYFUNCTION("""COMPUTED_VALUE"""),"")</f>
        <v/>
      </c>
      <c r="D211" s="180" t="str">
        <f ca="1">IFERROR(__xludf.DUMMYFUNCTION("""COMPUTED_VALUE"""),"")</f>
        <v/>
      </c>
      <c r="E211" s="180" t="str">
        <f ca="1">IFERROR(__xludf.DUMMYFUNCTION("""COMPUTED_VALUE"""),"")</f>
        <v/>
      </c>
      <c r="F211" s="180" t="str">
        <f ca="1">IFERROR(__xludf.DUMMYFUNCTION("""COMPUTED_VALUE"""),"")</f>
        <v/>
      </c>
      <c r="G211" s="180" t="str">
        <f ca="1">IFERROR(__xludf.DUMMYFUNCTION("""COMPUTED_VALUE"""),"")</f>
        <v/>
      </c>
      <c r="H211" s="180" t="str">
        <f ca="1">IFERROR(__xludf.DUMMYFUNCTION("""COMPUTED_VALUE"""),"")</f>
        <v/>
      </c>
      <c r="I211" s="180" t="str">
        <f ca="1">IFERROR(__xludf.DUMMYFUNCTION("""COMPUTED_VALUE"""),"")</f>
        <v/>
      </c>
      <c r="J211" s="180" t="str">
        <f ca="1">IFERROR(__xludf.DUMMYFUNCTION("""COMPUTED_VALUE"""),"")</f>
        <v/>
      </c>
    </row>
    <row r="212" spans="1:10">
      <c r="A212" s="180" t="str">
        <f ca="1">IFERROR(__xludf.DUMMYFUNCTION("""COMPUTED_VALUE"""),"")</f>
        <v/>
      </c>
      <c r="B212" s="180" t="str">
        <f ca="1">IFERROR(__xludf.DUMMYFUNCTION("""COMPUTED_VALUE"""),"")</f>
        <v/>
      </c>
      <c r="C212" s="180" t="str">
        <f ca="1">IFERROR(__xludf.DUMMYFUNCTION("""COMPUTED_VALUE"""),"")</f>
        <v/>
      </c>
      <c r="D212" s="180" t="str">
        <f ca="1">IFERROR(__xludf.DUMMYFUNCTION("""COMPUTED_VALUE"""),"")</f>
        <v/>
      </c>
      <c r="E212" s="180" t="str">
        <f ca="1">IFERROR(__xludf.DUMMYFUNCTION("""COMPUTED_VALUE"""),"")</f>
        <v/>
      </c>
      <c r="F212" s="180" t="str">
        <f ca="1">IFERROR(__xludf.DUMMYFUNCTION("""COMPUTED_VALUE"""),"")</f>
        <v/>
      </c>
      <c r="G212" s="180" t="str">
        <f ca="1">IFERROR(__xludf.DUMMYFUNCTION("""COMPUTED_VALUE"""),"")</f>
        <v/>
      </c>
      <c r="H212" s="180" t="str">
        <f ca="1">IFERROR(__xludf.DUMMYFUNCTION("""COMPUTED_VALUE"""),"")</f>
        <v/>
      </c>
      <c r="I212" s="180" t="str">
        <f ca="1">IFERROR(__xludf.DUMMYFUNCTION("""COMPUTED_VALUE"""),"")</f>
        <v/>
      </c>
      <c r="J212" s="180" t="str">
        <f ca="1">IFERROR(__xludf.DUMMYFUNCTION("""COMPUTED_VALUE"""),"")</f>
        <v/>
      </c>
    </row>
    <row r="213" spans="1:10">
      <c r="A213" s="180" t="str">
        <f ca="1">IFERROR(__xludf.DUMMYFUNCTION("""COMPUTED_VALUE"""),"")</f>
        <v/>
      </c>
      <c r="B213" s="180" t="str">
        <f ca="1">IFERROR(__xludf.DUMMYFUNCTION("""COMPUTED_VALUE"""),"")</f>
        <v/>
      </c>
      <c r="C213" s="180" t="str">
        <f ca="1">IFERROR(__xludf.DUMMYFUNCTION("""COMPUTED_VALUE"""),"")</f>
        <v/>
      </c>
      <c r="D213" s="180" t="str">
        <f ca="1">IFERROR(__xludf.DUMMYFUNCTION("""COMPUTED_VALUE"""),"")</f>
        <v/>
      </c>
      <c r="E213" s="180" t="str">
        <f ca="1">IFERROR(__xludf.DUMMYFUNCTION("""COMPUTED_VALUE"""),"")</f>
        <v/>
      </c>
      <c r="F213" s="180" t="str">
        <f ca="1">IFERROR(__xludf.DUMMYFUNCTION("""COMPUTED_VALUE"""),"")</f>
        <v/>
      </c>
      <c r="G213" s="180" t="str">
        <f ca="1">IFERROR(__xludf.DUMMYFUNCTION("""COMPUTED_VALUE"""),"")</f>
        <v/>
      </c>
      <c r="H213" s="180" t="str">
        <f ca="1">IFERROR(__xludf.DUMMYFUNCTION("""COMPUTED_VALUE"""),"")</f>
        <v/>
      </c>
      <c r="I213" s="180" t="str">
        <f ca="1">IFERROR(__xludf.DUMMYFUNCTION("""COMPUTED_VALUE"""),"")</f>
        <v/>
      </c>
      <c r="J213" s="180" t="str">
        <f ca="1">IFERROR(__xludf.DUMMYFUNCTION("""COMPUTED_VALUE"""),"")</f>
        <v/>
      </c>
    </row>
    <row r="214" spans="1:10">
      <c r="A214" s="180" t="str">
        <f ca="1">IFERROR(__xludf.DUMMYFUNCTION("""COMPUTED_VALUE"""),"")</f>
        <v/>
      </c>
      <c r="B214" s="180" t="str">
        <f ca="1">IFERROR(__xludf.DUMMYFUNCTION("""COMPUTED_VALUE"""),"")</f>
        <v/>
      </c>
      <c r="C214" s="180" t="str">
        <f ca="1">IFERROR(__xludf.DUMMYFUNCTION("""COMPUTED_VALUE"""),"")</f>
        <v/>
      </c>
      <c r="D214" s="180" t="str">
        <f ca="1">IFERROR(__xludf.DUMMYFUNCTION("""COMPUTED_VALUE"""),"")</f>
        <v/>
      </c>
      <c r="E214" s="180" t="str">
        <f ca="1">IFERROR(__xludf.DUMMYFUNCTION("""COMPUTED_VALUE"""),"")</f>
        <v/>
      </c>
      <c r="F214" s="180" t="str">
        <f ca="1">IFERROR(__xludf.DUMMYFUNCTION("""COMPUTED_VALUE"""),"")</f>
        <v/>
      </c>
      <c r="G214" s="180" t="str">
        <f ca="1">IFERROR(__xludf.DUMMYFUNCTION("""COMPUTED_VALUE"""),"")</f>
        <v/>
      </c>
      <c r="H214" s="180" t="str">
        <f ca="1">IFERROR(__xludf.DUMMYFUNCTION("""COMPUTED_VALUE"""),"")</f>
        <v/>
      </c>
      <c r="I214" s="180" t="str">
        <f ca="1">IFERROR(__xludf.DUMMYFUNCTION("""COMPUTED_VALUE"""),"")</f>
        <v/>
      </c>
      <c r="J214" s="180" t="str">
        <f ca="1">IFERROR(__xludf.DUMMYFUNCTION("""COMPUTED_VALUE"""),"")</f>
        <v/>
      </c>
    </row>
    <row r="215" spans="1:10">
      <c r="A215" s="180" t="str">
        <f ca="1">IFERROR(__xludf.DUMMYFUNCTION("""COMPUTED_VALUE"""),"")</f>
        <v/>
      </c>
      <c r="B215" s="180" t="str">
        <f ca="1">IFERROR(__xludf.DUMMYFUNCTION("""COMPUTED_VALUE"""),"")</f>
        <v/>
      </c>
      <c r="C215" s="180" t="str">
        <f ca="1">IFERROR(__xludf.DUMMYFUNCTION("""COMPUTED_VALUE"""),"")</f>
        <v/>
      </c>
      <c r="D215" s="180" t="str">
        <f ca="1">IFERROR(__xludf.DUMMYFUNCTION("""COMPUTED_VALUE"""),"")</f>
        <v/>
      </c>
      <c r="E215" s="180" t="str">
        <f ca="1">IFERROR(__xludf.DUMMYFUNCTION("""COMPUTED_VALUE"""),"")</f>
        <v/>
      </c>
      <c r="F215" s="180" t="str">
        <f ca="1">IFERROR(__xludf.DUMMYFUNCTION("""COMPUTED_VALUE"""),"")</f>
        <v/>
      </c>
      <c r="G215" s="180" t="str">
        <f ca="1">IFERROR(__xludf.DUMMYFUNCTION("""COMPUTED_VALUE"""),"")</f>
        <v/>
      </c>
      <c r="H215" s="180" t="str">
        <f ca="1">IFERROR(__xludf.DUMMYFUNCTION("""COMPUTED_VALUE"""),"")</f>
        <v/>
      </c>
      <c r="I215" s="180" t="str">
        <f ca="1">IFERROR(__xludf.DUMMYFUNCTION("""COMPUTED_VALUE"""),"")</f>
        <v/>
      </c>
      <c r="J215" s="180" t="str">
        <f ca="1">IFERROR(__xludf.DUMMYFUNCTION("""COMPUTED_VALUE"""),"")</f>
        <v/>
      </c>
    </row>
    <row r="216" spans="1:10">
      <c r="A216" s="180" t="str">
        <f ca="1">IFERROR(__xludf.DUMMYFUNCTION("""COMPUTED_VALUE"""),"")</f>
        <v/>
      </c>
      <c r="B216" s="180" t="str">
        <f ca="1">IFERROR(__xludf.DUMMYFUNCTION("""COMPUTED_VALUE"""),"")</f>
        <v/>
      </c>
      <c r="C216" s="180" t="str">
        <f ca="1">IFERROR(__xludf.DUMMYFUNCTION("""COMPUTED_VALUE"""),"")</f>
        <v/>
      </c>
      <c r="D216" s="180" t="str">
        <f ca="1">IFERROR(__xludf.DUMMYFUNCTION("""COMPUTED_VALUE"""),"")</f>
        <v/>
      </c>
      <c r="E216" s="180" t="str">
        <f ca="1">IFERROR(__xludf.DUMMYFUNCTION("""COMPUTED_VALUE"""),"")</f>
        <v/>
      </c>
      <c r="F216" s="180" t="str">
        <f ca="1">IFERROR(__xludf.DUMMYFUNCTION("""COMPUTED_VALUE"""),"")</f>
        <v/>
      </c>
      <c r="G216" s="180" t="str">
        <f ca="1">IFERROR(__xludf.DUMMYFUNCTION("""COMPUTED_VALUE"""),"")</f>
        <v/>
      </c>
      <c r="H216" s="180" t="str">
        <f ca="1">IFERROR(__xludf.DUMMYFUNCTION("""COMPUTED_VALUE"""),"")</f>
        <v/>
      </c>
      <c r="I216" s="180" t="str">
        <f ca="1">IFERROR(__xludf.DUMMYFUNCTION("""COMPUTED_VALUE"""),"")</f>
        <v/>
      </c>
      <c r="J216" s="180" t="str">
        <f ca="1">IFERROR(__xludf.DUMMYFUNCTION("""COMPUTED_VALUE"""),"")</f>
        <v/>
      </c>
    </row>
    <row r="217" spans="1:10">
      <c r="A217" s="180" t="str">
        <f ca="1">IFERROR(__xludf.DUMMYFUNCTION("""COMPUTED_VALUE"""),"")</f>
        <v/>
      </c>
      <c r="B217" s="180" t="str">
        <f ca="1">IFERROR(__xludf.DUMMYFUNCTION("""COMPUTED_VALUE"""),"")</f>
        <v/>
      </c>
      <c r="C217" s="180" t="str">
        <f ca="1">IFERROR(__xludf.DUMMYFUNCTION("""COMPUTED_VALUE"""),"")</f>
        <v/>
      </c>
      <c r="D217" s="180" t="str">
        <f ca="1">IFERROR(__xludf.DUMMYFUNCTION("""COMPUTED_VALUE"""),"")</f>
        <v/>
      </c>
      <c r="E217" s="180" t="str">
        <f ca="1">IFERROR(__xludf.DUMMYFUNCTION("""COMPUTED_VALUE"""),"")</f>
        <v/>
      </c>
      <c r="F217" s="180" t="str">
        <f ca="1">IFERROR(__xludf.DUMMYFUNCTION("""COMPUTED_VALUE"""),"")</f>
        <v/>
      </c>
      <c r="G217" s="180" t="str">
        <f ca="1">IFERROR(__xludf.DUMMYFUNCTION("""COMPUTED_VALUE"""),"")</f>
        <v/>
      </c>
      <c r="H217" s="180" t="str">
        <f ca="1">IFERROR(__xludf.DUMMYFUNCTION("""COMPUTED_VALUE"""),"")</f>
        <v/>
      </c>
      <c r="I217" s="180" t="str">
        <f ca="1">IFERROR(__xludf.DUMMYFUNCTION("""COMPUTED_VALUE"""),"")</f>
        <v/>
      </c>
      <c r="J217" s="180" t="str">
        <f ca="1">IFERROR(__xludf.DUMMYFUNCTION("""COMPUTED_VALUE"""),"")</f>
        <v/>
      </c>
    </row>
    <row r="218" spans="1:10">
      <c r="A218" s="180" t="str">
        <f ca="1">IFERROR(__xludf.DUMMYFUNCTION("""COMPUTED_VALUE"""),"")</f>
        <v/>
      </c>
      <c r="B218" s="180" t="str">
        <f ca="1">IFERROR(__xludf.DUMMYFUNCTION("""COMPUTED_VALUE"""),"")</f>
        <v/>
      </c>
      <c r="C218" s="180" t="str">
        <f ca="1">IFERROR(__xludf.DUMMYFUNCTION("""COMPUTED_VALUE"""),"")</f>
        <v/>
      </c>
      <c r="D218" s="180" t="str">
        <f ca="1">IFERROR(__xludf.DUMMYFUNCTION("""COMPUTED_VALUE"""),"")</f>
        <v/>
      </c>
      <c r="E218" s="180" t="str">
        <f ca="1">IFERROR(__xludf.DUMMYFUNCTION("""COMPUTED_VALUE"""),"")</f>
        <v/>
      </c>
      <c r="F218" s="180" t="str">
        <f ca="1">IFERROR(__xludf.DUMMYFUNCTION("""COMPUTED_VALUE"""),"")</f>
        <v/>
      </c>
      <c r="G218" s="180" t="str">
        <f ca="1">IFERROR(__xludf.DUMMYFUNCTION("""COMPUTED_VALUE"""),"")</f>
        <v/>
      </c>
      <c r="H218" s="180" t="str">
        <f ca="1">IFERROR(__xludf.DUMMYFUNCTION("""COMPUTED_VALUE"""),"")</f>
        <v/>
      </c>
      <c r="I218" s="180" t="str">
        <f ca="1">IFERROR(__xludf.DUMMYFUNCTION("""COMPUTED_VALUE"""),"")</f>
        <v/>
      </c>
      <c r="J218" s="180" t="str">
        <f ca="1">IFERROR(__xludf.DUMMYFUNCTION("""COMPUTED_VALUE"""),"")</f>
        <v/>
      </c>
    </row>
    <row r="219" spans="1:10">
      <c r="A219" s="180" t="str">
        <f ca="1">IFERROR(__xludf.DUMMYFUNCTION("""COMPUTED_VALUE"""),"")</f>
        <v/>
      </c>
      <c r="B219" s="180" t="str">
        <f ca="1">IFERROR(__xludf.DUMMYFUNCTION("""COMPUTED_VALUE"""),"")</f>
        <v/>
      </c>
      <c r="C219" s="180" t="str">
        <f ca="1">IFERROR(__xludf.DUMMYFUNCTION("""COMPUTED_VALUE"""),"")</f>
        <v/>
      </c>
      <c r="D219" s="180" t="str">
        <f ca="1">IFERROR(__xludf.DUMMYFUNCTION("""COMPUTED_VALUE"""),"")</f>
        <v/>
      </c>
      <c r="E219" s="180" t="str">
        <f ca="1">IFERROR(__xludf.DUMMYFUNCTION("""COMPUTED_VALUE"""),"")</f>
        <v/>
      </c>
      <c r="F219" s="180" t="str">
        <f ca="1">IFERROR(__xludf.DUMMYFUNCTION("""COMPUTED_VALUE"""),"")</f>
        <v/>
      </c>
      <c r="G219" s="180" t="str">
        <f ca="1">IFERROR(__xludf.DUMMYFUNCTION("""COMPUTED_VALUE"""),"")</f>
        <v/>
      </c>
      <c r="H219" s="180" t="str">
        <f ca="1">IFERROR(__xludf.DUMMYFUNCTION("""COMPUTED_VALUE"""),"")</f>
        <v/>
      </c>
      <c r="I219" s="180" t="str">
        <f ca="1">IFERROR(__xludf.DUMMYFUNCTION("""COMPUTED_VALUE"""),"")</f>
        <v/>
      </c>
      <c r="J219" s="180" t="str">
        <f ca="1">IFERROR(__xludf.DUMMYFUNCTION("""COMPUTED_VALUE"""),"")</f>
        <v/>
      </c>
    </row>
    <row r="220" spans="1:10">
      <c r="A220" s="180" t="str">
        <f ca="1">IFERROR(__xludf.DUMMYFUNCTION("""COMPUTED_VALUE"""),"")</f>
        <v/>
      </c>
      <c r="B220" s="180" t="str">
        <f ca="1">IFERROR(__xludf.DUMMYFUNCTION("""COMPUTED_VALUE"""),"")</f>
        <v/>
      </c>
      <c r="C220" s="180" t="str">
        <f ca="1">IFERROR(__xludf.DUMMYFUNCTION("""COMPUTED_VALUE"""),"")</f>
        <v/>
      </c>
      <c r="D220" s="180" t="str">
        <f ca="1">IFERROR(__xludf.DUMMYFUNCTION("""COMPUTED_VALUE"""),"")</f>
        <v/>
      </c>
      <c r="E220" s="180" t="str">
        <f ca="1">IFERROR(__xludf.DUMMYFUNCTION("""COMPUTED_VALUE"""),"")</f>
        <v/>
      </c>
      <c r="F220" s="180" t="str">
        <f ca="1">IFERROR(__xludf.DUMMYFUNCTION("""COMPUTED_VALUE"""),"")</f>
        <v/>
      </c>
      <c r="G220" s="180" t="str">
        <f ca="1">IFERROR(__xludf.DUMMYFUNCTION("""COMPUTED_VALUE"""),"")</f>
        <v/>
      </c>
      <c r="H220" s="180" t="str">
        <f ca="1">IFERROR(__xludf.DUMMYFUNCTION("""COMPUTED_VALUE"""),"")</f>
        <v/>
      </c>
      <c r="I220" s="180" t="str">
        <f ca="1">IFERROR(__xludf.DUMMYFUNCTION("""COMPUTED_VALUE"""),"")</f>
        <v/>
      </c>
      <c r="J220" s="180" t="str">
        <f ca="1">IFERROR(__xludf.DUMMYFUNCTION("""COMPUTED_VALUE"""),"")</f>
        <v/>
      </c>
    </row>
    <row r="221" spans="1:10">
      <c r="A221" s="180" t="str">
        <f ca="1">IFERROR(__xludf.DUMMYFUNCTION("""COMPUTED_VALUE"""),"")</f>
        <v/>
      </c>
      <c r="B221" s="180" t="str">
        <f ca="1">IFERROR(__xludf.DUMMYFUNCTION("""COMPUTED_VALUE"""),"")</f>
        <v/>
      </c>
      <c r="C221" s="180" t="str">
        <f ca="1">IFERROR(__xludf.DUMMYFUNCTION("""COMPUTED_VALUE"""),"")</f>
        <v/>
      </c>
      <c r="D221" s="180" t="str">
        <f ca="1">IFERROR(__xludf.DUMMYFUNCTION("""COMPUTED_VALUE"""),"")</f>
        <v/>
      </c>
      <c r="E221" s="180" t="str">
        <f ca="1">IFERROR(__xludf.DUMMYFUNCTION("""COMPUTED_VALUE"""),"")</f>
        <v/>
      </c>
      <c r="F221" s="180" t="str">
        <f ca="1">IFERROR(__xludf.DUMMYFUNCTION("""COMPUTED_VALUE"""),"")</f>
        <v/>
      </c>
      <c r="G221" s="180" t="str">
        <f ca="1">IFERROR(__xludf.DUMMYFUNCTION("""COMPUTED_VALUE"""),"")</f>
        <v/>
      </c>
      <c r="H221" s="180" t="str">
        <f ca="1">IFERROR(__xludf.DUMMYFUNCTION("""COMPUTED_VALUE"""),"")</f>
        <v/>
      </c>
      <c r="I221" s="180" t="str">
        <f ca="1">IFERROR(__xludf.DUMMYFUNCTION("""COMPUTED_VALUE"""),"")</f>
        <v/>
      </c>
      <c r="J221" s="180" t="str">
        <f ca="1">IFERROR(__xludf.DUMMYFUNCTION("""COMPUTED_VALUE"""),"")</f>
        <v/>
      </c>
    </row>
    <row r="222" spans="1:10">
      <c r="A222" s="180" t="str">
        <f ca="1">IFERROR(__xludf.DUMMYFUNCTION("""COMPUTED_VALUE"""),"")</f>
        <v/>
      </c>
      <c r="B222" s="180" t="str">
        <f ca="1">IFERROR(__xludf.DUMMYFUNCTION("""COMPUTED_VALUE"""),"")</f>
        <v/>
      </c>
      <c r="C222" s="180" t="str">
        <f ca="1">IFERROR(__xludf.DUMMYFUNCTION("""COMPUTED_VALUE"""),"")</f>
        <v/>
      </c>
      <c r="D222" s="180" t="str">
        <f ca="1">IFERROR(__xludf.DUMMYFUNCTION("""COMPUTED_VALUE"""),"")</f>
        <v/>
      </c>
      <c r="E222" s="180" t="str">
        <f ca="1">IFERROR(__xludf.DUMMYFUNCTION("""COMPUTED_VALUE"""),"")</f>
        <v/>
      </c>
      <c r="F222" s="180" t="str">
        <f ca="1">IFERROR(__xludf.DUMMYFUNCTION("""COMPUTED_VALUE"""),"")</f>
        <v/>
      </c>
      <c r="G222" s="180" t="str">
        <f ca="1">IFERROR(__xludf.DUMMYFUNCTION("""COMPUTED_VALUE"""),"")</f>
        <v/>
      </c>
      <c r="H222" s="180" t="str">
        <f ca="1">IFERROR(__xludf.DUMMYFUNCTION("""COMPUTED_VALUE"""),"")</f>
        <v/>
      </c>
      <c r="I222" s="180" t="str">
        <f ca="1">IFERROR(__xludf.DUMMYFUNCTION("""COMPUTED_VALUE"""),"")</f>
        <v/>
      </c>
      <c r="J222" s="180" t="str">
        <f ca="1">IFERROR(__xludf.DUMMYFUNCTION("""COMPUTED_VALUE"""),"")</f>
        <v/>
      </c>
    </row>
    <row r="223" spans="1:10">
      <c r="A223" s="180" t="str">
        <f ca="1">IFERROR(__xludf.DUMMYFUNCTION("""COMPUTED_VALUE"""),"")</f>
        <v/>
      </c>
      <c r="B223" s="180" t="str">
        <f ca="1">IFERROR(__xludf.DUMMYFUNCTION("""COMPUTED_VALUE"""),"")</f>
        <v/>
      </c>
      <c r="C223" s="180" t="str">
        <f ca="1">IFERROR(__xludf.DUMMYFUNCTION("""COMPUTED_VALUE"""),"")</f>
        <v/>
      </c>
      <c r="D223" s="180" t="str">
        <f ca="1">IFERROR(__xludf.DUMMYFUNCTION("""COMPUTED_VALUE"""),"")</f>
        <v/>
      </c>
      <c r="E223" s="180" t="str">
        <f ca="1">IFERROR(__xludf.DUMMYFUNCTION("""COMPUTED_VALUE"""),"")</f>
        <v/>
      </c>
      <c r="F223" s="180" t="str">
        <f ca="1">IFERROR(__xludf.DUMMYFUNCTION("""COMPUTED_VALUE"""),"")</f>
        <v/>
      </c>
      <c r="G223" s="180" t="str">
        <f ca="1">IFERROR(__xludf.DUMMYFUNCTION("""COMPUTED_VALUE"""),"")</f>
        <v/>
      </c>
      <c r="H223" s="180" t="str">
        <f ca="1">IFERROR(__xludf.DUMMYFUNCTION("""COMPUTED_VALUE"""),"")</f>
        <v/>
      </c>
      <c r="I223" s="180" t="str">
        <f ca="1">IFERROR(__xludf.DUMMYFUNCTION("""COMPUTED_VALUE"""),"")</f>
        <v/>
      </c>
      <c r="J223" s="180" t="str">
        <f ca="1">IFERROR(__xludf.DUMMYFUNCTION("""COMPUTED_VALUE"""),"")</f>
        <v/>
      </c>
    </row>
    <row r="224" spans="1:10">
      <c r="A224" s="180" t="str">
        <f ca="1">IFERROR(__xludf.DUMMYFUNCTION("""COMPUTED_VALUE"""),"")</f>
        <v/>
      </c>
      <c r="B224" s="180" t="str">
        <f ca="1">IFERROR(__xludf.DUMMYFUNCTION("""COMPUTED_VALUE"""),"")</f>
        <v/>
      </c>
      <c r="C224" s="180" t="str">
        <f ca="1">IFERROR(__xludf.DUMMYFUNCTION("""COMPUTED_VALUE"""),"")</f>
        <v/>
      </c>
      <c r="D224" s="180" t="str">
        <f ca="1">IFERROR(__xludf.DUMMYFUNCTION("""COMPUTED_VALUE"""),"")</f>
        <v/>
      </c>
      <c r="E224" s="180" t="str">
        <f ca="1">IFERROR(__xludf.DUMMYFUNCTION("""COMPUTED_VALUE"""),"")</f>
        <v/>
      </c>
      <c r="F224" s="180" t="str">
        <f ca="1">IFERROR(__xludf.DUMMYFUNCTION("""COMPUTED_VALUE"""),"")</f>
        <v/>
      </c>
      <c r="G224" s="180" t="str">
        <f ca="1">IFERROR(__xludf.DUMMYFUNCTION("""COMPUTED_VALUE"""),"")</f>
        <v/>
      </c>
      <c r="H224" s="180" t="str">
        <f ca="1">IFERROR(__xludf.DUMMYFUNCTION("""COMPUTED_VALUE"""),"")</f>
        <v/>
      </c>
      <c r="I224" s="180" t="str">
        <f ca="1">IFERROR(__xludf.DUMMYFUNCTION("""COMPUTED_VALUE"""),"")</f>
        <v/>
      </c>
      <c r="J224" s="180" t="str">
        <f ca="1">IFERROR(__xludf.DUMMYFUNCTION("""COMPUTED_VALUE"""),"")</f>
        <v/>
      </c>
    </row>
    <row r="225" spans="1:10">
      <c r="A225" s="180" t="str">
        <f ca="1">IFERROR(__xludf.DUMMYFUNCTION("""COMPUTED_VALUE"""),"")</f>
        <v/>
      </c>
      <c r="B225" s="180" t="str">
        <f ca="1">IFERROR(__xludf.DUMMYFUNCTION("""COMPUTED_VALUE"""),"")</f>
        <v/>
      </c>
      <c r="C225" s="180" t="str">
        <f ca="1">IFERROR(__xludf.DUMMYFUNCTION("""COMPUTED_VALUE"""),"")</f>
        <v/>
      </c>
      <c r="D225" s="180" t="str">
        <f ca="1">IFERROR(__xludf.DUMMYFUNCTION("""COMPUTED_VALUE"""),"")</f>
        <v/>
      </c>
      <c r="E225" s="180" t="str">
        <f ca="1">IFERROR(__xludf.DUMMYFUNCTION("""COMPUTED_VALUE"""),"")</f>
        <v/>
      </c>
      <c r="F225" s="180" t="str">
        <f ca="1">IFERROR(__xludf.DUMMYFUNCTION("""COMPUTED_VALUE"""),"")</f>
        <v/>
      </c>
      <c r="G225" s="180" t="str">
        <f ca="1">IFERROR(__xludf.DUMMYFUNCTION("""COMPUTED_VALUE"""),"")</f>
        <v/>
      </c>
      <c r="H225" s="180" t="str">
        <f ca="1">IFERROR(__xludf.DUMMYFUNCTION("""COMPUTED_VALUE"""),"")</f>
        <v/>
      </c>
      <c r="I225" s="180" t="str">
        <f ca="1">IFERROR(__xludf.DUMMYFUNCTION("""COMPUTED_VALUE"""),"")</f>
        <v/>
      </c>
      <c r="J225" s="180" t="str">
        <f ca="1">IFERROR(__xludf.DUMMYFUNCTION("""COMPUTED_VALUE"""),"")</f>
        <v/>
      </c>
    </row>
    <row r="226" spans="1:10">
      <c r="A226" s="180" t="str">
        <f ca="1">IFERROR(__xludf.DUMMYFUNCTION("""COMPUTED_VALUE"""),"")</f>
        <v/>
      </c>
      <c r="B226" s="180" t="str">
        <f ca="1">IFERROR(__xludf.DUMMYFUNCTION("""COMPUTED_VALUE"""),"")</f>
        <v/>
      </c>
      <c r="C226" s="180" t="str">
        <f ca="1">IFERROR(__xludf.DUMMYFUNCTION("""COMPUTED_VALUE"""),"")</f>
        <v/>
      </c>
      <c r="D226" s="180" t="str">
        <f ca="1">IFERROR(__xludf.DUMMYFUNCTION("""COMPUTED_VALUE"""),"")</f>
        <v/>
      </c>
      <c r="E226" s="180" t="str">
        <f ca="1">IFERROR(__xludf.DUMMYFUNCTION("""COMPUTED_VALUE"""),"")</f>
        <v/>
      </c>
      <c r="F226" s="180" t="str">
        <f ca="1">IFERROR(__xludf.DUMMYFUNCTION("""COMPUTED_VALUE"""),"")</f>
        <v/>
      </c>
      <c r="G226" s="180" t="str">
        <f ca="1">IFERROR(__xludf.DUMMYFUNCTION("""COMPUTED_VALUE"""),"")</f>
        <v/>
      </c>
      <c r="H226" s="180" t="str">
        <f ca="1">IFERROR(__xludf.DUMMYFUNCTION("""COMPUTED_VALUE"""),"")</f>
        <v/>
      </c>
      <c r="I226" s="180" t="str">
        <f ca="1">IFERROR(__xludf.DUMMYFUNCTION("""COMPUTED_VALUE"""),"")</f>
        <v/>
      </c>
      <c r="J226" s="180" t="str">
        <f ca="1">IFERROR(__xludf.DUMMYFUNCTION("""COMPUTED_VALUE"""),"")</f>
        <v/>
      </c>
    </row>
    <row r="227" spans="1:10">
      <c r="A227" s="180" t="str">
        <f ca="1">IFERROR(__xludf.DUMMYFUNCTION("""COMPUTED_VALUE"""),"")</f>
        <v/>
      </c>
      <c r="B227" s="180" t="str">
        <f ca="1">IFERROR(__xludf.DUMMYFUNCTION("""COMPUTED_VALUE"""),"")</f>
        <v/>
      </c>
      <c r="C227" s="180" t="str">
        <f ca="1">IFERROR(__xludf.DUMMYFUNCTION("""COMPUTED_VALUE"""),"")</f>
        <v/>
      </c>
      <c r="D227" s="180" t="str">
        <f ca="1">IFERROR(__xludf.DUMMYFUNCTION("""COMPUTED_VALUE"""),"")</f>
        <v/>
      </c>
      <c r="E227" s="180" t="str">
        <f ca="1">IFERROR(__xludf.DUMMYFUNCTION("""COMPUTED_VALUE"""),"")</f>
        <v/>
      </c>
      <c r="F227" s="180" t="str">
        <f ca="1">IFERROR(__xludf.DUMMYFUNCTION("""COMPUTED_VALUE"""),"")</f>
        <v/>
      </c>
      <c r="G227" s="180" t="str">
        <f ca="1">IFERROR(__xludf.DUMMYFUNCTION("""COMPUTED_VALUE"""),"")</f>
        <v/>
      </c>
      <c r="H227" s="180" t="str">
        <f ca="1">IFERROR(__xludf.DUMMYFUNCTION("""COMPUTED_VALUE"""),"")</f>
        <v/>
      </c>
      <c r="I227" s="180" t="str">
        <f ca="1">IFERROR(__xludf.DUMMYFUNCTION("""COMPUTED_VALUE"""),"")</f>
        <v/>
      </c>
      <c r="J227" s="180" t="str">
        <f ca="1">IFERROR(__xludf.DUMMYFUNCTION("""COMPUTED_VALUE"""),"")</f>
        <v/>
      </c>
    </row>
    <row r="228" spans="1:10">
      <c r="A228" s="180" t="str">
        <f ca="1">IFERROR(__xludf.DUMMYFUNCTION("""COMPUTED_VALUE"""),"")</f>
        <v/>
      </c>
      <c r="B228" s="180" t="str">
        <f ca="1">IFERROR(__xludf.DUMMYFUNCTION("""COMPUTED_VALUE"""),"")</f>
        <v/>
      </c>
      <c r="C228" s="180" t="str">
        <f ca="1">IFERROR(__xludf.DUMMYFUNCTION("""COMPUTED_VALUE"""),"")</f>
        <v/>
      </c>
      <c r="D228" s="180" t="str">
        <f ca="1">IFERROR(__xludf.DUMMYFUNCTION("""COMPUTED_VALUE"""),"")</f>
        <v/>
      </c>
      <c r="E228" s="180" t="str">
        <f ca="1">IFERROR(__xludf.DUMMYFUNCTION("""COMPUTED_VALUE"""),"")</f>
        <v/>
      </c>
      <c r="F228" s="180" t="str">
        <f ca="1">IFERROR(__xludf.DUMMYFUNCTION("""COMPUTED_VALUE"""),"")</f>
        <v/>
      </c>
      <c r="G228" s="180" t="str">
        <f ca="1">IFERROR(__xludf.DUMMYFUNCTION("""COMPUTED_VALUE"""),"")</f>
        <v/>
      </c>
      <c r="H228" s="180" t="str">
        <f ca="1">IFERROR(__xludf.DUMMYFUNCTION("""COMPUTED_VALUE"""),"")</f>
        <v/>
      </c>
      <c r="I228" s="180" t="str">
        <f ca="1">IFERROR(__xludf.DUMMYFUNCTION("""COMPUTED_VALUE"""),"")</f>
        <v/>
      </c>
      <c r="J228" s="180" t="str">
        <f ca="1">IFERROR(__xludf.DUMMYFUNCTION("""COMPUTED_VALUE"""),"")</f>
        <v/>
      </c>
    </row>
    <row r="229" spans="1:10">
      <c r="A229" s="180" t="str">
        <f ca="1">IFERROR(__xludf.DUMMYFUNCTION("""COMPUTED_VALUE"""),"")</f>
        <v/>
      </c>
      <c r="B229" s="180" t="str">
        <f ca="1">IFERROR(__xludf.DUMMYFUNCTION("""COMPUTED_VALUE"""),"")</f>
        <v/>
      </c>
      <c r="C229" s="180" t="str">
        <f ca="1">IFERROR(__xludf.DUMMYFUNCTION("""COMPUTED_VALUE"""),"")</f>
        <v/>
      </c>
      <c r="D229" s="180" t="str">
        <f ca="1">IFERROR(__xludf.DUMMYFUNCTION("""COMPUTED_VALUE"""),"")</f>
        <v/>
      </c>
      <c r="E229" s="180" t="str">
        <f ca="1">IFERROR(__xludf.DUMMYFUNCTION("""COMPUTED_VALUE"""),"")</f>
        <v/>
      </c>
      <c r="F229" s="180" t="str">
        <f ca="1">IFERROR(__xludf.DUMMYFUNCTION("""COMPUTED_VALUE"""),"")</f>
        <v/>
      </c>
      <c r="G229" s="180" t="str">
        <f ca="1">IFERROR(__xludf.DUMMYFUNCTION("""COMPUTED_VALUE"""),"")</f>
        <v/>
      </c>
      <c r="H229" s="180" t="str">
        <f ca="1">IFERROR(__xludf.DUMMYFUNCTION("""COMPUTED_VALUE"""),"")</f>
        <v/>
      </c>
      <c r="I229" s="180" t="str">
        <f ca="1">IFERROR(__xludf.DUMMYFUNCTION("""COMPUTED_VALUE"""),"")</f>
        <v/>
      </c>
      <c r="J229" s="180" t="str">
        <f ca="1">IFERROR(__xludf.DUMMYFUNCTION("""COMPUTED_VALUE"""),"")</f>
        <v/>
      </c>
    </row>
    <row r="230" spans="1:10">
      <c r="A230" s="180" t="str">
        <f ca="1">IFERROR(__xludf.DUMMYFUNCTION("""COMPUTED_VALUE"""),"")</f>
        <v/>
      </c>
      <c r="B230" s="180" t="str">
        <f ca="1">IFERROR(__xludf.DUMMYFUNCTION("""COMPUTED_VALUE"""),"")</f>
        <v/>
      </c>
      <c r="C230" s="180" t="str">
        <f ca="1">IFERROR(__xludf.DUMMYFUNCTION("""COMPUTED_VALUE"""),"")</f>
        <v/>
      </c>
      <c r="D230" s="180" t="str">
        <f ca="1">IFERROR(__xludf.DUMMYFUNCTION("""COMPUTED_VALUE"""),"")</f>
        <v/>
      </c>
      <c r="E230" s="180" t="str">
        <f ca="1">IFERROR(__xludf.DUMMYFUNCTION("""COMPUTED_VALUE"""),"")</f>
        <v/>
      </c>
      <c r="F230" s="180" t="str">
        <f ca="1">IFERROR(__xludf.DUMMYFUNCTION("""COMPUTED_VALUE"""),"")</f>
        <v/>
      </c>
      <c r="G230" s="180" t="str">
        <f ca="1">IFERROR(__xludf.DUMMYFUNCTION("""COMPUTED_VALUE"""),"")</f>
        <v/>
      </c>
      <c r="H230" s="180" t="str">
        <f ca="1">IFERROR(__xludf.DUMMYFUNCTION("""COMPUTED_VALUE"""),"")</f>
        <v/>
      </c>
      <c r="I230" s="180" t="str">
        <f ca="1">IFERROR(__xludf.DUMMYFUNCTION("""COMPUTED_VALUE"""),"")</f>
        <v/>
      </c>
      <c r="J230" s="180" t="str">
        <f ca="1">IFERROR(__xludf.DUMMYFUNCTION("""COMPUTED_VALUE"""),"")</f>
        <v/>
      </c>
    </row>
    <row r="231" spans="1:10">
      <c r="A231" s="180" t="str">
        <f ca="1">IFERROR(__xludf.DUMMYFUNCTION("""COMPUTED_VALUE"""),"")</f>
        <v/>
      </c>
      <c r="B231" s="180" t="str">
        <f ca="1">IFERROR(__xludf.DUMMYFUNCTION("""COMPUTED_VALUE"""),"")</f>
        <v/>
      </c>
      <c r="C231" s="180" t="str">
        <f ca="1">IFERROR(__xludf.DUMMYFUNCTION("""COMPUTED_VALUE"""),"")</f>
        <v/>
      </c>
      <c r="D231" s="180" t="str">
        <f ca="1">IFERROR(__xludf.DUMMYFUNCTION("""COMPUTED_VALUE"""),"")</f>
        <v/>
      </c>
      <c r="E231" s="180" t="str">
        <f ca="1">IFERROR(__xludf.DUMMYFUNCTION("""COMPUTED_VALUE"""),"")</f>
        <v/>
      </c>
      <c r="F231" s="180" t="str">
        <f ca="1">IFERROR(__xludf.DUMMYFUNCTION("""COMPUTED_VALUE"""),"")</f>
        <v/>
      </c>
      <c r="G231" s="180" t="str">
        <f ca="1">IFERROR(__xludf.DUMMYFUNCTION("""COMPUTED_VALUE"""),"")</f>
        <v/>
      </c>
      <c r="H231" s="180" t="str">
        <f ca="1">IFERROR(__xludf.DUMMYFUNCTION("""COMPUTED_VALUE"""),"")</f>
        <v/>
      </c>
      <c r="I231" s="180" t="str">
        <f ca="1">IFERROR(__xludf.DUMMYFUNCTION("""COMPUTED_VALUE"""),"")</f>
        <v/>
      </c>
      <c r="J231" s="180" t="str">
        <f ca="1">IFERROR(__xludf.DUMMYFUNCTION("""COMPUTED_VALUE"""),"")</f>
        <v/>
      </c>
    </row>
    <row r="232" spans="1:10">
      <c r="A232" s="180" t="str">
        <f ca="1">IFERROR(__xludf.DUMMYFUNCTION("""COMPUTED_VALUE"""),"")</f>
        <v/>
      </c>
      <c r="B232" s="180" t="str">
        <f ca="1">IFERROR(__xludf.DUMMYFUNCTION("""COMPUTED_VALUE"""),"")</f>
        <v/>
      </c>
      <c r="C232" s="180" t="str">
        <f ca="1">IFERROR(__xludf.DUMMYFUNCTION("""COMPUTED_VALUE"""),"")</f>
        <v/>
      </c>
      <c r="D232" s="180" t="str">
        <f ca="1">IFERROR(__xludf.DUMMYFUNCTION("""COMPUTED_VALUE"""),"")</f>
        <v/>
      </c>
      <c r="E232" s="180" t="str">
        <f ca="1">IFERROR(__xludf.DUMMYFUNCTION("""COMPUTED_VALUE"""),"")</f>
        <v/>
      </c>
      <c r="F232" s="180" t="str">
        <f ca="1">IFERROR(__xludf.DUMMYFUNCTION("""COMPUTED_VALUE"""),"")</f>
        <v/>
      </c>
      <c r="G232" s="180" t="str">
        <f ca="1">IFERROR(__xludf.DUMMYFUNCTION("""COMPUTED_VALUE"""),"")</f>
        <v/>
      </c>
      <c r="H232" s="180" t="str">
        <f ca="1">IFERROR(__xludf.DUMMYFUNCTION("""COMPUTED_VALUE"""),"")</f>
        <v/>
      </c>
      <c r="I232" s="180" t="str">
        <f ca="1">IFERROR(__xludf.DUMMYFUNCTION("""COMPUTED_VALUE"""),"")</f>
        <v/>
      </c>
      <c r="J232" s="180" t="str">
        <f ca="1">IFERROR(__xludf.DUMMYFUNCTION("""COMPUTED_VALUE"""),"")</f>
        <v/>
      </c>
    </row>
    <row r="233" spans="1:10">
      <c r="A233" s="180" t="str">
        <f ca="1">IFERROR(__xludf.DUMMYFUNCTION("""COMPUTED_VALUE"""),"")</f>
        <v/>
      </c>
      <c r="B233" s="180" t="str">
        <f ca="1">IFERROR(__xludf.DUMMYFUNCTION("""COMPUTED_VALUE"""),"")</f>
        <v/>
      </c>
      <c r="C233" s="180" t="str">
        <f ca="1">IFERROR(__xludf.DUMMYFUNCTION("""COMPUTED_VALUE"""),"")</f>
        <v/>
      </c>
      <c r="D233" s="180" t="str">
        <f ca="1">IFERROR(__xludf.DUMMYFUNCTION("""COMPUTED_VALUE"""),"")</f>
        <v/>
      </c>
      <c r="E233" s="180" t="str">
        <f ca="1">IFERROR(__xludf.DUMMYFUNCTION("""COMPUTED_VALUE"""),"")</f>
        <v/>
      </c>
      <c r="F233" s="180" t="str">
        <f ca="1">IFERROR(__xludf.DUMMYFUNCTION("""COMPUTED_VALUE"""),"")</f>
        <v/>
      </c>
      <c r="G233" s="180" t="str">
        <f ca="1">IFERROR(__xludf.DUMMYFUNCTION("""COMPUTED_VALUE"""),"")</f>
        <v/>
      </c>
      <c r="H233" s="180" t="str">
        <f ca="1">IFERROR(__xludf.DUMMYFUNCTION("""COMPUTED_VALUE"""),"")</f>
        <v/>
      </c>
      <c r="I233" s="180" t="str">
        <f ca="1">IFERROR(__xludf.DUMMYFUNCTION("""COMPUTED_VALUE"""),"")</f>
        <v/>
      </c>
      <c r="J233" s="180" t="str">
        <f ca="1">IFERROR(__xludf.DUMMYFUNCTION("""COMPUTED_VALUE"""),"")</f>
        <v/>
      </c>
    </row>
    <row r="234" spans="1:10">
      <c r="A234" s="180" t="str">
        <f ca="1">IFERROR(__xludf.DUMMYFUNCTION("""COMPUTED_VALUE"""),"")</f>
        <v/>
      </c>
      <c r="B234" s="180" t="str">
        <f ca="1">IFERROR(__xludf.DUMMYFUNCTION("""COMPUTED_VALUE"""),"")</f>
        <v/>
      </c>
      <c r="C234" s="180" t="str">
        <f ca="1">IFERROR(__xludf.DUMMYFUNCTION("""COMPUTED_VALUE"""),"")</f>
        <v/>
      </c>
      <c r="D234" s="180" t="str">
        <f ca="1">IFERROR(__xludf.DUMMYFUNCTION("""COMPUTED_VALUE"""),"")</f>
        <v/>
      </c>
      <c r="E234" s="180" t="str">
        <f ca="1">IFERROR(__xludf.DUMMYFUNCTION("""COMPUTED_VALUE"""),"")</f>
        <v/>
      </c>
      <c r="F234" s="180" t="str">
        <f ca="1">IFERROR(__xludf.DUMMYFUNCTION("""COMPUTED_VALUE"""),"")</f>
        <v/>
      </c>
      <c r="G234" s="180" t="str">
        <f ca="1">IFERROR(__xludf.DUMMYFUNCTION("""COMPUTED_VALUE"""),"")</f>
        <v/>
      </c>
      <c r="H234" s="180" t="str">
        <f ca="1">IFERROR(__xludf.DUMMYFUNCTION("""COMPUTED_VALUE"""),"")</f>
        <v/>
      </c>
      <c r="I234" s="180" t="str">
        <f ca="1">IFERROR(__xludf.DUMMYFUNCTION("""COMPUTED_VALUE"""),"")</f>
        <v/>
      </c>
      <c r="J234" s="180" t="str">
        <f ca="1">IFERROR(__xludf.DUMMYFUNCTION("""COMPUTED_VALUE"""),"")</f>
        <v/>
      </c>
    </row>
    <row r="235" spans="1:10">
      <c r="A235" s="180" t="str">
        <f ca="1">IFERROR(__xludf.DUMMYFUNCTION("""COMPUTED_VALUE"""),"")</f>
        <v/>
      </c>
      <c r="B235" s="180" t="str">
        <f ca="1">IFERROR(__xludf.DUMMYFUNCTION("""COMPUTED_VALUE"""),"")</f>
        <v/>
      </c>
      <c r="C235" s="180" t="str">
        <f ca="1">IFERROR(__xludf.DUMMYFUNCTION("""COMPUTED_VALUE"""),"")</f>
        <v/>
      </c>
      <c r="D235" s="180" t="str">
        <f ca="1">IFERROR(__xludf.DUMMYFUNCTION("""COMPUTED_VALUE"""),"")</f>
        <v/>
      </c>
      <c r="E235" s="180" t="str">
        <f ca="1">IFERROR(__xludf.DUMMYFUNCTION("""COMPUTED_VALUE"""),"")</f>
        <v/>
      </c>
      <c r="F235" s="180" t="str">
        <f ca="1">IFERROR(__xludf.DUMMYFUNCTION("""COMPUTED_VALUE"""),"")</f>
        <v/>
      </c>
      <c r="G235" s="180" t="str">
        <f ca="1">IFERROR(__xludf.DUMMYFUNCTION("""COMPUTED_VALUE"""),"")</f>
        <v/>
      </c>
      <c r="H235" s="180" t="str">
        <f ca="1">IFERROR(__xludf.DUMMYFUNCTION("""COMPUTED_VALUE"""),"")</f>
        <v/>
      </c>
      <c r="I235" s="180" t="str">
        <f ca="1">IFERROR(__xludf.DUMMYFUNCTION("""COMPUTED_VALUE"""),"")</f>
        <v/>
      </c>
      <c r="J235" s="180" t="str">
        <f ca="1">IFERROR(__xludf.DUMMYFUNCTION("""COMPUTED_VALUE"""),"")</f>
        <v/>
      </c>
    </row>
    <row r="236" spans="1:10">
      <c r="A236" s="180" t="str">
        <f ca="1">IFERROR(__xludf.DUMMYFUNCTION("""COMPUTED_VALUE"""),"")</f>
        <v/>
      </c>
      <c r="B236" s="180" t="str">
        <f ca="1">IFERROR(__xludf.DUMMYFUNCTION("""COMPUTED_VALUE"""),"")</f>
        <v/>
      </c>
      <c r="C236" s="180" t="str">
        <f ca="1">IFERROR(__xludf.DUMMYFUNCTION("""COMPUTED_VALUE"""),"")</f>
        <v/>
      </c>
      <c r="D236" s="180" t="str">
        <f ca="1">IFERROR(__xludf.DUMMYFUNCTION("""COMPUTED_VALUE"""),"")</f>
        <v/>
      </c>
      <c r="E236" s="180" t="str">
        <f ca="1">IFERROR(__xludf.DUMMYFUNCTION("""COMPUTED_VALUE"""),"")</f>
        <v/>
      </c>
      <c r="F236" s="180" t="str">
        <f ca="1">IFERROR(__xludf.DUMMYFUNCTION("""COMPUTED_VALUE"""),"")</f>
        <v/>
      </c>
      <c r="G236" s="180" t="str">
        <f ca="1">IFERROR(__xludf.DUMMYFUNCTION("""COMPUTED_VALUE"""),"")</f>
        <v/>
      </c>
      <c r="H236" s="180" t="str">
        <f ca="1">IFERROR(__xludf.DUMMYFUNCTION("""COMPUTED_VALUE"""),"")</f>
        <v/>
      </c>
      <c r="I236" s="180" t="str">
        <f ca="1">IFERROR(__xludf.DUMMYFUNCTION("""COMPUTED_VALUE"""),"")</f>
        <v/>
      </c>
      <c r="J236" s="180" t="str">
        <f ca="1">IFERROR(__xludf.DUMMYFUNCTION("""COMPUTED_VALUE"""),"")</f>
        <v/>
      </c>
    </row>
    <row r="237" spans="1:10">
      <c r="A237" s="180" t="str">
        <f ca="1">IFERROR(__xludf.DUMMYFUNCTION("""COMPUTED_VALUE"""),"")</f>
        <v/>
      </c>
      <c r="B237" s="180" t="str">
        <f ca="1">IFERROR(__xludf.DUMMYFUNCTION("""COMPUTED_VALUE"""),"")</f>
        <v/>
      </c>
      <c r="C237" s="180" t="str">
        <f ca="1">IFERROR(__xludf.DUMMYFUNCTION("""COMPUTED_VALUE"""),"")</f>
        <v/>
      </c>
      <c r="D237" s="180" t="str">
        <f ca="1">IFERROR(__xludf.DUMMYFUNCTION("""COMPUTED_VALUE"""),"")</f>
        <v/>
      </c>
      <c r="E237" s="180" t="str">
        <f ca="1">IFERROR(__xludf.DUMMYFUNCTION("""COMPUTED_VALUE"""),"")</f>
        <v/>
      </c>
      <c r="F237" s="180" t="str">
        <f ca="1">IFERROR(__xludf.DUMMYFUNCTION("""COMPUTED_VALUE"""),"")</f>
        <v/>
      </c>
      <c r="G237" s="180" t="str">
        <f ca="1">IFERROR(__xludf.DUMMYFUNCTION("""COMPUTED_VALUE"""),"")</f>
        <v/>
      </c>
      <c r="H237" s="180" t="str">
        <f ca="1">IFERROR(__xludf.DUMMYFUNCTION("""COMPUTED_VALUE"""),"")</f>
        <v/>
      </c>
      <c r="I237" s="180" t="str">
        <f ca="1">IFERROR(__xludf.DUMMYFUNCTION("""COMPUTED_VALUE"""),"")</f>
        <v/>
      </c>
      <c r="J237" s="180" t="str">
        <f ca="1">IFERROR(__xludf.DUMMYFUNCTION("""COMPUTED_VALUE"""),"")</f>
        <v/>
      </c>
    </row>
    <row r="238" spans="1:10">
      <c r="A238" s="180" t="str">
        <f ca="1">IFERROR(__xludf.DUMMYFUNCTION("""COMPUTED_VALUE"""),"")</f>
        <v/>
      </c>
      <c r="B238" s="180" t="str">
        <f ca="1">IFERROR(__xludf.DUMMYFUNCTION("""COMPUTED_VALUE"""),"")</f>
        <v/>
      </c>
      <c r="C238" s="180" t="str">
        <f ca="1">IFERROR(__xludf.DUMMYFUNCTION("""COMPUTED_VALUE"""),"")</f>
        <v/>
      </c>
      <c r="D238" s="180" t="str">
        <f ca="1">IFERROR(__xludf.DUMMYFUNCTION("""COMPUTED_VALUE"""),"")</f>
        <v/>
      </c>
      <c r="E238" s="180" t="str">
        <f ca="1">IFERROR(__xludf.DUMMYFUNCTION("""COMPUTED_VALUE"""),"")</f>
        <v/>
      </c>
      <c r="F238" s="180" t="str">
        <f ca="1">IFERROR(__xludf.DUMMYFUNCTION("""COMPUTED_VALUE"""),"")</f>
        <v/>
      </c>
      <c r="G238" s="180" t="str">
        <f ca="1">IFERROR(__xludf.DUMMYFUNCTION("""COMPUTED_VALUE"""),"")</f>
        <v/>
      </c>
      <c r="H238" s="180" t="str">
        <f ca="1">IFERROR(__xludf.DUMMYFUNCTION("""COMPUTED_VALUE"""),"")</f>
        <v/>
      </c>
      <c r="I238" s="180" t="str">
        <f ca="1">IFERROR(__xludf.DUMMYFUNCTION("""COMPUTED_VALUE"""),"")</f>
        <v/>
      </c>
      <c r="J238" s="180" t="str">
        <f ca="1">IFERROR(__xludf.DUMMYFUNCTION("""COMPUTED_VALUE"""),"")</f>
        <v/>
      </c>
    </row>
    <row r="239" spans="1:10">
      <c r="A239" s="180" t="str">
        <f ca="1">IFERROR(__xludf.DUMMYFUNCTION("""COMPUTED_VALUE"""),"")</f>
        <v/>
      </c>
      <c r="B239" s="180" t="str">
        <f ca="1">IFERROR(__xludf.DUMMYFUNCTION("""COMPUTED_VALUE"""),"")</f>
        <v/>
      </c>
      <c r="C239" s="180" t="str">
        <f ca="1">IFERROR(__xludf.DUMMYFUNCTION("""COMPUTED_VALUE"""),"")</f>
        <v/>
      </c>
      <c r="D239" s="180" t="str">
        <f ca="1">IFERROR(__xludf.DUMMYFUNCTION("""COMPUTED_VALUE"""),"")</f>
        <v/>
      </c>
      <c r="E239" s="180" t="str">
        <f ca="1">IFERROR(__xludf.DUMMYFUNCTION("""COMPUTED_VALUE"""),"")</f>
        <v/>
      </c>
      <c r="F239" s="180" t="str">
        <f ca="1">IFERROR(__xludf.DUMMYFUNCTION("""COMPUTED_VALUE"""),"")</f>
        <v/>
      </c>
      <c r="G239" s="180" t="str">
        <f ca="1">IFERROR(__xludf.DUMMYFUNCTION("""COMPUTED_VALUE"""),"")</f>
        <v/>
      </c>
      <c r="H239" s="180" t="str">
        <f ca="1">IFERROR(__xludf.DUMMYFUNCTION("""COMPUTED_VALUE"""),"")</f>
        <v/>
      </c>
      <c r="I239" s="180" t="str">
        <f ca="1">IFERROR(__xludf.DUMMYFUNCTION("""COMPUTED_VALUE"""),"")</f>
        <v/>
      </c>
      <c r="J239" s="180" t="str">
        <f ca="1">IFERROR(__xludf.DUMMYFUNCTION("""COMPUTED_VALUE"""),"")</f>
        <v/>
      </c>
    </row>
    <row r="240" spans="1:10">
      <c r="A240" s="180" t="str">
        <f ca="1">IFERROR(__xludf.DUMMYFUNCTION("""COMPUTED_VALUE"""),"")</f>
        <v/>
      </c>
      <c r="B240" s="180" t="str">
        <f ca="1">IFERROR(__xludf.DUMMYFUNCTION("""COMPUTED_VALUE"""),"")</f>
        <v/>
      </c>
      <c r="C240" s="180" t="str">
        <f ca="1">IFERROR(__xludf.DUMMYFUNCTION("""COMPUTED_VALUE"""),"")</f>
        <v/>
      </c>
      <c r="D240" s="180" t="str">
        <f ca="1">IFERROR(__xludf.DUMMYFUNCTION("""COMPUTED_VALUE"""),"")</f>
        <v/>
      </c>
      <c r="E240" s="180" t="str">
        <f ca="1">IFERROR(__xludf.DUMMYFUNCTION("""COMPUTED_VALUE"""),"")</f>
        <v/>
      </c>
      <c r="F240" s="180" t="str">
        <f ca="1">IFERROR(__xludf.DUMMYFUNCTION("""COMPUTED_VALUE"""),"")</f>
        <v/>
      </c>
      <c r="G240" s="180" t="str">
        <f ca="1">IFERROR(__xludf.DUMMYFUNCTION("""COMPUTED_VALUE"""),"")</f>
        <v/>
      </c>
      <c r="H240" s="180" t="str">
        <f ca="1">IFERROR(__xludf.DUMMYFUNCTION("""COMPUTED_VALUE"""),"")</f>
        <v/>
      </c>
      <c r="I240" s="180" t="str">
        <f ca="1">IFERROR(__xludf.DUMMYFUNCTION("""COMPUTED_VALUE"""),"")</f>
        <v/>
      </c>
      <c r="J240" s="180" t="str">
        <f ca="1">IFERROR(__xludf.DUMMYFUNCTION("""COMPUTED_VALUE"""),"")</f>
        <v/>
      </c>
    </row>
    <row r="241" spans="1:10">
      <c r="A241" s="180" t="str">
        <f ca="1">IFERROR(__xludf.DUMMYFUNCTION("""COMPUTED_VALUE"""),"")</f>
        <v/>
      </c>
      <c r="B241" s="180" t="str">
        <f ca="1">IFERROR(__xludf.DUMMYFUNCTION("""COMPUTED_VALUE"""),"")</f>
        <v/>
      </c>
      <c r="C241" s="180" t="str">
        <f ca="1">IFERROR(__xludf.DUMMYFUNCTION("""COMPUTED_VALUE"""),"")</f>
        <v/>
      </c>
      <c r="D241" s="180" t="str">
        <f ca="1">IFERROR(__xludf.DUMMYFUNCTION("""COMPUTED_VALUE"""),"")</f>
        <v/>
      </c>
      <c r="E241" s="180" t="str">
        <f ca="1">IFERROR(__xludf.DUMMYFUNCTION("""COMPUTED_VALUE"""),"")</f>
        <v/>
      </c>
      <c r="F241" s="180" t="str">
        <f ca="1">IFERROR(__xludf.DUMMYFUNCTION("""COMPUTED_VALUE"""),"")</f>
        <v/>
      </c>
      <c r="G241" s="180" t="str">
        <f ca="1">IFERROR(__xludf.DUMMYFUNCTION("""COMPUTED_VALUE"""),"")</f>
        <v/>
      </c>
      <c r="H241" s="180" t="str">
        <f ca="1">IFERROR(__xludf.DUMMYFUNCTION("""COMPUTED_VALUE"""),"")</f>
        <v/>
      </c>
      <c r="I241" s="180" t="str">
        <f ca="1">IFERROR(__xludf.DUMMYFUNCTION("""COMPUTED_VALUE"""),"")</f>
        <v/>
      </c>
      <c r="J241" s="180" t="str">
        <f ca="1">IFERROR(__xludf.DUMMYFUNCTION("""COMPUTED_VALUE"""),"")</f>
        <v/>
      </c>
    </row>
    <row r="242" spans="1:10">
      <c r="A242" s="180" t="str">
        <f ca="1">IFERROR(__xludf.DUMMYFUNCTION("""COMPUTED_VALUE"""),"")</f>
        <v/>
      </c>
      <c r="B242" s="180" t="str">
        <f ca="1">IFERROR(__xludf.DUMMYFUNCTION("""COMPUTED_VALUE"""),"")</f>
        <v/>
      </c>
      <c r="C242" s="180" t="str">
        <f ca="1">IFERROR(__xludf.DUMMYFUNCTION("""COMPUTED_VALUE"""),"")</f>
        <v/>
      </c>
      <c r="D242" s="180" t="str">
        <f ca="1">IFERROR(__xludf.DUMMYFUNCTION("""COMPUTED_VALUE"""),"")</f>
        <v/>
      </c>
      <c r="E242" s="180" t="str">
        <f ca="1">IFERROR(__xludf.DUMMYFUNCTION("""COMPUTED_VALUE"""),"")</f>
        <v/>
      </c>
      <c r="F242" s="180" t="str">
        <f ca="1">IFERROR(__xludf.DUMMYFUNCTION("""COMPUTED_VALUE"""),"")</f>
        <v/>
      </c>
      <c r="G242" s="180" t="str">
        <f ca="1">IFERROR(__xludf.DUMMYFUNCTION("""COMPUTED_VALUE"""),"")</f>
        <v/>
      </c>
      <c r="H242" s="180" t="str">
        <f ca="1">IFERROR(__xludf.DUMMYFUNCTION("""COMPUTED_VALUE"""),"")</f>
        <v/>
      </c>
      <c r="I242" s="180" t="str">
        <f ca="1">IFERROR(__xludf.DUMMYFUNCTION("""COMPUTED_VALUE"""),"")</f>
        <v/>
      </c>
      <c r="J242" s="180" t="str">
        <f ca="1">IFERROR(__xludf.DUMMYFUNCTION("""COMPUTED_VALUE"""),"")</f>
        <v/>
      </c>
    </row>
    <row r="243" spans="1:10">
      <c r="A243" s="180" t="str">
        <f ca="1">IFERROR(__xludf.DUMMYFUNCTION("""COMPUTED_VALUE"""),"")</f>
        <v/>
      </c>
      <c r="B243" s="180" t="str">
        <f ca="1">IFERROR(__xludf.DUMMYFUNCTION("""COMPUTED_VALUE"""),"")</f>
        <v/>
      </c>
      <c r="C243" s="180" t="str">
        <f ca="1">IFERROR(__xludf.DUMMYFUNCTION("""COMPUTED_VALUE"""),"")</f>
        <v/>
      </c>
      <c r="D243" s="180" t="str">
        <f ca="1">IFERROR(__xludf.DUMMYFUNCTION("""COMPUTED_VALUE"""),"")</f>
        <v/>
      </c>
      <c r="E243" s="180" t="str">
        <f ca="1">IFERROR(__xludf.DUMMYFUNCTION("""COMPUTED_VALUE"""),"")</f>
        <v/>
      </c>
      <c r="F243" s="180" t="str">
        <f ca="1">IFERROR(__xludf.DUMMYFUNCTION("""COMPUTED_VALUE"""),"")</f>
        <v/>
      </c>
      <c r="G243" s="180" t="str">
        <f ca="1">IFERROR(__xludf.DUMMYFUNCTION("""COMPUTED_VALUE"""),"")</f>
        <v/>
      </c>
      <c r="H243" s="180" t="str">
        <f ca="1">IFERROR(__xludf.DUMMYFUNCTION("""COMPUTED_VALUE"""),"")</f>
        <v/>
      </c>
      <c r="I243" s="180" t="str">
        <f ca="1">IFERROR(__xludf.DUMMYFUNCTION("""COMPUTED_VALUE"""),"")</f>
        <v/>
      </c>
      <c r="J243" s="180" t="str">
        <f ca="1">IFERROR(__xludf.DUMMYFUNCTION("""COMPUTED_VALUE"""),"")</f>
        <v/>
      </c>
    </row>
    <row r="244" spans="1:10">
      <c r="A244" s="180" t="str">
        <f ca="1">IFERROR(__xludf.DUMMYFUNCTION("""COMPUTED_VALUE"""),"")</f>
        <v/>
      </c>
      <c r="B244" s="180" t="str">
        <f ca="1">IFERROR(__xludf.DUMMYFUNCTION("""COMPUTED_VALUE"""),"")</f>
        <v/>
      </c>
      <c r="C244" s="180" t="str">
        <f ca="1">IFERROR(__xludf.DUMMYFUNCTION("""COMPUTED_VALUE"""),"")</f>
        <v/>
      </c>
      <c r="D244" s="180" t="str">
        <f ca="1">IFERROR(__xludf.DUMMYFUNCTION("""COMPUTED_VALUE"""),"")</f>
        <v/>
      </c>
      <c r="E244" s="180" t="str">
        <f ca="1">IFERROR(__xludf.DUMMYFUNCTION("""COMPUTED_VALUE"""),"")</f>
        <v/>
      </c>
      <c r="F244" s="180" t="str">
        <f ca="1">IFERROR(__xludf.DUMMYFUNCTION("""COMPUTED_VALUE"""),"")</f>
        <v/>
      </c>
      <c r="G244" s="180" t="str">
        <f ca="1">IFERROR(__xludf.DUMMYFUNCTION("""COMPUTED_VALUE"""),"")</f>
        <v/>
      </c>
      <c r="H244" s="180" t="str">
        <f ca="1">IFERROR(__xludf.DUMMYFUNCTION("""COMPUTED_VALUE"""),"")</f>
        <v/>
      </c>
      <c r="I244" s="180" t="str">
        <f ca="1">IFERROR(__xludf.DUMMYFUNCTION("""COMPUTED_VALUE"""),"")</f>
        <v/>
      </c>
      <c r="J244" s="180" t="str">
        <f ca="1">IFERROR(__xludf.DUMMYFUNCTION("""COMPUTED_VALUE"""),"")</f>
        <v/>
      </c>
    </row>
    <row r="245" spans="1:10">
      <c r="A245" s="180" t="str">
        <f ca="1">IFERROR(__xludf.DUMMYFUNCTION("""COMPUTED_VALUE"""),"")</f>
        <v/>
      </c>
      <c r="B245" s="180" t="str">
        <f ca="1">IFERROR(__xludf.DUMMYFUNCTION("""COMPUTED_VALUE"""),"")</f>
        <v/>
      </c>
      <c r="C245" s="180" t="str">
        <f ca="1">IFERROR(__xludf.DUMMYFUNCTION("""COMPUTED_VALUE"""),"")</f>
        <v/>
      </c>
      <c r="D245" s="180" t="str">
        <f ca="1">IFERROR(__xludf.DUMMYFUNCTION("""COMPUTED_VALUE"""),"")</f>
        <v/>
      </c>
      <c r="E245" s="180" t="str">
        <f ca="1">IFERROR(__xludf.DUMMYFUNCTION("""COMPUTED_VALUE"""),"")</f>
        <v/>
      </c>
      <c r="F245" s="180" t="str">
        <f ca="1">IFERROR(__xludf.DUMMYFUNCTION("""COMPUTED_VALUE"""),"")</f>
        <v/>
      </c>
      <c r="G245" s="180" t="str">
        <f ca="1">IFERROR(__xludf.DUMMYFUNCTION("""COMPUTED_VALUE"""),"")</f>
        <v/>
      </c>
      <c r="H245" s="180" t="str">
        <f ca="1">IFERROR(__xludf.DUMMYFUNCTION("""COMPUTED_VALUE"""),"")</f>
        <v/>
      </c>
      <c r="I245" s="180" t="str">
        <f ca="1">IFERROR(__xludf.DUMMYFUNCTION("""COMPUTED_VALUE"""),"")</f>
        <v/>
      </c>
      <c r="J245" s="180" t="str">
        <f ca="1">IFERROR(__xludf.DUMMYFUNCTION("""COMPUTED_VALUE"""),"")</f>
        <v/>
      </c>
    </row>
    <row r="246" spans="1:10">
      <c r="A246" s="180" t="str">
        <f ca="1">IFERROR(__xludf.DUMMYFUNCTION("""COMPUTED_VALUE"""),"")</f>
        <v/>
      </c>
      <c r="B246" s="180" t="str">
        <f ca="1">IFERROR(__xludf.DUMMYFUNCTION("""COMPUTED_VALUE"""),"")</f>
        <v/>
      </c>
      <c r="C246" s="180" t="str">
        <f ca="1">IFERROR(__xludf.DUMMYFUNCTION("""COMPUTED_VALUE"""),"")</f>
        <v/>
      </c>
      <c r="D246" s="180" t="str">
        <f ca="1">IFERROR(__xludf.DUMMYFUNCTION("""COMPUTED_VALUE"""),"")</f>
        <v/>
      </c>
      <c r="E246" s="180" t="str">
        <f ca="1">IFERROR(__xludf.DUMMYFUNCTION("""COMPUTED_VALUE"""),"")</f>
        <v/>
      </c>
      <c r="F246" s="180" t="str">
        <f ca="1">IFERROR(__xludf.DUMMYFUNCTION("""COMPUTED_VALUE"""),"")</f>
        <v/>
      </c>
      <c r="G246" s="180" t="str">
        <f ca="1">IFERROR(__xludf.DUMMYFUNCTION("""COMPUTED_VALUE"""),"")</f>
        <v/>
      </c>
      <c r="H246" s="180" t="str">
        <f ca="1">IFERROR(__xludf.DUMMYFUNCTION("""COMPUTED_VALUE"""),"")</f>
        <v/>
      </c>
      <c r="I246" s="180" t="str">
        <f ca="1">IFERROR(__xludf.DUMMYFUNCTION("""COMPUTED_VALUE"""),"")</f>
        <v/>
      </c>
      <c r="J246" s="180" t="str">
        <f ca="1">IFERROR(__xludf.DUMMYFUNCTION("""COMPUTED_VALUE"""),"")</f>
        <v/>
      </c>
    </row>
    <row r="247" spans="1:10">
      <c r="A247" s="180" t="str">
        <f ca="1">IFERROR(__xludf.DUMMYFUNCTION("""COMPUTED_VALUE"""),"")</f>
        <v/>
      </c>
      <c r="B247" s="180" t="str">
        <f ca="1">IFERROR(__xludf.DUMMYFUNCTION("""COMPUTED_VALUE"""),"")</f>
        <v/>
      </c>
      <c r="C247" s="180" t="str">
        <f ca="1">IFERROR(__xludf.DUMMYFUNCTION("""COMPUTED_VALUE"""),"")</f>
        <v/>
      </c>
      <c r="D247" s="180" t="str">
        <f ca="1">IFERROR(__xludf.DUMMYFUNCTION("""COMPUTED_VALUE"""),"")</f>
        <v/>
      </c>
      <c r="E247" s="180" t="str">
        <f ca="1">IFERROR(__xludf.DUMMYFUNCTION("""COMPUTED_VALUE"""),"")</f>
        <v/>
      </c>
      <c r="F247" s="180" t="str">
        <f ca="1">IFERROR(__xludf.DUMMYFUNCTION("""COMPUTED_VALUE"""),"")</f>
        <v/>
      </c>
      <c r="G247" s="180" t="str">
        <f ca="1">IFERROR(__xludf.DUMMYFUNCTION("""COMPUTED_VALUE"""),"")</f>
        <v/>
      </c>
      <c r="H247" s="180" t="str">
        <f ca="1">IFERROR(__xludf.DUMMYFUNCTION("""COMPUTED_VALUE"""),"")</f>
        <v/>
      </c>
      <c r="I247" s="180" t="str">
        <f ca="1">IFERROR(__xludf.DUMMYFUNCTION("""COMPUTED_VALUE"""),"")</f>
        <v/>
      </c>
      <c r="J247" s="180" t="str">
        <f ca="1">IFERROR(__xludf.DUMMYFUNCTION("""COMPUTED_VALUE"""),"")</f>
        <v/>
      </c>
    </row>
    <row r="248" spans="1:10">
      <c r="A248" s="180" t="str">
        <f ca="1">IFERROR(__xludf.DUMMYFUNCTION("""COMPUTED_VALUE"""),"")</f>
        <v/>
      </c>
      <c r="B248" s="180" t="str">
        <f ca="1">IFERROR(__xludf.DUMMYFUNCTION("""COMPUTED_VALUE"""),"")</f>
        <v/>
      </c>
      <c r="C248" s="180" t="str">
        <f ca="1">IFERROR(__xludf.DUMMYFUNCTION("""COMPUTED_VALUE"""),"")</f>
        <v/>
      </c>
      <c r="D248" s="180" t="str">
        <f ca="1">IFERROR(__xludf.DUMMYFUNCTION("""COMPUTED_VALUE"""),"")</f>
        <v/>
      </c>
      <c r="E248" s="180" t="str">
        <f ca="1">IFERROR(__xludf.DUMMYFUNCTION("""COMPUTED_VALUE"""),"")</f>
        <v/>
      </c>
      <c r="F248" s="180" t="str">
        <f ca="1">IFERROR(__xludf.DUMMYFUNCTION("""COMPUTED_VALUE"""),"")</f>
        <v/>
      </c>
      <c r="G248" s="180" t="str">
        <f ca="1">IFERROR(__xludf.DUMMYFUNCTION("""COMPUTED_VALUE"""),"")</f>
        <v/>
      </c>
      <c r="H248" s="180" t="str">
        <f ca="1">IFERROR(__xludf.DUMMYFUNCTION("""COMPUTED_VALUE"""),"")</f>
        <v/>
      </c>
      <c r="I248" s="180" t="str">
        <f ca="1">IFERROR(__xludf.DUMMYFUNCTION("""COMPUTED_VALUE"""),"")</f>
        <v/>
      </c>
      <c r="J248" s="180" t="str">
        <f ca="1">IFERROR(__xludf.DUMMYFUNCTION("""COMPUTED_VALUE"""),"")</f>
        <v/>
      </c>
    </row>
    <row r="249" spans="1:10">
      <c r="A249" s="180" t="str">
        <f ca="1">IFERROR(__xludf.DUMMYFUNCTION("""COMPUTED_VALUE"""),"")</f>
        <v/>
      </c>
      <c r="B249" s="180" t="str">
        <f ca="1">IFERROR(__xludf.DUMMYFUNCTION("""COMPUTED_VALUE"""),"")</f>
        <v/>
      </c>
      <c r="C249" s="180" t="str">
        <f ca="1">IFERROR(__xludf.DUMMYFUNCTION("""COMPUTED_VALUE"""),"")</f>
        <v/>
      </c>
      <c r="D249" s="180" t="str">
        <f ca="1">IFERROR(__xludf.DUMMYFUNCTION("""COMPUTED_VALUE"""),"")</f>
        <v/>
      </c>
      <c r="E249" s="180" t="str">
        <f ca="1">IFERROR(__xludf.DUMMYFUNCTION("""COMPUTED_VALUE"""),"")</f>
        <v/>
      </c>
      <c r="F249" s="180" t="str">
        <f ca="1">IFERROR(__xludf.DUMMYFUNCTION("""COMPUTED_VALUE"""),"")</f>
        <v/>
      </c>
      <c r="G249" s="180" t="str">
        <f ca="1">IFERROR(__xludf.DUMMYFUNCTION("""COMPUTED_VALUE"""),"")</f>
        <v/>
      </c>
      <c r="H249" s="180" t="str">
        <f ca="1">IFERROR(__xludf.DUMMYFUNCTION("""COMPUTED_VALUE"""),"")</f>
        <v/>
      </c>
      <c r="I249" s="180" t="str">
        <f ca="1">IFERROR(__xludf.DUMMYFUNCTION("""COMPUTED_VALUE"""),"")</f>
        <v/>
      </c>
      <c r="J249" s="180" t="str">
        <f ca="1">IFERROR(__xludf.DUMMYFUNCTION("""COMPUTED_VALUE"""),"")</f>
        <v/>
      </c>
    </row>
    <row r="250" spans="1:10">
      <c r="A250" s="180" t="str">
        <f ca="1">IFERROR(__xludf.DUMMYFUNCTION("""COMPUTED_VALUE"""),"")</f>
        <v/>
      </c>
      <c r="B250" s="180" t="str">
        <f ca="1">IFERROR(__xludf.DUMMYFUNCTION("""COMPUTED_VALUE"""),"")</f>
        <v/>
      </c>
      <c r="C250" s="180" t="str">
        <f ca="1">IFERROR(__xludf.DUMMYFUNCTION("""COMPUTED_VALUE"""),"")</f>
        <v/>
      </c>
      <c r="D250" s="180" t="str">
        <f ca="1">IFERROR(__xludf.DUMMYFUNCTION("""COMPUTED_VALUE"""),"")</f>
        <v/>
      </c>
      <c r="E250" s="180" t="str">
        <f ca="1">IFERROR(__xludf.DUMMYFUNCTION("""COMPUTED_VALUE"""),"")</f>
        <v/>
      </c>
      <c r="F250" s="180" t="str">
        <f ca="1">IFERROR(__xludf.DUMMYFUNCTION("""COMPUTED_VALUE"""),"")</f>
        <v/>
      </c>
      <c r="G250" s="180" t="str">
        <f ca="1">IFERROR(__xludf.DUMMYFUNCTION("""COMPUTED_VALUE"""),"")</f>
        <v/>
      </c>
      <c r="H250" s="180" t="str">
        <f ca="1">IFERROR(__xludf.DUMMYFUNCTION("""COMPUTED_VALUE"""),"")</f>
        <v/>
      </c>
      <c r="I250" s="180" t="str">
        <f ca="1">IFERROR(__xludf.DUMMYFUNCTION("""COMPUTED_VALUE"""),"")</f>
        <v/>
      </c>
      <c r="J250" s="180" t="str">
        <f ca="1">IFERROR(__xludf.DUMMYFUNCTION("""COMPUTED_VALUE"""),"")</f>
        <v/>
      </c>
    </row>
    <row r="251" spans="1:10">
      <c r="A251" s="180" t="str">
        <f ca="1">IFERROR(__xludf.DUMMYFUNCTION("""COMPUTED_VALUE"""),"")</f>
        <v/>
      </c>
      <c r="B251" s="180" t="str">
        <f ca="1">IFERROR(__xludf.DUMMYFUNCTION("""COMPUTED_VALUE"""),"")</f>
        <v/>
      </c>
      <c r="C251" s="180" t="str">
        <f ca="1">IFERROR(__xludf.DUMMYFUNCTION("""COMPUTED_VALUE"""),"")</f>
        <v/>
      </c>
      <c r="D251" s="180" t="str">
        <f ca="1">IFERROR(__xludf.DUMMYFUNCTION("""COMPUTED_VALUE"""),"")</f>
        <v/>
      </c>
      <c r="E251" s="180" t="str">
        <f ca="1">IFERROR(__xludf.DUMMYFUNCTION("""COMPUTED_VALUE"""),"")</f>
        <v/>
      </c>
      <c r="F251" s="180" t="str">
        <f ca="1">IFERROR(__xludf.DUMMYFUNCTION("""COMPUTED_VALUE"""),"")</f>
        <v/>
      </c>
      <c r="G251" s="180" t="str">
        <f ca="1">IFERROR(__xludf.DUMMYFUNCTION("""COMPUTED_VALUE"""),"")</f>
        <v/>
      </c>
      <c r="H251" s="180" t="str">
        <f ca="1">IFERROR(__xludf.DUMMYFUNCTION("""COMPUTED_VALUE"""),"")</f>
        <v/>
      </c>
      <c r="I251" s="180" t="str">
        <f ca="1">IFERROR(__xludf.DUMMYFUNCTION("""COMPUTED_VALUE"""),"")</f>
        <v/>
      </c>
      <c r="J251" s="180" t="str">
        <f ca="1">IFERROR(__xludf.DUMMYFUNCTION("""COMPUTED_VALUE"""),"")</f>
        <v/>
      </c>
    </row>
    <row r="252" spans="1:10">
      <c r="A252" s="180" t="str">
        <f ca="1">IFERROR(__xludf.DUMMYFUNCTION("""COMPUTED_VALUE"""),"")</f>
        <v/>
      </c>
      <c r="B252" s="180" t="str">
        <f ca="1">IFERROR(__xludf.DUMMYFUNCTION("""COMPUTED_VALUE"""),"")</f>
        <v/>
      </c>
      <c r="C252" s="180" t="str">
        <f ca="1">IFERROR(__xludf.DUMMYFUNCTION("""COMPUTED_VALUE"""),"")</f>
        <v/>
      </c>
      <c r="D252" s="180" t="str">
        <f ca="1">IFERROR(__xludf.DUMMYFUNCTION("""COMPUTED_VALUE"""),"")</f>
        <v/>
      </c>
      <c r="E252" s="180" t="str">
        <f ca="1">IFERROR(__xludf.DUMMYFUNCTION("""COMPUTED_VALUE"""),"")</f>
        <v/>
      </c>
      <c r="F252" s="180" t="str">
        <f ca="1">IFERROR(__xludf.DUMMYFUNCTION("""COMPUTED_VALUE"""),"")</f>
        <v/>
      </c>
      <c r="G252" s="180" t="str">
        <f ca="1">IFERROR(__xludf.DUMMYFUNCTION("""COMPUTED_VALUE"""),"")</f>
        <v/>
      </c>
      <c r="H252" s="180" t="str">
        <f ca="1">IFERROR(__xludf.DUMMYFUNCTION("""COMPUTED_VALUE"""),"")</f>
        <v/>
      </c>
      <c r="I252" s="180" t="str">
        <f ca="1">IFERROR(__xludf.DUMMYFUNCTION("""COMPUTED_VALUE"""),"")</f>
        <v/>
      </c>
      <c r="J252" s="180" t="str">
        <f ca="1">IFERROR(__xludf.DUMMYFUNCTION("""COMPUTED_VALUE"""),"")</f>
        <v/>
      </c>
    </row>
    <row r="253" spans="1:10">
      <c r="A253" s="180" t="str">
        <f ca="1">IFERROR(__xludf.DUMMYFUNCTION("""COMPUTED_VALUE"""),"")</f>
        <v/>
      </c>
      <c r="B253" s="180" t="str">
        <f ca="1">IFERROR(__xludf.DUMMYFUNCTION("""COMPUTED_VALUE"""),"")</f>
        <v/>
      </c>
      <c r="C253" s="180" t="str">
        <f ca="1">IFERROR(__xludf.DUMMYFUNCTION("""COMPUTED_VALUE"""),"")</f>
        <v/>
      </c>
      <c r="D253" s="180" t="str">
        <f ca="1">IFERROR(__xludf.DUMMYFUNCTION("""COMPUTED_VALUE"""),"")</f>
        <v/>
      </c>
      <c r="E253" s="180" t="str">
        <f ca="1">IFERROR(__xludf.DUMMYFUNCTION("""COMPUTED_VALUE"""),"")</f>
        <v/>
      </c>
      <c r="F253" s="180" t="str">
        <f ca="1">IFERROR(__xludf.DUMMYFUNCTION("""COMPUTED_VALUE"""),"")</f>
        <v/>
      </c>
      <c r="G253" s="180" t="str">
        <f ca="1">IFERROR(__xludf.DUMMYFUNCTION("""COMPUTED_VALUE"""),"")</f>
        <v/>
      </c>
      <c r="H253" s="180" t="str">
        <f ca="1">IFERROR(__xludf.DUMMYFUNCTION("""COMPUTED_VALUE"""),"")</f>
        <v/>
      </c>
      <c r="I253" s="180" t="str">
        <f ca="1">IFERROR(__xludf.DUMMYFUNCTION("""COMPUTED_VALUE"""),"")</f>
        <v/>
      </c>
      <c r="J253" s="180" t="str">
        <f ca="1">IFERROR(__xludf.DUMMYFUNCTION("""COMPUTED_VALUE"""),"")</f>
        <v/>
      </c>
    </row>
    <row r="254" spans="1:10">
      <c r="A254" s="180" t="str">
        <f ca="1">IFERROR(__xludf.DUMMYFUNCTION("""COMPUTED_VALUE"""),"")</f>
        <v/>
      </c>
      <c r="B254" s="180" t="str">
        <f ca="1">IFERROR(__xludf.DUMMYFUNCTION("""COMPUTED_VALUE"""),"")</f>
        <v/>
      </c>
      <c r="C254" s="180" t="str">
        <f ca="1">IFERROR(__xludf.DUMMYFUNCTION("""COMPUTED_VALUE"""),"")</f>
        <v/>
      </c>
      <c r="D254" s="180" t="str">
        <f ca="1">IFERROR(__xludf.DUMMYFUNCTION("""COMPUTED_VALUE"""),"")</f>
        <v/>
      </c>
      <c r="E254" s="180" t="str">
        <f ca="1">IFERROR(__xludf.DUMMYFUNCTION("""COMPUTED_VALUE"""),"")</f>
        <v/>
      </c>
      <c r="F254" s="180" t="str">
        <f ca="1">IFERROR(__xludf.DUMMYFUNCTION("""COMPUTED_VALUE"""),"")</f>
        <v/>
      </c>
      <c r="G254" s="180" t="str">
        <f ca="1">IFERROR(__xludf.DUMMYFUNCTION("""COMPUTED_VALUE"""),"")</f>
        <v/>
      </c>
      <c r="H254" s="180" t="str">
        <f ca="1">IFERROR(__xludf.DUMMYFUNCTION("""COMPUTED_VALUE"""),"")</f>
        <v/>
      </c>
      <c r="I254" s="180" t="str">
        <f ca="1">IFERROR(__xludf.DUMMYFUNCTION("""COMPUTED_VALUE"""),"")</f>
        <v/>
      </c>
      <c r="J254" s="180" t="str">
        <f ca="1">IFERROR(__xludf.DUMMYFUNCTION("""COMPUTED_VALUE"""),"")</f>
        <v/>
      </c>
    </row>
    <row r="255" spans="1:10">
      <c r="A255" s="180" t="str">
        <f ca="1">IFERROR(__xludf.DUMMYFUNCTION("""COMPUTED_VALUE"""),"")</f>
        <v/>
      </c>
      <c r="B255" s="180" t="str">
        <f ca="1">IFERROR(__xludf.DUMMYFUNCTION("""COMPUTED_VALUE"""),"")</f>
        <v/>
      </c>
      <c r="C255" s="180" t="str">
        <f ca="1">IFERROR(__xludf.DUMMYFUNCTION("""COMPUTED_VALUE"""),"")</f>
        <v/>
      </c>
      <c r="D255" s="180" t="str">
        <f ca="1">IFERROR(__xludf.DUMMYFUNCTION("""COMPUTED_VALUE"""),"")</f>
        <v/>
      </c>
      <c r="E255" s="180" t="str">
        <f ca="1">IFERROR(__xludf.DUMMYFUNCTION("""COMPUTED_VALUE"""),"")</f>
        <v/>
      </c>
      <c r="F255" s="180" t="str">
        <f ca="1">IFERROR(__xludf.DUMMYFUNCTION("""COMPUTED_VALUE"""),"")</f>
        <v/>
      </c>
      <c r="G255" s="180" t="str">
        <f ca="1">IFERROR(__xludf.DUMMYFUNCTION("""COMPUTED_VALUE"""),"")</f>
        <v/>
      </c>
      <c r="H255" s="180" t="str">
        <f ca="1">IFERROR(__xludf.DUMMYFUNCTION("""COMPUTED_VALUE"""),"")</f>
        <v/>
      </c>
      <c r="I255" s="180" t="str">
        <f ca="1">IFERROR(__xludf.DUMMYFUNCTION("""COMPUTED_VALUE"""),"")</f>
        <v/>
      </c>
      <c r="J255" s="180" t="str">
        <f ca="1">IFERROR(__xludf.DUMMYFUNCTION("""COMPUTED_VALUE"""),"")</f>
        <v/>
      </c>
    </row>
    <row r="256" spans="1:10">
      <c r="A256" s="180" t="str">
        <f ca="1">IFERROR(__xludf.DUMMYFUNCTION("""COMPUTED_VALUE"""),"")</f>
        <v/>
      </c>
      <c r="B256" s="180" t="str">
        <f ca="1">IFERROR(__xludf.DUMMYFUNCTION("""COMPUTED_VALUE"""),"")</f>
        <v/>
      </c>
      <c r="C256" s="180" t="str">
        <f ca="1">IFERROR(__xludf.DUMMYFUNCTION("""COMPUTED_VALUE"""),"")</f>
        <v/>
      </c>
      <c r="D256" s="180" t="str">
        <f ca="1">IFERROR(__xludf.DUMMYFUNCTION("""COMPUTED_VALUE"""),"")</f>
        <v/>
      </c>
      <c r="E256" s="180" t="str">
        <f ca="1">IFERROR(__xludf.DUMMYFUNCTION("""COMPUTED_VALUE"""),"")</f>
        <v/>
      </c>
      <c r="F256" s="180" t="str">
        <f ca="1">IFERROR(__xludf.DUMMYFUNCTION("""COMPUTED_VALUE"""),"")</f>
        <v/>
      </c>
      <c r="G256" s="180" t="str">
        <f ca="1">IFERROR(__xludf.DUMMYFUNCTION("""COMPUTED_VALUE"""),"")</f>
        <v/>
      </c>
      <c r="H256" s="180" t="str">
        <f ca="1">IFERROR(__xludf.DUMMYFUNCTION("""COMPUTED_VALUE"""),"")</f>
        <v/>
      </c>
      <c r="I256" s="180" t="str">
        <f ca="1">IFERROR(__xludf.DUMMYFUNCTION("""COMPUTED_VALUE"""),"")</f>
        <v/>
      </c>
      <c r="J256" s="180" t="str">
        <f ca="1">IFERROR(__xludf.DUMMYFUNCTION("""COMPUTED_VALUE"""),"")</f>
        <v/>
      </c>
    </row>
    <row r="257" spans="1:10">
      <c r="A257" s="180" t="str">
        <f ca="1">IFERROR(__xludf.DUMMYFUNCTION("""COMPUTED_VALUE"""),"")</f>
        <v/>
      </c>
      <c r="B257" s="180" t="str">
        <f ca="1">IFERROR(__xludf.DUMMYFUNCTION("""COMPUTED_VALUE"""),"")</f>
        <v/>
      </c>
      <c r="C257" s="180" t="str">
        <f ca="1">IFERROR(__xludf.DUMMYFUNCTION("""COMPUTED_VALUE"""),"")</f>
        <v/>
      </c>
      <c r="D257" s="180" t="str">
        <f ca="1">IFERROR(__xludf.DUMMYFUNCTION("""COMPUTED_VALUE"""),"")</f>
        <v/>
      </c>
      <c r="E257" s="180" t="str">
        <f ca="1">IFERROR(__xludf.DUMMYFUNCTION("""COMPUTED_VALUE"""),"")</f>
        <v/>
      </c>
      <c r="F257" s="180" t="str">
        <f ca="1">IFERROR(__xludf.DUMMYFUNCTION("""COMPUTED_VALUE"""),"")</f>
        <v/>
      </c>
      <c r="G257" s="180" t="str">
        <f ca="1">IFERROR(__xludf.DUMMYFUNCTION("""COMPUTED_VALUE"""),"")</f>
        <v/>
      </c>
      <c r="H257" s="180" t="str">
        <f ca="1">IFERROR(__xludf.DUMMYFUNCTION("""COMPUTED_VALUE"""),"")</f>
        <v/>
      </c>
      <c r="I257" s="180" t="str">
        <f ca="1">IFERROR(__xludf.DUMMYFUNCTION("""COMPUTED_VALUE"""),"")</f>
        <v/>
      </c>
      <c r="J257" s="180" t="str">
        <f ca="1">IFERROR(__xludf.DUMMYFUNCTION("""COMPUTED_VALUE"""),"")</f>
        <v/>
      </c>
    </row>
    <row r="258" spans="1:10">
      <c r="A258" s="180" t="str">
        <f ca="1">IFERROR(__xludf.DUMMYFUNCTION("""COMPUTED_VALUE"""),"")</f>
        <v/>
      </c>
      <c r="B258" s="180" t="str">
        <f ca="1">IFERROR(__xludf.DUMMYFUNCTION("""COMPUTED_VALUE"""),"")</f>
        <v/>
      </c>
      <c r="C258" s="180" t="str">
        <f ca="1">IFERROR(__xludf.DUMMYFUNCTION("""COMPUTED_VALUE"""),"")</f>
        <v/>
      </c>
      <c r="D258" s="180" t="str">
        <f ca="1">IFERROR(__xludf.DUMMYFUNCTION("""COMPUTED_VALUE"""),"")</f>
        <v/>
      </c>
      <c r="E258" s="180" t="str">
        <f ca="1">IFERROR(__xludf.DUMMYFUNCTION("""COMPUTED_VALUE"""),"")</f>
        <v/>
      </c>
      <c r="F258" s="180" t="str">
        <f ca="1">IFERROR(__xludf.DUMMYFUNCTION("""COMPUTED_VALUE"""),"")</f>
        <v/>
      </c>
      <c r="G258" s="180" t="str">
        <f ca="1">IFERROR(__xludf.DUMMYFUNCTION("""COMPUTED_VALUE"""),"")</f>
        <v/>
      </c>
      <c r="H258" s="180" t="str">
        <f ca="1">IFERROR(__xludf.DUMMYFUNCTION("""COMPUTED_VALUE"""),"")</f>
        <v/>
      </c>
      <c r="I258" s="180" t="str">
        <f ca="1">IFERROR(__xludf.DUMMYFUNCTION("""COMPUTED_VALUE"""),"")</f>
        <v/>
      </c>
      <c r="J258" s="180" t="str">
        <f ca="1">IFERROR(__xludf.DUMMYFUNCTION("""COMPUTED_VALUE"""),"")</f>
        <v/>
      </c>
    </row>
    <row r="259" spans="1:10">
      <c r="A259" s="180" t="str">
        <f ca="1">IFERROR(__xludf.DUMMYFUNCTION("""COMPUTED_VALUE"""),"")</f>
        <v/>
      </c>
      <c r="B259" s="180" t="str">
        <f ca="1">IFERROR(__xludf.DUMMYFUNCTION("""COMPUTED_VALUE"""),"")</f>
        <v/>
      </c>
      <c r="C259" s="180" t="str">
        <f ca="1">IFERROR(__xludf.DUMMYFUNCTION("""COMPUTED_VALUE"""),"")</f>
        <v/>
      </c>
      <c r="D259" s="180" t="str">
        <f ca="1">IFERROR(__xludf.DUMMYFUNCTION("""COMPUTED_VALUE"""),"")</f>
        <v/>
      </c>
      <c r="E259" s="180" t="str">
        <f ca="1">IFERROR(__xludf.DUMMYFUNCTION("""COMPUTED_VALUE"""),"")</f>
        <v/>
      </c>
      <c r="F259" s="180" t="str">
        <f ca="1">IFERROR(__xludf.DUMMYFUNCTION("""COMPUTED_VALUE"""),"")</f>
        <v/>
      </c>
      <c r="G259" s="180" t="str">
        <f ca="1">IFERROR(__xludf.DUMMYFUNCTION("""COMPUTED_VALUE"""),"")</f>
        <v/>
      </c>
      <c r="H259" s="180" t="str">
        <f ca="1">IFERROR(__xludf.DUMMYFUNCTION("""COMPUTED_VALUE"""),"")</f>
        <v/>
      </c>
      <c r="I259" s="180" t="str">
        <f ca="1">IFERROR(__xludf.DUMMYFUNCTION("""COMPUTED_VALUE"""),"")</f>
        <v/>
      </c>
      <c r="J259" s="180" t="str">
        <f ca="1">IFERROR(__xludf.DUMMYFUNCTION("""COMPUTED_VALUE"""),"")</f>
        <v/>
      </c>
    </row>
    <row r="260" spans="1:10">
      <c r="A260" s="180" t="str">
        <f ca="1">IFERROR(__xludf.DUMMYFUNCTION("""COMPUTED_VALUE"""),"")</f>
        <v/>
      </c>
      <c r="B260" s="180" t="str">
        <f ca="1">IFERROR(__xludf.DUMMYFUNCTION("""COMPUTED_VALUE"""),"")</f>
        <v/>
      </c>
      <c r="C260" s="180" t="str">
        <f ca="1">IFERROR(__xludf.DUMMYFUNCTION("""COMPUTED_VALUE"""),"")</f>
        <v/>
      </c>
      <c r="D260" s="180" t="str">
        <f ca="1">IFERROR(__xludf.DUMMYFUNCTION("""COMPUTED_VALUE"""),"")</f>
        <v/>
      </c>
      <c r="E260" s="180" t="str">
        <f ca="1">IFERROR(__xludf.DUMMYFUNCTION("""COMPUTED_VALUE"""),"")</f>
        <v/>
      </c>
      <c r="F260" s="180" t="str">
        <f ca="1">IFERROR(__xludf.DUMMYFUNCTION("""COMPUTED_VALUE"""),"")</f>
        <v/>
      </c>
      <c r="G260" s="180" t="str">
        <f ca="1">IFERROR(__xludf.DUMMYFUNCTION("""COMPUTED_VALUE"""),"")</f>
        <v/>
      </c>
      <c r="H260" s="180" t="str">
        <f ca="1">IFERROR(__xludf.DUMMYFUNCTION("""COMPUTED_VALUE"""),"")</f>
        <v/>
      </c>
      <c r="I260" s="180" t="str">
        <f ca="1">IFERROR(__xludf.DUMMYFUNCTION("""COMPUTED_VALUE"""),"")</f>
        <v/>
      </c>
      <c r="J260" s="180" t="str">
        <f ca="1">IFERROR(__xludf.DUMMYFUNCTION("""COMPUTED_VALUE"""),"")</f>
        <v/>
      </c>
    </row>
    <row r="261" spans="1:10">
      <c r="A261" s="180" t="str">
        <f ca="1">IFERROR(__xludf.DUMMYFUNCTION("""COMPUTED_VALUE"""),"")</f>
        <v/>
      </c>
      <c r="B261" s="180" t="str">
        <f ca="1">IFERROR(__xludf.DUMMYFUNCTION("""COMPUTED_VALUE"""),"")</f>
        <v/>
      </c>
      <c r="C261" s="180" t="str">
        <f ca="1">IFERROR(__xludf.DUMMYFUNCTION("""COMPUTED_VALUE"""),"")</f>
        <v/>
      </c>
      <c r="D261" s="180" t="str">
        <f ca="1">IFERROR(__xludf.DUMMYFUNCTION("""COMPUTED_VALUE"""),"")</f>
        <v/>
      </c>
      <c r="E261" s="180" t="str">
        <f ca="1">IFERROR(__xludf.DUMMYFUNCTION("""COMPUTED_VALUE"""),"")</f>
        <v/>
      </c>
      <c r="F261" s="180" t="str">
        <f ca="1">IFERROR(__xludf.DUMMYFUNCTION("""COMPUTED_VALUE"""),"")</f>
        <v/>
      </c>
      <c r="G261" s="180" t="str">
        <f ca="1">IFERROR(__xludf.DUMMYFUNCTION("""COMPUTED_VALUE"""),"")</f>
        <v/>
      </c>
      <c r="H261" s="180" t="str">
        <f ca="1">IFERROR(__xludf.DUMMYFUNCTION("""COMPUTED_VALUE"""),"")</f>
        <v/>
      </c>
      <c r="I261" s="180" t="str">
        <f ca="1">IFERROR(__xludf.DUMMYFUNCTION("""COMPUTED_VALUE"""),"")</f>
        <v/>
      </c>
      <c r="J261" s="180" t="str">
        <f ca="1">IFERROR(__xludf.DUMMYFUNCTION("""COMPUTED_VALUE"""),"")</f>
        <v/>
      </c>
    </row>
    <row r="262" spans="1:10">
      <c r="A262" s="180" t="str">
        <f ca="1">IFERROR(__xludf.DUMMYFUNCTION("""COMPUTED_VALUE"""),"")</f>
        <v/>
      </c>
      <c r="B262" s="180" t="str">
        <f ca="1">IFERROR(__xludf.DUMMYFUNCTION("""COMPUTED_VALUE"""),"")</f>
        <v/>
      </c>
      <c r="C262" s="180" t="str">
        <f ca="1">IFERROR(__xludf.DUMMYFUNCTION("""COMPUTED_VALUE"""),"")</f>
        <v/>
      </c>
      <c r="D262" s="180" t="str">
        <f ca="1">IFERROR(__xludf.DUMMYFUNCTION("""COMPUTED_VALUE"""),"")</f>
        <v/>
      </c>
      <c r="E262" s="180" t="str">
        <f ca="1">IFERROR(__xludf.DUMMYFUNCTION("""COMPUTED_VALUE"""),"")</f>
        <v/>
      </c>
      <c r="F262" s="180" t="str">
        <f ca="1">IFERROR(__xludf.DUMMYFUNCTION("""COMPUTED_VALUE"""),"")</f>
        <v/>
      </c>
      <c r="G262" s="180" t="str">
        <f ca="1">IFERROR(__xludf.DUMMYFUNCTION("""COMPUTED_VALUE"""),"")</f>
        <v/>
      </c>
      <c r="H262" s="180" t="str">
        <f ca="1">IFERROR(__xludf.DUMMYFUNCTION("""COMPUTED_VALUE"""),"")</f>
        <v/>
      </c>
      <c r="I262" s="180" t="str">
        <f ca="1">IFERROR(__xludf.DUMMYFUNCTION("""COMPUTED_VALUE"""),"")</f>
        <v/>
      </c>
      <c r="J262" s="180" t="str">
        <f ca="1">IFERROR(__xludf.DUMMYFUNCTION("""COMPUTED_VALUE"""),"")</f>
        <v/>
      </c>
    </row>
    <row r="263" spans="1:10">
      <c r="A263" s="180" t="str">
        <f ca="1">IFERROR(__xludf.DUMMYFUNCTION("""COMPUTED_VALUE"""),"")</f>
        <v/>
      </c>
      <c r="B263" s="180" t="str">
        <f ca="1">IFERROR(__xludf.DUMMYFUNCTION("""COMPUTED_VALUE"""),"")</f>
        <v/>
      </c>
      <c r="C263" s="180" t="str">
        <f ca="1">IFERROR(__xludf.DUMMYFUNCTION("""COMPUTED_VALUE"""),"")</f>
        <v/>
      </c>
      <c r="D263" s="180" t="str">
        <f ca="1">IFERROR(__xludf.DUMMYFUNCTION("""COMPUTED_VALUE"""),"")</f>
        <v/>
      </c>
      <c r="E263" s="180" t="str">
        <f ca="1">IFERROR(__xludf.DUMMYFUNCTION("""COMPUTED_VALUE"""),"")</f>
        <v/>
      </c>
      <c r="F263" s="180" t="str">
        <f ca="1">IFERROR(__xludf.DUMMYFUNCTION("""COMPUTED_VALUE"""),"")</f>
        <v/>
      </c>
      <c r="G263" s="180" t="str">
        <f ca="1">IFERROR(__xludf.DUMMYFUNCTION("""COMPUTED_VALUE"""),"")</f>
        <v/>
      </c>
      <c r="H263" s="180" t="str">
        <f ca="1">IFERROR(__xludf.DUMMYFUNCTION("""COMPUTED_VALUE"""),"")</f>
        <v/>
      </c>
      <c r="I263" s="180" t="str">
        <f ca="1">IFERROR(__xludf.DUMMYFUNCTION("""COMPUTED_VALUE"""),"")</f>
        <v/>
      </c>
      <c r="J263" s="180" t="str">
        <f ca="1">IFERROR(__xludf.DUMMYFUNCTION("""COMPUTED_VALUE"""),"")</f>
        <v/>
      </c>
    </row>
    <row r="264" spans="1:10">
      <c r="A264" s="180" t="str">
        <f ca="1">IFERROR(__xludf.DUMMYFUNCTION("""COMPUTED_VALUE"""),"")</f>
        <v/>
      </c>
      <c r="B264" s="180" t="str">
        <f ca="1">IFERROR(__xludf.DUMMYFUNCTION("""COMPUTED_VALUE"""),"")</f>
        <v/>
      </c>
      <c r="C264" s="180" t="str">
        <f ca="1">IFERROR(__xludf.DUMMYFUNCTION("""COMPUTED_VALUE"""),"")</f>
        <v/>
      </c>
      <c r="D264" s="180" t="str">
        <f ca="1">IFERROR(__xludf.DUMMYFUNCTION("""COMPUTED_VALUE"""),"")</f>
        <v/>
      </c>
      <c r="E264" s="180" t="str">
        <f ca="1">IFERROR(__xludf.DUMMYFUNCTION("""COMPUTED_VALUE"""),"")</f>
        <v/>
      </c>
      <c r="F264" s="180" t="str">
        <f ca="1">IFERROR(__xludf.DUMMYFUNCTION("""COMPUTED_VALUE"""),"")</f>
        <v/>
      </c>
      <c r="G264" s="180" t="str">
        <f ca="1">IFERROR(__xludf.DUMMYFUNCTION("""COMPUTED_VALUE"""),"")</f>
        <v/>
      </c>
      <c r="H264" s="180" t="str">
        <f ca="1">IFERROR(__xludf.DUMMYFUNCTION("""COMPUTED_VALUE"""),"")</f>
        <v/>
      </c>
      <c r="I264" s="180" t="str">
        <f ca="1">IFERROR(__xludf.DUMMYFUNCTION("""COMPUTED_VALUE"""),"")</f>
        <v/>
      </c>
      <c r="J264" s="180" t="str">
        <f ca="1">IFERROR(__xludf.DUMMYFUNCTION("""COMPUTED_VALUE"""),"")</f>
        <v/>
      </c>
    </row>
    <row r="265" spans="1:10">
      <c r="A265" s="180" t="str">
        <f ca="1">IFERROR(__xludf.DUMMYFUNCTION("""COMPUTED_VALUE"""),"")</f>
        <v/>
      </c>
      <c r="B265" s="180" t="str">
        <f ca="1">IFERROR(__xludf.DUMMYFUNCTION("""COMPUTED_VALUE"""),"")</f>
        <v/>
      </c>
      <c r="C265" s="180" t="str">
        <f ca="1">IFERROR(__xludf.DUMMYFUNCTION("""COMPUTED_VALUE"""),"")</f>
        <v/>
      </c>
      <c r="D265" s="180" t="str">
        <f ca="1">IFERROR(__xludf.DUMMYFUNCTION("""COMPUTED_VALUE"""),"")</f>
        <v/>
      </c>
      <c r="E265" s="180" t="str">
        <f ca="1">IFERROR(__xludf.DUMMYFUNCTION("""COMPUTED_VALUE"""),"")</f>
        <v/>
      </c>
      <c r="F265" s="180" t="str">
        <f ca="1">IFERROR(__xludf.DUMMYFUNCTION("""COMPUTED_VALUE"""),"")</f>
        <v/>
      </c>
      <c r="G265" s="180" t="str">
        <f ca="1">IFERROR(__xludf.DUMMYFUNCTION("""COMPUTED_VALUE"""),"")</f>
        <v/>
      </c>
      <c r="H265" s="180" t="str">
        <f ca="1">IFERROR(__xludf.DUMMYFUNCTION("""COMPUTED_VALUE"""),"")</f>
        <v/>
      </c>
      <c r="I265" s="180" t="str">
        <f ca="1">IFERROR(__xludf.DUMMYFUNCTION("""COMPUTED_VALUE"""),"")</f>
        <v/>
      </c>
      <c r="J265" s="180" t="str">
        <f ca="1">IFERROR(__xludf.DUMMYFUNCTION("""COMPUTED_VALUE"""),"")</f>
        <v/>
      </c>
    </row>
    <row r="266" spans="1:10">
      <c r="A266" s="180" t="str">
        <f ca="1">IFERROR(__xludf.DUMMYFUNCTION("""COMPUTED_VALUE"""),"")</f>
        <v/>
      </c>
      <c r="B266" s="180" t="str">
        <f ca="1">IFERROR(__xludf.DUMMYFUNCTION("""COMPUTED_VALUE"""),"")</f>
        <v/>
      </c>
      <c r="C266" s="180" t="str">
        <f ca="1">IFERROR(__xludf.DUMMYFUNCTION("""COMPUTED_VALUE"""),"")</f>
        <v/>
      </c>
      <c r="D266" s="180" t="str">
        <f ca="1">IFERROR(__xludf.DUMMYFUNCTION("""COMPUTED_VALUE"""),"")</f>
        <v/>
      </c>
      <c r="E266" s="180" t="str">
        <f ca="1">IFERROR(__xludf.DUMMYFUNCTION("""COMPUTED_VALUE"""),"")</f>
        <v/>
      </c>
      <c r="F266" s="180" t="str">
        <f ca="1">IFERROR(__xludf.DUMMYFUNCTION("""COMPUTED_VALUE"""),"")</f>
        <v/>
      </c>
      <c r="G266" s="180" t="str">
        <f ca="1">IFERROR(__xludf.DUMMYFUNCTION("""COMPUTED_VALUE"""),"")</f>
        <v/>
      </c>
      <c r="H266" s="180" t="str">
        <f ca="1">IFERROR(__xludf.DUMMYFUNCTION("""COMPUTED_VALUE"""),"")</f>
        <v/>
      </c>
      <c r="I266" s="180" t="str">
        <f ca="1">IFERROR(__xludf.DUMMYFUNCTION("""COMPUTED_VALUE"""),"")</f>
        <v/>
      </c>
      <c r="J266" s="180" t="str">
        <f ca="1">IFERROR(__xludf.DUMMYFUNCTION("""COMPUTED_VALUE"""),"")</f>
        <v/>
      </c>
    </row>
    <row r="267" spans="1:10">
      <c r="A267" s="180" t="str">
        <f ca="1">IFERROR(__xludf.DUMMYFUNCTION("""COMPUTED_VALUE"""),"")</f>
        <v/>
      </c>
      <c r="B267" s="180" t="str">
        <f ca="1">IFERROR(__xludf.DUMMYFUNCTION("""COMPUTED_VALUE"""),"")</f>
        <v/>
      </c>
      <c r="C267" s="180" t="str">
        <f ca="1">IFERROR(__xludf.DUMMYFUNCTION("""COMPUTED_VALUE"""),"")</f>
        <v/>
      </c>
      <c r="D267" s="180" t="str">
        <f ca="1">IFERROR(__xludf.DUMMYFUNCTION("""COMPUTED_VALUE"""),"")</f>
        <v/>
      </c>
      <c r="E267" s="180" t="str">
        <f ca="1">IFERROR(__xludf.DUMMYFUNCTION("""COMPUTED_VALUE"""),"")</f>
        <v/>
      </c>
      <c r="F267" s="180" t="str">
        <f ca="1">IFERROR(__xludf.DUMMYFUNCTION("""COMPUTED_VALUE"""),"")</f>
        <v/>
      </c>
      <c r="G267" s="180" t="str">
        <f ca="1">IFERROR(__xludf.DUMMYFUNCTION("""COMPUTED_VALUE"""),"")</f>
        <v/>
      </c>
      <c r="H267" s="180" t="str">
        <f ca="1">IFERROR(__xludf.DUMMYFUNCTION("""COMPUTED_VALUE"""),"")</f>
        <v/>
      </c>
      <c r="I267" s="180" t="str">
        <f ca="1">IFERROR(__xludf.DUMMYFUNCTION("""COMPUTED_VALUE"""),"")</f>
        <v/>
      </c>
      <c r="J267" s="180" t="str">
        <f ca="1">IFERROR(__xludf.DUMMYFUNCTION("""COMPUTED_VALUE"""),"")</f>
        <v/>
      </c>
    </row>
    <row r="268" spans="1:10">
      <c r="A268" s="180" t="str">
        <f ca="1">IFERROR(__xludf.DUMMYFUNCTION("""COMPUTED_VALUE"""),"")</f>
        <v/>
      </c>
      <c r="B268" s="180" t="str">
        <f ca="1">IFERROR(__xludf.DUMMYFUNCTION("""COMPUTED_VALUE"""),"")</f>
        <v/>
      </c>
      <c r="C268" s="180" t="str">
        <f ca="1">IFERROR(__xludf.DUMMYFUNCTION("""COMPUTED_VALUE"""),"")</f>
        <v/>
      </c>
      <c r="D268" s="180" t="str">
        <f ca="1">IFERROR(__xludf.DUMMYFUNCTION("""COMPUTED_VALUE"""),"")</f>
        <v/>
      </c>
      <c r="E268" s="180" t="str">
        <f ca="1">IFERROR(__xludf.DUMMYFUNCTION("""COMPUTED_VALUE"""),"")</f>
        <v/>
      </c>
      <c r="F268" s="180" t="str">
        <f ca="1">IFERROR(__xludf.DUMMYFUNCTION("""COMPUTED_VALUE"""),"")</f>
        <v/>
      </c>
      <c r="G268" s="180" t="str">
        <f ca="1">IFERROR(__xludf.DUMMYFUNCTION("""COMPUTED_VALUE"""),"")</f>
        <v/>
      </c>
      <c r="H268" s="180" t="str">
        <f ca="1">IFERROR(__xludf.DUMMYFUNCTION("""COMPUTED_VALUE"""),"")</f>
        <v/>
      </c>
      <c r="I268" s="180" t="str">
        <f ca="1">IFERROR(__xludf.DUMMYFUNCTION("""COMPUTED_VALUE"""),"")</f>
        <v/>
      </c>
      <c r="J268" s="180" t="str">
        <f ca="1">IFERROR(__xludf.DUMMYFUNCTION("""COMPUTED_VALUE"""),"")</f>
        <v/>
      </c>
    </row>
    <row r="269" spans="1:10">
      <c r="A269" s="180" t="str">
        <f ca="1">IFERROR(__xludf.DUMMYFUNCTION("""COMPUTED_VALUE"""),"")</f>
        <v/>
      </c>
      <c r="B269" s="180" t="str">
        <f ca="1">IFERROR(__xludf.DUMMYFUNCTION("""COMPUTED_VALUE"""),"")</f>
        <v/>
      </c>
      <c r="C269" s="180" t="str">
        <f ca="1">IFERROR(__xludf.DUMMYFUNCTION("""COMPUTED_VALUE"""),"")</f>
        <v/>
      </c>
      <c r="D269" s="180" t="str">
        <f ca="1">IFERROR(__xludf.DUMMYFUNCTION("""COMPUTED_VALUE"""),"")</f>
        <v/>
      </c>
      <c r="E269" s="180" t="str">
        <f ca="1">IFERROR(__xludf.DUMMYFUNCTION("""COMPUTED_VALUE"""),"")</f>
        <v/>
      </c>
      <c r="F269" s="180" t="str">
        <f ca="1">IFERROR(__xludf.DUMMYFUNCTION("""COMPUTED_VALUE"""),"")</f>
        <v/>
      </c>
      <c r="G269" s="180" t="str">
        <f ca="1">IFERROR(__xludf.DUMMYFUNCTION("""COMPUTED_VALUE"""),"")</f>
        <v/>
      </c>
      <c r="H269" s="180" t="str">
        <f ca="1">IFERROR(__xludf.DUMMYFUNCTION("""COMPUTED_VALUE"""),"")</f>
        <v/>
      </c>
      <c r="I269" s="180" t="str">
        <f ca="1">IFERROR(__xludf.DUMMYFUNCTION("""COMPUTED_VALUE"""),"")</f>
        <v/>
      </c>
      <c r="J269" s="180" t="str">
        <f ca="1">IFERROR(__xludf.DUMMYFUNCTION("""COMPUTED_VALUE"""),"")</f>
        <v/>
      </c>
    </row>
    <row r="270" spans="1:10">
      <c r="A270" s="180" t="str">
        <f ca="1">IFERROR(__xludf.DUMMYFUNCTION("""COMPUTED_VALUE"""),"")</f>
        <v/>
      </c>
      <c r="B270" s="180" t="str">
        <f ca="1">IFERROR(__xludf.DUMMYFUNCTION("""COMPUTED_VALUE"""),"")</f>
        <v/>
      </c>
      <c r="C270" s="180" t="str">
        <f ca="1">IFERROR(__xludf.DUMMYFUNCTION("""COMPUTED_VALUE"""),"")</f>
        <v/>
      </c>
      <c r="D270" s="180" t="str">
        <f ca="1">IFERROR(__xludf.DUMMYFUNCTION("""COMPUTED_VALUE"""),"")</f>
        <v/>
      </c>
      <c r="E270" s="180" t="str">
        <f ca="1">IFERROR(__xludf.DUMMYFUNCTION("""COMPUTED_VALUE"""),"")</f>
        <v/>
      </c>
      <c r="F270" s="180" t="str">
        <f ca="1">IFERROR(__xludf.DUMMYFUNCTION("""COMPUTED_VALUE"""),"")</f>
        <v/>
      </c>
      <c r="G270" s="180" t="str">
        <f ca="1">IFERROR(__xludf.DUMMYFUNCTION("""COMPUTED_VALUE"""),"")</f>
        <v/>
      </c>
      <c r="H270" s="180" t="str">
        <f ca="1">IFERROR(__xludf.DUMMYFUNCTION("""COMPUTED_VALUE"""),"")</f>
        <v/>
      </c>
      <c r="I270" s="180" t="str">
        <f ca="1">IFERROR(__xludf.DUMMYFUNCTION("""COMPUTED_VALUE"""),"")</f>
        <v/>
      </c>
      <c r="J270" s="180" t="str">
        <f ca="1">IFERROR(__xludf.DUMMYFUNCTION("""COMPUTED_VALUE"""),"")</f>
        <v/>
      </c>
    </row>
    <row r="271" spans="1:10">
      <c r="A271" s="180" t="str">
        <f ca="1">IFERROR(__xludf.DUMMYFUNCTION("""COMPUTED_VALUE"""),"")</f>
        <v/>
      </c>
      <c r="B271" s="180" t="str">
        <f ca="1">IFERROR(__xludf.DUMMYFUNCTION("""COMPUTED_VALUE"""),"")</f>
        <v/>
      </c>
      <c r="C271" s="180" t="str">
        <f ca="1">IFERROR(__xludf.DUMMYFUNCTION("""COMPUTED_VALUE"""),"")</f>
        <v/>
      </c>
      <c r="D271" s="180" t="str">
        <f ca="1">IFERROR(__xludf.DUMMYFUNCTION("""COMPUTED_VALUE"""),"")</f>
        <v/>
      </c>
      <c r="E271" s="180" t="str">
        <f ca="1">IFERROR(__xludf.DUMMYFUNCTION("""COMPUTED_VALUE"""),"")</f>
        <v/>
      </c>
      <c r="F271" s="180" t="str">
        <f ca="1">IFERROR(__xludf.DUMMYFUNCTION("""COMPUTED_VALUE"""),"")</f>
        <v/>
      </c>
      <c r="G271" s="180" t="str">
        <f ca="1">IFERROR(__xludf.DUMMYFUNCTION("""COMPUTED_VALUE"""),"")</f>
        <v/>
      </c>
      <c r="H271" s="180" t="str">
        <f ca="1">IFERROR(__xludf.DUMMYFUNCTION("""COMPUTED_VALUE"""),"")</f>
        <v/>
      </c>
      <c r="I271" s="180" t="str">
        <f ca="1">IFERROR(__xludf.DUMMYFUNCTION("""COMPUTED_VALUE"""),"")</f>
        <v/>
      </c>
      <c r="J271" s="180" t="str">
        <f ca="1">IFERROR(__xludf.DUMMYFUNCTION("""COMPUTED_VALUE"""),"")</f>
        <v/>
      </c>
    </row>
    <row r="272" spans="1:10">
      <c r="A272" s="180" t="str">
        <f ca="1">IFERROR(__xludf.DUMMYFUNCTION("""COMPUTED_VALUE"""),"")</f>
        <v/>
      </c>
      <c r="B272" s="180" t="str">
        <f ca="1">IFERROR(__xludf.DUMMYFUNCTION("""COMPUTED_VALUE"""),"")</f>
        <v/>
      </c>
      <c r="C272" s="180" t="str">
        <f ca="1">IFERROR(__xludf.DUMMYFUNCTION("""COMPUTED_VALUE"""),"")</f>
        <v/>
      </c>
      <c r="D272" s="180" t="str">
        <f ca="1">IFERROR(__xludf.DUMMYFUNCTION("""COMPUTED_VALUE"""),"")</f>
        <v/>
      </c>
      <c r="E272" s="180" t="str">
        <f ca="1">IFERROR(__xludf.DUMMYFUNCTION("""COMPUTED_VALUE"""),"")</f>
        <v/>
      </c>
      <c r="F272" s="180" t="str">
        <f ca="1">IFERROR(__xludf.DUMMYFUNCTION("""COMPUTED_VALUE"""),"")</f>
        <v/>
      </c>
      <c r="G272" s="180" t="str">
        <f ca="1">IFERROR(__xludf.DUMMYFUNCTION("""COMPUTED_VALUE"""),"")</f>
        <v/>
      </c>
      <c r="H272" s="180" t="str">
        <f ca="1">IFERROR(__xludf.DUMMYFUNCTION("""COMPUTED_VALUE"""),"")</f>
        <v/>
      </c>
      <c r="I272" s="180" t="str">
        <f ca="1">IFERROR(__xludf.DUMMYFUNCTION("""COMPUTED_VALUE"""),"")</f>
        <v/>
      </c>
      <c r="J272" s="180" t="str">
        <f ca="1">IFERROR(__xludf.DUMMYFUNCTION("""COMPUTED_VALUE"""),"")</f>
        <v/>
      </c>
    </row>
    <row r="273" spans="1:10">
      <c r="A273" s="180" t="str">
        <f ca="1">IFERROR(__xludf.DUMMYFUNCTION("""COMPUTED_VALUE"""),"")</f>
        <v/>
      </c>
      <c r="B273" s="180" t="str">
        <f ca="1">IFERROR(__xludf.DUMMYFUNCTION("""COMPUTED_VALUE"""),"")</f>
        <v/>
      </c>
      <c r="C273" s="180" t="str">
        <f ca="1">IFERROR(__xludf.DUMMYFUNCTION("""COMPUTED_VALUE"""),"")</f>
        <v/>
      </c>
      <c r="D273" s="180" t="str">
        <f ca="1">IFERROR(__xludf.DUMMYFUNCTION("""COMPUTED_VALUE"""),"")</f>
        <v/>
      </c>
      <c r="E273" s="180" t="str">
        <f ca="1">IFERROR(__xludf.DUMMYFUNCTION("""COMPUTED_VALUE"""),"")</f>
        <v/>
      </c>
      <c r="F273" s="180" t="str">
        <f ca="1">IFERROR(__xludf.DUMMYFUNCTION("""COMPUTED_VALUE"""),"")</f>
        <v/>
      </c>
      <c r="G273" s="180" t="str">
        <f ca="1">IFERROR(__xludf.DUMMYFUNCTION("""COMPUTED_VALUE"""),"")</f>
        <v/>
      </c>
      <c r="H273" s="180" t="str">
        <f ca="1">IFERROR(__xludf.DUMMYFUNCTION("""COMPUTED_VALUE"""),"")</f>
        <v/>
      </c>
      <c r="I273" s="180" t="str">
        <f ca="1">IFERROR(__xludf.DUMMYFUNCTION("""COMPUTED_VALUE"""),"")</f>
        <v/>
      </c>
      <c r="J273" s="180" t="str">
        <f ca="1">IFERROR(__xludf.DUMMYFUNCTION("""COMPUTED_VALUE"""),"")</f>
        <v/>
      </c>
    </row>
    <row r="274" spans="1:10">
      <c r="A274" s="180" t="str">
        <f ca="1">IFERROR(__xludf.DUMMYFUNCTION("""COMPUTED_VALUE"""),"")</f>
        <v/>
      </c>
      <c r="B274" s="180" t="str">
        <f ca="1">IFERROR(__xludf.DUMMYFUNCTION("""COMPUTED_VALUE"""),"")</f>
        <v/>
      </c>
      <c r="C274" s="180" t="str">
        <f ca="1">IFERROR(__xludf.DUMMYFUNCTION("""COMPUTED_VALUE"""),"")</f>
        <v/>
      </c>
      <c r="D274" s="180" t="str">
        <f ca="1">IFERROR(__xludf.DUMMYFUNCTION("""COMPUTED_VALUE"""),"")</f>
        <v/>
      </c>
      <c r="E274" s="180" t="str">
        <f ca="1">IFERROR(__xludf.DUMMYFUNCTION("""COMPUTED_VALUE"""),"")</f>
        <v/>
      </c>
      <c r="F274" s="180" t="str">
        <f ca="1">IFERROR(__xludf.DUMMYFUNCTION("""COMPUTED_VALUE"""),"")</f>
        <v/>
      </c>
      <c r="G274" s="180" t="str">
        <f ca="1">IFERROR(__xludf.DUMMYFUNCTION("""COMPUTED_VALUE"""),"")</f>
        <v/>
      </c>
      <c r="H274" s="180" t="str">
        <f ca="1">IFERROR(__xludf.DUMMYFUNCTION("""COMPUTED_VALUE"""),"")</f>
        <v/>
      </c>
      <c r="I274" s="180" t="str">
        <f ca="1">IFERROR(__xludf.DUMMYFUNCTION("""COMPUTED_VALUE"""),"")</f>
        <v/>
      </c>
      <c r="J274" s="180" t="str">
        <f ca="1">IFERROR(__xludf.DUMMYFUNCTION("""COMPUTED_VALUE"""),"")</f>
        <v/>
      </c>
    </row>
    <row r="275" spans="1:10">
      <c r="A275" s="180" t="str">
        <f ca="1">IFERROR(__xludf.DUMMYFUNCTION("""COMPUTED_VALUE"""),"")</f>
        <v/>
      </c>
      <c r="B275" s="180" t="str">
        <f ca="1">IFERROR(__xludf.DUMMYFUNCTION("""COMPUTED_VALUE"""),"")</f>
        <v/>
      </c>
      <c r="C275" s="180" t="str">
        <f ca="1">IFERROR(__xludf.DUMMYFUNCTION("""COMPUTED_VALUE"""),"")</f>
        <v/>
      </c>
      <c r="D275" s="180" t="str">
        <f ca="1">IFERROR(__xludf.DUMMYFUNCTION("""COMPUTED_VALUE"""),"")</f>
        <v/>
      </c>
      <c r="E275" s="180" t="str">
        <f ca="1">IFERROR(__xludf.DUMMYFUNCTION("""COMPUTED_VALUE"""),"")</f>
        <v/>
      </c>
      <c r="F275" s="180" t="str">
        <f ca="1">IFERROR(__xludf.DUMMYFUNCTION("""COMPUTED_VALUE"""),"")</f>
        <v/>
      </c>
      <c r="G275" s="180" t="str">
        <f ca="1">IFERROR(__xludf.DUMMYFUNCTION("""COMPUTED_VALUE"""),"")</f>
        <v/>
      </c>
      <c r="H275" s="180" t="str">
        <f ca="1">IFERROR(__xludf.DUMMYFUNCTION("""COMPUTED_VALUE"""),"")</f>
        <v/>
      </c>
      <c r="I275" s="180" t="str">
        <f ca="1">IFERROR(__xludf.DUMMYFUNCTION("""COMPUTED_VALUE"""),"")</f>
        <v/>
      </c>
      <c r="J275" s="180" t="str">
        <f ca="1">IFERROR(__xludf.DUMMYFUNCTION("""COMPUTED_VALUE"""),"")</f>
        <v/>
      </c>
    </row>
    <row r="276" spans="1:10">
      <c r="A276" s="180" t="str">
        <f ca="1">IFERROR(__xludf.DUMMYFUNCTION("""COMPUTED_VALUE"""),"")</f>
        <v/>
      </c>
      <c r="B276" s="180" t="str">
        <f ca="1">IFERROR(__xludf.DUMMYFUNCTION("""COMPUTED_VALUE"""),"")</f>
        <v/>
      </c>
      <c r="C276" s="180" t="str">
        <f ca="1">IFERROR(__xludf.DUMMYFUNCTION("""COMPUTED_VALUE"""),"")</f>
        <v/>
      </c>
      <c r="D276" s="180" t="str">
        <f ca="1">IFERROR(__xludf.DUMMYFUNCTION("""COMPUTED_VALUE"""),"")</f>
        <v/>
      </c>
      <c r="E276" s="180" t="str">
        <f ca="1">IFERROR(__xludf.DUMMYFUNCTION("""COMPUTED_VALUE"""),"")</f>
        <v/>
      </c>
      <c r="F276" s="180" t="str">
        <f ca="1">IFERROR(__xludf.DUMMYFUNCTION("""COMPUTED_VALUE"""),"")</f>
        <v/>
      </c>
      <c r="G276" s="180" t="str">
        <f ca="1">IFERROR(__xludf.DUMMYFUNCTION("""COMPUTED_VALUE"""),"")</f>
        <v/>
      </c>
      <c r="H276" s="180" t="str">
        <f ca="1">IFERROR(__xludf.DUMMYFUNCTION("""COMPUTED_VALUE"""),"")</f>
        <v/>
      </c>
      <c r="I276" s="180" t="str">
        <f ca="1">IFERROR(__xludf.DUMMYFUNCTION("""COMPUTED_VALUE"""),"")</f>
        <v/>
      </c>
      <c r="J276" s="180" t="str">
        <f ca="1">IFERROR(__xludf.DUMMYFUNCTION("""COMPUTED_VALUE"""),"")</f>
        <v/>
      </c>
    </row>
    <row r="277" spans="1:10">
      <c r="A277" s="180" t="str">
        <f ca="1">IFERROR(__xludf.DUMMYFUNCTION("""COMPUTED_VALUE"""),"")</f>
        <v/>
      </c>
      <c r="B277" s="180" t="str">
        <f ca="1">IFERROR(__xludf.DUMMYFUNCTION("""COMPUTED_VALUE"""),"")</f>
        <v/>
      </c>
      <c r="C277" s="180" t="str">
        <f ca="1">IFERROR(__xludf.DUMMYFUNCTION("""COMPUTED_VALUE"""),"")</f>
        <v/>
      </c>
      <c r="D277" s="180" t="str">
        <f ca="1">IFERROR(__xludf.DUMMYFUNCTION("""COMPUTED_VALUE"""),"")</f>
        <v/>
      </c>
      <c r="E277" s="180" t="str">
        <f ca="1">IFERROR(__xludf.DUMMYFUNCTION("""COMPUTED_VALUE"""),"")</f>
        <v/>
      </c>
      <c r="F277" s="180" t="str">
        <f ca="1">IFERROR(__xludf.DUMMYFUNCTION("""COMPUTED_VALUE"""),"")</f>
        <v/>
      </c>
      <c r="G277" s="180" t="str">
        <f ca="1">IFERROR(__xludf.DUMMYFUNCTION("""COMPUTED_VALUE"""),"")</f>
        <v/>
      </c>
      <c r="H277" s="180" t="str">
        <f ca="1">IFERROR(__xludf.DUMMYFUNCTION("""COMPUTED_VALUE"""),"")</f>
        <v/>
      </c>
      <c r="I277" s="180" t="str">
        <f ca="1">IFERROR(__xludf.DUMMYFUNCTION("""COMPUTED_VALUE"""),"")</f>
        <v/>
      </c>
      <c r="J277" s="180" t="str">
        <f ca="1">IFERROR(__xludf.DUMMYFUNCTION("""COMPUTED_VALUE"""),"")</f>
        <v/>
      </c>
    </row>
    <row r="278" spans="1:10">
      <c r="A278" s="180" t="str">
        <f ca="1">IFERROR(__xludf.DUMMYFUNCTION("""COMPUTED_VALUE"""),"")</f>
        <v/>
      </c>
      <c r="B278" s="180" t="str">
        <f ca="1">IFERROR(__xludf.DUMMYFUNCTION("""COMPUTED_VALUE"""),"")</f>
        <v/>
      </c>
      <c r="C278" s="180" t="str">
        <f ca="1">IFERROR(__xludf.DUMMYFUNCTION("""COMPUTED_VALUE"""),"")</f>
        <v/>
      </c>
      <c r="D278" s="180" t="str">
        <f ca="1">IFERROR(__xludf.DUMMYFUNCTION("""COMPUTED_VALUE"""),"")</f>
        <v/>
      </c>
      <c r="E278" s="180" t="str">
        <f ca="1">IFERROR(__xludf.DUMMYFUNCTION("""COMPUTED_VALUE"""),"")</f>
        <v/>
      </c>
      <c r="F278" s="180" t="str">
        <f ca="1">IFERROR(__xludf.DUMMYFUNCTION("""COMPUTED_VALUE"""),"")</f>
        <v/>
      </c>
      <c r="G278" s="180" t="str">
        <f ca="1">IFERROR(__xludf.DUMMYFUNCTION("""COMPUTED_VALUE"""),"")</f>
        <v/>
      </c>
      <c r="H278" s="180" t="str">
        <f ca="1">IFERROR(__xludf.DUMMYFUNCTION("""COMPUTED_VALUE"""),"")</f>
        <v/>
      </c>
      <c r="I278" s="180" t="str">
        <f ca="1">IFERROR(__xludf.DUMMYFUNCTION("""COMPUTED_VALUE"""),"")</f>
        <v/>
      </c>
      <c r="J278" s="180" t="str">
        <f ca="1">IFERROR(__xludf.DUMMYFUNCTION("""COMPUTED_VALUE"""),"")</f>
        <v/>
      </c>
    </row>
    <row r="279" spans="1:10">
      <c r="A279" s="180" t="str">
        <f ca="1">IFERROR(__xludf.DUMMYFUNCTION("""COMPUTED_VALUE"""),"")</f>
        <v/>
      </c>
      <c r="B279" s="180" t="str">
        <f ca="1">IFERROR(__xludf.DUMMYFUNCTION("""COMPUTED_VALUE"""),"")</f>
        <v/>
      </c>
      <c r="C279" s="180" t="str">
        <f ca="1">IFERROR(__xludf.DUMMYFUNCTION("""COMPUTED_VALUE"""),"")</f>
        <v/>
      </c>
      <c r="D279" s="180" t="str">
        <f ca="1">IFERROR(__xludf.DUMMYFUNCTION("""COMPUTED_VALUE"""),"")</f>
        <v/>
      </c>
      <c r="E279" s="180" t="str">
        <f ca="1">IFERROR(__xludf.DUMMYFUNCTION("""COMPUTED_VALUE"""),"")</f>
        <v/>
      </c>
      <c r="F279" s="180" t="str">
        <f ca="1">IFERROR(__xludf.DUMMYFUNCTION("""COMPUTED_VALUE"""),"")</f>
        <v/>
      </c>
      <c r="G279" s="180" t="str">
        <f ca="1">IFERROR(__xludf.DUMMYFUNCTION("""COMPUTED_VALUE"""),"")</f>
        <v/>
      </c>
      <c r="H279" s="180" t="str">
        <f ca="1">IFERROR(__xludf.DUMMYFUNCTION("""COMPUTED_VALUE"""),"")</f>
        <v/>
      </c>
      <c r="I279" s="180" t="str">
        <f ca="1">IFERROR(__xludf.DUMMYFUNCTION("""COMPUTED_VALUE"""),"")</f>
        <v/>
      </c>
      <c r="J279" s="180" t="str">
        <f ca="1">IFERROR(__xludf.DUMMYFUNCTION("""COMPUTED_VALUE"""),"")</f>
        <v/>
      </c>
    </row>
    <row r="280" spans="1:10">
      <c r="A280" s="180" t="str">
        <f ca="1">IFERROR(__xludf.DUMMYFUNCTION("""COMPUTED_VALUE"""),"")</f>
        <v/>
      </c>
      <c r="B280" s="180" t="str">
        <f ca="1">IFERROR(__xludf.DUMMYFUNCTION("""COMPUTED_VALUE"""),"")</f>
        <v/>
      </c>
      <c r="C280" s="180" t="str">
        <f ca="1">IFERROR(__xludf.DUMMYFUNCTION("""COMPUTED_VALUE"""),"")</f>
        <v/>
      </c>
      <c r="D280" s="180" t="str">
        <f ca="1">IFERROR(__xludf.DUMMYFUNCTION("""COMPUTED_VALUE"""),"")</f>
        <v/>
      </c>
      <c r="E280" s="180" t="str">
        <f ca="1">IFERROR(__xludf.DUMMYFUNCTION("""COMPUTED_VALUE"""),"")</f>
        <v/>
      </c>
      <c r="F280" s="180" t="str">
        <f ca="1">IFERROR(__xludf.DUMMYFUNCTION("""COMPUTED_VALUE"""),"")</f>
        <v/>
      </c>
      <c r="G280" s="180" t="str">
        <f ca="1">IFERROR(__xludf.DUMMYFUNCTION("""COMPUTED_VALUE"""),"")</f>
        <v/>
      </c>
      <c r="H280" s="180" t="str">
        <f ca="1">IFERROR(__xludf.DUMMYFUNCTION("""COMPUTED_VALUE"""),"")</f>
        <v/>
      </c>
      <c r="I280" s="180" t="str">
        <f ca="1">IFERROR(__xludf.DUMMYFUNCTION("""COMPUTED_VALUE"""),"")</f>
        <v/>
      </c>
      <c r="J280" s="180" t="str">
        <f ca="1">IFERROR(__xludf.DUMMYFUNCTION("""COMPUTED_VALUE"""),"")</f>
        <v/>
      </c>
    </row>
    <row r="281" spans="1:10">
      <c r="A281" s="180" t="str">
        <f ca="1">IFERROR(__xludf.DUMMYFUNCTION("""COMPUTED_VALUE"""),"")</f>
        <v/>
      </c>
      <c r="B281" s="180" t="str">
        <f ca="1">IFERROR(__xludf.DUMMYFUNCTION("""COMPUTED_VALUE"""),"")</f>
        <v/>
      </c>
      <c r="C281" s="180" t="str">
        <f ca="1">IFERROR(__xludf.DUMMYFUNCTION("""COMPUTED_VALUE"""),"")</f>
        <v/>
      </c>
      <c r="D281" s="180" t="str">
        <f ca="1">IFERROR(__xludf.DUMMYFUNCTION("""COMPUTED_VALUE"""),"")</f>
        <v/>
      </c>
      <c r="E281" s="180" t="str">
        <f ca="1">IFERROR(__xludf.DUMMYFUNCTION("""COMPUTED_VALUE"""),"")</f>
        <v/>
      </c>
      <c r="F281" s="180" t="str">
        <f ca="1">IFERROR(__xludf.DUMMYFUNCTION("""COMPUTED_VALUE"""),"")</f>
        <v/>
      </c>
      <c r="G281" s="180" t="str">
        <f ca="1">IFERROR(__xludf.DUMMYFUNCTION("""COMPUTED_VALUE"""),"")</f>
        <v/>
      </c>
      <c r="H281" s="180" t="str">
        <f ca="1">IFERROR(__xludf.DUMMYFUNCTION("""COMPUTED_VALUE"""),"")</f>
        <v/>
      </c>
      <c r="I281" s="180" t="str">
        <f ca="1">IFERROR(__xludf.DUMMYFUNCTION("""COMPUTED_VALUE"""),"")</f>
        <v/>
      </c>
      <c r="J281" s="180" t="str">
        <f ca="1">IFERROR(__xludf.DUMMYFUNCTION("""COMPUTED_VALUE"""),"")</f>
        <v/>
      </c>
    </row>
    <row r="282" spans="1:10">
      <c r="A282" s="180" t="str">
        <f ca="1">IFERROR(__xludf.DUMMYFUNCTION("""COMPUTED_VALUE"""),"")</f>
        <v/>
      </c>
      <c r="B282" s="180" t="str">
        <f ca="1">IFERROR(__xludf.DUMMYFUNCTION("""COMPUTED_VALUE"""),"")</f>
        <v/>
      </c>
      <c r="C282" s="180" t="str">
        <f ca="1">IFERROR(__xludf.DUMMYFUNCTION("""COMPUTED_VALUE"""),"")</f>
        <v/>
      </c>
      <c r="D282" s="180" t="str">
        <f ca="1">IFERROR(__xludf.DUMMYFUNCTION("""COMPUTED_VALUE"""),"")</f>
        <v/>
      </c>
      <c r="E282" s="180" t="str">
        <f ca="1">IFERROR(__xludf.DUMMYFUNCTION("""COMPUTED_VALUE"""),"")</f>
        <v/>
      </c>
      <c r="F282" s="180" t="str">
        <f ca="1">IFERROR(__xludf.DUMMYFUNCTION("""COMPUTED_VALUE"""),"")</f>
        <v/>
      </c>
      <c r="G282" s="180" t="str">
        <f ca="1">IFERROR(__xludf.DUMMYFUNCTION("""COMPUTED_VALUE"""),"")</f>
        <v/>
      </c>
      <c r="H282" s="180" t="str">
        <f ca="1">IFERROR(__xludf.DUMMYFUNCTION("""COMPUTED_VALUE"""),"")</f>
        <v/>
      </c>
      <c r="I282" s="180" t="str">
        <f ca="1">IFERROR(__xludf.DUMMYFUNCTION("""COMPUTED_VALUE"""),"")</f>
        <v/>
      </c>
      <c r="J282" s="180" t="str">
        <f ca="1">IFERROR(__xludf.DUMMYFUNCTION("""COMPUTED_VALUE"""),"")</f>
        <v/>
      </c>
    </row>
    <row r="283" spans="1:10">
      <c r="A283" s="180" t="str">
        <f ca="1">IFERROR(__xludf.DUMMYFUNCTION("""COMPUTED_VALUE"""),"")</f>
        <v/>
      </c>
      <c r="B283" s="180" t="str">
        <f ca="1">IFERROR(__xludf.DUMMYFUNCTION("""COMPUTED_VALUE"""),"")</f>
        <v/>
      </c>
      <c r="C283" s="180" t="str">
        <f ca="1">IFERROR(__xludf.DUMMYFUNCTION("""COMPUTED_VALUE"""),"")</f>
        <v/>
      </c>
      <c r="D283" s="180" t="str">
        <f ca="1">IFERROR(__xludf.DUMMYFUNCTION("""COMPUTED_VALUE"""),"")</f>
        <v/>
      </c>
      <c r="E283" s="180" t="str">
        <f ca="1">IFERROR(__xludf.DUMMYFUNCTION("""COMPUTED_VALUE"""),"")</f>
        <v/>
      </c>
      <c r="F283" s="180" t="str">
        <f ca="1">IFERROR(__xludf.DUMMYFUNCTION("""COMPUTED_VALUE"""),"")</f>
        <v/>
      </c>
      <c r="G283" s="180" t="str">
        <f ca="1">IFERROR(__xludf.DUMMYFUNCTION("""COMPUTED_VALUE"""),"")</f>
        <v/>
      </c>
      <c r="H283" s="180" t="str">
        <f ca="1">IFERROR(__xludf.DUMMYFUNCTION("""COMPUTED_VALUE"""),"")</f>
        <v/>
      </c>
      <c r="I283" s="180" t="str">
        <f ca="1">IFERROR(__xludf.DUMMYFUNCTION("""COMPUTED_VALUE"""),"")</f>
        <v/>
      </c>
      <c r="J283" s="180" t="str">
        <f ca="1">IFERROR(__xludf.DUMMYFUNCTION("""COMPUTED_VALUE"""),"")</f>
        <v/>
      </c>
    </row>
    <row r="284" spans="1:10">
      <c r="A284" s="180" t="str">
        <f ca="1">IFERROR(__xludf.DUMMYFUNCTION("""COMPUTED_VALUE"""),"")</f>
        <v/>
      </c>
      <c r="B284" s="180" t="str">
        <f ca="1">IFERROR(__xludf.DUMMYFUNCTION("""COMPUTED_VALUE"""),"")</f>
        <v/>
      </c>
      <c r="C284" s="180" t="str">
        <f ca="1">IFERROR(__xludf.DUMMYFUNCTION("""COMPUTED_VALUE"""),"")</f>
        <v/>
      </c>
      <c r="D284" s="180" t="str">
        <f ca="1">IFERROR(__xludf.DUMMYFUNCTION("""COMPUTED_VALUE"""),"")</f>
        <v/>
      </c>
      <c r="E284" s="180" t="str">
        <f ca="1">IFERROR(__xludf.DUMMYFUNCTION("""COMPUTED_VALUE"""),"")</f>
        <v/>
      </c>
      <c r="F284" s="180" t="str">
        <f ca="1">IFERROR(__xludf.DUMMYFUNCTION("""COMPUTED_VALUE"""),"")</f>
        <v/>
      </c>
      <c r="G284" s="180" t="str">
        <f ca="1">IFERROR(__xludf.DUMMYFUNCTION("""COMPUTED_VALUE"""),"")</f>
        <v/>
      </c>
      <c r="H284" s="180" t="str">
        <f ca="1">IFERROR(__xludf.DUMMYFUNCTION("""COMPUTED_VALUE"""),"")</f>
        <v/>
      </c>
      <c r="I284" s="180" t="str">
        <f ca="1">IFERROR(__xludf.DUMMYFUNCTION("""COMPUTED_VALUE"""),"")</f>
        <v/>
      </c>
      <c r="J284" s="180" t="str">
        <f ca="1">IFERROR(__xludf.DUMMYFUNCTION("""COMPUTED_VALUE"""),"")</f>
        <v/>
      </c>
    </row>
    <row r="285" spans="1:10">
      <c r="A285" s="180" t="str">
        <f ca="1">IFERROR(__xludf.DUMMYFUNCTION("""COMPUTED_VALUE"""),"")</f>
        <v/>
      </c>
      <c r="B285" s="180" t="str">
        <f ca="1">IFERROR(__xludf.DUMMYFUNCTION("""COMPUTED_VALUE"""),"")</f>
        <v/>
      </c>
      <c r="C285" s="180" t="str">
        <f ca="1">IFERROR(__xludf.DUMMYFUNCTION("""COMPUTED_VALUE"""),"")</f>
        <v/>
      </c>
      <c r="D285" s="180" t="str">
        <f ca="1">IFERROR(__xludf.DUMMYFUNCTION("""COMPUTED_VALUE"""),"")</f>
        <v/>
      </c>
      <c r="E285" s="180" t="str">
        <f ca="1">IFERROR(__xludf.DUMMYFUNCTION("""COMPUTED_VALUE"""),"")</f>
        <v/>
      </c>
      <c r="F285" s="180" t="str">
        <f ca="1">IFERROR(__xludf.DUMMYFUNCTION("""COMPUTED_VALUE"""),"")</f>
        <v/>
      </c>
      <c r="G285" s="180" t="str">
        <f ca="1">IFERROR(__xludf.DUMMYFUNCTION("""COMPUTED_VALUE"""),"")</f>
        <v/>
      </c>
      <c r="H285" s="180" t="str">
        <f ca="1">IFERROR(__xludf.DUMMYFUNCTION("""COMPUTED_VALUE"""),"")</f>
        <v/>
      </c>
      <c r="I285" s="180" t="str">
        <f ca="1">IFERROR(__xludf.DUMMYFUNCTION("""COMPUTED_VALUE"""),"")</f>
        <v/>
      </c>
      <c r="J285" s="180" t="str">
        <f ca="1">IFERROR(__xludf.DUMMYFUNCTION("""COMPUTED_VALUE"""),"")</f>
        <v/>
      </c>
    </row>
    <row r="286" spans="1:10">
      <c r="A286" s="180" t="str">
        <f ca="1">IFERROR(__xludf.DUMMYFUNCTION("""COMPUTED_VALUE"""),"")</f>
        <v/>
      </c>
      <c r="B286" s="180" t="str">
        <f ca="1">IFERROR(__xludf.DUMMYFUNCTION("""COMPUTED_VALUE"""),"")</f>
        <v/>
      </c>
      <c r="C286" s="180" t="str">
        <f ca="1">IFERROR(__xludf.DUMMYFUNCTION("""COMPUTED_VALUE"""),"")</f>
        <v/>
      </c>
      <c r="D286" s="180" t="str">
        <f ca="1">IFERROR(__xludf.DUMMYFUNCTION("""COMPUTED_VALUE"""),"")</f>
        <v/>
      </c>
      <c r="E286" s="180" t="str">
        <f ca="1">IFERROR(__xludf.DUMMYFUNCTION("""COMPUTED_VALUE"""),"")</f>
        <v/>
      </c>
      <c r="F286" s="180" t="str">
        <f ca="1">IFERROR(__xludf.DUMMYFUNCTION("""COMPUTED_VALUE"""),"")</f>
        <v/>
      </c>
      <c r="G286" s="180" t="str">
        <f ca="1">IFERROR(__xludf.DUMMYFUNCTION("""COMPUTED_VALUE"""),"")</f>
        <v/>
      </c>
      <c r="H286" s="180" t="str">
        <f ca="1">IFERROR(__xludf.DUMMYFUNCTION("""COMPUTED_VALUE"""),"")</f>
        <v/>
      </c>
      <c r="I286" s="180" t="str">
        <f ca="1">IFERROR(__xludf.DUMMYFUNCTION("""COMPUTED_VALUE"""),"")</f>
        <v/>
      </c>
      <c r="J286" s="180" t="str">
        <f ca="1">IFERROR(__xludf.DUMMYFUNCTION("""COMPUTED_VALUE"""),"")</f>
        <v/>
      </c>
    </row>
    <row r="287" spans="1:10">
      <c r="A287" s="180" t="str">
        <f ca="1">IFERROR(__xludf.DUMMYFUNCTION("""COMPUTED_VALUE"""),"")</f>
        <v/>
      </c>
      <c r="B287" s="180" t="str">
        <f ca="1">IFERROR(__xludf.DUMMYFUNCTION("""COMPUTED_VALUE"""),"")</f>
        <v/>
      </c>
      <c r="C287" s="180" t="str">
        <f ca="1">IFERROR(__xludf.DUMMYFUNCTION("""COMPUTED_VALUE"""),"")</f>
        <v/>
      </c>
      <c r="D287" s="180" t="str">
        <f ca="1">IFERROR(__xludf.DUMMYFUNCTION("""COMPUTED_VALUE"""),"")</f>
        <v/>
      </c>
      <c r="E287" s="180" t="str">
        <f ca="1">IFERROR(__xludf.DUMMYFUNCTION("""COMPUTED_VALUE"""),"")</f>
        <v/>
      </c>
      <c r="F287" s="180" t="str">
        <f ca="1">IFERROR(__xludf.DUMMYFUNCTION("""COMPUTED_VALUE"""),"")</f>
        <v/>
      </c>
      <c r="G287" s="180" t="str">
        <f ca="1">IFERROR(__xludf.DUMMYFUNCTION("""COMPUTED_VALUE"""),"")</f>
        <v/>
      </c>
      <c r="H287" s="180" t="str">
        <f ca="1">IFERROR(__xludf.DUMMYFUNCTION("""COMPUTED_VALUE"""),"")</f>
        <v/>
      </c>
      <c r="I287" s="180" t="str">
        <f ca="1">IFERROR(__xludf.DUMMYFUNCTION("""COMPUTED_VALUE"""),"")</f>
        <v/>
      </c>
      <c r="J287" s="180" t="str">
        <f ca="1">IFERROR(__xludf.DUMMYFUNCTION("""COMPUTED_VALUE"""),"")</f>
        <v/>
      </c>
    </row>
    <row r="288" spans="1:10">
      <c r="A288" s="180" t="str">
        <f ca="1">IFERROR(__xludf.DUMMYFUNCTION("""COMPUTED_VALUE"""),"")</f>
        <v/>
      </c>
      <c r="B288" s="180" t="str">
        <f ca="1">IFERROR(__xludf.DUMMYFUNCTION("""COMPUTED_VALUE"""),"")</f>
        <v/>
      </c>
      <c r="C288" s="180" t="str">
        <f ca="1">IFERROR(__xludf.DUMMYFUNCTION("""COMPUTED_VALUE"""),"")</f>
        <v/>
      </c>
      <c r="D288" s="180" t="str">
        <f ca="1">IFERROR(__xludf.DUMMYFUNCTION("""COMPUTED_VALUE"""),"")</f>
        <v/>
      </c>
      <c r="E288" s="180" t="str">
        <f ca="1">IFERROR(__xludf.DUMMYFUNCTION("""COMPUTED_VALUE"""),"")</f>
        <v/>
      </c>
      <c r="F288" s="180" t="str">
        <f ca="1">IFERROR(__xludf.DUMMYFUNCTION("""COMPUTED_VALUE"""),"")</f>
        <v/>
      </c>
      <c r="G288" s="180" t="str">
        <f ca="1">IFERROR(__xludf.DUMMYFUNCTION("""COMPUTED_VALUE"""),"")</f>
        <v/>
      </c>
      <c r="H288" s="180" t="str">
        <f ca="1">IFERROR(__xludf.DUMMYFUNCTION("""COMPUTED_VALUE"""),"")</f>
        <v/>
      </c>
      <c r="I288" s="180" t="str">
        <f ca="1">IFERROR(__xludf.DUMMYFUNCTION("""COMPUTED_VALUE"""),"")</f>
        <v/>
      </c>
      <c r="J288" s="180" t="str">
        <f ca="1">IFERROR(__xludf.DUMMYFUNCTION("""COMPUTED_VALUE"""),"")</f>
        <v/>
      </c>
    </row>
    <row r="289" spans="1:10">
      <c r="A289" s="180" t="str">
        <f ca="1">IFERROR(__xludf.DUMMYFUNCTION("""COMPUTED_VALUE"""),"")</f>
        <v/>
      </c>
      <c r="B289" s="180" t="str">
        <f ca="1">IFERROR(__xludf.DUMMYFUNCTION("""COMPUTED_VALUE"""),"")</f>
        <v/>
      </c>
      <c r="C289" s="180" t="str">
        <f ca="1">IFERROR(__xludf.DUMMYFUNCTION("""COMPUTED_VALUE"""),"")</f>
        <v/>
      </c>
      <c r="D289" s="180" t="str">
        <f ca="1">IFERROR(__xludf.DUMMYFUNCTION("""COMPUTED_VALUE"""),"")</f>
        <v/>
      </c>
      <c r="E289" s="180" t="str">
        <f ca="1">IFERROR(__xludf.DUMMYFUNCTION("""COMPUTED_VALUE"""),"")</f>
        <v/>
      </c>
      <c r="F289" s="180" t="str">
        <f ca="1">IFERROR(__xludf.DUMMYFUNCTION("""COMPUTED_VALUE"""),"")</f>
        <v/>
      </c>
      <c r="G289" s="180" t="str">
        <f ca="1">IFERROR(__xludf.DUMMYFUNCTION("""COMPUTED_VALUE"""),"")</f>
        <v/>
      </c>
      <c r="H289" s="180" t="str">
        <f ca="1">IFERROR(__xludf.DUMMYFUNCTION("""COMPUTED_VALUE"""),"")</f>
        <v/>
      </c>
      <c r="I289" s="180" t="str">
        <f ca="1">IFERROR(__xludf.DUMMYFUNCTION("""COMPUTED_VALUE"""),"")</f>
        <v/>
      </c>
      <c r="J289" s="180" t="str">
        <f ca="1">IFERROR(__xludf.DUMMYFUNCTION("""COMPUTED_VALUE"""),"")</f>
        <v/>
      </c>
    </row>
    <row r="290" spans="1:10">
      <c r="A290" s="180" t="str">
        <f ca="1">IFERROR(__xludf.DUMMYFUNCTION("""COMPUTED_VALUE"""),"")</f>
        <v/>
      </c>
      <c r="B290" s="180" t="str">
        <f ca="1">IFERROR(__xludf.DUMMYFUNCTION("""COMPUTED_VALUE"""),"")</f>
        <v/>
      </c>
      <c r="C290" s="180" t="str">
        <f ca="1">IFERROR(__xludf.DUMMYFUNCTION("""COMPUTED_VALUE"""),"")</f>
        <v/>
      </c>
      <c r="D290" s="180" t="str">
        <f ca="1">IFERROR(__xludf.DUMMYFUNCTION("""COMPUTED_VALUE"""),"")</f>
        <v/>
      </c>
      <c r="E290" s="180" t="str">
        <f ca="1">IFERROR(__xludf.DUMMYFUNCTION("""COMPUTED_VALUE"""),"")</f>
        <v/>
      </c>
      <c r="F290" s="180" t="str">
        <f ca="1">IFERROR(__xludf.DUMMYFUNCTION("""COMPUTED_VALUE"""),"")</f>
        <v/>
      </c>
      <c r="G290" s="180" t="str">
        <f ca="1">IFERROR(__xludf.DUMMYFUNCTION("""COMPUTED_VALUE"""),"")</f>
        <v/>
      </c>
      <c r="H290" s="180" t="str">
        <f ca="1">IFERROR(__xludf.DUMMYFUNCTION("""COMPUTED_VALUE"""),"")</f>
        <v/>
      </c>
      <c r="I290" s="180" t="str">
        <f ca="1">IFERROR(__xludf.DUMMYFUNCTION("""COMPUTED_VALUE"""),"")</f>
        <v/>
      </c>
      <c r="J290" s="180" t="str">
        <f ca="1">IFERROR(__xludf.DUMMYFUNCTION("""COMPUTED_VALUE"""),"")</f>
        <v/>
      </c>
    </row>
    <row r="291" spans="1:10">
      <c r="A291" s="180" t="str">
        <f ca="1">IFERROR(__xludf.DUMMYFUNCTION("""COMPUTED_VALUE"""),"")</f>
        <v/>
      </c>
      <c r="B291" s="180" t="str">
        <f ca="1">IFERROR(__xludf.DUMMYFUNCTION("""COMPUTED_VALUE"""),"")</f>
        <v/>
      </c>
      <c r="C291" s="180" t="str">
        <f ca="1">IFERROR(__xludf.DUMMYFUNCTION("""COMPUTED_VALUE"""),"")</f>
        <v/>
      </c>
      <c r="D291" s="180" t="str">
        <f ca="1">IFERROR(__xludf.DUMMYFUNCTION("""COMPUTED_VALUE"""),"")</f>
        <v/>
      </c>
      <c r="E291" s="180" t="str">
        <f ca="1">IFERROR(__xludf.DUMMYFUNCTION("""COMPUTED_VALUE"""),"")</f>
        <v/>
      </c>
      <c r="F291" s="180" t="str">
        <f ca="1">IFERROR(__xludf.DUMMYFUNCTION("""COMPUTED_VALUE"""),"")</f>
        <v/>
      </c>
      <c r="G291" s="180" t="str">
        <f ca="1">IFERROR(__xludf.DUMMYFUNCTION("""COMPUTED_VALUE"""),"")</f>
        <v/>
      </c>
      <c r="H291" s="180" t="str">
        <f ca="1">IFERROR(__xludf.DUMMYFUNCTION("""COMPUTED_VALUE"""),"")</f>
        <v/>
      </c>
      <c r="I291" s="180" t="str">
        <f ca="1">IFERROR(__xludf.DUMMYFUNCTION("""COMPUTED_VALUE"""),"")</f>
        <v/>
      </c>
      <c r="J291" s="180" t="str">
        <f ca="1">IFERROR(__xludf.DUMMYFUNCTION("""COMPUTED_VALUE"""),"")</f>
        <v/>
      </c>
    </row>
    <row r="292" spans="1:10">
      <c r="A292" s="180" t="str">
        <f ca="1">IFERROR(__xludf.DUMMYFUNCTION("""COMPUTED_VALUE"""),"")</f>
        <v/>
      </c>
      <c r="B292" s="180" t="str">
        <f ca="1">IFERROR(__xludf.DUMMYFUNCTION("""COMPUTED_VALUE"""),"")</f>
        <v/>
      </c>
      <c r="C292" s="180" t="str">
        <f ca="1">IFERROR(__xludf.DUMMYFUNCTION("""COMPUTED_VALUE"""),"")</f>
        <v/>
      </c>
      <c r="D292" s="180" t="str">
        <f ca="1">IFERROR(__xludf.DUMMYFUNCTION("""COMPUTED_VALUE"""),"")</f>
        <v/>
      </c>
      <c r="E292" s="180" t="str">
        <f ca="1">IFERROR(__xludf.DUMMYFUNCTION("""COMPUTED_VALUE"""),"")</f>
        <v/>
      </c>
      <c r="F292" s="180" t="str">
        <f ca="1">IFERROR(__xludf.DUMMYFUNCTION("""COMPUTED_VALUE"""),"")</f>
        <v/>
      </c>
      <c r="G292" s="180" t="str">
        <f ca="1">IFERROR(__xludf.DUMMYFUNCTION("""COMPUTED_VALUE"""),"")</f>
        <v/>
      </c>
      <c r="H292" s="180" t="str">
        <f ca="1">IFERROR(__xludf.DUMMYFUNCTION("""COMPUTED_VALUE"""),"")</f>
        <v/>
      </c>
      <c r="I292" s="180" t="str">
        <f ca="1">IFERROR(__xludf.DUMMYFUNCTION("""COMPUTED_VALUE"""),"")</f>
        <v/>
      </c>
      <c r="J292" s="180" t="str">
        <f ca="1">IFERROR(__xludf.DUMMYFUNCTION("""COMPUTED_VALUE"""),"")</f>
        <v/>
      </c>
    </row>
    <row r="293" spans="1:10">
      <c r="A293" s="180" t="str">
        <f ca="1">IFERROR(__xludf.DUMMYFUNCTION("""COMPUTED_VALUE"""),"")</f>
        <v/>
      </c>
      <c r="B293" s="180" t="str">
        <f ca="1">IFERROR(__xludf.DUMMYFUNCTION("""COMPUTED_VALUE"""),"")</f>
        <v/>
      </c>
      <c r="C293" s="180" t="str">
        <f ca="1">IFERROR(__xludf.DUMMYFUNCTION("""COMPUTED_VALUE"""),"")</f>
        <v/>
      </c>
      <c r="D293" s="180" t="str">
        <f ca="1">IFERROR(__xludf.DUMMYFUNCTION("""COMPUTED_VALUE"""),"")</f>
        <v/>
      </c>
      <c r="E293" s="180" t="str">
        <f ca="1">IFERROR(__xludf.DUMMYFUNCTION("""COMPUTED_VALUE"""),"")</f>
        <v/>
      </c>
      <c r="F293" s="180" t="str">
        <f ca="1">IFERROR(__xludf.DUMMYFUNCTION("""COMPUTED_VALUE"""),"")</f>
        <v/>
      </c>
      <c r="G293" s="180" t="str">
        <f ca="1">IFERROR(__xludf.DUMMYFUNCTION("""COMPUTED_VALUE"""),"")</f>
        <v/>
      </c>
      <c r="H293" s="180" t="str">
        <f ca="1">IFERROR(__xludf.DUMMYFUNCTION("""COMPUTED_VALUE"""),"")</f>
        <v/>
      </c>
      <c r="I293" s="180" t="str">
        <f ca="1">IFERROR(__xludf.DUMMYFUNCTION("""COMPUTED_VALUE"""),"")</f>
        <v/>
      </c>
      <c r="J293" s="180" t="str">
        <f ca="1">IFERROR(__xludf.DUMMYFUNCTION("""COMPUTED_VALUE"""),"")</f>
        <v/>
      </c>
    </row>
    <row r="294" spans="1:10">
      <c r="A294" s="180" t="str">
        <f ca="1">IFERROR(__xludf.DUMMYFUNCTION("""COMPUTED_VALUE"""),"")</f>
        <v/>
      </c>
      <c r="B294" s="180" t="str">
        <f ca="1">IFERROR(__xludf.DUMMYFUNCTION("""COMPUTED_VALUE"""),"")</f>
        <v/>
      </c>
      <c r="C294" s="180" t="str">
        <f ca="1">IFERROR(__xludf.DUMMYFUNCTION("""COMPUTED_VALUE"""),"")</f>
        <v/>
      </c>
      <c r="D294" s="180" t="str">
        <f ca="1">IFERROR(__xludf.DUMMYFUNCTION("""COMPUTED_VALUE"""),"")</f>
        <v/>
      </c>
      <c r="E294" s="180" t="str">
        <f ca="1">IFERROR(__xludf.DUMMYFUNCTION("""COMPUTED_VALUE"""),"")</f>
        <v/>
      </c>
      <c r="F294" s="180" t="str">
        <f ca="1">IFERROR(__xludf.DUMMYFUNCTION("""COMPUTED_VALUE"""),"")</f>
        <v/>
      </c>
      <c r="G294" s="180" t="str">
        <f ca="1">IFERROR(__xludf.DUMMYFUNCTION("""COMPUTED_VALUE"""),"")</f>
        <v/>
      </c>
      <c r="H294" s="180" t="str">
        <f ca="1">IFERROR(__xludf.DUMMYFUNCTION("""COMPUTED_VALUE"""),"")</f>
        <v/>
      </c>
      <c r="I294" s="180" t="str">
        <f ca="1">IFERROR(__xludf.DUMMYFUNCTION("""COMPUTED_VALUE"""),"")</f>
        <v/>
      </c>
      <c r="J294" s="180" t="str">
        <f ca="1">IFERROR(__xludf.DUMMYFUNCTION("""COMPUTED_VALUE"""),"")</f>
        <v/>
      </c>
    </row>
    <row r="295" spans="1:10">
      <c r="A295" s="180" t="str">
        <f ca="1">IFERROR(__xludf.DUMMYFUNCTION("""COMPUTED_VALUE"""),"")</f>
        <v/>
      </c>
      <c r="B295" s="180" t="str">
        <f ca="1">IFERROR(__xludf.DUMMYFUNCTION("""COMPUTED_VALUE"""),"")</f>
        <v/>
      </c>
      <c r="C295" s="180" t="str">
        <f ca="1">IFERROR(__xludf.DUMMYFUNCTION("""COMPUTED_VALUE"""),"")</f>
        <v/>
      </c>
      <c r="D295" s="180" t="str">
        <f ca="1">IFERROR(__xludf.DUMMYFUNCTION("""COMPUTED_VALUE"""),"")</f>
        <v/>
      </c>
      <c r="E295" s="180" t="str">
        <f ca="1">IFERROR(__xludf.DUMMYFUNCTION("""COMPUTED_VALUE"""),"")</f>
        <v/>
      </c>
      <c r="F295" s="180" t="str">
        <f ca="1">IFERROR(__xludf.DUMMYFUNCTION("""COMPUTED_VALUE"""),"")</f>
        <v/>
      </c>
      <c r="G295" s="180" t="str">
        <f ca="1">IFERROR(__xludf.DUMMYFUNCTION("""COMPUTED_VALUE"""),"")</f>
        <v/>
      </c>
      <c r="H295" s="180" t="str">
        <f ca="1">IFERROR(__xludf.DUMMYFUNCTION("""COMPUTED_VALUE"""),"")</f>
        <v/>
      </c>
      <c r="I295" s="180" t="str">
        <f ca="1">IFERROR(__xludf.DUMMYFUNCTION("""COMPUTED_VALUE"""),"")</f>
        <v/>
      </c>
      <c r="J295" s="180" t="str">
        <f ca="1">IFERROR(__xludf.DUMMYFUNCTION("""COMPUTED_VALUE"""),"")</f>
        <v/>
      </c>
    </row>
    <row r="296" spans="1:10">
      <c r="A296" s="180" t="str">
        <f ca="1">IFERROR(__xludf.DUMMYFUNCTION("""COMPUTED_VALUE"""),"")</f>
        <v/>
      </c>
      <c r="B296" s="180" t="str">
        <f ca="1">IFERROR(__xludf.DUMMYFUNCTION("""COMPUTED_VALUE"""),"")</f>
        <v/>
      </c>
      <c r="C296" s="180" t="str">
        <f ca="1">IFERROR(__xludf.DUMMYFUNCTION("""COMPUTED_VALUE"""),"")</f>
        <v/>
      </c>
      <c r="D296" s="180" t="str">
        <f ca="1">IFERROR(__xludf.DUMMYFUNCTION("""COMPUTED_VALUE"""),"")</f>
        <v/>
      </c>
      <c r="E296" s="180" t="str">
        <f ca="1">IFERROR(__xludf.DUMMYFUNCTION("""COMPUTED_VALUE"""),"")</f>
        <v/>
      </c>
      <c r="F296" s="180" t="str">
        <f ca="1">IFERROR(__xludf.DUMMYFUNCTION("""COMPUTED_VALUE"""),"")</f>
        <v/>
      </c>
      <c r="G296" s="180" t="str">
        <f ca="1">IFERROR(__xludf.DUMMYFUNCTION("""COMPUTED_VALUE"""),"")</f>
        <v/>
      </c>
      <c r="H296" s="180" t="str">
        <f ca="1">IFERROR(__xludf.DUMMYFUNCTION("""COMPUTED_VALUE"""),"")</f>
        <v/>
      </c>
      <c r="I296" s="180" t="str">
        <f ca="1">IFERROR(__xludf.DUMMYFUNCTION("""COMPUTED_VALUE"""),"")</f>
        <v/>
      </c>
      <c r="J296" s="180" t="str">
        <f ca="1">IFERROR(__xludf.DUMMYFUNCTION("""COMPUTED_VALUE"""),"")</f>
        <v/>
      </c>
    </row>
    <row r="297" spans="1:10">
      <c r="C297" s="180" t="str">
        <f ca="1">IFERROR(__xludf.DUMMYFUNCTION("""COMPUTED_VALUE"""),"")</f>
        <v/>
      </c>
      <c r="D297" s="180" t="str">
        <f ca="1">IFERROR(__xludf.DUMMYFUNCTION("""COMPUTED_VALUE"""),"")</f>
        <v/>
      </c>
      <c r="E297" s="180" t="str">
        <f ca="1">IFERROR(__xludf.DUMMYFUNCTION("""COMPUTED_VALUE"""),"")</f>
        <v/>
      </c>
      <c r="F297" s="180" t="str">
        <f ca="1">IFERROR(__xludf.DUMMYFUNCTION("""COMPUTED_VALUE"""),"")</f>
        <v/>
      </c>
      <c r="G297" s="180" t="str">
        <f ca="1">IFERROR(__xludf.DUMMYFUNCTION("""COMPUTED_VALUE"""),"")</f>
        <v/>
      </c>
      <c r="H297" s="180" t="str">
        <f ca="1">IFERROR(__xludf.DUMMYFUNCTION("""COMPUTED_VALUE"""),"")</f>
        <v/>
      </c>
      <c r="I297" s="180" t="str">
        <f ca="1">IFERROR(__xludf.DUMMYFUNCTION("""COMPUTED_VALUE"""),"")</f>
        <v/>
      </c>
      <c r="J297" s="180" t="str">
        <f ca="1">IFERROR(__xludf.DUMMYFUNCTION("""COMPUTED_VALUE"""),"")</f>
        <v/>
      </c>
    </row>
    <row r="298" spans="1:10" ht="14.25"/>
    <row r="299" spans="1:10" ht="14.25"/>
    <row r="300" spans="1:10" ht="14.25"/>
    <row r="301" spans="1:10" ht="14.25"/>
    <row r="302" spans="1:10" ht="14.25"/>
    <row r="303" spans="1:10" ht="14.25"/>
    <row r="304" spans="1:10" ht="14.25"/>
    <row r="305" ht="14.25"/>
    <row r="306" ht="14.25"/>
    <row r="307" ht="14.25"/>
    <row r="308" ht="14.25"/>
    <row r="309" ht="14.25"/>
    <row r="310" ht="14.25"/>
    <row r="311" ht="14.25"/>
    <row r="312" ht="14.25"/>
    <row r="313" ht="14.25"/>
    <row r="314" ht="14.25"/>
    <row r="315" ht="14.25"/>
    <row r="316" ht="14.25"/>
    <row r="317" ht="14.25"/>
    <row r="318" ht="14.25"/>
    <row r="319" ht="14.25"/>
    <row r="320" ht="14.25"/>
    <row r="321" ht="14.25"/>
    <row r="322" ht="14.25"/>
    <row r="323" ht="14.25"/>
    <row r="324" ht="14.25"/>
    <row r="325" ht="14.25"/>
    <row r="326" ht="14.25"/>
    <row r="327" ht="14.25"/>
    <row r="328" ht="14.25"/>
    <row r="329" ht="14.25"/>
    <row r="330" ht="14.25"/>
    <row r="331" ht="14.25"/>
    <row r="332" ht="14.25"/>
    <row r="333" ht="14.25"/>
    <row r="334" ht="14.25"/>
    <row r="335" ht="14.25"/>
    <row r="336" ht="14.25"/>
    <row r="337" ht="14.25"/>
    <row r="338" ht="14.25"/>
    <row r="339" ht="14.25"/>
    <row r="340" ht="14.25"/>
    <row r="341" ht="14.25"/>
    <row r="342" ht="14.25"/>
    <row r="343" ht="14.25"/>
    <row r="344" ht="14.25"/>
    <row r="345" ht="14.25"/>
    <row r="346" ht="14.25"/>
    <row r="347" ht="14.25"/>
    <row r="348" ht="14.25"/>
    <row r="349" ht="14.25"/>
    <row r="350" ht="14.25"/>
    <row r="351" ht="14.25"/>
    <row r="352" ht="14.25"/>
    <row r="353" ht="14.25"/>
    <row r="354" ht="14.25"/>
    <row r="355" ht="14.25"/>
    <row r="356" ht="14.25"/>
    <row r="357" ht="14.25"/>
    <row r="358" ht="14.25"/>
    <row r="359" ht="14.25"/>
    <row r="360" ht="14.25"/>
    <row r="361" ht="14.25"/>
    <row r="362" ht="14.25"/>
    <row r="363" ht="14.25"/>
    <row r="364" ht="14.25"/>
    <row r="365" ht="14.25"/>
    <row r="366" ht="14.25"/>
    <row r="367" ht="14.25"/>
    <row r="368" ht="14.25"/>
    <row r="369" ht="14.25"/>
    <row r="370" ht="14.25"/>
    <row r="371" ht="14.25"/>
    <row r="372" ht="14.25"/>
    <row r="373" ht="14.25"/>
    <row r="374" ht="14.25"/>
    <row r="375" ht="14.25"/>
    <row r="376" ht="14.25"/>
    <row r="377" ht="14.25"/>
    <row r="378" ht="14.25"/>
    <row r="379" ht="14.25"/>
    <row r="380" ht="14.25"/>
    <row r="381" ht="14.25"/>
    <row r="382" ht="14.25"/>
    <row r="383" ht="14.25"/>
    <row r="384" ht="14.25"/>
  </sheetData>
  <autoFilter ref="A1:AA384" xr:uid="{298855B9-F11A-44EB-9B3D-81E40790EADA}"/>
  <mergeCells count="2">
    <mergeCell ref="D114:G114"/>
    <mergeCell ref="A114:B1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Form Responses 1</vt:lpstr>
      <vt:lpstr>Data Set</vt:lpstr>
      <vt:lpstr>Dashboard</vt:lpstr>
      <vt:lpstr>Staffing Chart</vt:lpstr>
      <vt:lpstr>District 1</vt:lpstr>
      <vt:lpstr>District 2</vt:lpstr>
      <vt:lpstr>District 3</vt:lpstr>
      <vt:lpstr>District 4</vt:lpstr>
      <vt:lpstr>District 5</vt:lpstr>
      <vt:lpstr>District 6</vt:lpstr>
      <vt:lpstr>District 7</vt:lpstr>
      <vt:lpstr>District 8</vt:lpstr>
      <vt:lpstr>District 9</vt:lpstr>
      <vt:lpstr>District 10</vt:lpstr>
      <vt:lpstr>ASC</vt:lpstr>
      <vt:lpstr>Trilogy</vt:lpstr>
      <vt:lpstr>Millers</vt:lpstr>
      <vt:lpstr>CarDon</vt:lpstr>
      <vt:lpstr>Golden Living</vt:lpstr>
      <vt:lpstr>Hickory Creek</vt:lpstr>
      <vt:lpstr>CommuniCare</vt:lpstr>
      <vt:lpstr>Majestic</vt:lpstr>
      <vt:lpstr>Waters</vt:lpstr>
      <vt:lpstr>GREEN</vt:lpstr>
      <vt:lpstr>KITS</vt:lpstr>
      <vt:lpstr>ONSITE</vt:lpstr>
      <vt:lpstr>list</vt:lpstr>
      <vt:lpstr>SNF Contact</vt:lpstr>
      <vt:lpstr>Supply Armories</vt:lpstr>
      <vt:lpstr>OIC Contacts</vt:lpstr>
      <vt:lpstr>C2 Contacts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Krievins, Paul</dc:creator>
  <cp:keywords/>
  <dc:description/>
  <cp:lastModifiedBy>Russell Evans</cp:lastModifiedBy>
  <cp:revision/>
  <dcterms:created xsi:type="dcterms:W3CDTF">2020-06-04T16:58:48Z</dcterms:created>
  <dcterms:modified xsi:type="dcterms:W3CDTF">2020-06-12T09:41:18Z</dcterms:modified>
  <cp:category/>
  <cp:contentStatus/>
</cp:coreProperties>
</file>